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5365" windowHeight="13755"/>
  </bookViews>
  <sheets>
    <sheet name="Доходы" sheetId="2" r:id="rId1"/>
    <sheet name="Расходы" sheetId="1" r:id="rId2"/>
    <sheet name="Источники" sheetId="3" state="hidden" r:id="rId3"/>
    <sheet name="Лист1" sheetId="4" state="hidden" r:id="rId4"/>
  </sheets>
  <calcPr calcId="181029"/>
</workbook>
</file>

<file path=xl/calcChain.xml><?xml version="1.0" encoding="utf-8"?>
<calcChain xmlns="http://schemas.openxmlformats.org/spreadsheetml/2006/main">
  <c r="G5" i="1" l="1"/>
  <c r="F5" i="1"/>
  <c r="G42" i="1"/>
  <c r="G33" i="1" s="1"/>
  <c r="G169" i="1"/>
  <c r="G41" i="1"/>
  <c r="G39" i="1"/>
  <c r="D169" i="1" l="1"/>
  <c r="J139" i="1"/>
  <c r="K139" i="1" s="1"/>
  <c r="J138" i="1"/>
  <c r="K138" i="1" s="1"/>
  <c r="K133" i="1"/>
  <c r="K140" i="1"/>
  <c r="K141" i="1"/>
  <c r="K142" i="1"/>
  <c r="K143" i="1"/>
  <c r="K137" i="1"/>
  <c r="G171" i="1"/>
  <c r="G22" i="1"/>
  <c r="F6" i="1"/>
  <c r="G6" i="1"/>
  <c r="H8" i="1"/>
  <c r="H25" i="1"/>
  <c r="H48" i="1" l="1"/>
  <c r="H7" i="1" l="1"/>
  <c r="H81" i="1"/>
  <c r="F78" i="1"/>
  <c r="G10" i="1"/>
  <c r="F10" i="1"/>
  <c r="D10" i="1"/>
  <c r="D13" i="1"/>
  <c r="G13" i="1"/>
  <c r="F13" i="1"/>
  <c r="D104" i="2" l="1"/>
  <c r="D103" i="2"/>
  <c r="J169" i="1" l="1"/>
  <c r="K110" i="1"/>
  <c r="K124" i="1"/>
  <c r="K176" i="1"/>
  <c r="G75" i="1" l="1"/>
  <c r="G28" i="1"/>
  <c r="G177" i="1"/>
  <c r="H177" i="1" s="1"/>
  <c r="G102" i="1"/>
  <c r="F30" i="1"/>
  <c r="F28" i="1" s="1"/>
  <c r="F171" i="1"/>
  <c r="F22" i="1"/>
  <c r="H22" i="1" s="1"/>
  <c r="G78" i="1"/>
  <c r="G91" i="1"/>
  <c r="F91" i="1"/>
  <c r="G172" i="1"/>
  <c r="H173" i="1"/>
  <c r="H174" i="1"/>
  <c r="H175" i="1"/>
  <c r="H178" i="1"/>
  <c r="H179" i="1"/>
  <c r="F102" i="1"/>
  <c r="F39" i="1"/>
  <c r="K83" i="1"/>
  <c r="K86" i="1"/>
  <c r="K88" i="1"/>
  <c r="K128" i="1"/>
  <c r="E167" i="1"/>
  <c r="E168" i="1"/>
  <c r="E166" i="1"/>
  <c r="E36" i="1"/>
  <c r="E37" i="1"/>
  <c r="E38" i="1"/>
  <c r="E56" i="1"/>
  <c r="E62" i="1"/>
  <c r="E67" i="1"/>
  <c r="E55" i="1"/>
  <c r="H102" i="1" l="1"/>
  <c r="H172" i="1"/>
  <c r="H171" i="1"/>
  <c r="H169" i="1"/>
  <c r="K122" i="1"/>
  <c r="K123" i="1"/>
  <c r="D18" i="1"/>
  <c r="E119" i="1"/>
  <c r="D35" i="1"/>
  <c r="C35" i="1"/>
  <c r="E35" i="1" l="1"/>
  <c r="E19" i="1"/>
  <c r="J134" i="1"/>
  <c r="D63" i="1"/>
  <c r="C63" i="1"/>
  <c r="C57" i="1"/>
  <c r="E57" i="1" s="1"/>
  <c r="C66" i="1"/>
  <c r="C59" i="1"/>
  <c r="C65" i="1"/>
  <c r="D59" i="1"/>
  <c r="D61" i="1"/>
  <c r="E61" i="1" s="1"/>
  <c r="D58" i="1"/>
  <c r="D66" i="1"/>
  <c r="D65" i="1"/>
  <c r="E65" i="1" s="1"/>
  <c r="C58" i="1"/>
  <c r="C60" i="1"/>
  <c r="E58" i="1" l="1"/>
  <c r="E63" i="1"/>
  <c r="E66" i="1"/>
  <c r="E59" i="1"/>
  <c r="D60" i="1"/>
  <c r="E60" i="1" s="1"/>
  <c r="N6" i="1" l="1"/>
  <c r="M6" i="1"/>
  <c r="J6" i="1"/>
  <c r="I6" i="1"/>
  <c r="H6" i="1"/>
  <c r="D6" i="1"/>
  <c r="C6" i="1"/>
  <c r="H80" i="1"/>
  <c r="I7" i="3" l="1"/>
  <c r="N17" i="1" l="1"/>
  <c r="M17" i="1"/>
  <c r="H79" i="1"/>
  <c r="D165" i="1" l="1"/>
  <c r="I165" i="1" l="1"/>
  <c r="G165" i="1"/>
  <c r="F165" i="1"/>
  <c r="C165" i="1"/>
  <c r="E165" i="1" s="1"/>
  <c r="J17" i="1"/>
  <c r="I17" i="1"/>
  <c r="F17" i="1"/>
  <c r="C17" i="1"/>
  <c r="N33" i="1"/>
  <c r="M33" i="1"/>
  <c r="J33" i="1"/>
  <c r="I33" i="1"/>
  <c r="F33" i="1"/>
  <c r="C33" i="1"/>
  <c r="H107" i="1"/>
  <c r="G17" i="1"/>
  <c r="H5" i="1" l="1"/>
  <c r="H17" i="1"/>
  <c r="H165" i="1"/>
  <c r="E8" i="2" l="1"/>
  <c r="F8" i="2"/>
  <c r="E27" i="2"/>
  <c r="F27" i="2"/>
  <c r="E54" i="2"/>
  <c r="F54" i="2"/>
  <c r="D54" i="2"/>
  <c r="E116" i="2"/>
  <c r="F116" i="2"/>
  <c r="D116" i="2"/>
  <c r="E32" i="2" l="1"/>
  <c r="F32" i="2"/>
  <c r="D32" i="2"/>
  <c r="D27" i="2"/>
  <c r="F92" i="2" l="1"/>
  <c r="F91" i="2" s="1"/>
  <c r="F26" i="2" s="1"/>
  <c r="F25" i="2" s="1"/>
  <c r="E92" i="2"/>
  <c r="E91" i="2" s="1"/>
  <c r="E26" i="2" s="1"/>
  <c r="E25" i="2" s="1"/>
  <c r="D92" i="2"/>
  <c r="D91" i="2" s="1"/>
  <c r="F15" i="2"/>
  <c r="F6" i="2" s="1"/>
  <c r="E15" i="2"/>
  <c r="E6" i="2" s="1"/>
  <c r="D15" i="2"/>
  <c r="D8" i="2"/>
  <c r="E122" i="2" l="1"/>
  <c r="F122" i="2"/>
  <c r="D26" i="2"/>
  <c r="D25" i="2" s="1"/>
  <c r="H9" i="3" s="1"/>
  <c r="D6" i="2"/>
  <c r="H8" i="3" s="1"/>
  <c r="D122" i="2" l="1"/>
  <c r="F191" i="1" s="1"/>
  <c r="J165" i="1"/>
  <c r="N54" i="1" l="1"/>
  <c r="M54" i="1"/>
  <c r="J54" i="1"/>
  <c r="I54" i="1"/>
  <c r="G54" i="1"/>
  <c r="F54" i="1"/>
  <c r="C54" i="1"/>
  <c r="D54" i="1" l="1"/>
  <c r="D17" i="1"/>
  <c r="E17" i="1" l="1"/>
  <c r="L54" i="1"/>
  <c r="E54" i="1"/>
  <c r="D33" i="1"/>
  <c r="B6" i="3"/>
  <c r="L33" i="1" l="1"/>
  <c r="E33" i="1"/>
  <c r="H6" i="3"/>
  <c r="N165" i="1"/>
  <c r="L165" i="1"/>
  <c r="N160" i="1"/>
  <c r="M160" i="1"/>
  <c r="N157" i="1"/>
  <c r="M157" i="1"/>
  <c r="J160" i="1"/>
  <c r="I160" i="1"/>
  <c r="J157" i="1"/>
  <c r="I157" i="1"/>
  <c r="G160" i="1"/>
  <c r="F160" i="1"/>
  <c r="G157" i="1"/>
  <c r="F157" i="1"/>
  <c r="D157" i="1"/>
  <c r="D160" i="1"/>
  <c r="C160" i="1"/>
  <c r="C157" i="1"/>
  <c r="N152" i="1"/>
  <c r="M152" i="1"/>
  <c r="N150" i="1"/>
  <c r="M150" i="1"/>
  <c r="J152" i="1"/>
  <c r="I152" i="1"/>
  <c r="J150" i="1"/>
  <c r="I150" i="1"/>
  <c r="G152" i="1"/>
  <c r="F152" i="1"/>
  <c r="G150" i="1"/>
  <c r="F150" i="1"/>
  <c r="D150" i="1"/>
  <c r="D152" i="1"/>
  <c r="C152" i="1"/>
  <c r="C150" i="1"/>
  <c r="N147" i="1"/>
  <c r="M147" i="1"/>
  <c r="N145" i="1"/>
  <c r="M145" i="1"/>
  <c r="J147" i="1"/>
  <c r="I147" i="1"/>
  <c r="J145" i="1"/>
  <c r="I145" i="1"/>
  <c r="G147" i="1"/>
  <c r="F147" i="1"/>
  <c r="G145" i="1"/>
  <c r="F145" i="1"/>
  <c r="D145" i="1"/>
  <c r="D147" i="1"/>
  <c r="C147" i="1"/>
  <c r="C145" i="1"/>
  <c r="N136" i="1"/>
  <c r="M136" i="1"/>
  <c r="N132" i="1"/>
  <c r="M132" i="1"/>
  <c r="J136" i="1"/>
  <c r="I136" i="1"/>
  <c r="J132" i="1"/>
  <c r="K132" i="1" s="1"/>
  <c r="I132" i="1"/>
  <c r="G136" i="1"/>
  <c r="F136" i="1"/>
  <c r="G132" i="1"/>
  <c r="F132" i="1"/>
  <c r="D132" i="1"/>
  <c r="D136" i="1"/>
  <c r="C136" i="1"/>
  <c r="C132" i="1"/>
  <c r="K136" i="1" l="1"/>
  <c r="L147" i="1"/>
  <c r="L152" i="1"/>
  <c r="L160" i="1"/>
  <c r="L136" i="1"/>
  <c r="L157" i="1"/>
  <c r="L145" i="1"/>
  <c r="L132" i="1"/>
  <c r="L150" i="1"/>
  <c r="F144" i="1"/>
  <c r="M144" i="1"/>
  <c r="M149" i="1"/>
  <c r="F156" i="1"/>
  <c r="M156" i="1"/>
  <c r="G144" i="1"/>
  <c r="N144" i="1"/>
  <c r="G156" i="1"/>
  <c r="J144" i="1"/>
  <c r="G149" i="1"/>
  <c r="J156" i="1"/>
  <c r="I131" i="1"/>
  <c r="I149" i="1"/>
  <c r="I156" i="1"/>
  <c r="M131" i="1"/>
  <c r="C144" i="1"/>
  <c r="D131" i="1"/>
  <c r="I144" i="1"/>
  <c r="F131" i="1"/>
  <c r="D149" i="1"/>
  <c r="D144" i="1"/>
  <c r="J131" i="1"/>
  <c r="N149" i="1"/>
  <c r="G131" i="1"/>
  <c r="J149" i="1"/>
  <c r="N156" i="1"/>
  <c r="N131" i="1"/>
  <c r="D156" i="1"/>
  <c r="F149" i="1"/>
  <c r="C156" i="1"/>
  <c r="C149" i="1"/>
  <c r="C131" i="1"/>
  <c r="N129" i="1"/>
  <c r="M129" i="1"/>
  <c r="N127" i="1"/>
  <c r="M127" i="1"/>
  <c r="N125" i="1"/>
  <c r="M125" i="1"/>
  <c r="N121" i="1"/>
  <c r="M121" i="1"/>
  <c r="J129" i="1"/>
  <c r="I129" i="1"/>
  <c r="J127" i="1"/>
  <c r="I127" i="1"/>
  <c r="J125" i="1"/>
  <c r="I125" i="1"/>
  <c r="J121" i="1"/>
  <c r="I121" i="1"/>
  <c r="G129" i="1"/>
  <c r="F129" i="1"/>
  <c r="G127" i="1"/>
  <c r="F127" i="1"/>
  <c r="G125" i="1"/>
  <c r="F125" i="1"/>
  <c r="G121" i="1"/>
  <c r="F121" i="1"/>
  <c r="D129" i="1"/>
  <c r="D127" i="1"/>
  <c r="D125" i="1"/>
  <c r="D121" i="1"/>
  <c r="C121" i="1"/>
  <c r="C125" i="1"/>
  <c r="C127" i="1"/>
  <c r="C129" i="1"/>
  <c r="N118" i="1"/>
  <c r="M118" i="1"/>
  <c r="N116" i="1"/>
  <c r="M116" i="1"/>
  <c r="J118" i="1"/>
  <c r="I118" i="1"/>
  <c r="J116" i="1"/>
  <c r="I116" i="1"/>
  <c r="G118" i="1"/>
  <c r="F118" i="1"/>
  <c r="G116" i="1"/>
  <c r="F116" i="1"/>
  <c r="D118" i="1"/>
  <c r="D116" i="1"/>
  <c r="C118" i="1"/>
  <c r="C116" i="1"/>
  <c r="N113" i="1"/>
  <c r="M113" i="1"/>
  <c r="J113" i="1"/>
  <c r="I113" i="1"/>
  <c r="G113" i="1"/>
  <c r="F113" i="1"/>
  <c r="D113" i="1"/>
  <c r="C113" i="1"/>
  <c r="N111" i="1"/>
  <c r="M111" i="1"/>
  <c r="J111" i="1"/>
  <c r="I111" i="1"/>
  <c r="G111" i="1"/>
  <c r="F111" i="1"/>
  <c r="D111" i="1"/>
  <c r="C111" i="1"/>
  <c r="N109" i="1"/>
  <c r="M109" i="1"/>
  <c r="M108" i="1" s="1"/>
  <c r="J109" i="1"/>
  <c r="I109" i="1"/>
  <c r="G109" i="1"/>
  <c r="F109" i="1"/>
  <c r="D109" i="1"/>
  <c r="C109" i="1"/>
  <c r="N106" i="1"/>
  <c r="M106" i="1"/>
  <c r="J106" i="1"/>
  <c r="I106" i="1"/>
  <c r="G106" i="1"/>
  <c r="F106" i="1"/>
  <c r="D106" i="1"/>
  <c r="C106" i="1"/>
  <c r="N101" i="1"/>
  <c r="M101" i="1"/>
  <c r="J101" i="1"/>
  <c r="I101" i="1"/>
  <c r="G101" i="1"/>
  <c r="F101" i="1"/>
  <c r="D101" i="1"/>
  <c r="C101" i="1"/>
  <c r="N96" i="1"/>
  <c r="M96" i="1"/>
  <c r="J96" i="1"/>
  <c r="I96" i="1"/>
  <c r="G96" i="1"/>
  <c r="F96" i="1"/>
  <c r="D96" i="1"/>
  <c r="C96" i="1"/>
  <c r="N90" i="1"/>
  <c r="M90" i="1"/>
  <c r="J90" i="1"/>
  <c r="I90" i="1"/>
  <c r="G90" i="1"/>
  <c r="F90" i="1"/>
  <c r="D90" i="1"/>
  <c r="C90" i="1"/>
  <c r="N87" i="1"/>
  <c r="M87" i="1"/>
  <c r="J87" i="1"/>
  <c r="I87" i="1"/>
  <c r="G87" i="1"/>
  <c r="F87" i="1"/>
  <c r="N85" i="1"/>
  <c r="M85" i="1"/>
  <c r="J85" i="1"/>
  <c r="I85" i="1"/>
  <c r="G85" i="1"/>
  <c r="F85" i="1"/>
  <c r="D87" i="1"/>
  <c r="C87" i="1"/>
  <c r="D85" i="1"/>
  <c r="C85" i="1"/>
  <c r="N82" i="1"/>
  <c r="M82" i="1"/>
  <c r="J82" i="1"/>
  <c r="I82" i="1"/>
  <c r="G82" i="1"/>
  <c r="F82" i="1"/>
  <c r="D82" i="1"/>
  <c r="C82" i="1"/>
  <c r="N78" i="1"/>
  <c r="M78" i="1"/>
  <c r="J78" i="1"/>
  <c r="I78" i="1"/>
  <c r="D78" i="1"/>
  <c r="C78" i="1"/>
  <c r="N76" i="1"/>
  <c r="M76" i="1"/>
  <c r="J76" i="1"/>
  <c r="I76" i="1"/>
  <c r="G76" i="1"/>
  <c r="F76" i="1"/>
  <c r="D76" i="1"/>
  <c r="C76" i="1"/>
  <c r="N74" i="1"/>
  <c r="M74" i="1"/>
  <c r="J74" i="1"/>
  <c r="I74" i="1"/>
  <c r="G74" i="1"/>
  <c r="F74" i="1"/>
  <c r="D74" i="1"/>
  <c r="C74" i="1"/>
  <c r="N71" i="1"/>
  <c r="M71" i="1"/>
  <c r="J71" i="1"/>
  <c r="I71" i="1"/>
  <c r="G71" i="1"/>
  <c r="F71" i="1"/>
  <c r="D71" i="1"/>
  <c r="C71" i="1"/>
  <c r="N69" i="1"/>
  <c r="M69" i="1"/>
  <c r="M53" i="1" s="1"/>
  <c r="J69" i="1"/>
  <c r="I69" i="1"/>
  <c r="G69" i="1"/>
  <c r="G53" i="1" s="1"/>
  <c r="F69" i="1"/>
  <c r="D69" i="1"/>
  <c r="C69" i="1"/>
  <c r="K121" i="1" l="1"/>
  <c r="K127" i="1"/>
  <c r="K87" i="1"/>
  <c r="K82" i="1"/>
  <c r="M73" i="1"/>
  <c r="K85" i="1"/>
  <c r="H101" i="1"/>
  <c r="E118" i="1"/>
  <c r="N100" i="1"/>
  <c r="L129" i="1"/>
  <c r="H78" i="1"/>
  <c r="H106" i="1"/>
  <c r="L131" i="1"/>
  <c r="L121" i="1"/>
  <c r="L156" i="1"/>
  <c r="L125" i="1"/>
  <c r="L149" i="1"/>
  <c r="I100" i="1"/>
  <c r="L127" i="1"/>
  <c r="L71" i="1"/>
  <c r="L78" i="1"/>
  <c r="L85" i="1"/>
  <c r="N84" i="1"/>
  <c r="L90" i="1"/>
  <c r="L96" i="1"/>
  <c r="D100" i="1"/>
  <c r="L101" i="1"/>
  <c r="L106" i="1"/>
  <c r="L109" i="1"/>
  <c r="L111" i="1"/>
  <c r="L113" i="1"/>
  <c r="L69" i="1"/>
  <c r="L76" i="1"/>
  <c r="L116" i="1"/>
  <c r="L74" i="1"/>
  <c r="L82" i="1"/>
  <c r="L87" i="1"/>
  <c r="L118" i="1"/>
  <c r="L144" i="1"/>
  <c r="I115" i="1"/>
  <c r="J84" i="1"/>
  <c r="M115" i="1"/>
  <c r="D115" i="1"/>
  <c r="F73" i="1"/>
  <c r="J115" i="1"/>
  <c r="C120" i="1"/>
  <c r="F115" i="1"/>
  <c r="N115" i="1"/>
  <c r="M120" i="1"/>
  <c r="G84" i="1"/>
  <c r="N120" i="1"/>
  <c r="C115" i="1"/>
  <c r="F120" i="1"/>
  <c r="I120" i="1"/>
  <c r="J120" i="1"/>
  <c r="D120" i="1"/>
  <c r="I108" i="1"/>
  <c r="J108" i="1"/>
  <c r="I84" i="1"/>
  <c r="M100" i="1"/>
  <c r="G115" i="1"/>
  <c r="G120" i="1"/>
  <c r="C108" i="1"/>
  <c r="N108" i="1"/>
  <c r="F108" i="1"/>
  <c r="G108" i="1"/>
  <c r="D108" i="1"/>
  <c r="J100" i="1"/>
  <c r="F100" i="1"/>
  <c r="G100" i="1"/>
  <c r="C100" i="1"/>
  <c r="M89" i="1"/>
  <c r="N89" i="1"/>
  <c r="I89" i="1"/>
  <c r="J89" i="1"/>
  <c r="F89" i="1"/>
  <c r="G89" i="1"/>
  <c r="D89" i="1"/>
  <c r="C89" i="1"/>
  <c r="M84" i="1"/>
  <c r="F84" i="1"/>
  <c r="D84" i="1"/>
  <c r="F53" i="1"/>
  <c r="I53" i="1"/>
  <c r="I73" i="1"/>
  <c r="C84" i="1"/>
  <c r="J73" i="1"/>
  <c r="N73" i="1"/>
  <c r="G73" i="1"/>
  <c r="D73" i="1"/>
  <c r="C73" i="1"/>
  <c r="N53" i="1"/>
  <c r="J53" i="1"/>
  <c r="D53" i="1"/>
  <c r="C53" i="1"/>
  <c r="N51" i="1"/>
  <c r="M51" i="1"/>
  <c r="J51" i="1"/>
  <c r="I51" i="1"/>
  <c r="G51" i="1"/>
  <c r="F51" i="1"/>
  <c r="D51" i="1"/>
  <c r="C51" i="1"/>
  <c r="N49" i="1"/>
  <c r="M49" i="1"/>
  <c r="J49" i="1"/>
  <c r="I49" i="1"/>
  <c r="G49" i="1"/>
  <c r="F49" i="1"/>
  <c r="D49" i="1"/>
  <c r="C49" i="1"/>
  <c r="N46" i="1"/>
  <c r="M46" i="1"/>
  <c r="J46" i="1"/>
  <c r="I46" i="1"/>
  <c r="G46" i="1"/>
  <c r="H46" i="1" s="1"/>
  <c r="F46" i="1"/>
  <c r="D46" i="1"/>
  <c r="C46" i="1"/>
  <c r="N44" i="1"/>
  <c r="N32" i="1" s="1"/>
  <c r="M44" i="1"/>
  <c r="M32" i="1" s="1"/>
  <c r="J44" i="1"/>
  <c r="I44" i="1"/>
  <c r="G44" i="1"/>
  <c r="F44" i="1"/>
  <c r="D44" i="1"/>
  <c r="C44" i="1"/>
  <c r="C32" i="1" s="1"/>
  <c r="N28" i="1"/>
  <c r="M28" i="1"/>
  <c r="J28" i="1"/>
  <c r="I28" i="1"/>
  <c r="D28" i="1"/>
  <c r="D5" i="1" s="1"/>
  <c r="C28" i="1"/>
  <c r="N10" i="1"/>
  <c r="M10" i="1"/>
  <c r="J10" i="1"/>
  <c r="I10" i="1"/>
  <c r="C13" i="1"/>
  <c r="C10" i="1" s="1"/>
  <c r="H73" i="1" l="1"/>
  <c r="E53" i="1"/>
  <c r="K73" i="1"/>
  <c r="H100" i="1"/>
  <c r="L10" i="1"/>
  <c r="I32" i="1"/>
  <c r="J32" i="1"/>
  <c r="L28" i="1"/>
  <c r="L46" i="1"/>
  <c r="L51" i="1"/>
  <c r="J5" i="1"/>
  <c r="L89" i="1"/>
  <c r="G32" i="1"/>
  <c r="L49" i="1"/>
  <c r="L13" i="1"/>
  <c r="L53" i="1"/>
  <c r="L108" i="1"/>
  <c r="L6" i="1"/>
  <c r="L120" i="1"/>
  <c r="D32" i="1"/>
  <c r="E32" i="1" s="1"/>
  <c r="L44" i="1"/>
  <c r="L115" i="1"/>
  <c r="L73" i="1"/>
  <c r="L84" i="1"/>
  <c r="L100" i="1"/>
  <c r="L17" i="1"/>
  <c r="M5" i="1"/>
  <c r="M164" i="1" s="1"/>
  <c r="F32" i="1"/>
  <c r="I5" i="1"/>
  <c r="N5" i="1"/>
  <c r="N164" i="1" s="1"/>
  <c r="N182" i="1" s="1"/>
  <c r="C5" i="1"/>
  <c r="E5" i="1" l="1"/>
  <c r="I164" i="1"/>
  <c r="I182" i="1" s="1"/>
  <c r="J164" i="1"/>
  <c r="J182" i="1" s="1"/>
  <c r="L32" i="1"/>
  <c r="G164" i="1"/>
  <c r="G182" i="1" s="1"/>
  <c r="D164" i="1"/>
  <c r="L5" i="1"/>
  <c r="F164" i="1"/>
  <c r="C164" i="1"/>
  <c r="K182" i="1" l="1"/>
  <c r="E164" i="1"/>
  <c r="F182" i="1"/>
  <c r="H182" i="1" s="1"/>
  <c r="H164" i="1"/>
  <c r="D182" i="1"/>
  <c r="J184" i="1" s="1"/>
  <c r="L164" i="1"/>
  <c r="C182" i="1"/>
  <c r="E182" i="1" l="1"/>
  <c r="L182" i="1"/>
  <c r="I6" i="3"/>
  <c r="J6" i="3" s="1"/>
  <c r="J7" i="3" s="1"/>
  <c r="F192" i="1"/>
  <c r="F193" i="1" s="1"/>
  <c r="H191" i="1"/>
  <c r="M165" i="1"/>
  <c r="M182" i="1" s="1"/>
</calcChain>
</file>

<file path=xl/sharedStrings.xml><?xml version="1.0" encoding="utf-8"?>
<sst xmlns="http://schemas.openxmlformats.org/spreadsheetml/2006/main" count="493" uniqueCount="462">
  <si>
    <t>01.0.00</t>
  </si>
  <si>
    <t>Муниципальная программа  "Развитие культуры, туризма и молодежной политики в Тутаевском муниципальном районе"</t>
  </si>
  <si>
    <t>01.1.00</t>
  </si>
  <si>
    <t>Ведомственная  целевая  программа "Молодёжь»</t>
  </si>
  <si>
    <t>01.2.00</t>
  </si>
  <si>
    <t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t>
  </si>
  <si>
    <t>01.3.00</t>
  </si>
  <si>
    <t>Муниципальная  целевая  программа "Комплексные меры противодействия злоупотреблению наркотиками и их незаконному обороту"</t>
  </si>
  <si>
    <t>01.4.00</t>
  </si>
  <si>
    <t>Ведомственная целевая программа "Сохранение и развитие культуры Тутаевского муниципального района"</t>
  </si>
  <si>
    <t>01.5.00</t>
  </si>
  <si>
    <t>Муниципальная целевая программа "Профилактика правонарушений и усиление борьбы с преступностью в Тутаевском муниципальном районе"</t>
  </si>
  <si>
    <t>02.0.00</t>
  </si>
  <si>
    <t>Муниципальная программа "Развитие образования, физической культуры и спорта в Тутаевском муниципальном районе"</t>
  </si>
  <si>
    <t>02.1.00</t>
  </si>
  <si>
    <t xml:space="preserve">Ведомственная целевая программа "Развитие отрасли образования  Тутаевского муниципального района" </t>
  </si>
  <si>
    <t>02.2.00</t>
  </si>
  <si>
    <t>Муниципальная целевая программа  "Духовно-нравственное  воспитание и просвещение населения Тутаевского муниципального района "</t>
  </si>
  <si>
    <t>02.3.00</t>
  </si>
  <si>
    <t>Муниципальная целевая программа "Развитие физической культуры и спорта в Тутаевском муниципальном районе"</t>
  </si>
  <si>
    <t>02.4.00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</si>
  <si>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</si>
  <si>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02.5.00</t>
  </si>
  <si>
    <t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t>
  </si>
  <si>
    <t>03.0.00</t>
  </si>
  <si>
    <t>Муниципальная программа "Социальная поддержка населения Тутаевского муниципального района"</t>
  </si>
  <si>
    <t>03.1.00</t>
  </si>
  <si>
    <t>Ведомственная целевая программа "Социальная поддержка населения Тутаевского муниципального района"</t>
  </si>
  <si>
    <t>03.2.00</t>
  </si>
  <si>
    <t>Муниципальная целевая программа "Улучшение условий и охраны труда в Тутаевском муниципальном районе"</t>
  </si>
  <si>
    <t>03.3.00</t>
  </si>
  <si>
    <t>Муниципальная целевая программа "Доступная среда в Тутаевском муниципальном районе"</t>
  </si>
  <si>
    <t>04.0.00</t>
  </si>
  <si>
    <t xml:space="preserve">Муниципальная программа "Обеспечение качественными коммунальными услугами населения Тутаевского муниципального района"   </t>
  </si>
  <si>
    <t>04.1.00</t>
  </si>
  <si>
    <t>Муниципальная целевая программа "Развитие водоснабжения, водоотведения и очистки сточных вод на территории Тутаевского муниципального района"</t>
  </si>
  <si>
    <t>04.2.00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</si>
  <si>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</si>
  <si>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04.3.00</t>
  </si>
  <si>
    <t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t>
  </si>
  <si>
    <t>04.4.00</t>
  </si>
  <si>
    <t>Муниципальная целевая программа "Развитие, ремонт и содержание муниципального жилищного фонда в Тутаевском муниципальном районе"</t>
  </si>
  <si>
    <t>05.0.00</t>
  </si>
  <si>
    <t>Муниципальная программа "Развитие автомобильного и речного транспорта в Тутаевском муниципальном районе"</t>
  </si>
  <si>
    <t>05.1.00</t>
  </si>
  <si>
    <t>Муниципальная целевая программа "Организация перевозок автомобильным транспортом в Тутаевском муниципальном районе"</t>
  </si>
  <si>
    <t>05.2.00</t>
  </si>
  <si>
    <t>Муниципальная целевая программа "Организация перевозок и развитие речного транспорта"</t>
  </si>
  <si>
    <t>06.0.00</t>
  </si>
  <si>
    <t>Муниципальная программа "Поддержка социальных инициатив и развитие некоммерческих организаций и объединений в Тутаевском муниципальном районе"</t>
  </si>
  <si>
    <t>06.1.00</t>
  </si>
  <si>
    <t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</si>
  <si>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06.2.00</t>
  </si>
  <si>
    <t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</si>
  <si>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07.0.00</t>
  </si>
  <si>
    <t>Муниципальная программа "Повышение эффективности муниципального управления в Тутаевском муниципальном районе"</t>
  </si>
  <si>
    <t>07.1.00</t>
  </si>
  <si>
    <t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t>
  </si>
  <si>
    <t>07.2.00</t>
  </si>
  <si>
    <t>Муниципальная целевая  программа "Информатизация управленческой деятельности Администрации Тутаевского муниципального района"</t>
  </si>
  <si>
    <t>08.0.00</t>
  </si>
  <si>
    <t>Муниципальная программа "Экономическое и перспективное развитие территорий Тутаевского муниципального района"</t>
  </si>
  <si>
    <t>08.1.00</t>
  </si>
  <si>
    <t>08.2.00</t>
  </si>
  <si>
    <t>Муниципальная целевая программа "Развитие агропромышленного комплекса в Тутаевском муниципальном районе"</t>
  </si>
  <si>
    <t>08.3.00</t>
  </si>
  <si>
    <t>09.0.00</t>
  </si>
  <si>
    <t xml:space="preserve"> Муниципальная программа "Охрана окружающей среды и природопользование в Тутаевском муниципальном районе"</t>
  </si>
  <si>
    <t>09.1.00</t>
  </si>
  <si>
    <t>09.2.00</t>
  </si>
  <si>
    <t>Муниципальная целевая программа "Ликвидация борщевика в Тутаевском муниципальном районе"</t>
  </si>
  <si>
    <t>09.2.01</t>
  </si>
  <si>
    <t>10.0.00</t>
  </si>
  <si>
    <t>Муниципальная программа "Содержание  территории Тутаевского муниципального района"</t>
  </si>
  <si>
    <t>10.1.00</t>
  </si>
  <si>
    <t xml:space="preserve"> Муниципальная целевая программа "Благоустройство и озеленение Тутаевского муниципального района"</t>
  </si>
  <si>
    <t>10.2.00</t>
  </si>
  <si>
    <t xml:space="preserve">Муниципальная целевая программа "Организация и развитие ритуальных услуг и мест захоронения в Тутаевском муниципальном районе" </t>
  </si>
  <si>
    <t>Обеспечение комплекса работ по повышению уровня благоустройства мест погребений</t>
  </si>
  <si>
    <t>10.3.00</t>
  </si>
  <si>
    <t>Муниципальная целевая программа "Развитие сетей уличного освещения на территории  Тутаевского муниципального района"</t>
  </si>
  <si>
    <t>10.4.00</t>
  </si>
  <si>
    <t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</si>
  <si>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11.0.00</t>
  </si>
  <si>
    <t>Муниципальная программа "Перспективное развитие  и формирование городской среды Тутаевского муниципального района"</t>
  </si>
  <si>
    <t>11.1.00</t>
  </si>
  <si>
    <t>Муниципальная целевая программа "Формирование  современной городской среды  Тутаевского муниципального района"</t>
  </si>
  <si>
    <t>Повышение уровня благоустройства территорий</t>
  </si>
  <si>
    <t>Реализация   проекта "Наши дворы"</t>
  </si>
  <si>
    <t>Реализация   проекта "Формирование комфортной городской среды"</t>
  </si>
  <si>
    <t>11.2.00</t>
  </si>
  <si>
    <t>Муниципальная целевая программа "Развитие дорожного хозяйства в Тутаевском муниципальном районе"</t>
  </si>
  <si>
    <t>12.0.00</t>
  </si>
  <si>
    <t xml:space="preserve"> Муниципальная программа "Развитие архитектуры и градостроительства на территории Тутаевского муниципального района"</t>
  </si>
  <si>
    <t>12.1.00</t>
  </si>
  <si>
    <t>Муниципальная целевая программа "Градостроительная деятельность на территории Тутаевского муниципального района"</t>
  </si>
  <si>
    <t>12.2.00</t>
  </si>
  <si>
    <t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t>
  </si>
  <si>
    <t>13.0.00</t>
  </si>
  <si>
    <t>Муниципальная программа "Обеспечение  безопасности населения Тутаевского муниципального района"</t>
  </si>
  <si>
    <t>13.1.00</t>
  </si>
  <si>
    <t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t>
  </si>
  <si>
    <t>13.2.00</t>
  </si>
  <si>
    <t>Муниципальная целевая программа "Обеспечение безопасности населения Тутаевского муниципального района"</t>
  </si>
  <si>
    <t>14.0.00</t>
  </si>
  <si>
    <t>Муниципальная программа «Сохранение общественного здоровья  населения Тутаевского муниципального района»</t>
  </si>
  <si>
    <t>14.1.00</t>
  </si>
  <si>
    <t>Муниципальная целевая  программа «Укрепление общественного здоровья  населения Тутаевского муниципального района»</t>
  </si>
  <si>
    <t>14.2.00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</si>
  <si>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</si>
  <si>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40.9.00</t>
  </si>
  <si>
    <t>Непрограммные расходы бюджета</t>
  </si>
  <si>
    <t>Код программы</t>
  </si>
  <si>
    <t>Значение</t>
  </si>
  <si>
    <t>Средства района</t>
  </si>
  <si>
    <t>Средства вышестоящих бюджетов</t>
  </si>
  <si>
    <t>Средства бюджета поселения</t>
  </si>
  <si>
    <t>2024 год</t>
  </si>
  <si>
    <t>% изменения</t>
  </si>
  <si>
    <t>Увеличение (+), уменьшение (-), руб.</t>
  </si>
  <si>
    <t>2025 год</t>
  </si>
  <si>
    <t>Примечания</t>
  </si>
  <si>
    <t xml:space="preserve">План </t>
  </si>
  <si>
    <t xml:space="preserve">Изменения </t>
  </si>
  <si>
    <t xml:space="preserve">Изменения  </t>
  </si>
  <si>
    <t>ИТОГО по программам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</si>
  <si>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</si>
  <si>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</si>
  <si>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</si>
  <si>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</si>
  <si>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</si>
  <si>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</si>
  <si>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</si>
  <si>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 xml:space="preserve">3. Изменения  источников дефицита  бюджета  Тутаевского муниципального района на 2023 год </t>
  </si>
  <si>
    <t xml:space="preserve"> Субвенция организация  образовательного процесса</t>
  </si>
  <si>
    <t>Субвенция на обеспечение деятельности органов опеки</t>
  </si>
  <si>
    <t xml:space="preserve"> МТБ на мероприятия по борьбе с борщевиком Сосновского</t>
  </si>
  <si>
    <t>Субвенция на содержание МКУ социального обслуживания населения</t>
  </si>
  <si>
    <t>Выплата почетный донор</t>
  </si>
  <si>
    <t>Субвенция на денежные выплаты</t>
  </si>
  <si>
    <t>Субвенция на выплату ежемесячного пособия на ребенка</t>
  </si>
  <si>
    <t>Выплаты на детей от 3 до 7 лет</t>
  </si>
  <si>
    <t>Субвенция на организацию деятельности КДН</t>
  </si>
  <si>
    <t>Субвенция  на полномочия в сфере законодательства об админ.правонарушениях</t>
  </si>
  <si>
    <t>ВСЕГО</t>
  </si>
  <si>
    <t>%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</si>
  <si>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</si>
  <si>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</t>
  </si>
  <si>
    <t>Расходы на обеспечение мероприятий по организации населению услуг бань  в общих отделениях</t>
  </si>
  <si>
    <t>Расходы на содержание ОМС</t>
  </si>
  <si>
    <t>Обеспечение мероприятий по актуализации схем коммунальной инфраструктуры</t>
  </si>
  <si>
    <t>Обеспечение мероприятий  по переработке и утилизации ливневых стоков</t>
  </si>
  <si>
    <t>Обеспечение мероприятий по безопасности жителей города</t>
  </si>
  <si>
    <t>Поддержки деятельности социально-ориентированных некоммерческих организаций</t>
  </si>
  <si>
    <t>Обеспечение деятельности народных дружин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</si>
  <si>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</si>
  <si>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грузопассажирских  перевозок на речном транспорте</t>
  </si>
  <si>
    <t>Обеспечение   мероприятий в области  дорожного хозяйства  по повышению безопасности дорожного движения</t>
  </si>
  <si>
    <t>Расходы на финансирование дорожного хозяйства</t>
  </si>
  <si>
    <t>Содержание и организация деятельности дорожного хозяйства</t>
  </si>
  <si>
    <t>Обеспечение мероприятий по организации населению услуг торговли на селе</t>
  </si>
  <si>
    <t>Обеспечение мероприятий по содержанию,  реконструкции и капитальному ремонту муниципального жилищного фонда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</si>
  <si>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</si>
  <si>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</si>
  <si>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</si>
  <si>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по уличному освещению</t>
  </si>
  <si>
    <t>Мероприятия в области спорта и физической культуры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</si>
  <si>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доходов по предложениям главных администраторов доходов; - отражения межбюджетных трансфертов, передаваемых из других бюджетов бюджетной системы; -удовлетворения обоснованных заявок ГРБС.
</t>
  </si>
  <si>
    <t xml:space="preserve">1. Изменения доходов бюджета Тутаевского муниципального района </t>
  </si>
  <si>
    <t>№п/п</t>
  </si>
  <si>
    <t>Наименование источника дохода</t>
  </si>
  <si>
    <t xml:space="preserve">Основание </t>
  </si>
  <si>
    <t>Налоговые и неналоговые доходы, всего</t>
  </si>
  <si>
    <t>в том числе:</t>
  </si>
  <si>
    <t>Налоговые доходы</t>
  </si>
  <si>
    <t>Налог на доходы физических лиц</t>
  </si>
  <si>
    <t>182 101 02 000 01 0000 110</t>
  </si>
  <si>
    <t>Единый сельскохозяйственный налог</t>
  </si>
  <si>
    <t>182 105 03010 01 0000 110</t>
  </si>
  <si>
    <t>Налог, взимаемый в связи с патентной системой налогообложения</t>
  </si>
  <si>
    <t>182 105 04020 02 0000110</t>
  </si>
  <si>
    <t>налог на добычу общераспространенных полезных ископаемых</t>
  </si>
  <si>
    <t>182 107 01020 01 0000 110</t>
  </si>
  <si>
    <t>Акцизы</t>
  </si>
  <si>
    <t>Неналоговые доходы</t>
  </si>
  <si>
    <t>Дивиденды по акциям</t>
  </si>
  <si>
    <t>952 111 01050 05 0000 120</t>
  </si>
  <si>
    <t>Арендная плата за землю</t>
  </si>
  <si>
    <t>952 111 05013 13 0000 120, 950 111 05025 05 0000 120</t>
  </si>
  <si>
    <t>Доходы от сдачу в аренду имущества</t>
  </si>
  <si>
    <t xml:space="preserve">952 111 05000 05 0000 120 </t>
  </si>
  <si>
    <t>Плата за негативное воздействие на окружающую среду</t>
  </si>
  <si>
    <t>048 112 01000 01 0000 120</t>
  </si>
  <si>
    <t>Прочие доходы от использования имущества ( плата за установку рекламных конструкций)</t>
  </si>
  <si>
    <t>950 111 09080 05 0000 120</t>
  </si>
  <si>
    <t>Прочие доходы от оказания платных услуг (работ) получателями средств бюджетов муниципальных районов</t>
  </si>
  <si>
    <t>953 1 13 01995 05 0000 130</t>
  </si>
  <si>
    <t>Доходы от продажи земельных участков</t>
  </si>
  <si>
    <t>952 114 06013 13 0000 430, 952 114 06013 05 0000 430, 952 114 06025 05 0000 430</t>
  </si>
  <si>
    <t>Доходы от реализации имущества</t>
  </si>
  <si>
    <t>952 114 02053 05 0000 410</t>
  </si>
  <si>
    <t xml:space="preserve">Безвозмездные поступления </t>
  </si>
  <si>
    <t>Безвозмездные поступления из других бюджетов бюджетной системы</t>
  </si>
  <si>
    <t>Дотации бюджетов субъектов Российской Федерации и муниципальных образований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</si>
  <si>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</si>
  <si>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955 202 19999 05 1004 150</t>
  </si>
  <si>
    <t>Дотация на поощрение достижения наилучших показателей по отдельным направлениям развития муниципальных образований Ярославской области</t>
  </si>
  <si>
    <t>950 202 19999 05 1006 150</t>
  </si>
  <si>
    <t>Дотации на поощрение муниципальных управленческих команд за достижение показателей деятельности органов исполнительной власти</t>
  </si>
  <si>
    <t>950 202 19999 05 1008 150</t>
  </si>
  <si>
    <t>Субсидии бюджетам субъектов Российской Федерации и муниципальных образований (межбюджетные субсидии)</t>
  </si>
  <si>
    <t>950 202 20041 05 0000 150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</si>
  <si>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</si>
  <si>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Уведомления из областного бюджета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</si>
  <si>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</si>
  <si>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Субсидия на реализацию мероприятий по патриотическому воспитанию граждан</t>
  </si>
  <si>
    <t>Субсидия на осуществление деятельности в сфере молодежной политики  социальными учреждениями молодежи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</si>
  <si>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</si>
  <si>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</si>
  <si>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950 2 02 29999 05 2032 150</t>
  </si>
  <si>
    <t>Субсидия на реализацию муниципальных программ поддержки социально ориентированных некоммерческих организаций</t>
  </si>
  <si>
    <t>950 202 29999 05 2034 150</t>
  </si>
  <si>
    <t>Субсидия на повышение оплаты труда отдельных категорий  работников муниципальных учреждений в сфере образования</t>
  </si>
  <si>
    <t>Субсидия на повышение оплаты труда работников муниципальных учреждений в сфере культуры</t>
  </si>
  <si>
    <t>Субсидия на обеспечение трудоустройства несовершеннолетних граждан на временные рабочие места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</si>
  <si>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</si>
  <si>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Субвенции бюджетам субъектов Российской Федерации и муниципальных образований</t>
  </si>
  <si>
    <t>Субвенция на предоставление гражданам субсидий на оплату жилого помещения и коммунальных услуг</t>
  </si>
  <si>
    <t>954 2 02 30022 05 0000 150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</si>
  <si>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</si>
  <si>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954 202 30024 05 3003 150</t>
  </si>
  <si>
    <t>954 202 20024 05 3004 150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</si>
  <si>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</si>
  <si>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954 2 02 30024 05 3005 150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</si>
  <si>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</si>
  <si>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</si>
  <si>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</si>
  <si>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государственную поддержку опеки и попечительства</t>
  </si>
  <si>
    <t>Субвенция на организацию питания обучающихся образовательных организаций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</si>
  <si>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</si>
  <si>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954 202 30024 05 3019 150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</si>
  <si>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</si>
  <si>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954 202 30024 05 3020 150</t>
  </si>
  <si>
    <t>Субвенция на оказание социальной помощи отдельным категориям  граждан</t>
  </si>
  <si>
    <t>954 202 30024 05 3022 150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</si>
  <si>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</si>
  <si>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954 202 30024 05 3023 150</t>
  </si>
  <si>
    <t>Субвенция на организацию мероприятий при осуществлении деятельности по обращению с животными без владельцев</t>
  </si>
  <si>
    <t>950 202 30024 05 3027 150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</si>
  <si>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</si>
  <si>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</si>
  <si>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954 202 30024 05 3029 150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</si>
  <si>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</si>
  <si>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</si>
  <si>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частичную оплату стоимости путевки в организации отдыха детей и их оздоровления</t>
  </si>
  <si>
    <t>953 202 30024 05 3033 150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</si>
  <si>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</si>
  <si>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954 202 30024 05 3036 150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</si>
  <si>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</si>
  <si>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954 202 30024 05 3037 150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</si>
  <si>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</si>
  <si>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954 2 02 30024 05 3041 150</t>
  </si>
  <si>
    <t>954 202 30024 05 3042 150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</si>
  <si>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</si>
  <si>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>954 202 35084 05 0000 150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</si>
  <si>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</si>
  <si>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954 202 35220 05 0000 150</t>
  </si>
  <si>
    <t>Субвенция на оплату жилищно -  коммунальных услуг отдельным категориям граждан за счет средств федерального бюджета</t>
  </si>
  <si>
    <t>954 202 35250 05 0000 150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</si>
  <si>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</si>
  <si>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954 202 35302 05 0000 150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</si>
  <si>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</si>
  <si>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</si>
  <si>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954 202 35404 05 0000 150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</si>
  <si>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</si>
  <si>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954 202 35462 05 0000 150</t>
  </si>
  <si>
    <t>Субвенции бюджетам муниципальных районов на государственную регистрацию актов гражданского состояния</t>
  </si>
  <si>
    <t>950 202 35930 05 0000 150</t>
  </si>
  <si>
    <t>Иные межбюджетные трансферты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</si>
  <si>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</si>
  <si>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Межбюджетные трансферты на   содержание органов местного самоуправления</t>
  </si>
  <si>
    <t>955 202 40014 05 4601 150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</si>
  <si>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</si>
  <si>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952 202 40014 05 4602 150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</si>
  <si>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</si>
  <si>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950 202 40014 05 4603 150</t>
  </si>
  <si>
    <t>Межбюджетные трансферты на обеспечение мероприятий по дорожной деятельности</t>
  </si>
  <si>
    <t>950 202 40014 05 4604 150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</si>
  <si>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</si>
  <si>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950 202 40014 05 4605 150</t>
  </si>
  <si>
    <t>Межбюджетные трансферты на создание условий для предоставления транспортных услуг населению</t>
  </si>
  <si>
    <t>950 202 40014 05 4606 150</t>
  </si>
  <si>
    <t>Межбюджетные трансферты на обеспечение мероприятий по участию в профилактике терроризма и экстремизма</t>
  </si>
  <si>
    <t>950 202 40014 05 4607 150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</si>
  <si>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</si>
  <si>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950 202 40014 05 4609 150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</si>
  <si>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</si>
  <si>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956 202 40014 05 4610 150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</si>
  <si>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</si>
  <si>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953 202 40014 05 4612 150</t>
  </si>
  <si>
    <t>Межбюджетные трансферты на организацию благоустройства территории поселения</t>
  </si>
  <si>
    <t>950 202 40014 05 4613 150</t>
  </si>
  <si>
    <t>Межбюджетные трансферты на обеспечение мероприятий по  формированию современной городской среды</t>
  </si>
  <si>
    <t>950 202 40014 05 4614 150</t>
  </si>
  <si>
    <t>Межбюджетные трансферты на организацию ритуальных услуг и содержание мест захоронения</t>
  </si>
  <si>
    <t>950 202 40014 05 4615 150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</si>
  <si>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</si>
  <si>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950 202 40014 05 4617 150</t>
  </si>
  <si>
    <t>Межбюджетные трансферты на создание условий для деятельности народных дружин</t>
  </si>
  <si>
    <t>956 202 40014 05 4618 150</t>
  </si>
  <si>
    <t>950 202 40014 05 4619 150</t>
  </si>
  <si>
    <t>Межбюджетные трансферты на обеспечение мероприятий по содержанию  военно- мемориального комплекса</t>
  </si>
  <si>
    <t>956 202 40014 05 4621 150</t>
  </si>
  <si>
    <t>Межбюджетные трансферты на дополнительные меры социальной поддержки и социальной помощи для отдельных категорий граждан</t>
  </si>
  <si>
    <t>954 202 40014 05 4622 150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</si>
  <si>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</si>
  <si>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950 202 40014 05 4625 150</t>
  </si>
  <si>
    <t>Межбюджетные трансферты на обеспечение мероприятий по выполнению прочих обязательств органами местного самоуправления</t>
  </si>
  <si>
    <t>950 202 40014 05 4627 150</t>
  </si>
  <si>
    <t>Прочие межбюджетные трансферты, передаваемые бюджетам муниципальных районов</t>
  </si>
  <si>
    <t>000 202 49999 05 0000 150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</si>
  <si>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</si>
  <si>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954 202 49999 05 4007 150</t>
  </si>
  <si>
    <t>Межбюджетные трансферты на проведение комплекса кадастровых работ на объектах газораспределения</t>
  </si>
  <si>
    <t>952 202 49999 05 4009 150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</si>
  <si>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</si>
  <si>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956 202 49999 05 4011 150</t>
  </si>
  <si>
    <t>Всего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</si>
  <si>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22.12.2022 №164-г "О бюджете Тутаевского муниципального района на 2023 год и на плановый период 2024 - 2025 годов"</t>
  </si>
  <si>
    <t>182 103 02000 01 0000 110</t>
  </si>
  <si>
    <t>950 202 19999 05 1009 150</t>
  </si>
  <si>
    <t>Дотации на реализацию мероприятий по обеспечению обязательных требований охраны объектов образования I-III категорий опасности</t>
  </si>
  <si>
    <t>Субсидия на финансирование дорожного хозяйства</t>
  </si>
  <si>
    <t>950 202 25098 05 0000 150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</si>
  <si>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</si>
  <si>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950 2 02 25519 05 0000 150</t>
  </si>
  <si>
    <t>950 202 25750 05 0000 150</t>
  </si>
  <si>
    <t>Субсидии бюджетам муниципальных районов на реализацию мероприятий по модернизации школьных систем образования</t>
  </si>
  <si>
    <t>950 2 02 25467 05 0000 150</t>
  </si>
  <si>
    <t>950 202 29999 05 2015 150</t>
  </si>
  <si>
    <t>950 202 29999 05 2009 150</t>
  </si>
  <si>
    <t>950 202 29999 05 2006 150</t>
  </si>
  <si>
    <t>950 2 02 29999 05 2037 150</t>
  </si>
  <si>
    <t>950 202 29999 05 2038 150</t>
  </si>
  <si>
    <t>950 202 29999 05 2049 150</t>
  </si>
  <si>
    <t>950 202 29999 05 2054 150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</si>
  <si>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 за счет средств областного бюджета</t>
  </si>
  <si>
    <t>950 202 27139 05 0000 150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</si>
  <si>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</si>
  <si>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Субвенция на освобождение от оплаты стоимости  проезда детей из многодетных семей, а также детей из семей, имеющих трех и более детей, в том числе детей в возрасте до 23 лет</t>
  </si>
  <si>
    <t>950 2 02 29999 05 2040 150</t>
  </si>
  <si>
    <t>950 202 30024 05 3006 150</t>
  </si>
  <si>
    <t>950 202 30024 05 3009 150</t>
  </si>
  <si>
    <t>950 202 30024 05 3010 150</t>
  </si>
  <si>
    <t xml:space="preserve">Субвенция на организацию образовательного процесса </t>
  </si>
  <si>
    <t>950 202 30024 05 3014 150</t>
  </si>
  <si>
    <t>950 202 30024 05 3017 150</t>
  </si>
  <si>
    <t>950 202 30024 05 3015 150</t>
  </si>
  <si>
    <t>950 202 35120 05 0000 150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</si>
  <si>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</si>
  <si>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среднего общего образования</t>
  </si>
  <si>
    <t>950 202 35303 05 0000 150</t>
  </si>
  <si>
    <t>950 202 35304 05 0000 150</t>
  </si>
  <si>
    <t>Межбюджетные трансферты на оказание поддержки деятельности социально ориентированным некоммерческим организациям и деятельности ТОС</t>
  </si>
  <si>
    <t>950 202 45453 05 0000 150</t>
  </si>
  <si>
    <t>950 202 45454 05 0000 150</t>
  </si>
  <si>
    <t>Межбюджетные трансферты, передаваемые бюджетам муниципальных районов на создание виртуальных концертных залов</t>
  </si>
  <si>
    <t>Межбюджетные трансферты, передаваемые бюджетам муниципальных районов на создание модельных муниципальных библиотек</t>
  </si>
  <si>
    <t>950 202 49999 05 4008 150</t>
  </si>
  <si>
    <t>950 202 49999 05 4018 150</t>
  </si>
  <si>
    <t>Межбюджетные трансферты на поддержку инициатив органов ученического самоуправления общеобразовательных организаций</t>
  </si>
  <si>
    <t>Межбюджетные трансферты на реализацию мероприятий по борьбе с борщевиком Сосновского</t>
  </si>
  <si>
    <t>954 202 30024 05 3021 150</t>
  </si>
  <si>
    <t>Субвенция на осуществление ежемесячной денежной выплаты на ребенка в возрасте от 3 до7 лет включительно в части расходов по доставке выплат получателям</t>
  </si>
  <si>
    <t>Уведомления поселений ТМР</t>
  </si>
  <si>
    <t>План доведен Главным администратором доходов - УФНС РФ по ЯО</t>
  </si>
  <si>
    <t>Исполнение судебных актов, актов других органов и должностных лиц, иных документов</t>
  </si>
  <si>
    <t>Итого изменения  по Программе</t>
  </si>
  <si>
    <t>Проектная деятельность и 5S</t>
  </si>
  <si>
    <t>Обеспечение софинансирования по МТБ</t>
  </si>
  <si>
    <t>Содержание ЦБС</t>
  </si>
  <si>
    <t xml:space="preserve">Субвенция на господдержку опеки и попечительства </t>
  </si>
  <si>
    <t>Субвенция на предоставление субсидии на оплату ЖКУ (ФБ)</t>
  </si>
  <si>
    <t>Субвенция на предоставление субсидии на оплату ЖКУ (ЯО)</t>
  </si>
  <si>
    <t>Субвенция на выплаты ветеранам ЯО, реабилитированным</t>
  </si>
  <si>
    <t xml:space="preserve">Компенсация взносов отд. категориям  на капремонт  </t>
  </si>
  <si>
    <t>Расходы на обеспечение подъездов к соц. объектам</t>
  </si>
  <si>
    <t>Расходы по строительство а/д в инд. парке "Тутаев"</t>
  </si>
  <si>
    <t>Субвенция на мероприятия обращению с животными без владельцев</t>
  </si>
  <si>
    <t>Содержание подведомственных учреждений</t>
  </si>
  <si>
    <t>НП"Культура" МТБ на создание модельных библиотек</t>
  </si>
  <si>
    <t>Содержание ОМС</t>
  </si>
  <si>
    <t>РП "Спорт - норма жизни" строительство ледового дворца</t>
  </si>
  <si>
    <t>Субвенция на оказание соц. помощи отд.категороиям граждан</t>
  </si>
  <si>
    <t>Обеспечение деятельности ОМС в сфере соц. защиты населения</t>
  </si>
  <si>
    <t>Строительство  ФОКОТ</t>
  </si>
  <si>
    <t xml:space="preserve"> ФП «Финансовая поддержка семей при рождении детей» выплата при рождении 3 и последующих детей до 3 лет</t>
  </si>
  <si>
    <t>Обеспечение мероприятий по благоустройству территории , предусмотренных по НПА ЯО (Чебаковское с/п)</t>
  </si>
  <si>
    <t>Письмо Главного администратора доходов</t>
  </si>
  <si>
    <t>Дефицит  бюджета                         1 - я редакция</t>
  </si>
  <si>
    <t>Капитальный ремонт системы теплоснабжения</t>
  </si>
  <si>
    <t>Муниципальная целевая программа "Развитие потребительского рынка Тутаевского муниципального района"</t>
  </si>
  <si>
    <t>Муниципальная целевая программа "Развитие предпринимательства в Тутаевском муниципальном районе"</t>
  </si>
  <si>
    <t>Муниципальная целевая программа "Санитарно- эпидемиологическая безопасность в Тутаевском  муниципальном районе"</t>
  </si>
  <si>
    <t>Дефицит  бюджета                                   3-я редакция</t>
  </si>
  <si>
    <t>Мероприятия для проведения ремонта жилых помещений</t>
  </si>
  <si>
    <t>НП "Творческие люди"  выплату поощрений лучшим сельским ДК</t>
  </si>
  <si>
    <t>Субсидия на укрепление МТБ ДК в населенных пунктах с числом жителей до 50,0ты.человек</t>
  </si>
  <si>
    <t>Субсидия на осущ.деятельности в сфере молодежной политики</t>
  </si>
  <si>
    <t>Мероприятия по патриотическому воспитанию молодежи</t>
  </si>
  <si>
    <t xml:space="preserve">Инициативное бюджетирование </t>
  </si>
  <si>
    <t>Инициативное бюджетирование</t>
  </si>
  <si>
    <t>950 202 29999 05 2048 150</t>
  </si>
  <si>
    <t>Субсидия на проведение капитального ремонта муниципальных библиотек</t>
  </si>
  <si>
    <t>950 202 30024 05 3007 150</t>
  </si>
  <si>
    <t>950 202 30024 05 3028 150</t>
  </si>
  <si>
    <t>950 202 30024 05 3030 150</t>
  </si>
  <si>
    <t>950 202 30024 05 3031 150</t>
  </si>
  <si>
    <t>950 202 45519 05 0000 150</t>
  </si>
  <si>
    <t xml:space="preserve">  2. Изменения  расходов  бюджета Тутаевского муниципального района на 2023 год и плановый период 2024-2025гг     (3-я редакция  апрель 2023)</t>
  </si>
  <si>
    <t>Ликвидация Департамента образования и МУП "ЦООУ"</t>
  </si>
  <si>
    <t>ДО и ЦООУ экономия по выходным пособиям, +1702,00 руб. перераспределены на оплату кредиторской задолженности за услуги связи и транспортный налог 1 кв.2023 года</t>
  </si>
  <si>
    <t>11751,00 руб. перераспределены с ДМИ на Администрацию</t>
  </si>
  <si>
    <t>120т.р. Уточнение вида расходов ( отмена конкурса физ.лиц.)</t>
  </si>
  <si>
    <t>строительство колодцев</t>
  </si>
  <si>
    <t>1260000 руб. уточнение вида расходов на строительство колодцев  ( ЛСП -5 шт  Ильинское, Ивановское, Жарки,Тоболино,Благовещенье), КСП-1шт Ковалево, АСП -1шт Рождественское, ЧСП -1 шт Малое Масленниково); Ремонт ЛСП -3 тшт Есипово,Малахово,Тоболино</t>
  </si>
  <si>
    <t>перераспределены на з/пл</t>
  </si>
  <si>
    <t>Мероприятия по патриотическому воспитанию ( восстановление расходов)</t>
  </si>
  <si>
    <t>Ликвидация Департамента культуры и МУ ЦОУК</t>
  </si>
  <si>
    <t xml:space="preserve">невостребованные БА при  ликвидации </t>
  </si>
  <si>
    <t>Содержание учреждений доп. Образования</t>
  </si>
  <si>
    <t>экономия при предоставлении услуг доп. Образования Созвездие</t>
  </si>
  <si>
    <t>оформление документов лицам без определенного места жительства</t>
  </si>
  <si>
    <t>Изготовление информационных материалов</t>
  </si>
  <si>
    <t>представление прокуратуры</t>
  </si>
  <si>
    <t>Департамент культуры -23436,00 рублей нет потребности;+67 000,00 рублей МБУ ИАЦ; +664020,00 рублей ЦКО и УКСТ</t>
  </si>
  <si>
    <t xml:space="preserve">Членские взносы </t>
  </si>
  <si>
    <t xml:space="preserve"> доп. зносы в ВРАМСУ</t>
  </si>
  <si>
    <t>1080000,00 штрафы за неисполнение решений суда; +389000,00 восстановление БА перераспределеных на проведение аукциона по кадастровым работам</t>
  </si>
  <si>
    <t>доп. работы по реализации  мероприятий на ремонт в рамках ШИБ</t>
  </si>
  <si>
    <t>Содержание ДДУ</t>
  </si>
  <si>
    <t>Содержание СОШ</t>
  </si>
  <si>
    <t>Расходы по БКД</t>
  </si>
  <si>
    <t>Муниципальные гарантии</t>
  </si>
  <si>
    <t>МУП "Тутаевтеплоэнерго" погащение кредитного договора</t>
  </si>
  <si>
    <t>Содержание ЕДДС</t>
  </si>
  <si>
    <t>ЦКО - 7 000 000,00 рублей (замещение средствами гор.поселения) и - 1200000,00 рублей с 266 КОСГУ; ЦБ +4500000,00 рублей на з/пл; ЦКО +2284802,00 рублей исполнительный лист Яравтодор; Агентство по развитию +173736,00 рублей исполнительный лист Хартия;</t>
  </si>
  <si>
    <t xml:space="preserve"> 6658650,00 руб. содержание ЕДДС (перевод сотрудников с МУП ЦОУК)</t>
  </si>
  <si>
    <t>уточнение целевой статьи</t>
  </si>
  <si>
    <t>дотация на  выплату выходного пособия</t>
  </si>
  <si>
    <t>Субвенция на содержание ребенка в семье опекуна</t>
  </si>
  <si>
    <t>уголь д/с 1,д/с 2, 202107,00 рублей аварийные работы</t>
  </si>
  <si>
    <t>5014800 уголь школы; 4 000 000,00 руб. школьный автобус; 36 000,00 аварийные работы</t>
  </si>
  <si>
    <t>область - дотация на выплаты сокращенным; -168736,00 рублей ликвидация ДМИ;+75852,00 рублей содержание управления культуры; + 7372193,00 рублей  з/пл АТМР; -498657,00 рублей экономия по выходным пособиям</t>
  </si>
  <si>
    <t>на спортивные мероприятия 300 т.р. +100т.р.</t>
  </si>
  <si>
    <t>Межбюджетные трансферты, передаваемые бюджетам муниципальных районов на поддержку отрасли культуры</t>
  </si>
  <si>
    <t>Стипендия Главы</t>
  </si>
  <si>
    <t>Стипендии Главы</t>
  </si>
  <si>
    <t>Обеспечение мероприятий по проверке ПСД в гос. экспертизе</t>
  </si>
  <si>
    <t xml:space="preserve">Изготовление ПСД и гос. экспертиза на ремонт участков теплосетей </t>
  </si>
  <si>
    <t>Приобретение программных продуктов</t>
  </si>
  <si>
    <t>Содержание и ремонт а/дорог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</si>
</sst>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#,##0.00;[Red]#,##0.00"/>
    <numFmt numFmtId="167" formatCode="#,##0.00_ ;\-#,##0.00\ 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0" fontId="12" fillId="0" borderId="0"/>
  </cellStyleXfs>
  <cellXfs count="288">
    <xf numFmtId="0" fontId="0" fillId="0" borderId="0" xfId="0"/>
    <xf numFmtId="0" fontId="2" fillId="0" borderId="0" xfId="0" applyFont="1" applyAlignment="1">
      <alignment wrapText="1"/>
    </xf>
    <xf numFmtId="0" fontId="6" fillId="0" borderId="0" xfId="0" applyFont="1"/>
    <xf numFmtId="49" fontId="11" fillId="3" borderId="1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0" fontId="8" fillId="2" borderId="4" xfId="0" applyFont="1" applyFill="1" applyBorder="1" applyAlignment="1">
      <alignment horizontal="left" wrapText="1"/>
    </xf>
    <xf numFmtId="49" fontId="8" fillId="2" borderId="18" xfId="0" applyNumberFormat="1" applyFont="1" applyFill="1" applyBorder="1" applyAlignment="1">
      <alignment horizontal="center" wrapText="1"/>
    </xf>
    <xf numFmtId="4" fontId="8" fillId="2" borderId="18" xfId="0" applyNumberFormat="1" applyFont="1" applyFill="1" applyBorder="1" applyAlignment="1">
      <alignment wrapText="1"/>
    </xf>
    <xf numFmtId="10" fontId="9" fillId="2" borderId="18" xfId="0" applyNumberFormat="1" applyFont="1" applyFill="1" applyBorder="1" applyAlignment="1">
      <alignment wrapText="1"/>
    </xf>
    <xf numFmtId="4" fontId="8" fillId="2" borderId="5" xfId="0" applyNumberFormat="1" applyFont="1" applyFill="1" applyBorder="1" applyAlignment="1">
      <alignment wrapText="1"/>
    </xf>
    <xf numFmtId="0" fontId="9" fillId="0" borderId="17" xfId="0" applyFont="1" applyBorder="1" applyAlignment="1">
      <alignment wrapText="1"/>
    </xf>
    <xf numFmtId="0" fontId="10" fillId="3" borderId="15" xfId="0" applyFont="1" applyFill="1" applyBorder="1" applyAlignment="1">
      <alignment horizontal="left" wrapText="1"/>
    </xf>
    <xf numFmtId="49" fontId="10" fillId="3" borderId="6" xfId="0" applyNumberFormat="1" applyFont="1" applyFill="1" applyBorder="1" applyAlignment="1">
      <alignment horizontal="center" wrapText="1"/>
    </xf>
    <xf numFmtId="4" fontId="10" fillId="3" borderId="6" xfId="0" applyNumberFormat="1" applyFont="1" applyFill="1" applyBorder="1" applyAlignment="1">
      <alignment wrapText="1"/>
    </xf>
    <xf numFmtId="10" fontId="10" fillId="3" borderId="6" xfId="0" applyNumberFormat="1" applyFont="1" applyFill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6" xfId="0" applyFont="1" applyBorder="1" applyAlignment="1">
      <alignment horizontal="left" wrapText="1"/>
    </xf>
    <xf numFmtId="49" fontId="9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wrapText="1"/>
    </xf>
    <xf numFmtId="4" fontId="9" fillId="0" borderId="6" xfId="0" applyNumberFormat="1" applyFont="1" applyBorder="1" applyAlignment="1">
      <alignment wrapText="1"/>
    </xf>
    <xf numFmtId="0" fontId="10" fillId="3" borderId="16" xfId="0" applyFont="1" applyFill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center" wrapText="1"/>
    </xf>
    <xf numFmtId="4" fontId="10" fillId="3" borderId="1" xfId="0" applyNumberFormat="1" applyFont="1" applyFill="1" applyBorder="1" applyAlignment="1">
      <alignment wrapText="1"/>
    </xf>
    <xf numFmtId="10" fontId="10" fillId="3" borderId="1" xfId="0" applyNumberFormat="1" applyFont="1" applyFill="1" applyBorder="1" applyAlignment="1">
      <alignment wrapText="1"/>
    </xf>
    <xf numFmtId="4" fontId="9" fillId="7" borderId="1" xfId="0" applyNumberFormat="1" applyFont="1" applyFill="1" applyBorder="1" applyAlignment="1">
      <alignment wrapText="1"/>
    </xf>
    <xf numFmtId="0" fontId="10" fillId="3" borderId="16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wrapText="1"/>
    </xf>
    <xf numFmtId="0" fontId="9" fillId="0" borderId="20" xfId="0" applyFont="1" applyBorder="1" applyAlignment="1">
      <alignment horizontal="left" wrapText="1"/>
    </xf>
    <xf numFmtId="49" fontId="9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10" fontId="9" fillId="0" borderId="8" xfId="0" applyNumberFormat="1" applyFont="1" applyBorder="1" applyAlignment="1">
      <alignment wrapText="1"/>
    </xf>
    <xf numFmtId="4" fontId="9" fillId="7" borderId="8" xfId="0" applyNumberFormat="1" applyFont="1" applyFill="1" applyBorder="1" applyAlignment="1">
      <alignment wrapText="1"/>
    </xf>
    <xf numFmtId="49" fontId="10" fillId="5" borderId="1" xfId="0" applyNumberFormat="1" applyFont="1" applyFill="1" applyBorder="1" applyAlignment="1">
      <alignment horizontal="center" wrapText="1"/>
    </xf>
    <xf numFmtId="49" fontId="9" fillId="6" borderId="1" xfId="0" applyNumberFormat="1" applyFont="1" applyFill="1" applyBorder="1" applyAlignment="1">
      <alignment horizontal="center" wrapText="1"/>
    </xf>
    <xf numFmtId="49" fontId="9" fillId="6" borderId="8" xfId="0" applyNumberFormat="1" applyFont="1" applyFill="1" applyBorder="1" applyAlignment="1">
      <alignment horizontal="center" wrapText="1"/>
    </xf>
    <xf numFmtId="49" fontId="9" fillId="7" borderId="1" xfId="0" applyNumberFormat="1" applyFont="1" applyFill="1" applyBorder="1" applyAlignment="1">
      <alignment horizontal="center" wrapText="1"/>
    </xf>
    <xf numFmtId="4" fontId="9" fillId="2" borderId="18" xfId="0" applyNumberFormat="1" applyFont="1" applyFill="1" applyBorder="1" applyAlignment="1">
      <alignment wrapText="1"/>
    </xf>
    <xf numFmtId="0" fontId="9" fillId="6" borderId="16" xfId="1" applyFont="1" applyFill="1" applyBorder="1" applyAlignment="1">
      <alignment horizontal="left" wrapText="1"/>
    </xf>
    <xf numFmtId="0" fontId="9" fillId="6" borderId="20" xfId="1" applyFont="1" applyFill="1" applyBorder="1" applyAlignment="1">
      <alignment horizontal="left" wrapText="1"/>
    </xf>
    <xf numFmtId="49" fontId="9" fillId="2" borderId="18" xfId="0" applyNumberFormat="1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left" wrapText="1"/>
    </xf>
    <xf numFmtId="0" fontId="9" fillId="8" borderId="16" xfId="0" applyFont="1" applyFill="1" applyBorder="1" applyAlignment="1">
      <alignment horizontal="left" wrapText="1"/>
    </xf>
    <xf numFmtId="0" fontId="9" fillId="6" borderId="16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0" borderId="21" xfId="0" applyFont="1" applyBorder="1" applyAlignment="1">
      <alignment wrapText="1"/>
    </xf>
    <xf numFmtId="4" fontId="8" fillId="11" borderId="18" xfId="0" applyNumberFormat="1" applyFont="1" applyFill="1" applyBorder="1" applyAlignment="1">
      <alignment horizontal="center" vertical="center" wrapText="1"/>
    </xf>
    <xf numFmtId="4" fontId="8" fillId="11" borderId="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9" fontId="16" fillId="0" borderId="1" xfId="0" applyNumberFormat="1" applyFont="1" applyBorder="1" applyAlignment="1">
      <alignment vertical="distributed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distributed" wrapText="1"/>
    </xf>
    <xf numFmtId="0" fontId="13" fillId="0" borderId="0" xfId="0" applyFont="1"/>
    <xf numFmtId="3" fontId="14" fillId="7" borderId="1" xfId="0" applyNumberFormat="1" applyFont="1" applyFill="1" applyBorder="1" applyAlignment="1">
      <alignment vertical="top" wrapText="1"/>
    </xf>
    <xf numFmtId="4" fontId="14" fillId="7" borderId="1" xfId="0" applyNumberFormat="1" applyFont="1" applyFill="1" applyBorder="1" applyAlignment="1">
      <alignment vertical="distributed" wrapText="1"/>
    </xf>
    <xf numFmtId="3" fontId="15" fillId="7" borderId="1" xfId="0" applyNumberFormat="1" applyFont="1" applyFill="1" applyBorder="1" applyAlignment="1">
      <alignment vertical="top" wrapText="1"/>
    </xf>
    <xf numFmtId="4" fontId="15" fillId="7" borderId="1" xfId="0" applyNumberFormat="1" applyFont="1" applyFill="1" applyBorder="1" applyAlignment="1">
      <alignment vertical="distributed" wrapText="1"/>
    </xf>
    <xf numFmtId="4" fontId="3" fillId="0" borderId="1" xfId="0" applyNumberFormat="1" applyFont="1" applyBorder="1" applyAlignment="1">
      <alignment wrapText="1"/>
    </xf>
    <xf numFmtId="4" fontId="3" fillId="7" borderId="1" xfId="0" applyNumberFormat="1" applyFont="1" applyFill="1" applyBorder="1" applyAlignment="1">
      <alignment wrapText="1"/>
    </xf>
    <xf numFmtId="0" fontId="3" fillId="0" borderId="16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wrapText="1"/>
    </xf>
    <xf numFmtId="0" fontId="3" fillId="7" borderId="16" xfId="0" applyFont="1" applyFill="1" applyBorder="1" applyAlignment="1">
      <alignment horizontal="left" wrapText="1"/>
    </xf>
    <xf numFmtId="49" fontId="3" fillId="7" borderId="1" xfId="0" applyNumberFormat="1" applyFont="1" applyFill="1" applyBorder="1" applyAlignment="1">
      <alignment horizontal="center" wrapText="1"/>
    </xf>
    <xf numFmtId="49" fontId="4" fillId="2" borderId="18" xfId="0" applyNumberFormat="1" applyFont="1" applyFill="1" applyBorder="1" applyAlignment="1">
      <alignment horizontal="center" wrapText="1"/>
    </xf>
    <xf numFmtId="4" fontId="4" fillId="2" borderId="18" xfId="0" applyNumberFormat="1" applyFont="1" applyFill="1" applyBorder="1" applyAlignment="1">
      <alignment wrapText="1"/>
    </xf>
    <xf numFmtId="10" fontId="3" fillId="2" borderId="18" xfId="0" applyNumberFormat="1" applyFont="1" applyFill="1" applyBorder="1" applyAlignment="1">
      <alignment wrapText="1"/>
    </xf>
    <xf numFmtId="49" fontId="11" fillId="3" borderId="6" xfId="0" applyNumberFormat="1" applyFont="1" applyFill="1" applyBorder="1" applyAlignment="1">
      <alignment horizontal="center" wrapText="1"/>
    </xf>
    <xf numFmtId="4" fontId="11" fillId="3" borderId="6" xfId="0" applyNumberFormat="1" applyFont="1" applyFill="1" applyBorder="1" applyAlignment="1">
      <alignment wrapText="1"/>
    </xf>
    <xf numFmtId="10" fontId="11" fillId="3" borderId="6" xfId="0" applyNumberFormat="1" applyFont="1" applyFill="1" applyBorder="1" applyAlignment="1">
      <alignment wrapText="1"/>
    </xf>
    <xf numFmtId="10" fontId="4" fillId="2" borderId="18" xfId="0" applyNumberFormat="1" applyFont="1" applyFill="1" applyBorder="1" applyAlignment="1">
      <alignment wrapText="1"/>
    </xf>
    <xf numFmtId="4" fontId="4" fillId="2" borderId="5" xfId="0" applyNumberFormat="1" applyFont="1" applyFill="1" applyBorder="1" applyAlignment="1">
      <alignment wrapText="1"/>
    </xf>
    <xf numFmtId="0" fontId="3" fillId="0" borderId="19" xfId="0" applyFont="1" applyBorder="1" applyAlignment="1">
      <alignment wrapText="1"/>
    </xf>
    <xf numFmtId="0" fontId="11" fillId="3" borderId="15" xfId="0" applyFont="1" applyFill="1" applyBorder="1" applyAlignment="1">
      <alignment horizontal="left" wrapText="1"/>
    </xf>
    <xf numFmtId="0" fontId="3" fillId="0" borderId="7" xfId="0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9" fontId="11" fillId="5" borderId="6" xfId="0" applyNumberFormat="1" applyFont="1" applyFill="1" applyBorder="1" applyAlignment="1">
      <alignment horizontal="center" wrapText="1"/>
    </xf>
    <xf numFmtId="49" fontId="3" fillId="6" borderId="1" xfId="0" applyNumberFormat="1" applyFont="1" applyFill="1" applyBorder="1" applyAlignment="1">
      <alignment horizontal="center" wrapText="1"/>
    </xf>
    <xf numFmtId="0" fontId="3" fillId="0" borderId="15" xfId="0" applyFont="1" applyBorder="1" applyAlignment="1">
      <alignment horizontal="left" wrapText="1"/>
    </xf>
    <xf numFmtId="49" fontId="3" fillId="0" borderId="6" xfId="0" applyNumberFormat="1" applyFont="1" applyBorder="1" applyAlignment="1">
      <alignment horizontal="center" wrapText="1"/>
    </xf>
    <xf numFmtId="10" fontId="3" fillId="0" borderId="6" xfId="0" applyNumberFormat="1" applyFont="1" applyBorder="1" applyAlignment="1">
      <alignment wrapText="1"/>
    </xf>
    <xf numFmtId="4" fontId="11" fillId="3" borderId="1" xfId="0" applyNumberFormat="1" applyFont="1" applyFill="1" applyBorder="1" applyAlignment="1">
      <alignment wrapText="1"/>
    </xf>
    <xf numFmtId="10" fontId="11" fillId="3" borderId="1" xfId="0" applyNumberFormat="1" applyFont="1" applyFill="1" applyBorder="1" applyAlignment="1">
      <alignment wrapText="1"/>
    </xf>
    <xf numFmtId="0" fontId="11" fillId="3" borderId="16" xfId="0" applyFont="1" applyFill="1" applyBorder="1" applyAlignment="1">
      <alignment horizontal="left" vertical="center" wrapText="1"/>
    </xf>
    <xf numFmtId="4" fontId="11" fillId="2" borderId="18" xfId="0" applyNumberFormat="1" applyFont="1" applyFill="1" applyBorder="1" applyAlignment="1">
      <alignment wrapText="1"/>
    </xf>
    <xf numFmtId="4" fontId="11" fillId="2" borderId="5" xfId="0" applyNumberFormat="1" applyFont="1" applyFill="1" applyBorder="1" applyAlignment="1">
      <alignment wrapText="1"/>
    </xf>
    <xf numFmtId="0" fontId="4" fillId="3" borderId="16" xfId="0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wrapText="1"/>
    </xf>
    <xf numFmtId="10" fontId="4" fillId="3" borderId="1" xfId="0" applyNumberFormat="1" applyFont="1" applyFill="1" applyBorder="1" applyAlignment="1">
      <alignment wrapText="1"/>
    </xf>
    <xf numFmtId="0" fontId="3" fillId="0" borderId="20" xfId="0" applyFont="1" applyBorder="1" applyAlignment="1">
      <alignment horizontal="left" wrapText="1"/>
    </xf>
    <xf numFmtId="49" fontId="3" fillId="0" borderId="8" xfId="0" applyNumberFormat="1" applyFont="1" applyBorder="1" applyAlignment="1">
      <alignment horizontal="center" wrapText="1"/>
    </xf>
    <xf numFmtId="4" fontId="3" fillId="0" borderId="8" xfId="0" applyNumberFormat="1" applyFont="1" applyBorder="1" applyAlignment="1">
      <alignment wrapText="1"/>
    </xf>
    <xf numFmtId="10" fontId="3" fillId="0" borderId="8" xfId="0" applyNumberFormat="1" applyFont="1" applyBorder="1" applyAlignment="1">
      <alignment wrapText="1"/>
    </xf>
    <xf numFmtId="4" fontId="3" fillId="2" borderId="18" xfId="0" applyNumberFormat="1" applyFont="1" applyFill="1" applyBorder="1" applyAlignment="1">
      <alignment wrapText="1"/>
    </xf>
    <xf numFmtId="0" fontId="11" fillId="3" borderId="15" xfId="0" applyFont="1" applyFill="1" applyBorder="1" applyAlignment="1">
      <alignment horizontal="left" vertical="center" wrapText="1"/>
    </xf>
    <xf numFmtId="49" fontId="11" fillId="5" borderId="1" xfId="0" applyNumberFormat="1" applyFont="1" applyFill="1" applyBorder="1" applyAlignment="1">
      <alignment horizontal="center" wrapText="1"/>
    </xf>
    <xf numFmtId="0" fontId="3" fillId="0" borderId="20" xfId="0" applyFont="1" applyBorder="1" applyAlignment="1">
      <alignment horizontal="left" vertical="center" wrapText="1"/>
    </xf>
    <xf numFmtId="49" fontId="17" fillId="6" borderId="8" xfId="0" applyNumberFormat="1" applyFont="1" applyFill="1" applyBorder="1" applyAlignment="1">
      <alignment horizontal="center" wrapText="1"/>
    </xf>
    <xf numFmtId="0" fontId="3" fillId="0" borderId="16" xfId="0" applyFont="1" applyBorder="1" applyAlignment="1">
      <alignment horizontal="left" vertical="center" wrapText="1"/>
    </xf>
    <xf numFmtId="49" fontId="17" fillId="6" borderId="1" xfId="0" applyNumberFormat="1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left" vertical="center" wrapText="1"/>
    </xf>
    <xf numFmtId="49" fontId="4" fillId="9" borderId="18" xfId="0" applyNumberFormat="1" applyFont="1" applyFill="1" applyBorder="1" applyAlignment="1">
      <alignment horizontal="center" vertical="center" wrapText="1"/>
    </xf>
    <xf numFmtId="4" fontId="4" fillId="9" borderId="18" xfId="0" applyNumberFormat="1" applyFont="1" applyFill="1" applyBorder="1" applyAlignment="1">
      <alignment vertical="center" wrapText="1"/>
    </xf>
    <xf numFmtId="10" fontId="4" fillId="9" borderId="18" xfId="0" applyNumberFormat="1" applyFont="1" applyFill="1" applyBorder="1" applyAlignment="1">
      <alignment vertical="center" wrapText="1"/>
    </xf>
    <xf numFmtId="4" fontId="4" fillId="9" borderId="5" xfId="0" applyNumberFormat="1" applyFont="1" applyFill="1" applyBorder="1" applyAlignment="1">
      <alignment vertical="center" wrapText="1"/>
    </xf>
    <xf numFmtId="0" fontId="4" fillId="9" borderId="4" xfId="0" applyFont="1" applyFill="1" applyBorder="1" applyAlignment="1">
      <alignment horizontal="left" vertical="center" wrapText="1"/>
    </xf>
    <xf numFmtId="4" fontId="18" fillId="0" borderId="14" xfId="0" applyNumberFormat="1" applyFont="1" applyBorder="1" applyAlignment="1">
      <alignment horizontal="center" wrapText="1"/>
    </xf>
    <xf numFmtId="4" fontId="18" fillId="0" borderId="11" xfId="0" applyNumberFormat="1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4" fontId="2" fillId="7" borderId="8" xfId="0" applyNumberFormat="1" applyFont="1" applyFill="1" applyBorder="1" applyAlignment="1">
      <alignment wrapText="1"/>
    </xf>
    <xf numFmtId="4" fontId="18" fillId="11" borderId="18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18" fillId="2" borderId="4" xfId="0" applyFont="1" applyFill="1" applyBorder="1" applyAlignment="1">
      <alignment horizontal="left" wrapText="1"/>
    </xf>
    <xf numFmtId="49" fontId="18" fillId="2" borderId="18" xfId="0" applyNumberFormat="1" applyFont="1" applyFill="1" applyBorder="1" applyAlignment="1">
      <alignment horizontal="center" wrapText="1"/>
    </xf>
    <xf numFmtId="4" fontId="18" fillId="2" borderId="18" xfId="0" applyNumberFormat="1" applyFont="1" applyFill="1" applyBorder="1" applyAlignment="1">
      <alignment wrapText="1"/>
    </xf>
    <xf numFmtId="10" fontId="2" fillId="2" borderId="18" xfId="0" applyNumberFormat="1" applyFont="1" applyFill="1" applyBorder="1" applyAlignment="1">
      <alignment wrapText="1"/>
    </xf>
    <xf numFmtId="10" fontId="18" fillId="2" borderId="18" xfId="0" applyNumberFormat="1" applyFont="1" applyFill="1" applyBorder="1" applyAlignment="1">
      <alignment wrapText="1"/>
    </xf>
    <xf numFmtId="4" fontId="18" fillId="2" borderId="5" xfId="0" applyNumberFormat="1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19" fillId="3" borderId="15" xfId="0" applyFont="1" applyFill="1" applyBorder="1" applyAlignment="1">
      <alignment horizontal="left" wrapText="1"/>
    </xf>
    <xf numFmtId="49" fontId="19" fillId="3" borderId="6" xfId="0" applyNumberFormat="1" applyFont="1" applyFill="1" applyBorder="1" applyAlignment="1">
      <alignment horizontal="center" wrapText="1"/>
    </xf>
    <xf numFmtId="4" fontId="19" fillId="3" borderId="6" xfId="0" applyNumberFormat="1" applyFont="1" applyFill="1" applyBorder="1" applyAlignment="1">
      <alignment wrapText="1"/>
    </xf>
    <xf numFmtId="10" fontId="19" fillId="3" borderId="6" xfId="0" applyNumberFormat="1" applyFont="1" applyFill="1" applyBorder="1" applyAlignment="1">
      <alignment wrapText="1"/>
    </xf>
    <xf numFmtId="0" fontId="2" fillId="0" borderId="16" xfId="0" applyFont="1" applyBorder="1" applyAlignment="1">
      <alignment horizontal="left" wrapText="1"/>
    </xf>
    <xf numFmtId="49" fontId="2" fillId="7" borderId="1" xfId="0" applyNumberFormat="1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0" fontId="2" fillId="0" borderId="20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4" fontId="2" fillId="0" borderId="8" xfId="0" applyNumberFormat="1" applyFont="1" applyBorder="1" applyAlignment="1">
      <alignment wrapText="1"/>
    </xf>
    <xf numFmtId="10" fontId="2" fillId="0" borderId="8" xfId="0" applyNumberFormat="1" applyFont="1" applyBorder="1" applyAlignment="1">
      <alignment wrapText="1"/>
    </xf>
    <xf numFmtId="0" fontId="2" fillId="0" borderId="21" xfId="0" applyFont="1" applyBorder="1" applyAlignment="1">
      <alignment wrapText="1"/>
    </xf>
    <xf numFmtId="4" fontId="2" fillId="0" borderId="6" xfId="0" applyNumberFormat="1" applyFont="1" applyBorder="1" applyAlignment="1">
      <alignment wrapText="1"/>
    </xf>
    <xf numFmtId="0" fontId="19" fillId="3" borderId="16" xfId="0" applyFont="1" applyFill="1" applyBorder="1" applyAlignment="1">
      <alignment horizontal="left" wrapText="1"/>
    </xf>
    <xf numFmtId="49" fontId="19" fillId="3" borderId="1" xfId="0" applyNumberFormat="1" applyFont="1" applyFill="1" applyBorder="1" applyAlignment="1">
      <alignment horizontal="center" wrapText="1"/>
    </xf>
    <xf numFmtId="4" fontId="19" fillId="3" borderId="1" xfId="0" applyNumberFormat="1" applyFont="1" applyFill="1" applyBorder="1" applyAlignment="1">
      <alignment wrapText="1"/>
    </xf>
    <xf numFmtId="10" fontId="19" fillId="3" borderId="1" xfId="0" applyNumberFormat="1" applyFont="1" applyFill="1" applyBorder="1" applyAlignment="1">
      <alignment wrapText="1"/>
    </xf>
    <xf numFmtId="0" fontId="18" fillId="2" borderId="4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horizontal="left" wrapText="1"/>
    </xf>
    <xf numFmtId="49" fontId="18" fillId="3" borderId="6" xfId="0" applyNumberFormat="1" applyFont="1" applyFill="1" applyBorder="1" applyAlignment="1">
      <alignment horizontal="center" wrapText="1"/>
    </xf>
    <xf numFmtId="4" fontId="18" fillId="3" borderId="6" xfId="0" applyNumberFormat="1" applyFont="1" applyFill="1" applyBorder="1" applyAlignment="1">
      <alignment wrapText="1"/>
    </xf>
    <xf numFmtId="10" fontId="18" fillId="3" borderId="6" xfId="0" applyNumberFormat="1" applyFont="1" applyFill="1" applyBorder="1" applyAlignment="1">
      <alignment wrapText="1"/>
    </xf>
    <xf numFmtId="10" fontId="2" fillId="0" borderId="6" xfId="0" applyNumberFormat="1" applyFont="1" applyBorder="1" applyAlignment="1">
      <alignment wrapText="1"/>
    </xf>
    <xf numFmtId="4" fontId="2" fillId="7" borderId="1" xfId="0" applyNumberFormat="1" applyFont="1" applyFill="1" applyBorder="1" applyAlignment="1">
      <alignment wrapText="1"/>
    </xf>
    <xf numFmtId="49" fontId="18" fillId="4" borderId="18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left" wrapText="1"/>
    </xf>
    <xf numFmtId="49" fontId="4" fillId="2" borderId="12" xfId="0" applyNumberFormat="1" applyFont="1" applyFill="1" applyBorder="1" applyAlignment="1">
      <alignment horizontal="center" wrapText="1"/>
    </xf>
    <xf numFmtId="4" fontId="4" fillId="2" borderId="12" xfId="0" applyNumberFormat="1" applyFont="1" applyFill="1" applyBorder="1" applyAlignment="1">
      <alignment wrapText="1"/>
    </xf>
    <xf numFmtId="10" fontId="3" fillId="2" borderId="12" xfId="0" applyNumberFormat="1" applyFont="1" applyFill="1" applyBorder="1" applyAlignment="1">
      <alignment wrapText="1"/>
    </xf>
    <xf numFmtId="10" fontId="4" fillId="2" borderId="12" xfId="0" applyNumberFormat="1" applyFont="1" applyFill="1" applyBorder="1" applyAlignment="1">
      <alignment wrapText="1"/>
    </xf>
    <xf numFmtId="4" fontId="4" fillId="2" borderId="10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" fontId="4" fillId="3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2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vertical="center" wrapText="1"/>
    </xf>
    <xf numFmtId="0" fontId="11" fillId="12" borderId="1" xfId="0" applyFont="1" applyFill="1" applyBorder="1" applyAlignment="1">
      <alignment vertical="center" wrapText="1"/>
    </xf>
    <xf numFmtId="4" fontId="11" fillId="12" borderId="1" xfId="2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4" fontId="3" fillId="7" borderId="1" xfId="2" applyNumberFormat="1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vertical="center" wrapText="1"/>
    </xf>
    <xf numFmtId="166" fontId="11" fillId="7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14" fontId="3" fillId="12" borderId="1" xfId="0" applyNumberFormat="1" applyFont="1" applyFill="1" applyBorder="1" applyAlignment="1">
      <alignment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0" fontId="4" fillId="12" borderId="1" xfId="0" applyFont="1" applyFill="1" applyBorder="1" applyAlignment="1">
      <alignment horizontal="left" vertical="center" wrapText="1"/>
    </xf>
    <xf numFmtId="4" fontId="4" fillId="12" borderId="1" xfId="2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23" fillId="3" borderId="1" xfId="0" applyNumberFormat="1" applyFont="1" applyFill="1" applyBorder="1" applyAlignment="1">
      <alignment horizontal="left" vertical="center" wrapText="1"/>
    </xf>
    <xf numFmtId="4" fontId="3" fillId="3" borderId="1" xfId="2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167" fontId="4" fillId="3" borderId="1" xfId="2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3" fontId="23" fillId="7" borderId="1" xfId="0" applyNumberFormat="1" applyFont="1" applyFill="1" applyBorder="1" applyAlignment="1">
      <alignment horizontal="left" vertical="center" wrapText="1"/>
    </xf>
    <xf numFmtId="4" fontId="3" fillId="7" borderId="1" xfId="0" applyNumberFormat="1" applyFont="1" applyFill="1" applyBorder="1" applyAlignment="1">
      <alignment horizontal="center" vertical="center"/>
    </xf>
    <xf numFmtId="167" fontId="3" fillId="7" borderId="1" xfId="2" applyNumberFormat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25" fillId="0" borderId="1" xfId="0" applyFont="1" applyBorder="1"/>
    <xf numFmtId="167" fontId="3" fillId="0" borderId="1" xfId="2" applyNumberFormat="1" applyFont="1" applyBorder="1" applyAlignment="1">
      <alignment horizontal="center" vertical="center" wrapText="1"/>
    </xf>
    <xf numFmtId="166" fontId="3" fillId="0" borderId="1" xfId="2" applyNumberFormat="1" applyFont="1" applyBorder="1" applyAlignment="1">
      <alignment horizontal="center" vertical="center" wrapText="1"/>
    </xf>
    <xf numFmtId="166" fontId="11" fillId="7" borderId="1" xfId="2" applyNumberFormat="1" applyFont="1" applyFill="1" applyBorder="1" applyAlignment="1">
      <alignment vertical="center" wrapText="1"/>
    </xf>
    <xf numFmtId="3" fontId="3" fillId="7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167" fontId="4" fillId="12" borderId="1" xfId="2" applyNumberFormat="1" applyFont="1" applyFill="1" applyBorder="1" applyAlignment="1">
      <alignment horizontal="center" vertical="center" wrapText="1"/>
    </xf>
    <xf numFmtId="14" fontId="11" fillId="12" borderId="1" xfId="0" applyNumberFormat="1" applyFont="1" applyFill="1" applyBorder="1" applyAlignment="1">
      <alignment vertical="center" wrapText="1"/>
    </xf>
    <xf numFmtId="167" fontId="11" fillId="12" borderId="1" xfId="2" applyNumberFormat="1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vertical="center" wrapText="1"/>
    </xf>
    <xf numFmtId="0" fontId="23" fillId="7" borderId="24" xfId="0" applyFont="1" applyFill="1" applyBorder="1" applyAlignment="1">
      <alignment vertical="center" wrapText="1"/>
    </xf>
    <xf numFmtId="166" fontId="3" fillId="7" borderId="1" xfId="2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 wrapText="1"/>
    </xf>
    <xf numFmtId="0" fontId="3" fillId="0" borderId="24" xfId="3" applyFont="1" applyBorder="1" applyAlignment="1" applyProtection="1">
      <alignment vertical="center" wrapText="1"/>
      <protection hidden="1"/>
    </xf>
    <xf numFmtId="0" fontId="23" fillId="0" borderId="24" xfId="3" applyFont="1" applyBorder="1" applyAlignment="1" applyProtection="1">
      <alignment vertical="center" wrapText="1"/>
      <protection hidden="1"/>
    </xf>
    <xf numFmtId="0" fontId="11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166" fontId="11" fillId="0" borderId="1" xfId="2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22" fillId="7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/>
    </xf>
    <xf numFmtId="4" fontId="3" fillId="7" borderId="6" xfId="0" applyNumberFormat="1" applyFont="1" applyFill="1" applyBorder="1" applyAlignment="1">
      <alignment wrapText="1"/>
    </xf>
    <xf numFmtId="4" fontId="3" fillId="7" borderId="8" xfId="0" applyNumberFormat="1" applyFont="1" applyFill="1" applyBorder="1" applyAlignment="1">
      <alignment wrapText="1"/>
    </xf>
    <xf numFmtId="10" fontId="3" fillId="7" borderId="1" xfId="0" applyNumberFormat="1" applyFont="1" applyFill="1" applyBorder="1" applyAlignment="1">
      <alignment wrapText="1"/>
    </xf>
    <xf numFmtId="10" fontId="3" fillId="7" borderId="8" xfId="0" applyNumberFormat="1" applyFont="1" applyFill="1" applyBorder="1" applyAlignment="1">
      <alignment wrapText="1"/>
    </xf>
    <xf numFmtId="10" fontId="9" fillId="3" borderId="1" xfId="0" applyNumberFormat="1" applyFont="1" applyFill="1" applyBorder="1" applyAlignment="1">
      <alignment wrapText="1"/>
    </xf>
    <xf numFmtId="165" fontId="4" fillId="4" borderId="18" xfId="0" applyNumberFormat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4" fontId="4" fillId="11" borderId="18" xfId="0" applyNumberFormat="1" applyFont="1" applyFill="1" applyBorder="1" applyAlignment="1">
      <alignment horizontal="center" vertical="center" wrapText="1"/>
    </xf>
    <xf numFmtId="4" fontId="4" fillId="11" borderId="4" xfId="0" applyNumberFormat="1" applyFont="1" applyFill="1" applyBorder="1" applyAlignment="1">
      <alignment horizontal="left" vertical="center" wrapText="1"/>
    </xf>
    <xf numFmtId="4" fontId="2" fillId="13" borderId="8" xfId="0" applyNumberFormat="1" applyFont="1" applyFill="1" applyBorder="1" applyAlignment="1">
      <alignment wrapText="1"/>
    </xf>
    <xf numFmtId="0" fontId="28" fillId="7" borderId="7" xfId="0" applyFont="1" applyFill="1" applyBorder="1" applyAlignment="1">
      <alignment wrapText="1"/>
    </xf>
    <xf numFmtId="0" fontId="9" fillId="7" borderId="19" xfId="0" applyFont="1" applyFill="1" applyBorder="1" applyAlignment="1">
      <alignment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2" fillId="7" borderId="23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8" fillId="6" borderId="2" xfId="0" applyFont="1" applyFill="1" applyBorder="1" applyAlignment="1">
      <alignment horizontal="left" wrapText="1"/>
    </xf>
    <xf numFmtId="0" fontId="18" fillId="6" borderId="9" xfId="0" applyFont="1" applyFill="1" applyBorder="1" applyAlignment="1">
      <alignment horizontal="left" wrapText="1"/>
    </xf>
    <xf numFmtId="0" fontId="18" fillId="6" borderId="13" xfId="0" applyFont="1" applyFill="1" applyBorder="1" applyAlignment="1">
      <alignment horizontal="center" wrapText="1"/>
    </xf>
    <xf numFmtId="0" fontId="18" fillId="6" borderId="12" xfId="0" applyFont="1" applyFill="1" applyBorder="1" applyAlignment="1">
      <alignment horizontal="center" wrapText="1"/>
    </xf>
    <xf numFmtId="4" fontId="18" fillId="0" borderId="13" xfId="0" applyNumberFormat="1" applyFont="1" applyBorder="1" applyAlignment="1">
      <alignment horizontal="center" wrapText="1"/>
    </xf>
    <xf numFmtId="4" fontId="18" fillId="0" borderId="12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4" fontId="14" fillId="7" borderId="1" xfId="0" applyNumberFormat="1" applyFont="1" applyFill="1" applyBorder="1" applyAlignment="1">
      <alignment vertical="distributed" wrapText="1"/>
    </xf>
    <xf numFmtId="4" fontId="14" fillId="0" borderId="1" xfId="0" applyNumberFormat="1" applyFont="1" applyBorder="1" applyAlignment="1">
      <alignment vertical="distributed" wrapText="1"/>
    </xf>
  </cellXfs>
  <cellStyles count="4">
    <cellStyle name="Обычный" xfId="0" builtinId="0"/>
    <cellStyle name="Обычный 2" xfId="1"/>
    <cellStyle name="Обычный 2 2" xfId="3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tabSelected="1" topLeftCell="B1" workbookViewId="0">
      <selection activeCell="B127" sqref="B127"/>
    </sheetView>
  </sheetViews>
  <sheetFormatPr defaultRowHeight="15" x14ac:dyDescent="0.25"/>
  <cols>
    <col min="1" max="1" width="5.7109375" hidden="1" customWidth="1"/>
    <col min="2" max="2" width="65.7109375" customWidth="1"/>
    <col min="3" max="3" width="22.140625" customWidth="1"/>
    <col min="4" max="4" width="30.7109375" customWidth="1"/>
    <col min="5" max="5" width="16.42578125" hidden="1" customWidth="1"/>
    <col min="6" max="6" width="15.28515625" hidden="1" customWidth="1"/>
    <col min="7" max="7" width="16" hidden="1" customWidth="1"/>
    <col min="8" max="8" width="15" bestFit="1" customWidth="1"/>
  </cols>
  <sheetData>
    <row r="1" spans="1:7" ht="62.25" customHeight="1" x14ac:dyDescent="0.25">
      <c r="A1" s="266" t="s">
        <v>328</v>
      </c>
      <c r="B1" s="266"/>
      <c r="C1" s="266"/>
      <c r="D1" s="266"/>
      <c r="E1" s="266"/>
      <c r="F1" s="266"/>
      <c r="G1" s="266"/>
    </row>
    <row r="2" spans="1:7" ht="90" customHeight="1" x14ac:dyDescent="0.25">
      <c r="A2" s="267" t="s">
        <v>167</v>
      </c>
      <c r="B2" s="267"/>
      <c r="C2" s="267"/>
      <c r="D2" s="267"/>
      <c r="E2" s="267"/>
      <c r="F2" s="267"/>
      <c r="G2" s="267"/>
    </row>
    <row r="3" spans="1:7" x14ac:dyDescent="0.25">
      <c r="A3" s="268" t="s">
        <v>168</v>
      </c>
      <c r="B3" s="268"/>
      <c r="C3" s="268"/>
      <c r="D3" s="268"/>
      <c r="E3" s="268"/>
      <c r="F3" s="268"/>
      <c r="G3" s="269"/>
    </row>
    <row r="4" spans="1:7" x14ac:dyDescent="0.25">
      <c r="A4" s="270" t="s">
        <v>169</v>
      </c>
      <c r="B4" s="272" t="s">
        <v>170</v>
      </c>
      <c r="C4" s="164"/>
      <c r="D4" s="165">
        <v>2023</v>
      </c>
      <c r="E4" s="165">
        <v>2024</v>
      </c>
      <c r="F4" s="165">
        <v>2025</v>
      </c>
      <c r="G4" s="270" t="s">
        <v>171</v>
      </c>
    </row>
    <row r="5" spans="1:7" ht="22.5" customHeight="1" x14ac:dyDescent="0.25">
      <c r="A5" s="271"/>
      <c r="B5" s="273"/>
      <c r="C5" s="166"/>
      <c r="D5" s="167" t="s">
        <v>119</v>
      </c>
      <c r="E5" s="167" t="s">
        <v>119</v>
      </c>
      <c r="F5" s="167" t="s">
        <v>119</v>
      </c>
      <c r="G5" s="271"/>
    </row>
    <row r="6" spans="1:7" ht="30.75" hidden="1" customHeight="1" x14ac:dyDescent="0.25">
      <c r="A6" s="168"/>
      <c r="B6" s="168" t="s">
        <v>172</v>
      </c>
      <c r="C6" s="168"/>
      <c r="D6" s="169">
        <f>D8+D15</f>
        <v>0</v>
      </c>
      <c r="E6" s="169">
        <f t="shared" ref="E6:F6" si="0">E8+E15</f>
        <v>0</v>
      </c>
      <c r="F6" s="169">
        <f t="shared" si="0"/>
        <v>0</v>
      </c>
      <c r="G6" s="170"/>
    </row>
    <row r="7" spans="1:7" hidden="1" x14ac:dyDescent="0.25">
      <c r="A7" s="171"/>
      <c r="B7" s="171" t="s">
        <v>173</v>
      </c>
      <c r="C7" s="171"/>
      <c r="D7" s="172"/>
      <c r="E7" s="173"/>
      <c r="F7" s="173"/>
      <c r="G7" s="171"/>
    </row>
    <row r="8" spans="1:7" ht="24" hidden="1" customHeight="1" x14ac:dyDescent="0.25">
      <c r="A8" s="174"/>
      <c r="B8" s="174" t="s">
        <v>174</v>
      </c>
      <c r="C8" s="174"/>
      <c r="D8" s="175">
        <f>D14</f>
        <v>0</v>
      </c>
      <c r="E8" s="175">
        <f t="shared" ref="E8:F8" si="1">E14</f>
        <v>0</v>
      </c>
      <c r="F8" s="175">
        <f t="shared" si="1"/>
        <v>0</v>
      </c>
      <c r="G8" s="176"/>
    </row>
    <row r="9" spans="1:7" hidden="1" x14ac:dyDescent="0.25">
      <c r="A9" s="174"/>
      <c r="B9" s="177" t="s">
        <v>175</v>
      </c>
      <c r="C9" s="177" t="s">
        <v>176</v>
      </c>
      <c r="D9" s="178"/>
      <c r="E9" s="178"/>
      <c r="F9" s="178"/>
      <c r="G9" s="251" t="s">
        <v>375</v>
      </c>
    </row>
    <row r="10" spans="1:7" hidden="1" x14ac:dyDescent="0.25">
      <c r="A10" s="174"/>
      <c r="B10" s="177" t="s">
        <v>177</v>
      </c>
      <c r="C10" s="179" t="s">
        <v>178</v>
      </c>
      <c r="D10" s="178"/>
      <c r="E10" s="180"/>
      <c r="F10" s="180"/>
      <c r="G10" s="252"/>
    </row>
    <row r="11" spans="1:7" hidden="1" x14ac:dyDescent="0.25">
      <c r="A11" s="171"/>
      <c r="B11" s="171" t="s">
        <v>179</v>
      </c>
      <c r="C11" s="181" t="s">
        <v>180</v>
      </c>
      <c r="D11" s="172"/>
      <c r="E11" s="173"/>
      <c r="F11" s="173"/>
      <c r="G11" s="252"/>
    </row>
    <row r="12" spans="1:7" hidden="1" x14ac:dyDescent="0.25">
      <c r="A12" s="171"/>
      <c r="B12" s="171" t="s">
        <v>181</v>
      </c>
      <c r="C12" s="171" t="s">
        <v>182</v>
      </c>
      <c r="D12" s="172"/>
      <c r="E12" s="173"/>
      <c r="F12" s="173"/>
      <c r="G12" s="252"/>
    </row>
    <row r="13" spans="1:7" hidden="1" x14ac:dyDescent="0.25">
      <c r="A13" s="171"/>
      <c r="B13" s="171"/>
      <c r="C13" s="171"/>
      <c r="D13" s="172"/>
      <c r="E13" s="173"/>
      <c r="F13" s="173"/>
      <c r="G13" s="252"/>
    </row>
    <row r="14" spans="1:7" ht="65.25" hidden="1" customHeight="1" x14ac:dyDescent="0.25">
      <c r="A14" s="171"/>
      <c r="B14" s="171" t="s">
        <v>183</v>
      </c>
      <c r="C14" s="171" t="s">
        <v>329</v>
      </c>
      <c r="D14" s="178"/>
      <c r="E14" s="173"/>
      <c r="F14" s="182"/>
      <c r="G14" s="253"/>
    </row>
    <row r="15" spans="1:7" hidden="1" x14ac:dyDescent="0.25">
      <c r="A15" s="183"/>
      <c r="B15" s="174" t="s">
        <v>184</v>
      </c>
      <c r="C15" s="174"/>
      <c r="D15" s="175">
        <f>D17+D18+D21+D22</f>
        <v>0</v>
      </c>
      <c r="E15" s="175">
        <f>E17+E18+E19+E21+E22+E23+E24</f>
        <v>0</v>
      </c>
      <c r="F15" s="175">
        <f>F17+F18+F19+F21+F22+F23+F24</f>
        <v>0</v>
      </c>
      <c r="G15" s="174"/>
    </row>
    <row r="16" spans="1:7" hidden="1" x14ac:dyDescent="0.25">
      <c r="A16" s="183"/>
      <c r="B16" s="177" t="s">
        <v>185</v>
      </c>
      <c r="C16" s="177" t="s">
        <v>186</v>
      </c>
      <c r="D16" s="178"/>
      <c r="E16" s="178"/>
      <c r="F16" s="178"/>
      <c r="G16" s="256"/>
    </row>
    <row r="17" spans="1:8" ht="22.5" hidden="1" x14ac:dyDescent="0.25">
      <c r="A17" s="171"/>
      <c r="B17" s="171" t="s">
        <v>187</v>
      </c>
      <c r="C17" s="181" t="s">
        <v>188</v>
      </c>
      <c r="D17" s="172"/>
      <c r="E17" s="173"/>
      <c r="F17" s="173"/>
      <c r="G17" s="257"/>
    </row>
    <row r="18" spans="1:8" hidden="1" x14ac:dyDescent="0.25">
      <c r="A18" s="171"/>
      <c r="B18" s="171" t="s">
        <v>189</v>
      </c>
      <c r="C18" s="181" t="s">
        <v>190</v>
      </c>
      <c r="D18" s="172"/>
      <c r="E18" s="173"/>
      <c r="F18" s="173"/>
      <c r="G18" s="258"/>
    </row>
    <row r="19" spans="1:8" hidden="1" x14ac:dyDescent="0.25">
      <c r="A19" s="171"/>
      <c r="B19" s="171" t="s">
        <v>191</v>
      </c>
      <c r="C19" s="181" t="s">
        <v>192</v>
      </c>
      <c r="D19" s="172"/>
      <c r="E19" s="184"/>
      <c r="F19" s="184"/>
      <c r="G19" s="171"/>
    </row>
    <row r="20" spans="1:8" ht="25.5" hidden="1" x14ac:dyDescent="0.25">
      <c r="A20" s="171"/>
      <c r="B20" s="171" t="s">
        <v>193</v>
      </c>
      <c r="C20" s="181" t="s">
        <v>194</v>
      </c>
      <c r="D20" s="172"/>
      <c r="E20" s="184"/>
      <c r="F20" s="184"/>
      <c r="G20" s="171"/>
    </row>
    <row r="21" spans="1:8" ht="38.25" hidden="1" x14ac:dyDescent="0.25">
      <c r="A21" s="171"/>
      <c r="B21" s="171" t="s">
        <v>195</v>
      </c>
      <c r="C21" s="181" t="s">
        <v>196</v>
      </c>
      <c r="D21" s="178"/>
      <c r="E21" s="173"/>
      <c r="F21" s="173"/>
      <c r="G21" s="171" t="s">
        <v>398</v>
      </c>
    </row>
    <row r="22" spans="1:8" ht="33.75" hidden="1" x14ac:dyDescent="0.25">
      <c r="A22" s="171"/>
      <c r="B22" s="171" t="s">
        <v>197</v>
      </c>
      <c r="C22" s="181" t="s">
        <v>198</v>
      </c>
      <c r="D22" s="172"/>
      <c r="E22" s="173"/>
      <c r="F22" s="173"/>
      <c r="G22" s="185"/>
    </row>
    <row r="23" spans="1:8" hidden="1" x14ac:dyDescent="0.25">
      <c r="A23" s="171"/>
      <c r="B23" s="171" t="s">
        <v>199</v>
      </c>
      <c r="C23" s="186" t="s">
        <v>200</v>
      </c>
      <c r="D23" s="172"/>
      <c r="E23" s="173"/>
      <c r="F23" s="173"/>
      <c r="G23" s="171"/>
    </row>
    <row r="24" spans="1:8" hidden="1" x14ac:dyDescent="0.25">
      <c r="A24" s="171"/>
      <c r="B24" s="171"/>
      <c r="C24" s="181"/>
      <c r="D24" s="172"/>
      <c r="E24" s="173"/>
      <c r="F24" s="173"/>
      <c r="G24" s="171"/>
    </row>
    <row r="25" spans="1:8" x14ac:dyDescent="0.25">
      <c r="A25" s="168"/>
      <c r="B25" s="168" t="s">
        <v>201</v>
      </c>
      <c r="C25" s="168"/>
      <c r="D25" s="169">
        <f>D26</f>
        <v>-85390046.699999988</v>
      </c>
      <c r="E25" s="169">
        <f>E26+E117</f>
        <v>0</v>
      </c>
      <c r="F25" s="169">
        <f>F26+F117</f>
        <v>0</v>
      </c>
      <c r="G25" s="170"/>
    </row>
    <row r="26" spans="1:8" ht="27" customHeight="1" x14ac:dyDescent="0.25">
      <c r="A26" s="168"/>
      <c r="B26" s="168" t="s">
        <v>202</v>
      </c>
      <c r="C26" s="168"/>
      <c r="D26" s="169">
        <f>D27+D32+D54+D91</f>
        <v>-85390046.699999988</v>
      </c>
      <c r="E26" s="169">
        <f t="shared" ref="E26:F26" si="2">E27+E32+E54+E91</f>
        <v>0</v>
      </c>
      <c r="F26" s="169">
        <f t="shared" si="2"/>
        <v>0</v>
      </c>
      <c r="G26" s="170"/>
    </row>
    <row r="27" spans="1:8" ht="33" customHeight="1" x14ac:dyDescent="0.25">
      <c r="A27" s="168"/>
      <c r="B27" s="187" t="s">
        <v>203</v>
      </c>
      <c r="C27" s="187"/>
      <c r="D27" s="188">
        <f>D28+D30+D31</f>
        <v>3441191</v>
      </c>
      <c r="E27" s="188">
        <f t="shared" ref="E27:F27" si="3">E28+E30+E31</f>
        <v>0</v>
      </c>
      <c r="F27" s="188">
        <f t="shared" si="3"/>
        <v>0</v>
      </c>
      <c r="G27" s="189"/>
    </row>
    <row r="28" spans="1:8" ht="40.5" customHeight="1" x14ac:dyDescent="0.25">
      <c r="A28" s="168"/>
      <c r="B28" s="190" t="s">
        <v>204</v>
      </c>
      <c r="C28" s="191" t="s">
        <v>205</v>
      </c>
      <c r="D28" s="192">
        <v>3441191</v>
      </c>
      <c r="E28" s="169"/>
      <c r="F28" s="169"/>
      <c r="G28" s="259"/>
    </row>
    <row r="29" spans="1:8" ht="62.25" hidden="1" customHeight="1" x14ac:dyDescent="0.25">
      <c r="A29" s="168"/>
      <c r="B29" s="190" t="s">
        <v>206</v>
      </c>
      <c r="C29" s="191" t="s">
        <v>207</v>
      </c>
      <c r="D29" s="193"/>
      <c r="E29" s="194"/>
      <c r="F29" s="194"/>
      <c r="G29" s="260"/>
    </row>
    <row r="30" spans="1:8" ht="69.75" hidden="1" customHeight="1" x14ac:dyDescent="0.25">
      <c r="A30" s="168"/>
      <c r="B30" s="190" t="s">
        <v>208</v>
      </c>
      <c r="C30" s="191" t="s">
        <v>209</v>
      </c>
      <c r="D30" s="193"/>
      <c r="E30" s="194"/>
      <c r="F30" s="194"/>
      <c r="G30" s="261"/>
    </row>
    <row r="31" spans="1:8" ht="0.75" hidden="1" customHeight="1" x14ac:dyDescent="0.25">
      <c r="A31" s="168"/>
      <c r="B31" s="195" t="s">
        <v>331</v>
      </c>
      <c r="C31" s="196" t="s">
        <v>330</v>
      </c>
      <c r="D31" s="197"/>
      <c r="E31" s="198"/>
      <c r="F31" s="198"/>
      <c r="G31" s="199"/>
    </row>
    <row r="32" spans="1:8" ht="38.25" customHeight="1" x14ac:dyDescent="0.25">
      <c r="A32" s="174"/>
      <c r="B32" s="174" t="s">
        <v>210</v>
      </c>
      <c r="C32" s="200"/>
      <c r="D32" s="175">
        <f>SUM(D33:D53)</f>
        <v>18023183.899999999</v>
      </c>
      <c r="E32" s="175">
        <f t="shared" ref="E32:F32" si="4">SUM(E33:E53)</f>
        <v>0</v>
      </c>
      <c r="F32" s="175">
        <f t="shared" si="4"/>
        <v>0</v>
      </c>
      <c r="G32" s="176"/>
      <c r="H32" s="5"/>
    </row>
    <row r="33" spans="1:7" ht="35.25" hidden="1" customHeight="1" x14ac:dyDescent="0.25">
      <c r="A33" s="174"/>
      <c r="B33" s="177" t="s">
        <v>332</v>
      </c>
      <c r="C33" s="179" t="s">
        <v>211</v>
      </c>
      <c r="D33" s="178"/>
      <c r="E33" s="178"/>
      <c r="F33" s="178"/>
      <c r="G33" s="262" t="s">
        <v>213</v>
      </c>
    </row>
    <row r="34" spans="1:7" ht="113.25" hidden="1" customHeight="1" x14ac:dyDescent="0.25">
      <c r="A34" s="174"/>
      <c r="B34" s="177" t="s">
        <v>334</v>
      </c>
      <c r="C34" s="179" t="s">
        <v>333</v>
      </c>
      <c r="D34" s="178"/>
      <c r="E34" s="178"/>
      <c r="F34" s="178"/>
      <c r="G34" s="263"/>
    </row>
    <row r="35" spans="1:7" ht="41.25" customHeight="1" x14ac:dyDescent="0.25">
      <c r="A35" s="174"/>
      <c r="B35" s="177" t="s">
        <v>212</v>
      </c>
      <c r="C35" s="179" t="s">
        <v>338</v>
      </c>
      <c r="D35" s="178">
        <v>1970447.9</v>
      </c>
      <c r="E35" s="202"/>
      <c r="F35" s="202"/>
      <c r="G35" s="263"/>
    </row>
    <row r="36" spans="1:7" ht="38.25" hidden="1" x14ac:dyDescent="0.25">
      <c r="A36" s="174"/>
      <c r="B36" s="177" t="s">
        <v>214</v>
      </c>
      <c r="C36" s="179" t="s">
        <v>335</v>
      </c>
      <c r="D36" s="178"/>
      <c r="E36" s="178"/>
      <c r="F36" s="178"/>
      <c r="G36" s="263"/>
    </row>
    <row r="37" spans="1:7" ht="25.5" hidden="1" x14ac:dyDescent="0.25">
      <c r="A37" s="174"/>
      <c r="B37" s="177" t="s">
        <v>337</v>
      </c>
      <c r="C37" s="179" t="s">
        <v>336</v>
      </c>
      <c r="D37" s="178"/>
      <c r="E37" s="178"/>
      <c r="F37" s="178"/>
      <c r="G37" s="263"/>
    </row>
    <row r="38" spans="1:7" ht="38.25" customHeight="1" x14ac:dyDescent="0.25">
      <c r="A38" s="174"/>
      <c r="B38" s="177" t="s">
        <v>215</v>
      </c>
      <c r="C38" s="179" t="s">
        <v>341</v>
      </c>
      <c r="D38" s="178">
        <v>72008</v>
      </c>
      <c r="E38" s="178"/>
      <c r="F38" s="178"/>
      <c r="G38" s="263"/>
    </row>
    <row r="39" spans="1:7" ht="37.5" customHeight="1" x14ac:dyDescent="0.25">
      <c r="A39" s="174"/>
      <c r="B39" s="177" t="s">
        <v>216</v>
      </c>
      <c r="C39" s="179" t="s">
        <v>340</v>
      </c>
      <c r="D39" s="178">
        <v>2241061</v>
      </c>
      <c r="E39" s="178"/>
      <c r="F39" s="178"/>
      <c r="G39" s="263"/>
    </row>
    <row r="40" spans="1:7" ht="63.75" hidden="1" x14ac:dyDescent="0.25">
      <c r="A40" s="174"/>
      <c r="B40" s="177" t="s">
        <v>348</v>
      </c>
      <c r="C40" s="179" t="s">
        <v>347</v>
      </c>
      <c r="D40" s="178"/>
      <c r="E40" s="178"/>
      <c r="F40" s="178"/>
      <c r="G40" s="263"/>
    </row>
    <row r="41" spans="1:7" ht="38.25" hidden="1" x14ac:dyDescent="0.25">
      <c r="A41" s="174"/>
      <c r="B41" s="177" t="s">
        <v>217</v>
      </c>
      <c r="C41" s="179" t="s">
        <v>339</v>
      </c>
      <c r="D41" s="178"/>
      <c r="E41" s="178"/>
      <c r="F41" s="178"/>
      <c r="G41" s="263"/>
    </row>
    <row r="42" spans="1:7" ht="36.75" customHeight="1" x14ac:dyDescent="0.25">
      <c r="A42" s="174"/>
      <c r="B42" s="177" t="s">
        <v>218</v>
      </c>
      <c r="C42" s="179" t="s">
        <v>219</v>
      </c>
      <c r="D42" s="178">
        <v>10775000</v>
      </c>
      <c r="E42" s="178"/>
      <c r="F42" s="178"/>
      <c r="G42" s="263"/>
    </row>
    <row r="43" spans="1:7" ht="33.75" customHeight="1" x14ac:dyDescent="0.25">
      <c r="A43" s="174"/>
      <c r="B43" s="177" t="s">
        <v>220</v>
      </c>
      <c r="C43" s="179" t="s">
        <v>221</v>
      </c>
      <c r="D43" s="178">
        <v>542366</v>
      </c>
      <c r="E43" s="178"/>
      <c r="F43" s="178"/>
      <c r="G43" s="263"/>
    </row>
    <row r="44" spans="1:7" ht="25.5" hidden="1" x14ac:dyDescent="0.25">
      <c r="A44" s="174"/>
      <c r="B44" s="177" t="s">
        <v>222</v>
      </c>
      <c r="C44" s="179" t="s">
        <v>342</v>
      </c>
      <c r="D44" s="178"/>
      <c r="E44" s="178"/>
      <c r="F44" s="178"/>
      <c r="G44" s="263"/>
    </row>
    <row r="45" spans="1:7" ht="25.5" hidden="1" x14ac:dyDescent="0.25">
      <c r="A45" s="174"/>
      <c r="B45" s="177" t="s">
        <v>223</v>
      </c>
      <c r="C45" s="179" t="s">
        <v>343</v>
      </c>
      <c r="D45" s="178"/>
      <c r="E45" s="178"/>
      <c r="F45" s="178"/>
      <c r="G45" s="263"/>
    </row>
    <row r="46" spans="1:7" ht="25.5" hidden="1" x14ac:dyDescent="0.25">
      <c r="A46" s="174"/>
      <c r="B46" s="177" t="s">
        <v>224</v>
      </c>
      <c r="C46" s="179" t="s">
        <v>350</v>
      </c>
      <c r="D46" s="178"/>
      <c r="E46" s="178"/>
      <c r="F46" s="178"/>
      <c r="G46" s="263"/>
    </row>
    <row r="47" spans="1:7" ht="32.25" customHeight="1" x14ac:dyDescent="0.25">
      <c r="A47" s="174"/>
      <c r="B47" s="177" t="s">
        <v>413</v>
      </c>
      <c r="C47" s="179" t="s">
        <v>412</v>
      </c>
      <c r="D47" s="178">
        <v>2422301</v>
      </c>
      <c r="E47" s="178"/>
      <c r="F47" s="178"/>
      <c r="G47" s="263"/>
    </row>
    <row r="48" spans="1:7" ht="38.25" hidden="1" x14ac:dyDescent="0.25">
      <c r="A48" s="174"/>
      <c r="B48" s="177" t="s">
        <v>225</v>
      </c>
      <c r="C48" s="179" t="s">
        <v>344</v>
      </c>
      <c r="D48" s="178"/>
      <c r="E48" s="178"/>
      <c r="F48" s="178"/>
      <c r="G48" s="263"/>
    </row>
    <row r="49" spans="1:7" ht="38.25" hidden="1" x14ac:dyDescent="0.25">
      <c r="A49" s="174"/>
      <c r="B49" s="177" t="s">
        <v>346</v>
      </c>
      <c r="C49" s="179" t="s">
        <v>345</v>
      </c>
      <c r="D49" s="178"/>
      <c r="E49" s="178"/>
      <c r="F49" s="178"/>
      <c r="G49" s="265"/>
    </row>
    <row r="50" spans="1:7" hidden="1" x14ac:dyDescent="0.25">
      <c r="A50" s="171"/>
      <c r="B50" s="171"/>
      <c r="C50" s="181"/>
      <c r="D50" s="172"/>
      <c r="E50" s="203"/>
      <c r="F50" s="204"/>
      <c r="G50" s="177"/>
    </row>
    <row r="51" spans="1:7" hidden="1" x14ac:dyDescent="0.25">
      <c r="A51" s="171"/>
      <c r="B51" s="171"/>
      <c r="C51" s="181"/>
      <c r="D51" s="172"/>
      <c r="E51" s="203"/>
      <c r="F51" s="204"/>
      <c r="G51" s="177"/>
    </row>
    <row r="52" spans="1:7" hidden="1" x14ac:dyDescent="0.25">
      <c r="A52" s="171"/>
      <c r="B52" s="171"/>
      <c r="C52" s="181"/>
      <c r="D52" s="172"/>
      <c r="E52" s="203"/>
      <c r="F52" s="204"/>
      <c r="G52" s="177"/>
    </row>
    <row r="53" spans="1:7" hidden="1" x14ac:dyDescent="0.25">
      <c r="A53" s="177"/>
      <c r="B53" s="171"/>
      <c r="C53" s="181"/>
      <c r="D53" s="178"/>
      <c r="E53" s="205"/>
      <c r="F53" s="205"/>
      <c r="G53" s="177"/>
    </row>
    <row r="54" spans="1:7" ht="39" customHeight="1" x14ac:dyDescent="0.25">
      <c r="A54" s="174"/>
      <c r="B54" s="174" t="s">
        <v>226</v>
      </c>
      <c r="C54" s="174"/>
      <c r="D54" s="175">
        <f>SUM(D55:D90)</f>
        <v>-196076190</v>
      </c>
      <c r="E54" s="175">
        <f t="shared" ref="E54:F54" si="5">SUM(E55:E90)</f>
        <v>0</v>
      </c>
      <c r="F54" s="175">
        <f t="shared" si="5"/>
        <v>0</v>
      </c>
      <c r="G54" s="176"/>
    </row>
    <row r="55" spans="1:7" ht="39.75" customHeight="1" x14ac:dyDescent="0.25">
      <c r="A55" s="174"/>
      <c r="B55" s="177" t="s">
        <v>227</v>
      </c>
      <c r="C55" s="179" t="s">
        <v>228</v>
      </c>
      <c r="D55" s="206">
        <v>-13895061</v>
      </c>
      <c r="E55" s="198"/>
      <c r="F55" s="198"/>
      <c r="G55" s="262" t="s">
        <v>213</v>
      </c>
    </row>
    <row r="56" spans="1:7" ht="69" hidden="1" customHeight="1" x14ac:dyDescent="0.25">
      <c r="A56" s="174"/>
      <c r="B56" s="177" t="s">
        <v>229</v>
      </c>
      <c r="C56" s="179" t="s">
        <v>230</v>
      </c>
      <c r="D56" s="206"/>
      <c r="E56" s="198"/>
      <c r="F56" s="198"/>
      <c r="G56" s="263"/>
    </row>
    <row r="57" spans="1:7" ht="67.7" hidden="1" customHeight="1" x14ac:dyDescent="0.25">
      <c r="A57" s="174"/>
      <c r="B57" s="177" t="s">
        <v>349</v>
      </c>
      <c r="C57" s="179" t="s">
        <v>231</v>
      </c>
      <c r="D57" s="206"/>
      <c r="E57" s="198"/>
      <c r="F57" s="198"/>
      <c r="G57" s="263"/>
    </row>
    <row r="58" spans="1:7" ht="52.5" customHeight="1" x14ac:dyDescent="0.25">
      <c r="A58" s="174"/>
      <c r="B58" s="177" t="s">
        <v>232</v>
      </c>
      <c r="C58" s="179" t="s">
        <v>233</v>
      </c>
      <c r="D58" s="206">
        <v>-47730843</v>
      </c>
      <c r="E58" s="198"/>
      <c r="F58" s="198"/>
      <c r="G58" s="263"/>
    </row>
    <row r="59" spans="1:7" ht="98.25" hidden="1" customHeight="1" x14ac:dyDescent="0.25">
      <c r="A59" s="174"/>
      <c r="B59" s="177" t="s">
        <v>234</v>
      </c>
      <c r="C59" s="179" t="s">
        <v>351</v>
      </c>
      <c r="D59" s="178"/>
      <c r="E59" s="198"/>
      <c r="F59" s="198"/>
      <c r="G59" s="263"/>
    </row>
    <row r="60" spans="1:7" ht="25.5" hidden="1" x14ac:dyDescent="0.25">
      <c r="A60" s="174"/>
      <c r="B60" s="177" t="s">
        <v>235</v>
      </c>
      <c r="C60" s="179" t="s">
        <v>414</v>
      </c>
      <c r="D60" s="206"/>
      <c r="E60" s="198"/>
      <c r="F60" s="198"/>
      <c r="G60" s="263"/>
    </row>
    <row r="61" spans="1:7" ht="38.25" hidden="1" x14ac:dyDescent="0.25">
      <c r="A61" s="174"/>
      <c r="B61" s="177" t="s">
        <v>236</v>
      </c>
      <c r="C61" s="179" t="s">
        <v>352</v>
      </c>
      <c r="D61" s="206"/>
      <c r="E61" s="198"/>
      <c r="F61" s="198"/>
      <c r="G61" s="263"/>
    </row>
    <row r="62" spans="1:7" x14ac:dyDescent="0.25">
      <c r="A62" s="174"/>
      <c r="B62" s="177" t="s">
        <v>237</v>
      </c>
      <c r="C62" s="179" t="s">
        <v>353</v>
      </c>
      <c r="D62" s="206">
        <v>125518</v>
      </c>
      <c r="E62" s="198"/>
      <c r="F62" s="198"/>
      <c r="G62" s="263"/>
    </row>
    <row r="63" spans="1:7" ht="27" customHeight="1" x14ac:dyDescent="0.25">
      <c r="A63" s="174"/>
      <c r="B63" s="177" t="s">
        <v>354</v>
      </c>
      <c r="C63" s="179" t="s">
        <v>355</v>
      </c>
      <c r="D63" s="206">
        <v>9093871</v>
      </c>
      <c r="E63" s="198"/>
      <c r="F63" s="198"/>
      <c r="G63" s="263"/>
    </row>
    <row r="64" spans="1:7" ht="49.7" hidden="1" customHeight="1" x14ac:dyDescent="0.25">
      <c r="A64" s="174"/>
      <c r="B64" s="177" t="s">
        <v>238</v>
      </c>
      <c r="C64" s="179" t="s">
        <v>357</v>
      </c>
      <c r="D64" s="178"/>
      <c r="E64" s="198"/>
      <c r="F64" s="198"/>
      <c r="G64" s="263"/>
    </row>
    <row r="65" spans="1:7" ht="36.75" customHeight="1" x14ac:dyDescent="0.25">
      <c r="A65" s="174"/>
      <c r="B65" s="177" t="s">
        <v>239</v>
      </c>
      <c r="C65" s="179" t="s">
        <v>356</v>
      </c>
      <c r="D65" s="206">
        <v>1534994</v>
      </c>
      <c r="E65" s="198"/>
      <c r="F65" s="198"/>
      <c r="G65" s="263"/>
    </row>
    <row r="66" spans="1:7" x14ac:dyDescent="0.25">
      <c r="A66" s="174"/>
      <c r="B66" s="177" t="s">
        <v>139</v>
      </c>
      <c r="C66" s="179" t="s">
        <v>240</v>
      </c>
      <c r="D66" s="178">
        <v>-12414062</v>
      </c>
      <c r="E66" s="198"/>
      <c r="F66" s="198"/>
      <c r="G66" s="263"/>
    </row>
    <row r="67" spans="1:7" ht="52.5" customHeight="1" x14ac:dyDescent="0.25">
      <c r="A67" s="174"/>
      <c r="B67" s="177" t="s">
        <v>241</v>
      </c>
      <c r="C67" s="179" t="s">
        <v>242</v>
      </c>
      <c r="D67" s="178">
        <v>1010213</v>
      </c>
      <c r="E67" s="198"/>
      <c r="F67" s="198"/>
      <c r="G67" s="263"/>
    </row>
    <row r="68" spans="1:7" ht="33" customHeight="1" x14ac:dyDescent="0.25">
      <c r="A68" s="174"/>
      <c r="B68" s="177" t="s">
        <v>243</v>
      </c>
      <c r="C68" s="179" t="s">
        <v>372</v>
      </c>
      <c r="D68" s="178">
        <v>1300000</v>
      </c>
      <c r="E68" s="198"/>
      <c r="F68" s="198"/>
      <c r="G68" s="201"/>
    </row>
    <row r="69" spans="1:7" ht="32.25" customHeight="1" x14ac:dyDescent="0.25">
      <c r="A69" s="171"/>
      <c r="B69" s="207" t="s">
        <v>140</v>
      </c>
      <c r="C69" s="208" t="s">
        <v>244</v>
      </c>
      <c r="D69" s="209">
        <v>-14676078</v>
      </c>
      <c r="E69" s="204"/>
      <c r="F69" s="204"/>
      <c r="G69" s="264"/>
    </row>
    <row r="70" spans="1:7" ht="47.25" customHeight="1" x14ac:dyDescent="0.25">
      <c r="A70" s="171"/>
      <c r="B70" s="207" t="s">
        <v>245</v>
      </c>
      <c r="C70" s="208" t="s">
        <v>246</v>
      </c>
      <c r="D70" s="209">
        <v>-27622623</v>
      </c>
      <c r="E70" s="204"/>
      <c r="F70" s="204"/>
      <c r="G70" s="264"/>
    </row>
    <row r="71" spans="1:7" ht="36" customHeight="1" x14ac:dyDescent="0.25">
      <c r="A71" s="171"/>
      <c r="B71" s="207" t="s">
        <v>247</v>
      </c>
      <c r="C71" s="208" t="s">
        <v>248</v>
      </c>
      <c r="D71" s="209">
        <v>9975</v>
      </c>
      <c r="E71" s="204"/>
      <c r="F71" s="204"/>
      <c r="G71" s="264"/>
    </row>
    <row r="72" spans="1:7" ht="42" customHeight="1" x14ac:dyDescent="0.25">
      <c r="A72" s="171"/>
      <c r="B72" s="207" t="s">
        <v>249</v>
      </c>
      <c r="C72" s="208" t="s">
        <v>415</v>
      </c>
      <c r="D72" s="209">
        <v>108208</v>
      </c>
      <c r="E72" s="204"/>
      <c r="F72" s="204"/>
      <c r="G72" s="264"/>
    </row>
    <row r="73" spans="1:7" ht="35.25" customHeight="1" x14ac:dyDescent="0.25">
      <c r="A73" s="171"/>
      <c r="B73" s="207" t="s">
        <v>250</v>
      </c>
      <c r="C73" s="208" t="s">
        <v>251</v>
      </c>
      <c r="D73" s="209">
        <v>2099058</v>
      </c>
      <c r="E73" s="204"/>
      <c r="F73" s="204"/>
      <c r="G73" s="264"/>
    </row>
    <row r="74" spans="1:7" ht="31.5" customHeight="1" x14ac:dyDescent="0.25">
      <c r="A74" s="171"/>
      <c r="B74" s="207" t="s">
        <v>252</v>
      </c>
      <c r="C74" s="208" t="s">
        <v>416</v>
      </c>
      <c r="D74" s="209">
        <v>176153</v>
      </c>
      <c r="E74" s="204"/>
      <c r="F74" s="204"/>
      <c r="G74" s="264"/>
    </row>
    <row r="75" spans="1:7" ht="33" customHeight="1" x14ac:dyDescent="0.25">
      <c r="A75" s="171"/>
      <c r="B75" s="207" t="s">
        <v>253</v>
      </c>
      <c r="C75" s="208" t="s">
        <v>417</v>
      </c>
      <c r="D75" s="209">
        <v>20132</v>
      </c>
      <c r="E75" s="204"/>
      <c r="F75" s="204"/>
      <c r="G75" s="264"/>
    </row>
    <row r="76" spans="1:7" ht="63" hidden="1" customHeight="1" x14ac:dyDescent="0.25">
      <c r="A76" s="171"/>
      <c r="B76" s="207" t="s">
        <v>254</v>
      </c>
      <c r="C76" s="208" t="s">
        <v>255</v>
      </c>
      <c r="D76" s="209"/>
      <c r="E76" s="204"/>
      <c r="F76" s="204"/>
      <c r="G76" s="264"/>
    </row>
    <row r="77" spans="1:7" ht="51.75" customHeight="1" x14ac:dyDescent="0.25">
      <c r="A77" s="171"/>
      <c r="B77" s="207" t="s">
        <v>256</v>
      </c>
      <c r="C77" s="208" t="s">
        <v>257</v>
      </c>
      <c r="D77" s="209">
        <v>-435518</v>
      </c>
      <c r="E77" s="204"/>
      <c r="F77" s="204"/>
      <c r="G77" s="264"/>
    </row>
    <row r="78" spans="1:7" ht="51" customHeight="1" x14ac:dyDescent="0.25">
      <c r="A78" s="171"/>
      <c r="B78" s="207" t="s">
        <v>258</v>
      </c>
      <c r="C78" s="208" t="s">
        <v>259</v>
      </c>
      <c r="D78" s="209">
        <v>-21892</v>
      </c>
      <c r="E78" s="204"/>
      <c r="F78" s="204"/>
      <c r="G78" s="264"/>
    </row>
    <row r="79" spans="1:7" ht="69.75" hidden="1" customHeight="1" x14ac:dyDescent="0.25">
      <c r="A79" s="171"/>
      <c r="B79" s="207" t="s">
        <v>260</v>
      </c>
      <c r="C79" s="208" t="s">
        <v>261</v>
      </c>
      <c r="D79" s="209"/>
      <c r="E79" s="210"/>
      <c r="F79" s="210"/>
      <c r="G79" s="264"/>
    </row>
    <row r="80" spans="1:7" ht="45" customHeight="1" x14ac:dyDescent="0.25">
      <c r="A80" s="171"/>
      <c r="B80" s="207" t="s">
        <v>373</v>
      </c>
      <c r="C80" s="208" t="s">
        <v>262</v>
      </c>
      <c r="D80" s="209">
        <v>-425920</v>
      </c>
      <c r="E80" s="204"/>
      <c r="F80" s="204"/>
      <c r="G80" s="264"/>
    </row>
    <row r="81" spans="1:7" ht="47.25" customHeight="1" x14ac:dyDescent="0.25">
      <c r="A81" s="171"/>
      <c r="B81" s="207" t="s">
        <v>263</v>
      </c>
      <c r="C81" s="208" t="s">
        <v>264</v>
      </c>
      <c r="D81" s="209">
        <v>-32849244</v>
      </c>
      <c r="E81" s="204"/>
      <c r="F81" s="204"/>
      <c r="G81" s="264"/>
    </row>
    <row r="82" spans="1:7" ht="93.75" hidden="1" customHeight="1" x14ac:dyDescent="0.25">
      <c r="A82" s="171"/>
      <c r="B82" s="207" t="s">
        <v>359</v>
      </c>
      <c r="C82" s="208" t="s">
        <v>358</v>
      </c>
      <c r="D82" s="209"/>
      <c r="E82" s="204"/>
      <c r="F82" s="204"/>
      <c r="G82" s="264"/>
    </row>
    <row r="83" spans="1:7" ht="55.5" customHeight="1" x14ac:dyDescent="0.25">
      <c r="A83" s="171"/>
      <c r="B83" s="207" t="s">
        <v>265</v>
      </c>
      <c r="C83" s="208" t="s">
        <v>266</v>
      </c>
      <c r="D83" s="209">
        <v>30997</v>
      </c>
      <c r="E83" s="172"/>
      <c r="F83" s="172"/>
      <c r="G83" s="264"/>
    </row>
    <row r="84" spans="1:7" ht="34.5" customHeight="1" x14ac:dyDescent="0.25">
      <c r="A84" s="171"/>
      <c r="B84" s="207" t="s">
        <v>267</v>
      </c>
      <c r="C84" s="208" t="s">
        <v>268</v>
      </c>
      <c r="D84" s="209">
        <v>-28682856</v>
      </c>
      <c r="E84" s="172"/>
      <c r="F84" s="172"/>
      <c r="G84" s="264"/>
    </row>
    <row r="85" spans="1:7" ht="34.5" customHeight="1" x14ac:dyDescent="0.25">
      <c r="A85" s="171"/>
      <c r="B85" s="207" t="s">
        <v>269</v>
      </c>
      <c r="C85" s="208" t="s">
        <v>270</v>
      </c>
      <c r="D85" s="209">
        <v>-31312708</v>
      </c>
      <c r="E85" s="204"/>
      <c r="F85" s="204"/>
      <c r="G85" s="264"/>
    </row>
    <row r="86" spans="1:7" ht="155.25" hidden="1" customHeight="1" x14ac:dyDescent="0.25">
      <c r="A86" s="171"/>
      <c r="B86" s="171" t="s">
        <v>360</v>
      </c>
      <c r="C86" s="211" t="s">
        <v>361</v>
      </c>
      <c r="D86" s="209"/>
      <c r="E86" s="172"/>
      <c r="F86" s="172"/>
      <c r="G86" s="264"/>
    </row>
    <row r="87" spans="1:7" ht="99.95" hidden="1" customHeight="1" x14ac:dyDescent="0.25">
      <c r="A87" s="171"/>
      <c r="B87" s="171" t="s">
        <v>271</v>
      </c>
      <c r="C87" s="211" t="s">
        <v>362</v>
      </c>
      <c r="D87" s="209"/>
      <c r="E87" s="172"/>
      <c r="F87" s="172"/>
      <c r="G87" s="264"/>
    </row>
    <row r="88" spans="1:7" ht="69.75" hidden="1" customHeight="1" x14ac:dyDescent="0.25">
      <c r="A88" s="171"/>
      <c r="B88" s="207" t="s">
        <v>272</v>
      </c>
      <c r="C88" s="208" t="s">
        <v>273</v>
      </c>
      <c r="D88" s="209"/>
      <c r="E88" s="204"/>
      <c r="F88" s="204"/>
      <c r="G88" s="264"/>
    </row>
    <row r="89" spans="1:7" ht="37.5" customHeight="1" x14ac:dyDescent="0.25">
      <c r="A89" s="171"/>
      <c r="B89" s="207" t="s">
        <v>274</v>
      </c>
      <c r="C89" s="208" t="s">
        <v>275</v>
      </c>
      <c r="D89" s="209">
        <v>-1518504</v>
      </c>
      <c r="E89" s="204"/>
      <c r="F89" s="204"/>
      <c r="G89" s="264"/>
    </row>
    <row r="90" spans="1:7" ht="63" hidden="1" customHeight="1" x14ac:dyDescent="0.25">
      <c r="A90" s="171"/>
      <c r="B90" s="207" t="s">
        <v>276</v>
      </c>
      <c r="C90" s="208" t="s">
        <v>277</v>
      </c>
      <c r="D90" s="209"/>
      <c r="E90" s="172"/>
      <c r="F90" s="172"/>
      <c r="G90" s="264"/>
    </row>
    <row r="91" spans="1:7" x14ac:dyDescent="0.25">
      <c r="A91" s="189"/>
      <c r="B91" s="189" t="s">
        <v>278</v>
      </c>
      <c r="C91" s="189"/>
      <c r="D91" s="212">
        <f>D92+D113+D114+D116+D115</f>
        <v>89221768.400000006</v>
      </c>
      <c r="E91" s="212">
        <f t="shared" ref="E91:F91" si="6">E92+E113+E114+E116</f>
        <v>0</v>
      </c>
      <c r="F91" s="212">
        <f t="shared" si="6"/>
        <v>0</v>
      </c>
      <c r="G91" s="176"/>
    </row>
    <row r="92" spans="1:7" ht="46.5" customHeight="1" x14ac:dyDescent="0.25">
      <c r="A92" s="213"/>
      <c r="B92" s="174" t="s">
        <v>279</v>
      </c>
      <c r="C92" s="174"/>
      <c r="D92" s="214">
        <f>D93+D94+D95+D96+D97+D98+D99+D100+D101+D102+D103+D104+D105+D106+D107+D108+D109+D110+D111+D112</f>
        <v>88614685</v>
      </c>
      <c r="E92" s="214">
        <f>SUM(E93:E112)</f>
        <v>0</v>
      </c>
      <c r="F92" s="214">
        <f>SUM(F93:F112)</f>
        <v>0</v>
      </c>
      <c r="G92" s="176"/>
    </row>
    <row r="93" spans="1:7" ht="29.25" customHeight="1" x14ac:dyDescent="0.25">
      <c r="A93" s="213"/>
      <c r="B93" s="215" t="s">
        <v>280</v>
      </c>
      <c r="C93" s="216" t="s">
        <v>281</v>
      </c>
      <c r="D93" s="198">
        <v>1103054</v>
      </c>
      <c r="E93" s="217"/>
      <c r="F93" s="217"/>
      <c r="G93" s="254" t="s">
        <v>374</v>
      </c>
    </row>
    <row r="94" spans="1:7" ht="38.25" hidden="1" x14ac:dyDescent="0.25">
      <c r="A94" s="218"/>
      <c r="B94" s="219" t="s">
        <v>282</v>
      </c>
      <c r="C94" s="220" t="s">
        <v>283</v>
      </c>
      <c r="D94" s="221"/>
      <c r="E94" s="222"/>
      <c r="F94" s="222"/>
      <c r="G94" s="254"/>
    </row>
    <row r="95" spans="1:7" ht="46.5" customHeight="1" x14ac:dyDescent="0.25">
      <c r="A95" s="213"/>
      <c r="B95" s="215" t="s">
        <v>284</v>
      </c>
      <c r="C95" s="216" t="s">
        <v>285</v>
      </c>
      <c r="D95" s="178">
        <v>-83000</v>
      </c>
      <c r="E95" s="217"/>
      <c r="F95" s="217"/>
      <c r="G95" s="254"/>
    </row>
    <row r="96" spans="1:7" ht="33" customHeight="1" x14ac:dyDescent="0.25">
      <c r="A96" s="213"/>
      <c r="B96" s="215" t="s">
        <v>286</v>
      </c>
      <c r="C96" s="216" t="s">
        <v>287</v>
      </c>
      <c r="D96" s="178">
        <v>30110162</v>
      </c>
      <c r="E96" s="178"/>
      <c r="F96" s="217"/>
      <c r="G96" s="254"/>
    </row>
    <row r="97" spans="1:7" ht="37.5" customHeight="1" x14ac:dyDescent="0.25">
      <c r="A97" s="213"/>
      <c r="B97" s="215" t="s">
        <v>288</v>
      </c>
      <c r="C97" s="216" t="s">
        <v>289</v>
      </c>
      <c r="D97" s="178">
        <v>1054000</v>
      </c>
      <c r="E97" s="217"/>
      <c r="F97" s="217"/>
      <c r="G97" s="254"/>
    </row>
    <row r="98" spans="1:7" ht="34.5" customHeight="1" x14ac:dyDescent="0.25">
      <c r="A98" s="171"/>
      <c r="B98" s="223" t="s">
        <v>290</v>
      </c>
      <c r="C98" s="224" t="s">
        <v>291</v>
      </c>
      <c r="D98" s="209">
        <v>13012000</v>
      </c>
      <c r="E98" s="204"/>
      <c r="F98" s="204"/>
      <c r="G98" s="254"/>
    </row>
    <row r="99" spans="1:7" ht="25.5" hidden="1" x14ac:dyDescent="0.25">
      <c r="A99" s="171"/>
      <c r="B99" s="223" t="s">
        <v>292</v>
      </c>
      <c r="C99" s="224" t="s">
        <v>293</v>
      </c>
      <c r="D99" s="209"/>
      <c r="E99" s="178"/>
      <c r="F99" s="204"/>
      <c r="G99" s="254"/>
    </row>
    <row r="100" spans="1:7" ht="37.5" customHeight="1" x14ac:dyDescent="0.25">
      <c r="A100" s="171"/>
      <c r="B100" s="223" t="s">
        <v>294</v>
      </c>
      <c r="C100" s="224" t="s">
        <v>295</v>
      </c>
      <c r="D100" s="209">
        <v>11883</v>
      </c>
      <c r="E100" s="178"/>
      <c r="F100" s="204"/>
      <c r="G100" s="254"/>
    </row>
    <row r="101" spans="1:7" ht="25.5" hidden="1" x14ac:dyDescent="0.25">
      <c r="A101" s="171"/>
      <c r="B101" s="223" t="s">
        <v>296</v>
      </c>
      <c r="C101" s="224" t="s">
        <v>297</v>
      </c>
      <c r="D101" s="209"/>
      <c r="E101" s="178"/>
      <c r="F101" s="204"/>
      <c r="G101" s="254"/>
    </row>
    <row r="102" spans="1:7" ht="25.5" hidden="1" x14ac:dyDescent="0.25">
      <c r="A102" s="171"/>
      <c r="B102" s="207" t="s">
        <v>298</v>
      </c>
      <c r="C102" s="208" t="s">
        <v>299</v>
      </c>
      <c r="D102" s="209"/>
      <c r="E102" s="204"/>
      <c r="F102" s="204"/>
      <c r="G102" s="254"/>
    </row>
    <row r="103" spans="1:7" ht="32.25" customHeight="1" x14ac:dyDescent="0.25">
      <c r="A103" s="171"/>
      <c r="B103" s="207" t="s">
        <v>300</v>
      </c>
      <c r="C103" s="208" t="s">
        <v>301</v>
      </c>
      <c r="D103" s="209">
        <f>7367172+8433884+23661698</f>
        <v>39462754</v>
      </c>
      <c r="E103" s="204"/>
      <c r="F103" s="204"/>
      <c r="G103" s="254"/>
    </row>
    <row r="104" spans="1:7" ht="36.75" customHeight="1" x14ac:dyDescent="0.25">
      <c r="A104" s="171"/>
      <c r="B104" s="207" t="s">
        <v>302</v>
      </c>
      <c r="C104" s="208" t="s">
        <v>303</v>
      </c>
      <c r="D104" s="209">
        <f>27490330-23661698</f>
        <v>3828632</v>
      </c>
      <c r="E104" s="204"/>
      <c r="F104" s="204"/>
      <c r="G104" s="254"/>
    </row>
    <row r="105" spans="1:7" ht="25.5" hidden="1" x14ac:dyDescent="0.25">
      <c r="A105" s="171"/>
      <c r="B105" s="207" t="s">
        <v>304</v>
      </c>
      <c r="C105" s="208" t="s">
        <v>305</v>
      </c>
      <c r="D105" s="209"/>
      <c r="E105" s="204"/>
      <c r="F105" s="204"/>
      <c r="G105" s="254"/>
    </row>
    <row r="106" spans="1:7" ht="38.25" hidden="1" x14ac:dyDescent="0.25">
      <c r="A106" s="171"/>
      <c r="B106" s="207" t="s">
        <v>306</v>
      </c>
      <c r="C106" s="208" t="s">
        <v>307</v>
      </c>
      <c r="D106" s="209"/>
      <c r="E106" s="204"/>
      <c r="F106" s="204"/>
      <c r="G106" s="254"/>
    </row>
    <row r="107" spans="1:7" ht="25.5" hidden="1" x14ac:dyDescent="0.25">
      <c r="A107" s="171"/>
      <c r="B107" s="207" t="s">
        <v>308</v>
      </c>
      <c r="C107" s="208" t="s">
        <v>309</v>
      </c>
      <c r="D107" s="197"/>
      <c r="E107" s="204"/>
      <c r="F107" s="204"/>
      <c r="G107" s="254"/>
    </row>
    <row r="108" spans="1:7" ht="25.5" hidden="1" x14ac:dyDescent="0.25">
      <c r="A108" s="171"/>
      <c r="B108" s="207" t="s">
        <v>363</v>
      </c>
      <c r="C108" s="208" t="s">
        <v>310</v>
      </c>
      <c r="D108" s="209"/>
      <c r="E108" s="204"/>
      <c r="F108" s="204"/>
      <c r="G108" s="254"/>
    </row>
    <row r="109" spans="1:7" ht="25.5" hidden="1" x14ac:dyDescent="0.25">
      <c r="A109" s="171"/>
      <c r="B109" s="207" t="s">
        <v>311</v>
      </c>
      <c r="C109" s="208" t="s">
        <v>312</v>
      </c>
      <c r="D109" s="209"/>
      <c r="E109" s="204"/>
      <c r="F109" s="204"/>
      <c r="G109" s="254"/>
    </row>
    <row r="110" spans="1:7" ht="25.5" hidden="1" x14ac:dyDescent="0.25">
      <c r="A110" s="171"/>
      <c r="B110" s="207" t="s">
        <v>313</v>
      </c>
      <c r="C110" s="208" t="s">
        <v>314</v>
      </c>
      <c r="D110" s="209"/>
      <c r="E110" s="204"/>
      <c r="F110" s="204"/>
      <c r="G110" s="254"/>
    </row>
    <row r="111" spans="1:7" ht="38.25" hidden="1" x14ac:dyDescent="0.25">
      <c r="A111" s="171"/>
      <c r="B111" s="207" t="s">
        <v>315</v>
      </c>
      <c r="C111" s="208" t="s">
        <v>316</v>
      </c>
      <c r="D111" s="209"/>
      <c r="E111" s="204"/>
      <c r="F111" s="204"/>
      <c r="G111" s="254"/>
    </row>
    <row r="112" spans="1:7" ht="39" customHeight="1" x14ac:dyDescent="0.25">
      <c r="A112" s="171"/>
      <c r="B112" s="207" t="s">
        <v>317</v>
      </c>
      <c r="C112" s="208" t="s">
        <v>318</v>
      </c>
      <c r="D112" s="209">
        <v>115200</v>
      </c>
      <c r="E112" s="204"/>
      <c r="F112" s="204"/>
      <c r="G112" s="255"/>
    </row>
    <row r="113" spans="1:7" ht="27" hidden="1" x14ac:dyDescent="0.25">
      <c r="A113" s="171"/>
      <c r="B113" s="225" t="s">
        <v>366</v>
      </c>
      <c r="C113" s="226" t="s">
        <v>364</v>
      </c>
      <c r="D113" s="227"/>
      <c r="E113" s="228"/>
      <c r="F113" s="228"/>
      <c r="G113" s="249" t="s">
        <v>213</v>
      </c>
    </row>
    <row r="114" spans="1:7" ht="27" hidden="1" x14ac:dyDescent="0.25">
      <c r="A114" s="171"/>
      <c r="B114" s="225" t="s">
        <v>367</v>
      </c>
      <c r="C114" s="226" t="s">
        <v>365</v>
      </c>
      <c r="D114" s="227"/>
      <c r="E114" s="228"/>
      <c r="F114" s="228"/>
      <c r="G114" s="250"/>
    </row>
    <row r="115" spans="1:7" ht="36.75" customHeight="1" x14ac:dyDescent="0.25">
      <c r="A115" s="171"/>
      <c r="B115" s="225" t="s">
        <v>455</v>
      </c>
      <c r="C115" s="226" t="s">
        <v>418</v>
      </c>
      <c r="D115" s="227">
        <v>52083.4</v>
      </c>
      <c r="E115" s="228"/>
      <c r="F115" s="228"/>
      <c r="G115" s="229"/>
    </row>
    <row r="116" spans="1:7" ht="25.5" x14ac:dyDescent="0.25">
      <c r="A116" s="171"/>
      <c r="B116" s="230" t="s">
        <v>319</v>
      </c>
      <c r="C116" s="231" t="s">
        <v>320</v>
      </c>
      <c r="D116" s="232">
        <f>D117+D118+D119+D120+D121</f>
        <v>555000</v>
      </c>
      <c r="E116" s="232">
        <f t="shared" ref="E116:F116" si="7">E117+E118+E119+E120+E121</f>
        <v>0</v>
      </c>
      <c r="F116" s="232">
        <f t="shared" si="7"/>
        <v>0</v>
      </c>
      <c r="G116" s="233"/>
    </row>
    <row r="117" spans="1:7" ht="62.25" customHeight="1" x14ac:dyDescent="0.25">
      <c r="A117" s="171"/>
      <c r="B117" s="207" t="s">
        <v>321</v>
      </c>
      <c r="C117" s="208" t="s">
        <v>322</v>
      </c>
      <c r="D117" s="209">
        <v>555000</v>
      </c>
      <c r="E117" s="204"/>
      <c r="F117" s="204"/>
      <c r="G117" s="233"/>
    </row>
    <row r="118" spans="1:7" ht="25.5" hidden="1" x14ac:dyDescent="0.25">
      <c r="A118" s="171"/>
      <c r="B118" s="207" t="s">
        <v>370</v>
      </c>
      <c r="C118" s="208" t="s">
        <v>368</v>
      </c>
      <c r="D118" s="209"/>
      <c r="E118" s="204"/>
      <c r="F118" s="204"/>
      <c r="G118" s="251" t="s">
        <v>213</v>
      </c>
    </row>
    <row r="119" spans="1:7" ht="38.25" hidden="1" customHeight="1" x14ac:dyDescent="0.25">
      <c r="A119" s="171"/>
      <c r="B119" s="207" t="s">
        <v>323</v>
      </c>
      <c r="C119" s="208" t="s">
        <v>324</v>
      </c>
      <c r="D119" s="209"/>
      <c r="E119" s="204"/>
      <c r="F119" s="204"/>
      <c r="G119" s="252"/>
    </row>
    <row r="120" spans="1:7" ht="38.25" hidden="1" x14ac:dyDescent="0.25">
      <c r="A120" s="171"/>
      <c r="B120" s="207" t="s">
        <v>325</v>
      </c>
      <c r="C120" s="208" t="s">
        <v>326</v>
      </c>
      <c r="D120" s="209"/>
      <c r="E120" s="204"/>
      <c r="F120" s="204"/>
      <c r="G120" s="252"/>
    </row>
    <row r="121" spans="1:7" ht="25.5" hidden="1" x14ac:dyDescent="0.25">
      <c r="A121" s="171"/>
      <c r="B121" s="207" t="s">
        <v>371</v>
      </c>
      <c r="C121" s="208" t="s">
        <v>369</v>
      </c>
      <c r="D121" s="209"/>
      <c r="E121" s="204"/>
      <c r="F121" s="204"/>
      <c r="G121" s="253"/>
    </row>
    <row r="122" spans="1:7" x14ac:dyDescent="0.25">
      <c r="A122" s="234"/>
      <c r="B122" s="235" t="s">
        <v>327</v>
      </c>
      <c r="C122" s="235"/>
      <c r="D122" s="236">
        <f>D6+D25</f>
        <v>-85390046.699999988</v>
      </c>
      <c r="E122" s="236">
        <f>E6+E25</f>
        <v>0</v>
      </c>
      <c r="F122" s="236">
        <f>F6+F25</f>
        <v>0</v>
      </c>
      <c r="G122" s="235"/>
    </row>
  </sheetData>
  <mergeCells count="15">
    <mergeCell ref="A1:G1"/>
    <mergeCell ref="A2:G2"/>
    <mergeCell ref="A3:G3"/>
    <mergeCell ref="A4:A5"/>
    <mergeCell ref="B4:B5"/>
    <mergeCell ref="G4:G5"/>
    <mergeCell ref="G113:G114"/>
    <mergeCell ref="G118:G121"/>
    <mergeCell ref="G93:G112"/>
    <mergeCell ref="G9:G14"/>
    <mergeCell ref="G16:G18"/>
    <mergeCell ref="G28:G30"/>
    <mergeCell ref="G55:G67"/>
    <mergeCell ref="G69:G90"/>
    <mergeCell ref="G33:G49"/>
  </mergeCells>
  <pageMargins left="0.31496062992125984" right="0.11811023622047245" top="0.35433070866141736" bottom="0.35433070866141736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7"/>
  <sheetViews>
    <sheetView topLeftCell="B171" workbookViewId="0">
      <selection activeCell="I20" sqref="I20"/>
    </sheetView>
  </sheetViews>
  <sheetFormatPr defaultColWidth="9.140625" defaultRowHeight="12.75" x14ac:dyDescent="0.2"/>
  <cols>
    <col min="1" max="1" width="51" style="6" customWidth="1"/>
    <col min="2" max="2" width="10.7109375" style="1" customWidth="1"/>
    <col min="3" max="4" width="15.7109375" style="4" customWidth="1"/>
    <col min="5" max="5" width="12.7109375" style="1" customWidth="1"/>
    <col min="6" max="6" width="14.5703125" style="4" customWidth="1"/>
    <col min="7" max="7" width="18.7109375" style="4" customWidth="1"/>
    <col min="8" max="8" width="15.7109375" style="1" customWidth="1"/>
    <col min="9" max="9" width="14.85546875" style="4" customWidth="1"/>
    <col min="10" max="10" width="14.42578125" style="4" customWidth="1"/>
    <col min="11" max="11" width="12.7109375" style="1" customWidth="1"/>
    <col min="12" max="12" width="15.7109375" style="4" customWidth="1"/>
    <col min="13" max="14" width="13.7109375" style="4" hidden="1" customWidth="1"/>
    <col min="15" max="15" width="40.7109375" style="1" hidden="1" customWidth="1"/>
    <col min="16" max="16384" width="9.140625" style="1"/>
  </cols>
  <sheetData>
    <row r="1" spans="1:17" ht="15.75" x14ac:dyDescent="0.25">
      <c r="A1" s="274" t="s">
        <v>419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</row>
    <row r="2" spans="1:17" ht="13.5" thickBot="1" x14ac:dyDescent="0.25">
      <c r="A2" s="9"/>
      <c r="B2" s="10"/>
      <c r="C2" s="11"/>
      <c r="D2" s="11"/>
      <c r="E2" s="10"/>
      <c r="F2" s="11"/>
      <c r="G2" s="11"/>
      <c r="H2" s="10"/>
      <c r="I2" s="11"/>
      <c r="J2" s="11"/>
      <c r="K2" s="10"/>
      <c r="L2" s="11"/>
      <c r="M2" s="11"/>
      <c r="N2" s="11"/>
      <c r="O2" s="10"/>
      <c r="P2" s="10"/>
      <c r="Q2" s="10"/>
    </row>
    <row r="3" spans="1:17" x14ac:dyDescent="0.2">
      <c r="A3" s="278" t="s">
        <v>113</v>
      </c>
      <c r="B3" s="280" t="s">
        <v>112</v>
      </c>
      <c r="C3" s="275" t="s">
        <v>115</v>
      </c>
      <c r="D3" s="275"/>
      <c r="E3" s="275"/>
      <c r="F3" s="275" t="s">
        <v>114</v>
      </c>
      <c r="G3" s="275"/>
      <c r="H3" s="275"/>
      <c r="I3" s="275" t="s">
        <v>116</v>
      </c>
      <c r="J3" s="275"/>
      <c r="K3" s="275"/>
      <c r="L3" s="282" t="s">
        <v>377</v>
      </c>
      <c r="M3" s="116" t="s">
        <v>117</v>
      </c>
      <c r="N3" s="116" t="s">
        <v>120</v>
      </c>
      <c r="O3" s="276" t="s">
        <v>121</v>
      </c>
    </row>
    <row r="4" spans="1:17" ht="51.75" thickBot="1" x14ac:dyDescent="0.25">
      <c r="A4" s="279"/>
      <c r="B4" s="281"/>
      <c r="C4" s="117" t="s">
        <v>122</v>
      </c>
      <c r="D4" s="117" t="s">
        <v>123</v>
      </c>
      <c r="E4" s="118" t="s">
        <v>118</v>
      </c>
      <c r="F4" s="117" t="s">
        <v>122</v>
      </c>
      <c r="G4" s="117" t="s">
        <v>124</v>
      </c>
      <c r="H4" s="118" t="s">
        <v>118</v>
      </c>
      <c r="I4" s="117" t="s">
        <v>122</v>
      </c>
      <c r="J4" s="117" t="s">
        <v>123</v>
      </c>
      <c r="K4" s="118" t="s">
        <v>118</v>
      </c>
      <c r="L4" s="283"/>
      <c r="M4" s="117" t="s">
        <v>119</v>
      </c>
      <c r="N4" s="117" t="s">
        <v>119</v>
      </c>
      <c r="O4" s="277"/>
    </row>
    <row r="5" spans="1:17" ht="27.95" customHeight="1" thickBot="1" x14ac:dyDescent="0.25">
      <c r="A5" s="7" t="s">
        <v>1</v>
      </c>
      <c r="B5" s="73" t="s">
        <v>0</v>
      </c>
      <c r="C5" s="74">
        <f>C6+C10+C13+C17+C28</f>
        <v>15000000</v>
      </c>
      <c r="D5" s="74">
        <f>D6+D10+D13+D17+D28</f>
        <v>8662901</v>
      </c>
      <c r="E5" s="75">
        <f>D5/C5</f>
        <v>0.57752673333333338</v>
      </c>
      <c r="F5" s="74">
        <f>F6+F10+F13+F17+F28</f>
        <v>23429070</v>
      </c>
      <c r="G5" s="74">
        <f>G6+G10+G13+G17+G28</f>
        <v>-180580</v>
      </c>
      <c r="H5" s="75">
        <f>G5/F5</f>
        <v>-7.707518907067161E-3</v>
      </c>
      <c r="I5" s="74">
        <f>I6+I10+I13+I17+I28</f>
        <v>0</v>
      </c>
      <c r="J5" s="74">
        <f>J6+J10+J13+J17+J28</f>
        <v>0</v>
      </c>
      <c r="K5" s="79">
        <v>0</v>
      </c>
      <c r="L5" s="74">
        <f>D5+G5+J5</f>
        <v>8482321</v>
      </c>
      <c r="M5" s="74">
        <f>M6+M10+M13+M17+M28</f>
        <v>0</v>
      </c>
      <c r="N5" s="80">
        <f>N6+N10+N13+N17+N28</f>
        <v>0</v>
      </c>
      <c r="O5" s="17"/>
      <c r="P5" s="10"/>
      <c r="Q5" s="10"/>
    </row>
    <row r="6" spans="1:17" ht="13.5" x14ac:dyDescent="0.25">
      <c r="A6" s="82" t="s">
        <v>3</v>
      </c>
      <c r="B6" s="76" t="s">
        <v>2</v>
      </c>
      <c r="C6" s="77">
        <f>SUM(C7:C9)</f>
        <v>0</v>
      </c>
      <c r="D6" s="77">
        <f>SUM(D7:D9)</f>
        <v>2241061</v>
      </c>
      <c r="E6" s="78">
        <v>1</v>
      </c>
      <c r="F6" s="77">
        <f>SUM(F7:F9)</f>
        <v>8949311</v>
      </c>
      <c r="G6" s="77">
        <f>G7+G8</f>
        <v>-392965</v>
      </c>
      <c r="H6" s="78">
        <f>G6/F6</f>
        <v>-4.3910084251178663E-2</v>
      </c>
      <c r="I6" s="77">
        <f>SUM(I7:I9)</f>
        <v>0</v>
      </c>
      <c r="J6" s="77">
        <f>SUM(J7:J9)</f>
        <v>0</v>
      </c>
      <c r="K6" s="78">
        <v>0</v>
      </c>
      <c r="L6" s="77">
        <f>D6+G6+J6</f>
        <v>1848096</v>
      </c>
      <c r="M6" s="77">
        <f>SUM(M7:M9)</f>
        <v>0</v>
      </c>
      <c r="N6" s="77">
        <f>SUM(N7:N9)</f>
        <v>0</v>
      </c>
      <c r="O6" s="22"/>
      <c r="P6" s="10"/>
      <c r="Q6" s="10"/>
    </row>
    <row r="7" spans="1:17" ht="25.5" x14ac:dyDescent="0.2">
      <c r="A7" s="68" t="s">
        <v>408</v>
      </c>
      <c r="B7" s="69"/>
      <c r="C7" s="67">
        <v>0</v>
      </c>
      <c r="D7" s="67">
        <v>2241061</v>
      </c>
      <c r="E7" s="239">
        <v>1</v>
      </c>
      <c r="F7" s="67">
        <v>8909311</v>
      </c>
      <c r="G7" s="67">
        <v>-442965</v>
      </c>
      <c r="H7" s="70">
        <f>G7/F7</f>
        <v>-4.9719332954029777E-2</v>
      </c>
      <c r="I7" s="66">
        <v>0</v>
      </c>
      <c r="J7" s="66">
        <v>0</v>
      </c>
      <c r="K7" s="70">
        <v>0</v>
      </c>
      <c r="L7" s="66"/>
      <c r="M7" s="66">
        <v>0</v>
      </c>
      <c r="N7" s="66">
        <v>0</v>
      </c>
      <c r="O7" s="83"/>
      <c r="P7" s="10"/>
      <c r="Q7" s="10"/>
    </row>
    <row r="8" spans="1:17" x14ac:dyDescent="0.2">
      <c r="A8" s="68" t="s">
        <v>456</v>
      </c>
      <c r="B8" s="69"/>
      <c r="C8" s="66"/>
      <c r="D8" s="66"/>
      <c r="E8" s="70"/>
      <c r="F8" s="66">
        <v>40000</v>
      </c>
      <c r="G8" s="66">
        <v>50000</v>
      </c>
      <c r="H8" s="70">
        <f>G8/F8</f>
        <v>1.25</v>
      </c>
      <c r="I8" s="66"/>
      <c r="J8" s="66"/>
      <c r="K8" s="70"/>
      <c r="L8" s="66"/>
      <c r="M8" s="66"/>
      <c r="N8" s="66"/>
      <c r="O8" s="83" t="s">
        <v>448</v>
      </c>
      <c r="P8" s="10"/>
      <c r="Q8" s="10"/>
    </row>
    <row r="9" spans="1:17" hidden="1" x14ac:dyDescent="0.2">
      <c r="A9" s="68"/>
      <c r="B9" s="69"/>
      <c r="C9" s="66"/>
      <c r="D9" s="66"/>
      <c r="E9" s="70"/>
      <c r="F9" s="66"/>
      <c r="G9" s="66"/>
      <c r="H9" s="70"/>
      <c r="I9" s="66"/>
      <c r="J9" s="66"/>
      <c r="K9" s="70"/>
      <c r="L9" s="84"/>
      <c r="M9" s="66"/>
      <c r="N9" s="66"/>
      <c r="O9" s="22"/>
      <c r="P9" s="10"/>
      <c r="Q9" s="10"/>
    </row>
    <row r="10" spans="1:17" ht="54" x14ac:dyDescent="0.25">
      <c r="A10" s="8" t="s">
        <v>5</v>
      </c>
      <c r="B10" s="3" t="s">
        <v>4</v>
      </c>
      <c r="C10" s="90">
        <f>SUM(C11:C16)</f>
        <v>0</v>
      </c>
      <c r="D10" s="90">
        <f>D11+D12</f>
        <v>72008</v>
      </c>
      <c r="E10" s="91">
        <v>0</v>
      </c>
      <c r="F10" s="90">
        <f>F11+F12</f>
        <v>206000</v>
      </c>
      <c r="G10" s="90">
        <f>G11+G12</f>
        <v>442965</v>
      </c>
      <c r="H10" s="91"/>
      <c r="I10" s="90">
        <f>SUM(I11:I16)</f>
        <v>0</v>
      </c>
      <c r="J10" s="90">
        <f>SUM(J11:J16)</f>
        <v>0</v>
      </c>
      <c r="K10" s="91">
        <v>0</v>
      </c>
      <c r="L10" s="77">
        <f>D10+G10+J10</f>
        <v>514973</v>
      </c>
      <c r="M10" s="90">
        <f>SUM(M11:M16)</f>
        <v>0</v>
      </c>
      <c r="N10" s="90">
        <f>SUM(N11:N16)</f>
        <v>0</v>
      </c>
      <c r="O10" s="22"/>
      <c r="P10" s="10"/>
      <c r="Q10" s="10"/>
    </row>
    <row r="11" spans="1:17" hidden="1" x14ac:dyDescent="0.2">
      <c r="A11" s="68"/>
      <c r="B11" s="69"/>
      <c r="C11" s="66"/>
      <c r="D11" s="66"/>
      <c r="E11" s="70">
        <v>0</v>
      </c>
      <c r="F11" s="66"/>
      <c r="G11" s="66"/>
      <c r="H11" s="70">
        <v>0</v>
      </c>
      <c r="I11" s="66">
        <v>0</v>
      </c>
      <c r="J11" s="66">
        <v>0</v>
      </c>
      <c r="K11" s="70">
        <v>0</v>
      </c>
      <c r="L11" s="66"/>
      <c r="M11" s="66">
        <v>0</v>
      </c>
      <c r="N11" s="66">
        <v>0</v>
      </c>
      <c r="O11" s="22"/>
      <c r="P11" s="10"/>
      <c r="Q11" s="10"/>
    </row>
    <row r="12" spans="1:17" ht="25.5" x14ac:dyDescent="0.2">
      <c r="A12" s="68" t="s">
        <v>409</v>
      </c>
      <c r="B12" s="69"/>
      <c r="C12" s="66"/>
      <c r="D12" s="66">
        <v>72008</v>
      </c>
      <c r="E12" s="70">
        <v>1</v>
      </c>
      <c r="F12" s="66">
        <v>206000</v>
      </c>
      <c r="G12" s="66">
        <v>442965</v>
      </c>
      <c r="H12" s="70">
        <v>0</v>
      </c>
      <c r="I12" s="66">
        <v>0</v>
      </c>
      <c r="J12" s="66">
        <v>0</v>
      </c>
      <c r="K12" s="70">
        <v>0</v>
      </c>
      <c r="L12" s="66"/>
      <c r="M12" s="66">
        <v>0</v>
      </c>
      <c r="N12" s="66">
        <v>0</v>
      </c>
      <c r="O12" s="121" t="s">
        <v>427</v>
      </c>
      <c r="P12" s="10"/>
      <c r="Q12" s="10"/>
    </row>
    <row r="13" spans="1:17" s="10" customFormat="1" ht="40.5" hidden="1" x14ac:dyDescent="0.25">
      <c r="A13" s="28" t="s">
        <v>7</v>
      </c>
      <c r="B13" s="29" t="s">
        <v>6</v>
      </c>
      <c r="C13" s="30">
        <f>SUM(C14:C15)</f>
        <v>0</v>
      </c>
      <c r="D13" s="30">
        <f>D14+D15+D16</f>
        <v>0</v>
      </c>
      <c r="E13" s="241">
        <v>0</v>
      </c>
      <c r="F13" s="30">
        <f>F16+F14+F15</f>
        <v>0</v>
      </c>
      <c r="G13" s="30">
        <f>G14+G15+G16</f>
        <v>0</v>
      </c>
      <c r="H13" s="241">
        <v>0</v>
      </c>
      <c r="I13" s="66">
        <v>0</v>
      </c>
      <c r="J13" s="66">
        <v>0</v>
      </c>
      <c r="K13" s="241">
        <v>0</v>
      </c>
      <c r="L13" s="20">
        <f>D13+G13+J13</f>
        <v>0</v>
      </c>
      <c r="M13" s="66">
        <v>0</v>
      </c>
      <c r="N13" s="66">
        <v>0</v>
      </c>
      <c r="O13" s="22"/>
    </row>
    <row r="14" spans="1:17" s="10" customFormat="1" hidden="1" x14ac:dyDescent="0.2">
      <c r="A14" s="23"/>
      <c r="B14" s="24"/>
      <c r="C14" s="25"/>
      <c r="D14" s="25"/>
      <c r="E14" s="26">
        <v>0</v>
      </c>
      <c r="F14" s="25"/>
      <c r="G14" s="25"/>
      <c r="H14" s="26">
        <v>0</v>
      </c>
      <c r="I14" s="66">
        <v>0</v>
      </c>
      <c r="J14" s="66">
        <v>0</v>
      </c>
      <c r="K14" s="26">
        <v>0</v>
      </c>
      <c r="L14" s="25"/>
      <c r="M14" s="66">
        <v>0</v>
      </c>
      <c r="N14" s="66">
        <v>0</v>
      </c>
      <c r="O14" s="22"/>
    </row>
    <row r="15" spans="1:17" s="10" customFormat="1" hidden="1" x14ac:dyDescent="0.2">
      <c r="A15" s="23"/>
      <c r="B15" s="24"/>
      <c r="C15" s="25"/>
      <c r="D15" s="25"/>
      <c r="E15" s="26">
        <v>0</v>
      </c>
      <c r="F15" s="25"/>
      <c r="G15" s="25"/>
      <c r="H15" s="26">
        <v>0</v>
      </c>
      <c r="I15" s="66">
        <v>0</v>
      </c>
      <c r="J15" s="66">
        <v>0</v>
      </c>
      <c r="K15" s="26">
        <v>0</v>
      </c>
      <c r="L15" s="25"/>
      <c r="M15" s="66">
        <v>0</v>
      </c>
      <c r="N15" s="66">
        <v>0</v>
      </c>
      <c r="O15" s="22"/>
    </row>
    <row r="16" spans="1:17" s="10" customFormat="1" hidden="1" x14ac:dyDescent="0.2">
      <c r="A16" s="23"/>
      <c r="B16" s="24"/>
      <c r="C16" s="25"/>
      <c r="D16" s="32"/>
      <c r="E16" s="26"/>
      <c r="F16" s="25"/>
      <c r="G16" s="32">
        <v>0</v>
      </c>
      <c r="H16" s="26">
        <v>0</v>
      </c>
      <c r="I16" s="25"/>
      <c r="J16" s="25"/>
      <c r="K16" s="26">
        <v>0</v>
      </c>
      <c r="L16" s="27"/>
      <c r="M16" s="25"/>
      <c r="N16" s="25"/>
      <c r="O16" s="22"/>
    </row>
    <row r="17" spans="1:17" ht="40.5" x14ac:dyDescent="0.25">
      <c r="A17" s="92" t="s">
        <v>9</v>
      </c>
      <c r="B17" s="3" t="s">
        <v>8</v>
      </c>
      <c r="C17" s="90">
        <f>SUM(C18:C27)</f>
        <v>15000000</v>
      </c>
      <c r="D17" s="90">
        <f>SUM(D18:D27)</f>
        <v>6349832</v>
      </c>
      <c r="E17" s="91">
        <f>D17/C17</f>
        <v>0.42332213333333335</v>
      </c>
      <c r="F17" s="90">
        <f>SUM(F18:F27)</f>
        <v>14273759</v>
      </c>
      <c r="G17" s="90">
        <f>SUM(G18:G27)</f>
        <v>-247880</v>
      </c>
      <c r="H17" s="91">
        <f>G17/F17</f>
        <v>-1.7366133195887642E-2</v>
      </c>
      <c r="I17" s="90">
        <f>SUM(I18:I27)</f>
        <v>0</v>
      </c>
      <c r="J17" s="90">
        <f>SUM(J18:J27)</f>
        <v>0</v>
      </c>
      <c r="K17" s="91">
        <v>0</v>
      </c>
      <c r="L17" s="77">
        <f>D17+G17+J17</f>
        <v>6101952</v>
      </c>
      <c r="M17" s="90">
        <f>SUM(M18:M27)</f>
        <v>0</v>
      </c>
      <c r="N17" s="90">
        <f>SUM(N18:N27)</f>
        <v>0</v>
      </c>
      <c r="O17" s="22"/>
      <c r="P17" s="10"/>
      <c r="Q17" s="10"/>
    </row>
    <row r="18" spans="1:17" ht="25.5" x14ac:dyDescent="0.2">
      <c r="A18" s="68" t="s">
        <v>407</v>
      </c>
      <c r="B18" s="69"/>
      <c r="C18" s="67">
        <v>0</v>
      </c>
      <c r="D18" s="67">
        <f>532020.93+1438426.67</f>
        <v>1970447.6</v>
      </c>
      <c r="E18" s="239">
        <v>1</v>
      </c>
      <c r="F18" s="66">
        <v>0</v>
      </c>
      <c r="G18" s="66">
        <v>0</v>
      </c>
      <c r="H18" s="70">
        <v>0</v>
      </c>
      <c r="I18" s="66">
        <v>0</v>
      </c>
      <c r="J18" s="66">
        <v>0</v>
      </c>
      <c r="K18" s="70">
        <v>0</v>
      </c>
      <c r="L18" s="66"/>
      <c r="M18" s="66">
        <v>0</v>
      </c>
      <c r="N18" s="66">
        <v>0</v>
      </c>
      <c r="O18" s="22"/>
      <c r="P18" s="10"/>
      <c r="Q18" s="10"/>
    </row>
    <row r="19" spans="1:17" x14ac:dyDescent="0.2">
      <c r="A19" s="68" t="s">
        <v>390</v>
      </c>
      <c r="B19" s="69"/>
      <c r="C19" s="67">
        <v>15000000</v>
      </c>
      <c r="D19" s="67">
        <v>2422301</v>
      </c>
      <c r="E19" s="239">
        <f>D19/C19</f>
        <v>0.16148673333333333</v>
      </c>
      <c r="F19" s="66">
        <v>0</v>
      </c>
      <c r="G19" s="66">
        <v>0</v>
      </c>
      <c r="H19" s="70">
        <v>0</v>
      </c>
      <c r="I19" s="66">
        <v>0</v>
      </c>
      <c r="J19" s="66">
        <v>0</v>
      </c>
      <c r="K19" s="70">
        <v>0</v>
      </c>
      <c r="L19" s="66"/>
      <c r="M19" s="66">
        <v>0</v>
      </c>
      <c r="N19" s="66">
        <v>0</v>
      </c>
      <c r="O19" s="22"/>
      <c r="P19" s="10"/>
      <c r="Q19" s="10"/>
    </row>
    <row r="20" spans="1:17" ht="25.5" x14ac:dyDescent="0.2">
      <c r="A20" s="68" t="s">
        <v>406</v>
      </c>
      <c r="B20" s="69"/>
      <c r="C20" s="67">
        <v>0</v>
      </c>
      <c r="D20" s="67">
        <v>52083.4</v>
      </c>
      <c r="E20" s="239">
        <v>1</v>
      </c>
      <c r="F20" s="66">
        <v>0</v>
      </c>
      <c r="G20" s="66">
        <v>0</v>
      </c>
      <c r="H20" s="70">
        <v>0</v>
      </c>
      <c r="I20" s="66">
        <v>0</v>
      </c>
      <c r="J20" s="66">
        <v>0</v>
      </c>
      <c r="K20" s="70">
        <v>0</v>
      </c>
      <c r="L20" s="66"/>
      <c r="M20" s="66">
        <v>0</v>
      </c>
      <c r="N20" s="66">
        <v>0</v>
      </c>
      <c r="O20" s="22"/>
      <c r="P20" s="10"/>
      <c r="Q20" s="10"/>
    </row>
    <row r="21" spans="1:17" x14ac:dyDescent="0.2">
      <c r="A21" s="68" t="s">
        <v>410</v>
      </c>
      <c r="B21" s="69"/>
      <c r="C21" s="67">
        <v>0</v>
      </c>
      <c r="D21" s="67">
        <v>1625000</v>
      </c>
      <c r="E21" s="239">
        <v>1</v>
      </c>
      <c r="F21" s="66">
        <v>0</v>
      </c>
      <c r="G21" s="66">
        <v>0</v>
      </c>
      <c r="H21" s="70">
        <v>0</v>
      </c>
      <c r="I21" s="66">
        <v>0</v>
      </c>
      <c r="J21" s="66">
        <v>0</v>
      </c>
      <c r="K21" s="70">
        <v>0</v>
      </c>
      <c r="L21" s="66"/>
      <c r="M21" s="66">
        <v>0</v>
      </c>
      <c r="N21" s="66">
        <v>0</v>
      </c>
      <c r="O21" s="22"/>
      <c r="P21" s="10"/>
      <c r="Q21" s="10"/>
    </row>
    <row r="22" spans="1:17" x14ac:dyDescent="0.2">
      <c r="A22" s="68" t="s">
        <v>428</v>
      </c>
      <c r="B22" s="69"/>
      <c r="C22" s="67">
        <v>0</v>
      </c>
      <c r="D22" s="67">
        <v>0</v>
      </c>
      <c r="E22" s="239">
        <v>0</v>
      </c>
      <c r="F22" s="66">
        <f>21850+2800+3500+14155609</f>
        <v>14183759</v>
      </c>
      <c r="G22" s="66">
        <f>-6836362-20168</f>
        <v>-6856530</v>
      </c>
      <c r="H22" s="70">
        <f>G22/F22</f>
        <v>-0.48340711372775019</v>
      </c>
      <c r="I22" s="66">
        <v>0</v>
      </c>
      <c r="J22" s="66">
        <v>0</v>
      </c>
      <c r="K22" s="70">
        <v>0</v>
      </c>
      <c r="L22" s="66"/>
      <c r="M22" s="66">
        <v>0</v>
      </c>
      <c r="N22" s="66">
        <v>0</v>
      </c>
      <c r="O22" s="121" t="s">
        <v>429</v>
      </c>
      <c r="P22" s="10"/>
      <c r="Q22" s="10"/>
    </row>
    <row r="23" spans="1:17" x14ac:dyDescent="0.2">
      <c r="A23" s="68" t="s">
        <v>391</v>
      </c>
      <c r="B23" s="69"/>
      <c r="C23" s="67">
        <v>0</v>
      </c>
      <c r="D23" s="67">
        <v>280000</v>
      </c>
      <c r="E23" s="239">
        <v>1</v>
      </c>
      <c r="F23" s="66"/>
      <c r="G23" s="66"/>
      <c r="H23" s="70"/>
      <c r="I23" s="66"/>
      <c r="J23" s="66"/>
      <c r="K23" s="70"/>
      <c r="L23" s="66"/>
      <c r="M23" s="66"/>
      <c r="N23" s="66"/>
      <c r="O23" s="121" t="s">
        <v>449</v>
      </c>
      <c r="P23" s="10"/>
      <c r="Q23" s="10"/>
    </row>
    <row r="24" spans="1:17" ht="25.5" x14ac:dyDescent="0.2">
      <c r="A24" s="68" t="s">
        <v>445</v>
      </c>
      <c r="B24" s="69"/>
      <c r="C24" s="66">
        <v>0</v>
      </c>
      <c r="D24" s="66">
        <v>0</v>
      </c>
      <c r="E24" s="70">
        <v>0</v>
      </c>
      <c r="F24" s="66">
        <v>0</v>
      </c>
      <c r="G24" s="66">
        <v>6658650</v>
      </c>
      <c r="H24" s="70">
        <v>1</v>
      </c>
      <c r="I24" s="66">
        <v>0</v>
      </c>
      <c r="J24" s="66">
        <v>0</v>
      </c>
      <c r="K24" s="70">
        <v>0</v>
      </c>
      <c r="L24" s="66"/>
      <c r="M24" s="66"/>
      <c r="N24" s="66"/>
      <c r="O24" s="83" t="s">
        <v>447</v>
      </c>
      <c r="P24" s="10"/>
      <c r="Q24" s="10"/>
    </row>
    <row r="25" spans="1:17" x14ac:dyDescent="0.2">
      <c r="A25" s="68" t="s">
        <v>457</v>
      </c>
      <c r="B25" s="69"/>
      <c r="C25" s="66"/>
      <c r="D25" s="66"/>
      <c r="E25" s="70"/>
      <c r="F25" s="66">
        <v>90000</v>
      </c>
      <c r="G25" s="66">
        <v>-50000</v>
      </c>
      <c r="H25" s="70">
        <f>G25/F25</f>
        <v>-0.55555555555555558</v>
      </c>
      <c r="I25" s="66">
        <v>0</v>
      </c>
      <c r="J25" s="66">
        <v>0</v>
      </c>
      <c r="K25" s="70">
        <v>0</v>
      </c>
      <c r="L25" s="66"/>
      <c r="M25" s="66"/>
      <c r="N25" s="66"/>
      <c r="O25" s="83" t="s">
        <v>448</v>
      </c>
      <c r="P25" s="10"/>
      <c r="Q25" s="10"/>
    </row>
    <row r="26" spans="1:17" hidden="1" x14ac:dyDescent="0.2">
      <c r="A26" s="68" t="s">
        <v>379</v>
      </c>
      <c r="B26" s="69"/>
      <c r="C26" s="66"/>
      <c r="D26" s="66"/>
      <c r="E26" s="70"/>
      <c r="F26" s="66"/>
      <c r="G26" s="66"/>
      <c r="H26" s="70"/>
      <c r="I26" s="66"/>
      <c r="J26" s="66"/>
      <c r="K26" s="70"/>
      <c r="L26" s="84"/>
      <c r="M26" s="66"/>
      <c r="N26" s="66"/>
      <c r="O26" s="22"/>
      <c r="P26" s="10"/>
      <c r="Q26" s="10"/>
    </row>
    <row r="27" spans="1:17" hidden="1" x14ac:dyDescent="0.2">
      <c r="A27" s="68" t="s">
        <v>380</v>
      </c>
      <c r="B27" s="69"/>
      <c r="C27" s="66"/>
      <c r="D27" s="66"/>
      <c r="E27" s="70"/>
      <c r="F27" s="66"/>
      <c r="G27" s="66"/>
      <c r="H27" s="70"/>
      <c r="I27" s="66"/>
      <c r="J27" s="66"/>
      <c r="K27" s="70"/>
      <c r="L27" s="84"/>
      <c r="M27" s="66"/>
      <c r="N27" s="66"/>
      <c r="O27" s="22"/>
      <c r="P27" s="10"/>
      <c r="Q27" s="10"/>
    </row>
    <row r="28" spans="1:17" ht="40.5" x14ac:dyDescent="0.25">
      <c r="A28" s="8" t="s">
        <v>11</v>
      </c>
      <c r="B28" s="3" t="s">
        <v>10</v>
      </c>
      <c r="C28" s="90">
        <f>SUM(C29:C29)</f>
        <v>0</v>
      </c>
      <c r="D28" s="90">
        <f>SUM(D29:D29)</f>
        <v>0</v>
      </c>
      <c r="E28" s="91">
        <v>0</v>
      </c>
      <c r="F28" s="90">
        <f>F29+F30</f>
        <v>0</v>
      </c>
      <c r="G28" s="90">
        <f>G29+G30+G31</f>
        <v>17300</v>
      </c>
      <c r="H28" s="91">
        <v>1</v>
      </c>
      <c r="I28" s="90">
        <f>SUM(I29:I29)</f>
        <v>0</v>
      </c>
      <c r="J28" s="90">
        <f>SUM(J29:J29)</f>
        <v>0</v>
      </c>
      <c r="K28" s="91">
        <v>0</v>
      </c>
      <c r="L28" s="77">
        <f>D28+G28+J28</f>
        <v>17300</v>
      </c>
      <c r="M28" s="90">
        <f>SUM(M29:M29)</f>
        <v>0</v>
      </c>
      <c r="N28" s="90">
        <f>SUM(N29:N29)</f>
        <v>0</v>
      </c>
      <c r="O28" s="22"/>
      <c r="P28" s="10"/>
      <c r="Q28" s="10"/>
    </row>
    <row r="29" spans="1:17" hidden="1" x14ac:dyDescent="0.2">
      <c r="A29" s="68" t="s">
        <v>154</v>
      </c>
      <c r="B29" s="69"/>
      <c r="C29" s="66"/>
      <c r="D29" s="66"/>
      <c r="E29" s="70">
        <v>0</v>
      </c>
      <c r="F29" s="66"/>
      <c r="G29" s="66"/>
      <c r="H29" s="70">
        <v>0</v>
      </c>
      <c r="I29" s="66"/>
      <c r="J29" s="67"/>
      <c r="K29" s="70">
        <v>0</v>
      </c>
      <c r="L29" s="66"/>
      <c r="M29" s="66"/>
      <c r="N29" s="66"/>
      <c r="O29" s="22"/>
      <c r="P29" s="10"/>
      <c r="Q29" s="10"/>
    </row>
    <row r="30" spans="1:17" ht="25.5" x14ac:dyDescent="0.2">
      <c r="A30" s="161" t="s">
        <v>432</v>
      </c>
      <c r="B30" s="69"/>
      <c r="C30" s="66"/>
      <c r="D30" s="66"/>
      <c r="E30" s="70"/>
      <c r="F30" s="66">
        <f>0</f>
        <v>0</v>
      </c>
      <c r="G30" s="66">
        <v>1800</v>
      </c>
      <c r="H30" s="70">
        <v>1</v>
      </c>
      <c r="I30" s="66"/>
      <c r="J30" s="67"/>
      <c r="K30" s="70"/>
      <c r="L30" s="66"/>
      <c r="M30" s="66"/>
      <c r="N30" s="66"/>
      <c r="O30" s="162"/>
      <c r="P30" s="10"/>
      <c r="Q30" s="10"/>
    </row>
    <row r="31" spans="1:17" x14ac:dyDescent="0.2">
      <c r="A31" s="161" t="s">
        <v>433</v>
      </c>
      <c r="B31" s="69"/>
      <c r="C31" s="66"/>
      <c r="D31" s="66"/>
      <c r="E31" s="70"/>
      <c r="F31" s="66">
        <v>0</v>
      </c>
      <c r="G31" s="66">
        <v>15500</v>
      </c>
      <c r="H31" s="70">
        <v>1</v>
      </c>
      <c r="I31" s="66"/>
      <c r="J31" s="67"/>
      <c r="K31" s="70"/>
      <c r="L31" s="66"/>
      <c r="M31" s="66"/>
      <c r="N31" s="66"/>
      <c r="O31" s="163" t="s">
        <v>434</v>
      </c>
      <c r="P31" s="10"/>
      <c r="Q31" s="10"/>
    </row>
    <row r="32" spans="1:17" ht="39" thickBot="1" x14ac:dyDescent="0.25">
      <c r="A32" s="155" t="s">
        <v>13</v>
      </c>
      <c r="B32" s="156" t="s">
        <v>12</v>
      </c>
      <c r="C32" s="157">
        <f>C33+C44+C46+C49+C51</f>
        <v>699723249</v>
      </c>
      <c r="D32" s="157">
        <f>D33+D44+D46+D49+D51</f>
        <v>20080536</v>
      </c>
      <c r="E32" s="158">
        <f>D32/C32</f>
        <v>2.8697825931463368E-2</v>
      </c>
      <c r="F32" s="157">
        <f>-F33+F44+F46+F49+F51</f>
        <v>-280275878.25</v>
      </c>
      <c r="G32" s="157">
        <f>G33+G44+G46+G49+G51</f>
        <v>8370171</v>
      </c>
      <c r="H32" s="158">
        <v>0</v>
      </c>
      <c r="I32" s="157">
        <f>-I33+I44+I46+I49+I51</f>
        <v>0</v>
      </c>
      <c r="J32" s="157">
        <f>-J33+J44+J46+J49+J51</f>
        <v>0</v>
      </c>
      <c r="K32" s="159">
        <v>0</v>
      </c>
      <c r="L32" s="157">
        <f>D32+G32+J32</f>
        <v>28450707</v>
      </c>
      <c r="M32" s="157">
        <f>-M33+M44+M46+M49+M51</f>
        <v>0</v>
      </c>
      <c r="N32" s="160">
        <f>-N33+N44+N46+N49+N51</f>
        <v>0</v>
      </c>
      <c r="O32" s="17"/>
      <c r="P32" s="10"/>
      <c r="Q32" s="10"/>
    </row>
    <row r="33" spans="1:17" ht="27" x14ac:dyDescent="0.25">
      <c r="A33" s="82" t="s">
        <v>15</v>
      </c>
      <c r="B33" s="76" t="s">
        <v>14</v>
      </c>
      <c r="C33" s="77">
        <f>SUM(C34:C43)</f>
        <v>699723249</v>
      </c>
      <c r="D33" s="77">
        <f>SUM(D34:D43)</f>
        <v>20080536</v>
      </c>
      <c r="E33" s="78">
        <f>D33/C33</f>
        <v>2.8697825931463368E-2</v>
      </c>
      <c r="F33" s="77">
        <f>SUM(F34:F43)</f>
        <v>280475878.25</v>
      </c>
      <c r="G33" s="77">
        <f>SUM(G34:G43)</f>
        <v>7970171</v>
      </c>
      <c r="H33" s="78">
        <v>0</v>
      </c>
      <c r="I33" s="77">
        <f>SUM(I34:I43)</f>
        <v>0</v>
      </c>
      <c r="J33" s="77">
        <f>SUM(J34:J43)</f>
        <v>0</v>
      </c>
      <c r="K33" s="78">
        <v>0</v>
      </c>
      <c r="L33" s="77">
        <f>D33+G33+J33</f>
        <v>28050707</v>
      </c>
      <c r="M33" s="77">
        <f>SUM(M34:M43)</f>
        <v>0</v>
      </c>
      <c r="N33" s="77">
        <f>SUM(N34:N43)</f>
        <v>0</v>
      </c>
      <c r="O33" s="247"/>
      <c r="P33" s="10"/>
      <c r="Q33" s="10"/>
    </row>
    <row r="34" spans="1:17" ht="32.25" customHeight="1" x14ac:dyDescent="0.2">
      <c r="A34" s="68" t="s">
        <v>411</v>
      </c>
      <c r="B34" s="69"/>
      <c r="C34" s="67">
        <v>0</v>
      </c>
      <c r="D34" s="67">
        <v>9150000</v>
      </c>
      <c r="E34" s="239">
        <v>1</v>
      </c>
      <c r="F34" s="66">
        <v>361711</v>
      </c>
      <c r="G34" s="67">
        <v>485309</v>
      </c>
      <c r="H34" s="70">
        <v>0</v>
      </c>
      <c r="I34" s="66">
        <v>0</v>
      </c>
      <c r="J34" s="66">
        <v>0</v>
      </c>
      <c r="K34" s="70">
        <v>0</v>
      </c>
      <c r="L34" s="66"/>
      <c r="M34" s="66"/>
      <c r="N34" s="66"/>
      <c r="O34" s="83" t="s">
        <v>439</v>
      </c>
      <c r="P34" s="10"/>
      <c r="Q34" s="10"/>
    </row>
    <row r="35" spans="1:17" ht="32.25" customHeight="1" x14ac:dyDescent="0.2">
      <c r="A35" s="68" t="s">
        <v>134</v>
      </c>
      <c r="B35" s="69"/>
      <c r="C35" s="67">
        <f>239152029+425603979</f>
        <v>664756008</v>
      </c>
      <c r="D35" s="67">
        <f>6076004+3017867</f>
        <v>9093871</v>
      </c>
      <c r="E35" s="239">
        <f>D35/C35</f>
        <v>1.3680013253825304E-2</v>
      </c>
      <c r="F35" s="66">
        <v>0</v>
      </c>
      <c r="G35" s="66">
        <v>0</v>
      </c>
      <c r="H35" s="70">
        <v>0</v>
      </c>
      <c r="I35" s="66">
        <v>0</v>
      </c>
      <c r="J35" s="66">
        <v>0</v>
      </c>
      <c r="K35" s="70">
        <v>0</v>
      </c>
      <c r="L35" s="66"/>
      <c r="M35" s="66"/>
      <c r="N35" s="66"/>
      <c r="O35" s="83"/>
      <c r="P35" s="10"/>
      <c r="Q35" s="10"/>
    </row>
    <row r="36" spans="1:17" ht="32.25" customHeight="1" x14ac:dyDescent="0.2">
      <c r="A36" s="68" t="s">
        <v>450</v>
      </c>
      <c r="B36" s="69"/>
      <c r="C36" s="67">
        <v>26081539</v>
      </c>
      <c r="D36" s="67">
        <v>1534994</v>
      </c>
      <c r="E36" s="239">
        <f t="shared" ref="E36:E38" si="0">D36/C36</f>
        <v>5.8853658904100714E-2</v>
      </c>
      <c r="F36" s="66">
        <v>0</v>
      </c>
      <c r="G36" s="66">
        <v>0</v>
      </c>
      <c r="H36" s="70">
        <v>0</v>
      </c>
      <c r="I36" s="66">
        <v>0</v>
      </c>
      <c r="J36" s="66">
        <v>0</v>
      </c>
      <c r="K36" s="70">
        <v>0</v>
      </c>
      <c r="L36" s="66"/>
      <c r="M36" s="66"/>
      <c r="N36" s="66"/>
      <c r="O36" s="22"/>
      <c r="P36" s="10"/>
      <c r="Q36" s="10"/>
    </row>
    <row r="37" spans="1:17" x14ac:dyDescent="0.2">
      <c r="A37" s="68" t="s">
        <v>381</v>
      </c>
      <c r="B37" s="69"/>
      <c r="C37" s="67">
        <v>4013186</v>
      </c>
      <c r="D37" s="67">
        <v>125518</v>
      </c>
      <c r="E37" s="239">
        <f t="shared" si="0"/>
        <v>3.1276397356115565E-2</v>
      </c>
      <c r="F37" s="66">
        <v>0</v>
      </c>
      <c r="G37" s="66">
        <v>0</v>
      </c>
      <c r="H37" s="70">
        <v>0</v>
      </c>
      <c r="I37" s="66">
        <v>0</v>
      </c>
      <c r="J37" s="66">
        <v>0</v>
      </c>
      <c r="K37" s="70">
        <v>0</v>
      </c>
      <c r="L37" s="66"/>
      <c r="M37" s="66"/>
      <c r="N37" s="66"/>
      <c r="O37" s="22"/>
      <c r="P37" s="10"/>
      <c r="Q37" s="10"/>
    </row>
    <row r="38" spans="1:17" x14ac:dyDescent="0.2">
      <c r="A38" s="68" t="s">
        <v>135</v>
      </c>
      <c r="B38" s="69"/>
      <c r="C38" s="67">
        <v>4872516</v>
      </c>
      <c r="D38" s="67">
        <v>176153</v>
      </c>
      <c r="E38" s="239">
        <f t="shared" si="0"/>
        <v>3.6152369740807419E-2</v>
      </c>
      <c r="F38" s="66">
        <v>0</v>
      </c>
      <c r="G38" s="66">
        <v>0</v>
      </c>
      <c r="H38" s="70">
        <v>0</v>
      </c>
      <c r="I38" s="66">
        <v>0</v>
      </c>
      <c r="J38" s="66">
        <v>0</v>
      </c>
      <c r="K38" s="70">
        <v>0</v>
      </c>
      <c r="L38" s="66"/>
      <c r="M38" s="66"/>
      <c r="N38" s="66"/>
      <c r="O38" s="22"/>
      <c r="P38" s="10"/>
      <c r="Q38" s="10"/>
    </row>
    <row r="39" spans="1:17" ht="56.25" customHeight="1" x14ac:dyDescent="0.2">
      <c r="A39" s="68" t="s">
        <v>420</v>
      </c>
      <c r="B39" s="69"/>
      <c r="C39" s="67">
        <v>0</v>
      </c>
      <c r="D39" s="67">
        <v>0</v>
      </c>
      <c r="E39" s="239">
        <v>0</v>
      </c>
      <c r="F39" s="66">
        <f>315451.6+74+734584.92+5389.43+11515.3</f>
        <v>1067015.25</v>
      </c>
      <c r="G39" s="66">
        <f>-154785+100+1602-310196-2766</f>
        <v>-466045</v>
      </c>
      <c r="H39" s="70">
        <v>0</v>
      </c>
      <c r="I39" s="66">
        <v>0</v>
      </c>
      <c r="J39" s="66">
        <v>0</v>
      </c>
      <c r="K39" s="70">
        <v>0</v>
      </c>
      <c r="L39" s="66"/>
      <c r="M39" s="66"/>
      <c r="N39" s="66"/>
      <c r="O39" s="121" t="s">
        <v>421</v>
      </c>
      <c r="P39" s="10"/>
      <c r="Q39" s="10"/>
    </row>
    <row r="40" spans="1:17" ht="30.75" customHeight="1" x14ac:dyDescent="0.2">
      <c r="A40" s="68" t="s">
        <v>430</v>
      </c>
      <c r="B40" s="69"/>
      <c r="C40" s="66">
        <v>0</v>
      </c>
      <c r="D40" s="67">
        <v>0</v>
      </c>
      <c r="E40" s="70">
        <v>0</v>
      </c>
      <c r="F40" s="67">
        <v>10400000</v>
      </c>
      <c r="G40" s="66">
        <v>-2000000</v>
      </c>
      <c r="H40" s="70">
        <v>0</v>
      </c>
      <c r="I40" s="66">
        <v>0</v>
      </c>
      <c r="J40" s="66">
        <v>0</v>
      </c>
      <c r="K40" s="70">
        <v>0</v>
      </c>
      <c r="L40" s="66"/>
      <c r="M40" s="66"/>
      <c r="N40" s="66"/>
      <c r="O40" s="121" t="s">
        <v>431</v>
      </c>
      <c r="P40" s="10"/>
      <c r="Q40" s="10"/>
    </row>
    <row r="41" spans="1:17" ht="25.5" x14ac:dyDescent="0.2">
      <c r="A41" s="68" t="s">
        <v>440</v>
      </c>
      <c r="B41" s="69"/>
      <c r="C41" s="66">
        <v>0</v>
      </c>
      <c r="D41" s="67"/>
      <c r="E41" s="70">
        <v>0</v>
      </c>
      <c r="F41" s="67">
        <v>181736703</v>
      </c>
      <c r="G41" s="66">
        <f>798000+202107</f>
        <v>1000107</v>
      </c>
      <c r="H41" s="70">
        <v>0</v>
      </c>
      <c r="I41" s="66">
        <v>0</v>
      </c>
      <c r="J41" s="66">
        <v>0</v>
      </c>
      <c r="K41" s="70">
        <v>0</v>
      </c>
      <c r="L41" s="66"/>
      <c r="M41" s="66"/>
      <c r="N41" s="66"/>
      <c r="O41" s="121" t="s">
        <v>451</v>
      </c>
      <c r="P41" s="10"/>
      <c r="Q41" s="10"/>
    </row>
    <row r="42" spans="1:17" ht="25.5" x14ac:dyDescent="0.2">
      <c r="A42" s="68" t="s">
        <v>441</v>
      </c>
      <c r="B42" s="69"/>
      <c r="C42" s="66">
        <v>0</v>
      </c>
      <c r="D42" s="67">
        <v>0</v>
      </c>
      <c r="E42" s="70">
        <v>0</v>
      </c>
      <c r="F42" s="67">
        <v>86910449</v>
      </c>
      <c r="G42" s="66">
        <f>5014800+4000000+36000-100000</f>
        <v>8950800</v>
      </c>
      <c r="H42" s="70">
        <v>0</v>
      </c>
      <c r="I42" s="66">
        <v>0</v>
      </c>
      <c r="J42" s="66">
        <v>0</v>
      </c>
      <c r="K42" s="70">
        <v>0</v>
      </c>
      <c r="L42" s="66"/>
      <c r="M42" s="66"/>
      <c r="N42" s="66"/>
      <c r="O42" s="121" t="s">
        <v>452</v>
      </c>
      <c r="P42" s="10"/>
      <c r="Q42" s="10"/>
    </row>
    <row r="43" spans="1:17" hidden="1" x14ac:dyDescent="0.2">
      <c r="A43" s="68"/>
      <c r="B43" s="69"/>
      <c r="C43" s="66">
        <v>0</v>
      </c>
      <c r="D43" s="67">
        <v>0</v>
      </c>
      <c r="E43" s="70">
        <v>0</v>
      </c>
      <c r="F43" s="66"/>
      <c r="G43" s="66">
        <v>0</v>
      </c>
      <c r="H43" s="70">
        <v>0</v>
      </c>
      <c r="I43" s="66">
        <v>0</v>
      </c>
      <c r="J43" s="66">
        <v>0</v>
      </c>
      <c r="K43" s="70">
        <v>0</v>
      </c>
      <c r="L43" s="66"/>
      <c r="M43" s="66"/>
      <c r="N43" s="66"/>
      <c r="O43" s="22"/>
      <c r="P43" s="10"/>
      <c r="Q43" s="10"/>
    </row>
    <row r="44" spans="1:17" s="10" customFormat="1" ht="40.5" hidden="1" x14ac:dyDescent="0.25">
      <c r="A44" s="28" t="s">
        <v>17</v>
      </c>
      <c r="B44" s="29" t="s">
        <v>16</v>
      </c>
      <c r="C44" s="30">
        <f>SUM(C45:C45)</f>
        <v>0</v>
      </c>
      <c r="D44" s="30">
        <f>SUM(D45:D45)</f>
        <v>0</v>
      </c>
      <c r="E44" s="31">
        <v>0</v>
      </c>
      <c r="F44" s="30">
        <f>SUM(F45:F45)</f>
        <v>0</v>
      </c>
      <c r="G44" s="30">
        <f>SUM(G45:G45)</f>
        <v>0</v>
      </c>
      <c r="H44" s="31">
        <v>0</v>
      </c>
      <c r="I44" s="30">
        <f>SUM(I45:I45)</f>
        <v>0</v>
      </c>
      <c r="J44" s="30">
        <f>SUM(J45:J45)</f>
        <v>0</v>
      </c>
      <c r="K44" s="31">
        <v>0</v>
      </c>
      <c r="L44" s="20">
        <f>D44+G44+J44</f>
        <v>0</v>
      </c>
      <c r="M44" s="30">
        <f>SUM(M45:M45)</f>
        <v>0</v>
      </c>
      <c r="N44" s="30">
        <f>SUM(N45:N45)</f>
        <v>0</v>
      </c>
      <c r="O44" s="22"/>
    </row>
    <row r="45" spans="1:17" s="10" customFormat="1" hidden="1" x14ac:dyDescent="0.2">
      <c r="A45" s="23"/>
      <c r="B45" s="24"/>
      <c r="C45" s="25"/>
      <c r="D45" s="25"/>
      <c r="E45" s="26">
        <v>0</v>
      </c>
      <c r="F45" s="25"/>
      <c r="G45" s="25"/>
      <c r="H45" s="26">
        <v>0</v>
      </c>
      <c r="I45" s="25"/>
      <c r="J45" s="25"/>
      <c r="K45" s="26">
        <v>0</v>
      </c>
      <c r="L45" s="25"/>
      <c r="M45" s="25"/>
      <c r="N45" s="25"/>
      <c r="O45" s="22"/>
    </row>
    <row r="46" spans="1:17" ht="40.5" x14ac:dyDescent="0.25">
      <c r="A46" s="8" t="s">
        <v>19</v>
      </c>
      <c r="B46" s="3" t="s">
        <v>18</v>
      </c>
      <c r="C46" s="90">
        <f>SUM(C47:C48)</f>
        <v>0</v>
      </c>
      <c r="D46" s="90">
        <f>SUM(D47:D48)</f>
        <v>0</v>
      </c>
      <c r="E46" s="91">
        <v>0</v>
      </c>
      <c r="F46" s="90">
        <f>SUM(F47:F48)</f>
        <v>200000</v>
      </c>
      <c r="G46" s="90">
        <f>SUM(G47:G48)</f>
        <v>400000</v>
      </c>
      <c r="H46" s="91">
        <f>G46/F46</f>
        <v>2</v>
      </c>
      <c r="I46" s="90">
        <f>SUM(I47:I48)</f>
        <v>0</v>
      </c>
      <c r="J46" s="90">
        <f>SUM(J47:J48)</f>
        <v>0</v>
      </c>
      <c r="K46" s="91">
        <v>0</v>
      </c>
      <c r="L46" s="77">
        <f>D46+G46+J46</f>
        <v>400000</v>
      </c>
      <c r="M46" s="90">
        <f>SUM(M47:M48)</f>
        <v>0</v>
      </c>
      <c r="N46" s="90">
        <f>SUM(N47:N48)</f>
        <v>0</v>
      </c>
      <c r="O46" s="22"/>
      <c r="P46" s="10"/>
      <c r="Q46" s="10"/>
    </row>
    <row r="47" spans="1:17" hidden="1" x14ac:dyDescent="0.2">
      <c r="A47" s="68" t="s">
        <v>392</v>
      </c>
      <c r="B47" s="69"/>
      <c r="C47" s="66"/>
      <c r="D47" s="67"/>
      <c r="E47" s="70">
        <v>0</v>
      </c>
      <c r="F47" s="66"/>
      <c r="G47" s="66"/>
      <c r="H47" s="70">
        <v>0</v>
      </c>
      <c r="I47" s="66"/>
      <c r="J47" s="66"/>
      <c r="K47" s="70">
        <v>0</v>
      </c>
      <c r="L47" s="66"/>
      <c r="M47" s="66"/>
      <c r="N47" s="25"/>
      <c r="O47" s="22"/>
      <c r="P47" s="10"/>
      <c r="Q47" s="10"/>
    </row>
    <row r="48" spans="1:17" ht="13.5" thickBot="1" x14ac:dyDescent="0.25">
      <c r="A48" s="68" t="s">
        <v>166</v>
      </c>
      <c r="B48" s="69"/>
      <c r="C48" s="66"/>
      <c r="D48" s="66"/>
      <c r="E48" s="70">
        <v>0</v>
      </c>
      <c r="F48" s="67">
        <v>200000</v>
      </c>
      <c r="G48" s="66">
        <v>400000</v>
      </c>
      <c r="H48" s="70">
        <f>G48/F48</f>
        <v>2</v>
      </c>
      <c r="I48" s="66"/>
      <c r="J48" s="67"/>
      <c r="K48" s="70">
        <v>0</v>
      </c>
      <c r="L48" s="66"/>
      <c r="M48" s="66"/>
      <c r="N48" s="25"/>
      <c r="O48" s="121" t="s">
        <v>454</v>
      </c>
      <c r="P48" s="10"/>
      <c r="Q48" s="10"/>
    </row>
    <row r="49" spans="1:17" s="10" customFormat="1" ht="40.5" hidden="1" x14ac:dyDescent="0.25">
      <c r="A49" s="28" t="s">
        <v>21</v>
      </c>
      <c r="B49" s="29" t="s">
        <v>20</v>
      </c>
      <c r="C49" s="30">
        <f>SUM(C50:C50)</f>
        <v>0</v>
      </c>
      <c r="D49" s="30">
        <f>SUM(D50:D50)</f>
        <v>0</v>
      </c>
      <c r="E49" s="31" t="s">
        <v>145</v>
      </c>
      <c r="F49" s="30">
        <f>SUM(F50:F50)</f>
        <v>0</v>
      </c>
      <c r="G49" s="30">
        <f>SUM(G50:G50)</f>
        <v>0</v>
      </c>
      <c r="H49" s="31">
        <v>0</v>
      </c>
      <c r="I49" s="30">
        <f>SUM(I50:I50)</f>
        <v>0</v>
      </c>
      <c r="J49" s="30">
        <f>SUM(J50:J50)</f>
        <v>0</v>
      </c>
      <c r="K49" s="31">
        <v>0</v>
      </c>
      <c r="L49" s="20">
        <f>D49+G49+J49</f>
        <v>0</v>
      </c>
      <c r="M49" s="30">
        <f>SUM(M50:M50)</f>
        <v>0</v>
      </c>
      <c r="N49" s="30">
        <f>SUM(N50:N50)</f>
        <v>0</v>
      </c>
      <c r="O49" s="22"/>
    </row>
    <row r="50" spans="1:17" s="10" customFormat="1" hidden="1" x14ac:dyDescent="0.2">
      <c r="A50" s="23" t="s">
        <v>395</v>
      </c>
      <c r="B50" s="24"/>
      <c r="C50" s="25">
        <v>0</v>
      </c>
      <c r="D50" s="25"/>
      <c r="E50" s="26">
        <v>0</v>
      </c>
      <c r="F50" s="25"/>
      <c r="G50" s="25"/>
      <c r="H50" s="26">
        <v>0</v>
      </c>
      <c r="I50" s="25"/>
      <c r="J50" s="25"/>
      <c r="K50" s="26">
        <v>0</v>
      </c>
      <c r="L50" s="25"/>
      <c r="M50" s="25"/>
      <c r="N50" s="25"/>
      <c r="O50" s="22"/>
    </row>
    <row r="51" spans="1:17" s="10" customFormat="1" ht="54" hidden="1" x14ac:dyDescent="0.25">
      <c r="A51" s="28" t="s">
        <v>23</v>
      </c>
      <c r="B51" s="29" t="s">
        <v>22</v>
      </c>
      <c r="C51" s="30">
        <f>SUM(C52:C52)</f>
        <v>0</v>
      </c>
      <c r="D51" s="30">
        <f>SUM(D52:D52)</f>
        <v>0</v>
      </c>
      <c r="E51" s="31">
        <v>0</v>
      </c>
      <c r="F51" s="30">
        <f>SUM(F52:F52)</f>
        <v>0</v>
      </c>
      <c r="G51" s="30">
        <f>SUM(G52:G52)</f>
        <v>0</v>
      </c>
      <c r="H51" s="31">
        <v>0</v>
      </c>
      <c r="I51" s="30">
        <f>SUM(I52:I52)</f>
        <v>0</v>
      </c>
      <c r="J51" s="30">
        <f>SUM(J52:J52)</f>
        <v>0</v>
      </c>
      <c r="K51" s="31">
        <v>0</v>
      </c>
      <c r="L51" s="20">
        <f>D51+G51+J51</f>
        <v>0</v>
      </c>
      <c r="M51" s="30">
        <f>SUM(M52:M52)</f>
        <v>0</v>
      </c>
      <c r="N51" s="30">
        <f>SUM(N52:N52)</f>
        <v>0</v>
      </c>
      <c r="O51" s="22"/>
    </row>
    <row r="52" spans="1:17" s="10" customFormat="1" ht="13.5" hidden="1" thickBot="1" x14ac:dyDescent="0.25">
      <c r="A52" s="23"/>
      <c r="B52" s="24"/>
      <c r="C52" s="25"/>
      <c r="D52" s="25"/>
      <c r="E52" s="26">
        <v>0</v>
      </c>
      <c r="F52" s="25"/>
      <c r="G52" s="25"/>
      <c r="H52" s="26">
        <v>0</v>
      </c>
      <c r="I52" s="25"/>
      <c r="J52" s="25"/>
      <c r="K52" s="26">
        <v>0</v>
      </c>
      <c r="L52" s="25"/>
      <c r="M52" s="25"/>
      <c r="N52" s="25"/>
      <c r="O52" s="22"/>
    </row>
    <row r="53" spans="1:17" ht="26.25" thickBot="1" x14ac:dyDescent="0.25">
      <c r="A53" s="7" t="s">
        <v>25</v>
      </c>
      <c r="B53" s="73" t="s">
        <v>24</v>
      </c>
      <c r="C53" s="74">
        <f>C54+C69+C71</f>
        <v>418177858</v>
      </c>
      <c r="D53" s="74">
        <f>D54+D69+D71</f>
        <v>-206590041</v>
      </c>
      <c r="E53" s="75">
        <f>D53/C53</f>
        <v>-0.4940243416713852</v>
      </c>
      <c r="F53" s="74">
        <f>F54+F69+F71</f>
        <v>0</v>
      </c>
      <c r="G53" s="74">
        <f>G54+G69+G71</f>
        <v>0</v>
      </c>
      <c r="H53" s="75"/>
      <c r="I53" s="74">
        <f>I54+I69+I71</f>
        <v>0</v>
      </c>
      <c r="J53" s="74">
        <f>J54+J69+J71</f>
        <v>0</v>
      </c>
      <c r="K53" s="79"/>
      <c r="L53" s="74">
        <f>D53+G53+J53</f>
        <v>-206590041</v>
      </c>
      <c r="M53" s="74">
        <f>M54+M69+M71</f>
        <v>0</v>
      </c>
      <c r="N53" s="80">
        <f>N54+N69+N71</f>
        <v>0</v>
      </c>
      <c r="O53" s="81"/>
      <c r="P53" s="10"/>
      <c r="Q53" s="10"/>
    </row>
    <row r="54" spans="1:17" ht="40.5" x14ac:dyDescent="0.25">
      <c r="A54" s="82" t="s">
        <v>27</v>
      </c>
      <c r="B54" s="76" t="s">
        <v>26</v>
      </c>
      <c r="C54" s="77">
        <f>SUM(C55:C68)</f>
        <v>418177858</v>
      </c>
      <c r="D54" s="77">
        <f>SUM(D55:D68)</f>
        <v>-206590041</v>
      </c>
      <c r="E54" s="78">
        <f t="shared" ref="E54" si="1">D54/C54</f>
        <v>-0.4940243416713852</v>
      </c>
      <c r="F54" s="77">
        <f>SUM(F55:F68)</f>
        <v>0</v>
      </c>
      <c r="G54" s="77">
        <f>SUM(G55:G68)</f>
        <v>0</v>
      </c>
      <c r="H54" s="78">
        <v>0</v>
      </c>
      <c r="I54" s="77">
        <f>SUM(I55:I68)</f>
        <v>0</v>
      </c>
      <c r="J54" s="77">
        <f>SUM(J55:J68)</f>
        <v>0</v>
      </c>
      <c r="K54" s="78">
        <v>0</v>
      </c>
      <c r="L54" s="77">
        <f>D54+G54+J54</f>
        <v>-206590041</v>
      </c>
      <c r="M54" s="77">
        <f>SUM(M55:M68)</f>
        <v>0</v>
      </c>
      <c r="N54" s="77">
        <f>SUM(N55:N68)</f>
        <v>0</v>
      </c>
      <c r="O54" s="83"/>
      <c r="P54" s="10"/>
      <c r="Q54" s="10"/>
    </row>
    <row r="55" spans="1:17" ht="25.5" x14ac:dyDescent="0.2">
      <c r="A55" s="68" t="s">
        <v>394</v>
      </c>
      <c r="B55" s="69"/>
      <c r="C55" s="67">
        <v>10454218</v>
      </c>
      <c r="D55" s="67">
        <v>2099058</v>
      </c>
      <c r="E55" s="70">
        <f>D55/C55</f>
        <v>0.20078574982844244</v>
      </c>
      <c r="F55" s="66">
        <v>0</v>
      </c>
      <c r="G55" s="66">
        <v>0</v>
      </c>
      <c r="H55" s="70"/>
      <c r="I55" s="66">
        <v>0</v>
      </c>
      <c r="J55" s="66">
        <v>0</v>
      </c>
      <c r="K55" s="70"/>
      <c r="L55" s="66"/>
      <c r="M55" s="66">
        <v>0</v>
      </c>
      <c r="N55" s="66">
        <v>0</v>
      </c>
      <c r="O55" s="83"/>
      <c r="P55" s="10"/>
      <c r="Q55" s="10"/>
    </row>
    <row r="56" spans="1:17" x14ac:dyDescent="0.2">
      <c r="A56" s="68" t="s">
        <v>138</v>
      </c>
      <c r="B56" s="69"/>
      <c r="C56" s="67">
        <v>6680228</v>
      </c>
      <c r="D56" s="67">
        <v>30997</v>
      </c>
      <c r="E56" s="70">
        <f t="shared" ref="E56:E67" si="2">D56/C56</f>
        <v>4.6401110860288001E-3</v>
      </c>
      <c r="F56" s="66">
        <v>0</v>
      </c>
      <c r="G56" s="66">
        <v>0</v>
      </c>
      <c r="H56" s="70"/>
      <c r="I56" s="66">
        <v>0</v>
      </c>
      <c r="J56" s="66">
        <v>0</v>
      </c>
      <c r="K56" s="70"/>
      <c r="L56" s="66"/>
      <c r="M56" s="66">
        <v>0</v>
      </c>
      <c r="N56" s="66">
        <v>0</v>
      </c>
      <c r="O56" s="83"/>
      <c r="P56" s="10"/>
      <c r="Q56" s="10"/>
    </row>
    <row r="57" spans="1:17" ht="15" customHeight="1" x14ac:dyDescent="0.2">
      <c r="A57" s="68" t="s">
        <v>382</v>
      </c>
      <c r="B57" s="69"/>
      <c r="C57" s="67">
        <f>182856+28500000+126144+10407856+216000</f>
        <v>39432856</v>
      </c>
      <c r="D57" s="67">
        <v>-28682856</v>
      </c>
      <c r="E57" s="70">
        <f t="shared" si="2"/>
        <v>-0.72738469666006433</v>
      </c>
      <c r="F57" s="66">
        <v>0</v>
      </c>
      <c r="G57" s="66">
        <v>0</v>
      </c>
      <c r="H57" s="70"/>
      <c r="I57" s="66">
        <v>0</v>
      </c>
      <c r="J57" s="66">
        <v>0</v>
      </c>
      <c r="K57" s="70"/>
      <c r="L57" s="66"/>
      <c r="M57" s="66">
        <v>0</v>
      </c>
      <c r="N57" s="66">
        <v>0</v>
      </c>
      <c r="O57" s="83"/>
      <c r="P57" s="10"/>
      <c r="Q57" s="10"/>
    </row>
    <row r="58" spans="1:17" ht="12.75" customHeight="1" x14ac:dyDescent="0.2">
      <c r="A58" s="68" t="s">
        <v>383</v>
      </c>
      <c r="B58" s="69"/>
      <c r="C58" s="67">
        <f>23803460+47730843</f>
        <v>71534303</v>
      </c>
      <c r="D58" s="67">
        <f>-47730843-13895061</f>
        <v>-61625904</v>
      </c>
      <c r="E58" s="70">
        <f t="shared" si="2"/>
        <v>-0.86148744609981032</v>
      </c>
      <c r="F58" s="66">
        <v>0</v>
      </c>
      <c r="G58" s="66">
        <v>0</v>
      </c>
      <c r="H58" s="70"/>
      <c r="I58" s="66">
        <v>0</v>
      </c>
      <c r="J58" s="66">
        <v>0</v>
      </c>
      <c r="K58" s="70"/>
      <c r="L58" s="66"/>
      <c r="M58" s="66">
        <v>0</v>
      </c>
      <c r="N58" s="66">
        <v>0</v>
      </c>
      <c r="O58" s="83"/>
      <c r="P58" s="10"/>
      <c r="Q58" s="10"/>
    </row>
    <row r="59" spans="1:17" x14ac:dyDescent="0.2">
      <c r="A59" s="68" t="s">
        <v>384</v>
      </c>
      <c r="B59" s="69"/>
      <c r="C59" s="67">
        <f>27230000+9497230+560000</f>
        <v>37287230</v>
      </c>
      <c r="D59" s="67">
        <f>-27230000-192623-200000</f>
        <v>-27622623</v>
      </c>
      <c r="E59" s="70">
        <f t="shared" si="2"/>
        <v>-0.74080651740555681</v>
      </c>
      <c r="F59" s="66">
        <v>0</v>
      </c>
      <c r="G59" s="66">
        <v>0</v>
      </c>
      <c r="H59" s="70"/>
      <c r="I59" s="66">
        <v>0</v>
      </c>
      <c r="J59" s="66">
        <v>0</v>
      </c>
      <c r="K59" s="70"/>
      <c r="L59" s="66"/>
      <c r="M59" s="66">
        <v>0</v>
      </c>
      <c r="N59" s="66">
        <v>0</v>
      </c>
      <c r="O59" s="83"/>
      <c r="P59" s="10"/>
      <c r="Q59" s="10"/>
    </row>
    <row r="60" spans="1:17" x14ac:dyDescent="0.2">
      <c r="A60" s="68" t="s">
        <v>139</v>
      </c>
      <c r="B60" s="69"/>
      <c r="C60" s="67">
        <f>6575717+12414062</f>
        <v>18989779</v>
      </c>
      <c r="D60" s="67">
        <f>335000-12034000-562500-152562</f>
        <v>-12414062</v>
      </c>
      <c r="E60" s="70">
        <f t="shared" si="2"/>
        <v>-0.65372335296793083</v>
      </c>
      <c r="F60" s="66">
        <v>0</v>
      </c>
      <c r="G60" s="66">
        <v>0</v>
      </c>
      <c r="H60" s="70"/>
      <c r="I60" s="66">
        <v>0</v>
      </c>
      <c r="J60" s="66">
        <v>0</v>
      </c>
      <c r="K60" s="70"/>
      <c r="L60" s="66"/>
      <c r="M60" s="66">
        <v>0</v>
      </c>
      <c r="N60" s="66">
        <v>0</v>
      </c>
      <c r="O60" s="83"/>
      <c r="P60" s="10"/>
      <c r="Q60" s="10"/>
    </row>
    <row r="61" spans="1:17" x14ac:dyDescent="0.2">
      <c r="A61" s="68" t="s">
        <v>385</v>
      </c>
      <c r="B61" s="69"/>
      <c r="C61" s="67">
        <v>2043822</v>
      </c>
      <c r="D61" s="67">
        <f>-1518504-21892</f>
        <v>-1540396</v>
      </c>
      <c r="E61" s="70">
        <f t="shared" si="2"/>
        <v>-0.75368402923542266</v>
      </c>
      <c r="F61" s="66">
        <v>0</v>
      </c>
      <c r="G61" s="66">
        <v>0</v>
      </c>
      <c r="H61" s="70"/>
      <c r="I61" s="66">
        <v>0</v>
      </c>
      <c r="J61" s="66">
        <v>0</v>
      </c>
      <c r="K61" s="70"/>
      <c r="L61" s="66"/>
      <c r="M61" s="66">
        <v>0</v>
      </c>
      <c r="N61" s="66">
        <v>0</v>
      </c>
      <c r="O61" s="83"/>
      <c r="P61" s="10"/>
      <c r="Q61" s="10"/>
    </row>
    <row r="62" spans="1:17" ht="13.7" customHeight="1" x14ac:dyDescent="0.2">
      <c r="A62" s="68" t="s">
        <v>393</v>
      </c>
      <c r="B62" s="69"/>
      <c r="C62" s="67">
        <v>4000000</v>
      </c>
      <c r="D62" s="67">
        <v>1300000</v>
      </c>
      <c r="E62" s="70">
        <f t="shared" si="2"/>
        <v>0.32500000000000001</v>
      </c>
      <c r="F62" s="66">
        <v>0</v>
      </c>
      <c r="G62" s="66">
        <v>0</v>
      </c>
      <c r="H62" s="70"/>
      <c r="I62" s="66">
        <v>0</v>
      </c>
      <c r="J62" s="66">
        <v>0</v>
      </c>
      <c r="K62" s="70"/>
      <c r="L62" s="66"/>
      <c r="M62" s="66">
        <v>0</v>
      </c>
      <c r="N62" s="66">
        <v>0</v>
      </c>
      <c r="O62" s="83"/>
      <c r="P62" s="10"/>
      <c r="Q62" s="10"/>
    </row>
    <row r="63" spans="1:17" ht="25.5" x14ac:dyDescent="0.2">
      <c r="A63" s="71" t="s">
        <v>396</v>
      </c>
      <c r="B63" s="72"/>
      <c r="C63" s="67">
        <f>13415940+33284762</f>
        <v>46700702</v>
      </c>
      <c r="D63" s="67">
        <f>-32849244-435518</f>
        <v>-33284762</v>
      </c>
      <c r="E63" s="70">
        <f t="shared" si="2"/>
        <v>-0.71272508922885147</v>
      </c>
      <c r="F63" s="66">
        <v>0</v>
      </c>
      <c r="G63" s="66">
        <v>0</v>
      </c>
      <c r="H63" s="70"/>
      <c r="I63" s="66">
        <v>0</v>
      </c>
      <c r="J63" s="66">
        <v>0</v>
      </c>
      <c r="K63" s="70"/>
      <c r="L63" s="66"/>
      <c r="M63" s="66">
        <v>0</v>
      </c>
      <c r="N63" s="66">
        <v>0</v>
      </c>
      <c r="O63" s="83"/>
      <c r="P63" s="10"/>
      <c r="Q63" s="10"/>
    </row>
    <row r="64" spans="1:17" x14ac:dyDescent="0.2">
      <c r="A64" s="71" t="s">
        <v>405</v>
      </c>
      <c r="B64" s="72"/>
      <c r="C64" s="67">
        <v>0</v>
      </c>
      <c r="D64" s="67">
        <v>555000</v>
      </c>
      <c r="E64" s="70">
        <v>1</v>
      </c>
      <c r="F64" s="66">
        <v>0</v>
      </c>
      <c r="G64" s="66">
        <v>0</v>
      </c>
      <c r="H64" s="70"/>
      <c r="I64" s="66">
        <v>0</v>
      </c>
      <c r="J64" s="66">
        <v>0</v>
      </c>
      <c r="K64" s="70"/>
      <c r="L64" s="66"/>
      <c r="M64" s="66">
        <v>0</v>
      </c>
      <c r="N64" s="66">
        <v>0</v>
      </c>
      <c r="O64" s="83"/>
      <c r="P64" s="10"/>
      <c r="Q64" s="10"/>
    </row>
    <row r="65" spans="1:17" x14ac:dyDescent="0.2">
      <c r="A65" s="71" t="s">
        <v>140</v>
      </c>
      <c r="B65" s="72"/>
      <c r="C65" s="67">
        <f>5099500+14676078+500</f>
        <v>19776078</v>
      </c>
      <c r="D65" s="67">
        <f>-14676078</f>
        <v>-14676078</v>
      </c>
      <c r="E65" s="70">
        <f t="shared" si="2"/>
        <v>-0.74211266763814343</v>
      </c>
      <c r="F65" s="66">
        <v>0</v>
      </c>
      <c r="G65" s="66">
        <v>0</v>
      </c>
      <c r="H65" s="70"/>
      <c r="I65" s="66">
        <v>0</v>
      </c>
      <c r="J65" s="66">
        <v>0</v>
      </c>
      <c r="K65" s="70"/>
      <c r="L65" s="66"/>
      <c r="M65" s="66">
        <v>0</v>
      </c>
      <c r="N65" s="66">
        <v>0</v>
      </c>
      <c r="O65" s="83"/>
      <c r="P65" s="10"/>
      <c r="Q65" s="10"/>
    </row>
    <row r="66" spans="1:17" x14ac:dyDescent="0.2">
      <c r="A66" s="71" t="s">
        <v>141</v>
      </c>
      <c r="B66" s="72"/>
      <c r="C66" s="67">
        <f>8454431+10260000+22858277+27740000+425920</f>
        <v>69738628</v>
      </c>
      <c r="D66" s="67">
        <f>-8454431-22858277-425920</f>
        <v>-31738628</v>
      </c>
      <c r="E66" s="70">
        <f t="shared" si="2"/>
        <v>-0.45510829378518891</v>
      </c>
      <c r="F66" s="66">
        <v>0</v>
      </c>
      <c r="G66" s="66">
        <v>0</v>
      </c>
      <c r="H66" s="70"/>
      <c r="I66" s="66">
        <v>0</v>
      </c>
      <c r="J66" s="66">
        <v>0</v>
      </c>
      <c r="K66" s="70"/>
      <c r="L66" s="66"/>
      <c r="M66" s="66">
        <v>0</v>
      </c>
      <c r="N66" s="66">
        <v>0</v>
      </c>
      <c r="O66" s="83"/>
      <c r="P66" s="10"/>
      <c r="Q66" s="10"/>
    </row>
    <row r="67" spans="1:17" ht="26.25" thickBot="1" x14ac:dyDescent="0.25">
      <c r="A67" s="71" t="s">
        <v>137</v>
      </c>
      <c r="B67" s="72"/>
      <c r="C67" s="67">
        <v>91540014</v>
      </c>
      <c r="D67" s="67">
        <v>1010213</v>
      </c>
      <c r="E67" s="70">
        <f t="shared" si="2"/>
        <v>1.1035753173470128E-2</v>
      </c>
      <c r="F67" s="66">
        <v>0</v>
      </c>
      <c r="G67" s="66">
        <v>0</v>
      </c>
      <c r="H67" s="70"/>
      <c r="I67" s="66">
        <v>0</v>
      </c>
      <c r="J67" s="66">
        <v>0</v>
      </c>
      <c r="K67" s="70"/>
      <c r="L67" s="66"/>
      <c r="M67" s="66">
        <v>0</v>
      </c>
      <c r="N67" s="66">
        <v>0</v>
      </c>
      <c r="O67" s="83"/>
      <c r="P67" s="10"/>
      <c r="Q67" s="10"/>
    </row>
    <row r="68" spans="1:17" ht="13.5" hidden="1" thickBot="1" x14ac:dyDescent="0.25">
      <c r="A68" s="68"/>
      <c r="B68" s="69"/>
      <c r="C68" s="67"/>
      <c r="D68" s="67"/>
      <c r="E68" s="70"/>
      <c r="F68" s="66"/>
      <c r="G68" s="66"/>
      <c r="H68" s="70"/>
      <c r="I68" s="66"/>
      <c r="J68" s="66"/>
      <c r="K68" s="70"/>
      <c r="L68" s="66"/>
      <c r="M68" s="66"/>
      <c r="N68" s="66"/>
      <c r="O68" s="83"/>
      <c r="P68" s="10"/>
      <c r="Q68" s="10"/>
    </row>
    <row r="69" spans="1:17" ht="27" hidden="1" x14ac:dyDescent="0.25">
      <c r="A69" s="28" t="s">
        <v>29</v>
      </c>
      <c r="B69" s="29" t="s">
        <v>28</v>
      </c>
      <c r="C69" s="30">
        <f>SUM(C70:C70)</f>
        <v>0</v>
      </c>
      <c r="D69" s="30">
        <f>SUM(D70:D70)</f>
        <v>0</v>
      </c>
      <c r="E69" s="31">
        <v>0</v>
      </c>
      <c r="F69" s="30">
        <f>SUM(F70:F70)</f>
        <v>0</v>
      </c>
      <c r="G69" s="30">
        <f>SUM(G70:G70)</f>
        <v>0</v>
      </c>
      <c r="H69" s="31">
        <v>0</v>
      </c>
      <c r="I69" s="30">
        <f>SUM(I70:I70)</f>
        <v>0</v>
      </c>
      <c r="J69" s="30">
        <f>SUM(J70:J70)</f>
        <v>0</v>
      </c>
      <c r="K69" s="31">
        <v>0</v>
      </c>
      <c r="L69" s="20">
        <f>D69+G69+J69</f>
        <v>0</v>
      </c>
      <c r="M69" s="30">
        <f>SUM(M70:M70)</f>
        <v>0</v>
      </c>
      <c r="N69" s="30">
        <f>SUM(N70:N70)</f>
        <v>0</v>
      </c>
      <c r="O69" s="22"/>
      <c r="P69" s="10"/>
      <c r="Q69" s="10"/>
    </row>
    <row r="70" spans="1:17" hidden="1" x14ac:dyDescent="0.2">
      <c r="A70" s="23"/>
      <c r="B70" s="24"/>
      <c r="C70" s="25"/>
      <c r="D70" s="25"/>
      <c r="E70" s="26">
        <v>0</v>
      </c>
      <c r="F70" s="25"/>
      <c r="G70" s="25"/>
      <c r="H70" s="26">
        <v>0</v>
      </c>
      <c r="I70" s="25"/>
      <c r="J70" s="25"/>
      <c r="K70" s="26">
        <v>0</v>
      </c>
      <c r="L70" s="25"/>
      <c r="M70" s="25"/>
      <c r="N70" s="25"/>
      <c r="O70" s="22"/>
      <c r="P70" s="10"/>
      <c r="Q70" s="10"/>
    </row>
    <row r="71" spans="1:17" ht="27" hidden="1" x14ac:dyDescent="0.25">
      <c r="A71" s="28" t="s">
        <v>31</v>
      </c>
      <c r="B71" s="29" t="s">
        <v>30</v>
      </c>
      <c r="C71" s="30">
        <f>SUM(C72:C72)</f>
        <v>0</v>
      </c>
      <c r="D71" s="30">
        <f>SUM(D72:D72)</f>
        <v>0</v>
      </c>
      <c r="E71" s="31">
        <v>0</v>
      </c>
      <c r="F71" s="30">
        <f>SUM(F72:F72)</f>
        <v>0</v>
      </c>
      <c r="G71" s="30">
        <f>SUM(G72:G72)</f>
        <v>0</v>
      </c>
      <c r="H71" s="31">
        <v>0</v>
      </c>
      <c r="I71" s="30">
        <f>SUM(I72:I72)</f>
        <v>0</v>
      </c>
      <c r="J71" s="30">
        <f>SUM(J72:J72)</f>
        <v>0</v>
      </c>
      <c r="K71" s="31">
        <v>0</v>
      </c>
      <c r="L71" s="20">
        <f>D71+G71+J71</f>
        <v>0</v>
      </c>
      <c r="M71" s="30">
        <f>SUM(M72:M72)</f>
        <v>0</v>
      </c>
      <c r="N71" s="30">
        <f>SUM(N72:N72)</f>
        <v>0</v>
      </c>
      <c r="O71" s="22"/>
      <c r="P71" s="10"/>
      <c r="Q71" s="10"/>
    </row>
    <row r="72" spans="1:17" ht="13.5" hidden="1" thickBot="1" x14ac:dyDescent="0.25">
      <c r="A72" s="23"/>
      <c r="B72" s="24"/>
      <c r="C72" s="25"/>
      <c r="D72" s="25"/>
      <c r="E72" s="26">
        <v>0</v>
      </c>
      <c r="F72" s="25"/>
      <c r="G72" s="25"/>
      <c r="H72" s="26">
        <v>0</v>
      </c>
      <c r="I72" s="25"/>
      <c r="J72" s="25"/>
      <c r="K72" s="26">
        <v>0</v>
      </c>
      <c r="L72" s="25"/>
      <c r="M72" s="25"/>
      <c r="N72" s="25"/>
      <c r="O72" s="22"/>
      <c r="P72" s="10"/>
      <c r="Q72" s="10"/>
    </row>
    <row r="73" spans="1:17" ht="39" thickBot="1" x14ac:dyDescent="0.25">
      <c r="A73" s="147" t="s">
        <v>33</v>
      </c>
      <c r="B73" s="123" t="s">
        <v>32</v>
      </c>
      <c r="C73" s="124">
        <f>C74+C76+C78+C82</f>
        <v>0</v>
      </c>
      <c r="D73" s="124">
        <f>D74+D76+D78+D82</f>
        <v>0</v>
      </c>
      <c r="E73" s="125">
        <v>0</v>
      </c>
      <c r="F73" s="124">
        <f>F74+F76+F78+F82</f>
        <v>16480900</v>
      </c>
      <c r="G73" s="124">
        <f>G74+G76+G78+G82</f>
        <v>-11387004</v>
      </c>
      <c r="H73" s="125">
        <f>G73/F73</f>
        <v>-0.69092124823280276</v>
      </c>
      <c r="I73" s="124">
        <f>I74+I76+I78+I82</f>
        <v>2994630</v>
      </c>
      <c r="J73" s="124">
        <f>J74+J76+J78+J82</f>
        <v>1054000</v>
      </c>
      <c r="K73" s="126">
        <f>J73/I73</f>
        <v>0.35196334772576243</v>
      </c>
      <c r="L73" s="124">
        <f>D73+G73+J73</f>
        <v>-10333004</v>
      </c>
      <c r="M73" s="124">
        <f>M74+M76+M78+M82</f>
        <v>0</v>
      </c>
      <c r="N73" s="127">
        <f>N74+N76+N78+N82</f>
        <v>0</v>
      </c>
      <c r="O73" s="128"/>
    </row>
    <row r="74" spans="1:17" ht="39" hidden="1" x14ac:dyDescent="0.25">
      <c r="A74" s="148" t="s">
        <v>35</v>
      </c>
      <c r="B74" s="149" t="s">
        <v>34</v>
      </c>
      <c r="C74" s="150">
        <f>C75</f>
        <v>0</v>
      </c>
      <c r="D74" s="150">
        <f>D75</f>
        <v>0</v>
      </c>
      <c r="E74" s="151">
        <v>0</v>
      </c>
      <c r="F74" s="150">
        <f>F75</f>
        <v>0</v>
      </c>
      <c r="G74" s="150">
        <f>G75</f>
        <v>0</v>
      </c>
      <c r="H74" s="151">
        <v>0</v>
      </c>
      <c r="I74" s="150">
        <f>I75</f>
        <v>0</v>
      </c>
      <c r="J74" s="150">
        <f>J75</f>
        <v>0</v>
      </c>
      <c r="K74" s="151">
        <v>0</v>
      </c>
      <c r="L74" s="131">
        <f>D74+G74+J74</f>
        <v>0</v>
      </c>
      <c r="M74" s="150">
        <f>M75</f>
        <v>0</v>
      </c>
      <c r="N74" s="150">
        <f>N75</f>
        <v>0</v>
      </c>
      <c r="O74" s="121"/>
    </row>
    <row r="75" spans="1:17" ht="89.25" hidden="1" x14ac:dyDescent="0.2">
      <c r="A75" s="133" t="s">
        <v>424</v>
      </c>
      <c r="B75" s="138"/>
      <c r="C75" s="135"/>
      <c r="D75" s="135"/>
      <c r="E75" s="136">
        <v>0</v>
      </c>
      <c r="F75" s="135">
        <v>0</v>
      </c>
      <c r="G75" s="135">
        <f>-1260000+1260000</f>
        <v>0</v>
      </c>
      <c r="H75" s="136">
        <v>0</v>
      </c>
      <c r="I75" s="135"/>
      <c r="J75" s="135"/>
      <c r="K75" s="136">
        <v>0</v>
      </c>
      <c r="L75" s="135"/>
      <c r="M75" s="135"/>
      <c r="N75" s="135"/>
      <c r="O75" s="121" t="s">
        <v>425</v>
      </c>
    </row>
    <row r="76" spans="1:17" ht="54" hidden="1" x14ac:dyDescent="0.25">
      <c r="A76" s="28" t="s">
        <v>37</v>
      </c>
      <c r="B76" s="29" t="s">
        <v>36</v>
      </c>
      <c r="C76" s="30">
        <f>C77</f>
        <v>0</v>
      </c>
      <c r="D76" s="30">
        <f>D77</f>
        <v>0</v>
      </c>
      <c r="E76" s="31">
        <v>0</v>
      </c>
      <c r="F76" s="30">
        <f>F77</f>
        <v>0</v>
      </c>
      <c r="G76" s="30">
        <f>G77</f>
        <v>0</v>
      </c>
      <c r="H76" s="31"/>
      <c r="I76" s="30">
        <f>I77</f>
        <v>0</v>
      </c>
      <c r="J76" s="30">
        <f>J77</f>
        <v>0</v>
      </c>
      <c r="K76" s="31">
        <v>0</v>
      </c>
      <c r="L76" s="20">
        <f>D76+G76+J76</f>
        <v>0</v>
      </c>
      <c r="M76" s="30">
        <f>M77</f>
        <v>0</v>
      </c>
      <c r="N76" s="30">
        <f>N77</f>
        <v>0</v>
      </c>
      <c r="O76" s="22"/>
      <c r="P76" s="10"/>
      <c r="Q76" s="10"/>
    </row>
    <row r="77" spans="1:17" hidden="1" x14ac:dyDescent="0.2">
      <c r="A77" s="23"/>
      <c r="B77" s="24"/>
      <c r="C77" s="25"/>
      <c r="D77" s="25"/>
      <c r="E77" s="26">
        <v>0</v>
      </c>
      <c r="F77" s="25"/>
      <c r="G77" s="25"/>
      <c r="H77" s="26"/>
      <c r="I77" s="25"/>
      <c r="J77" s="25"/>
      <c r="K77" s="26">
        <v>0</v>
      </c>
      <c r="L77" s="25"/>
      <c r="M77" s="25"/>
      <c r="N77" s="25"/>
      <c r="O77" s="22"/>
      <c r="P77" s="10"/>
      <c r="Q77" s="10"/>
    </row>
    <row r="78" spans="1:17" ht="54" x14ac:dyDescent="0.25">
      <c r="A78" s="143" t="s">
        <v>39</v>
      </c>
      <c r="B78" s="144" t="s">
        <v>38</v>
      </c>
      <c r="C78" s="145">
        <f>SUM(C79:C79)</f>
        <v>0</v>
      </c>
      <c r="D78" s="145">
        <f>SUM(D79:D79)</f>
        <v>0</v>
      </c>
      <c r="E78" s="146">
        <v>0</v>
      </c>
      <c r="F78" s="145">
        <f>F81</f>
        <v>16480900</v>
      </c>
      <c r="G78" s="145">
        <f>G79+G80+G81</f>
        <v>-11387004</v>
      </c>
      <c r="H78" s="146">
        <f>G78/F78</f>
        <v>-0.69092124823280276</v>
      </c>
      <c r="I78" s="145">
        <f>SUM(I79:I79)</f>
        <v>0</v>
      </c>
      <c r="J78" s="145">
        <f>SUM(J79:J79)</f>
        <v>0</v>
      </c>
      <c r="K78" s="146">
        <v>0</v>
      </c>
      <c r="L78" s="131">
        <f>D78+G78+J78</f>
        <v>-11387004</v>
      </c>
      <c r="M78" s="145">
        <f>SUM(M79:M79)</f>
        <v>0</v>
      </c>
      <c r="N78" s="145">
        <f>SUM(N79:N79)</f>
        <v>0</v>
      </c>
      <c r="O78" s="121"/>
    </row>
    <row r="79" spans="1:17" ht="25.5" hidden="1" x14ac:dyDescent="0.2">
      <c r="A79" s="23" t="s">
        <v>458</v>
      </c>
      <c r="B79" s="24"/>
      <c r="C79" s="25"/>
      <c r="D79" s="25"/>
      <c r="E79" s="26">
        <v>0</v>
      </c>
      <c r="F79" s="25"/>
      <c r="G79" s="25"/>
      <c r="H79" s="26" t="e">
        <f>G79/F79</f>
        <v>#DIV/0!</v>
      </c>
      <c r="I79" s="25"/>
      <c r="J79" s="25"/>
      <c r="K79" s="26">
        <v>0</v>
      </c>
      <c r="L79" s="25"/>
      <c r="M79" s="25"/>
      <c r="N79" s="25"/>
      <c r="O79" s="22"/>
      <c r="P79" s="10"/>
      <c r="Q79" s="10"/>
    </row>
    <row r="80" spans="1:17" hidden="1" x14ac:dyDescent="0.2">
      <c r="A80" s="23" t="s">
        <v>400</v>
      </c>
      <c r="B80" s="24"/>
      <c r="C80" s="25"/>
      <c r="D80" s="25"/>
      <c r="E80" s="26"/>
      <c r="F80" s="25"/>
      <c r="G80" s="25"/>
      <c r="H80" s="26" t="e">
        <f>G80/F80</f>
        <v>#DIV/0!</v>
      </c>
      <c r="I80" s="25"/>
      <c r="J80" s="25"/>
      <c r="K80" s="26"/>
      <c r="L80" s="27"/>
      <c r="M80" s="25"/>
      <c r="N80" s="25"/>
      <c r="O80" s="22"/>
      <c r="P80" s="10"/>
      <c r="Q80" s="10"/>
    </row>
    <row r="81" spans="1:17" ht="25.5" x14ac:dyDescent="0.2">
      <c r="A81" s="133" t="s">
        <v>459</v>
      </c>
      <c r="B81" s="138"/>
      <c r="C81" s="135">
        <v>0</v>
      </c>
      <c r="D81" s="135">
        <v>0</v>
      </c>
      <c r="E81" s="136">
        <v>0</v>
      </c>
      <c r="F81" s="153">
        <v>16480900</v>
      </c>
      <c r="G81" s="135">
        <v>-11387004</v>
      </c>
      <c r="H81" s="136">
        <f>G81/F81</f>
        <v>-0.69092124823280276</v>
      </c>
      <c r="I81" s="135">
        <v>0</v>
      </c>
      <c r="J81" s="135">
        <v>0</v>
      </c>
      <c r="K81" s="136">
        <v>0</v>
      </c>
      <c r="L81" s="142">
        <v>0</v>
      </c>
      <c r="M81" s="135">
        <v>0</v>
      </c>
      <c r="N81" s="135">
        <v>0</v>
      </c>
      <c r="O81" s="121" t="s">
        <v>426</v>
      </c>
    </row>
    <row r="82" spans="1:17" ht="40.5" x14ac:dyDescent="0.25">
      <c r="A82" s="8" t="s">
        <v>41</v>
      </c>
      <c r="B82" s="3" t="s">
        <v>40</v>
      </c>
      <c r="C82" s="90">
        <f>C83</f>
        <v>0</v>
      </c>
      <c r="D82" s="90">
        <f>D83</f>
        <v>0</v>
      </c>
      <c r="E82" s="91">
        <v>0</v>
      </c>
      <c r="F82" s="90">
        <f>F83</f>
        <v>0</v>
      </c>
      <c r="G82" s="90">
        <f>G83</f>
        <v>0</v>
      </c>
      <c r="H82" s="91">
        <v>0</v>
      </c>
      <c r="I82" s="90">
        <f>I83</f>
        <v>2994630</v>
      </c>
      <c r="J82" s="90">
        <f>J83</f>
        <v>1054000</v>
      </c>
      <c r="K82" s="91">
        <f>J82/I82</f>
        <v>0.35196334772576243</v>
      </c>
      <c r="L82" s="77">
        <f>D82+G82+J82</f>
        <v>1054000</v>
      </c>
      <c r="M82" s="90">
        <f>M83</f>
        <v>0</v>
      </c>
      <c r="N82" s="90">
        <f>N83</f>
        <v>0</v>
      </c>
      <c r="O82" s="22"/>
      <c r="P82" s="10"/>
      <c r="Q82" s="10"/>
    </row>
    <row r="83" spans="1:17" ht="30.75" customHeight="1" thickBot="1" x14ac:dyDescent="0.25">
      <c r="A83" s="99" t="s">
        <v>161</v>
      </c>
      <c r="B83" s="100"/>
      <c r="C83" s="101">
        <v>0</v>
      </c>
      <c r="D83" s="101">
        <v>0</v>
      </c>
      <c r="E83" s="102">
        <v>0</v>
      </c>
      <c r="F83" s="101">
        <v>0</v>
      </c>
      <c r="G83" s="101">
        <v>0</v>
      </c>
      <c r="H83" s="102">
        <v>0</v>
      </c>
      <c r="I83" s="238">
        <v>2994630</v>
      </c>
      <c r="J83" s="238">
        <v>1054000</v>
      </c>
      <c r="K83" s="240">
        <f>J83/I83</f>
        <v>0.35196334772576243</v>
      </c>
      <c r="L83" s="101">
        <v>0</v>
      </c>
      <c r="M83" s="101">
        <v>0</v>
      </c>
      <c r="N83" s="101">
        <v>0</v>
      </c>
      <c r="O83" s="22"/>
      <c r="P83" s="10"/>
      <c r="Q83" s="10"/>
    </row>
    <row r="84" spans="1:17" ht="26.25" thickBot="1" x14ac:dyDescent="0.25">
      <c r="A84" s="122" t="s">
        <v>43</v>
      </c>
      <c r="B84" s="154" t="s">
        <v>42</v>
      </c>
      <c r="C84" s="124">
        <f>C85+C87</f>
        <v>0</v>
      </c>
      <c r="D84" s="124">
        <f>D85+D87</f>
        <v>0</v>
      </c>
      <c r="E84" s="125">
        <v>0</v>
      </c>
      <c r="F84" s="124">
        <f>F85+F87</f>
        <v>0</v>
      </c>
      <c r="G84" s="124">
        <f>G85+G87</f>
        <v>0</v>
      </c>
      <c r="H84" s="125">
        <v>0</v>
      </c>
      <c r="I84" s="124">
        <f>I85+I87</f>
        <v>3430000</v>
      </c>
      <c r="J84" s="124">
        <f>J85+J87</f>
        <v>13012000</v>
      </c>
      <c r="K84" s="126">
        <v>1</v>
      </c>
      <c r="L84" s="124">
        <f>D84+G84+J84</f>
        <v>13012000</v>
      </c>
      <c r="M84" s="124">
        <f>M85+M87</f>
        <v>0</v>
      </c>
      <c r="N84" s="127">
        <f>N85+N87</f>
        <v>0</v>
      </c>
      <c r="O84" s="128"/>
    </row>
    <row r="85" spans="1:17" ht="40.5" x14ac:dyDescent="0.25">
      <c r="A85" s="82" t="s">
        <v>45</v>
      </c>
      <c r="B85" s="85" t="s">
        <v>44</v>
      </c>
      <c r="C85" s="77">
        <f>C86</f>
        <v>0</v>
      </c>
      <c r="D85" s="77">
        <f>D86</f>
        <v>0</v>
      </c>
      <c r="E85" s="78">
        <v>0</v>
      </c>
      <c r="F85" s="77">
        <f>F86</f>
        <v>0</v>
      </c>
      <c r="G85" s="77">
        <f>G86</f>
        <v>0</v>
      </c>
      <c r="H85" s="78">
        <v>0</v>
      </c>
      <c r="I85" s="77">
        <f>I86</f>
        <v>830000</v>
      </c>
      <c r="J85" s="77">
        <f>J86</f>
        <v>83000</v>
      </c>
      <c r="K85" s="78">
        <f>J85/I85</f>
        <v>0.1</v>
      </c>
      <c r="L85" s="77">
        <f>D85+G85+J85</f>
        <v>83000</v>
      </c>
      <c r="M85" s="77">
        <f>M86</f>
        <v>0</v>
      </c>
      <c r="N85" s="77">
        <f>N86</f>
        <v>0</v>
      </c>
      <c r="O85" s="22"/>
      <c r="P85" s="10"/>
      <c r="Q85" s="10"/>
    </row>
    <row r="86" spans="1:17" ht="25.5" x14ac:dyDescent="0.2">
      <c r="A86" s="108" t="s">
        <v>155</v>
      </c>
      <c r="B86" s="109"/>
      <c r="C86" s="66">
        <v>0</v>
      </c>
      <c r="D86" s="66">
        <v>0</v>
      </c>
      <c r="E86" s="70">
        <v>0</v>
      </c>
      <c r="F86" s="66">
        <v>0</v>
      </c>
      <c r="G86" s="66">
        <v>0</v>
      </c>
      <c r="H86" s="70">
        <v>0</v>
      </c>
      <c r="I86" s="67">
        <v>830000</v>
      </c>
      <c r="J86" s="67">
        <v>83000</v>
      </c>
      <c r="K86" s="239">
        <f>J86/I86</f>
        <v>0.1</v>
      </c>
      <c r="L86" s="66">
        <v>0</v>
      </c>
      <c r="M86" s="66">
        <v>0</v>
      </c>
      <c r="N86" s="66">
        <v>0</v>
      </c>
      <c r="O86" s="22"/>
      <c r="P86" s="10"/>
      <c r="Q86" s="10"/>
    </row>
    <row r="87" spans="1:17" ht="27" x14ac:dyDescent="0.25">
      <c r="A87" s="8" t="s">
        <v>47</v>
      </c>
      <c r="B87" s="105" t="s">
        <v>46</v>
      </c>
      <c r="C87" s="90">
        <f>C88</f>
        <v>0</v>
      </c>
      <c r="D87" s="90">
        <f>D88</f>
        <v>0</v>
      </c>
      <c r="E87" s="91">
        <v>0</v>
      </c>
      <c r="F87" s="90">
        <f>F88</f>
        <v>0</v>
      </c>
      <c r="G87" s="90">
        <f>G88</f>
        <v>0</v>
      </c>
      <c r="H87" s="91">
        <v>0</v>
      </c>
      <c r="I87" s="90">
        <f>I88</f>
        <v>2600000</v>
      </c>
      <c r="J87" s="90">
        <f>J88</f>
        <v>12929000</v>
      </c>
      <c r="K87" s="91">
        <f>J87/I87</f>
        <v>4.9726923076923075</v>
      </c>
      <c r="L87" s="77">
        <f>D87+G87+J87</f>
        <v>12929000</v>
      </c>
      <c r="M87" s="90">
        <f>M88</f>
        <v>0</v>
      </c>
      <c r="N87" s="90">
        <f>N88</f>
        <v>0</v>
      </c>
      <c r="O87" s="22"/>
      <c r="P87" s="10"/>
      <c r="Q87" s="10"/>
    </row>
    <row r="88" spans="1:17" ht="26.25" thickBot="1" x14ac:dyDescent="0.25">
      <c r="A88" s="106" t="s">
        <v>156</v>
      </c>
      <c r="B88" s="107"/>
      <c r="C88" s="101">
        <v>0</v>
      </c>
      <c r="D88" s="101">
        <v>0</v>
      </c>
      <c r="E88" s="102">
        <v>0</v>
      </c>
      <c r="F88" s="101">
        <v>0</v>
      </c>
      <c r="G88" s="101">
        <v>0</v>
      </c>
      <c r="H88" s="102">
        <v>0</v>
      </c>
      <c r="I88" s="238">
        <v>2600000</v>
      </c>
      <c r="J88" s="238">
        <v>12929000</v>
      </c>
      <c r="K88" s="240">
        <f>J88/I88</f>
        <v>4.9726923076923075</v>
      </c>
      <c r="L88" s="101">
        <v>0</v>
      </c>
      <c r="M88" s="101">
        <v>0</v>
      </c>
      <c r="N88" s="101">
        <v>0</v>
      </c>
      <c r="O88" s="22"/>
      <c r="P88" s="10"/>
      <c r="Q88" s="10"/>
    </row>
    <row r="89" spans="1:17" ht="39.75" thickBot="1" x14ac:dyDescent="0.3">
      <c r="A89" s="7" t="s">
        <v>49</v>
      </c>
      <c r="B89" s="73" t="s">
        <v>48</v>
      </c>
      <c r="C89" s="93">
        <f>C90+C96</f>
        <v>0</v>
      </c>
      <c r="D89" s="93">
        <f>D90+D96</f>
        <v>542366</v>
      </c>
      <c r="E89" s="75">
        <v>0</v>
      </c>
      <c r="F89" s="93">
        <f>F90+F96</f>
        <v>2550120</v>
      </c>
      <c r="G89" s="93">
        <f>G90+G96</f>
        <v>0</v>
      </c>
      <c r="H89" s="75">
        <v>0</v>
      </c>
      <c r="I89" s="93">
        <f>I90+I96</f>
        <v>0</v>
      </c>
      <c r="J89" s="93">
        <f>J90+J96</f>
        <v>0</v>
      </c>
      <c r="K89" s="79">
        <v>0</v>
      </c>
      <c r="L89" s="74">
        <f>D89+G89+J89</f>
        <v>542366</v>
      </c>
      <c r="M89" s="93">
        <f>M90+M96</f>
        <v>0</v>
      </c>
      <c r="N89" s="94">
        <f>N90+N96</f>
        <v>0</v>
      </c>
      <c r="O89" s="34"/>
      <c r="P89" s="10"/>
      <c r="Q89" s="10"/>
    </row>
    <row r="90" spans="1:17" ht="67.5" x14ac:dyDescent="0.25">
      <c r="A90" s="82" t="s">
        <v>51</v>
      </c>
      <c r="B90" s="85" t="s">
        <v>50</v>
      </c>
      <c r="C90" s="77">
        <f>SUM(C91:C95)</f>
        <v>0</v>
      </c>
      <c r="D90" s="77">
        <f>SUM(D91:D95)</f>
        <v>542366</v>
      </c>
      <c r="E90" s="78">
        <v>1</v>
      </c>
      <c r="F90" s="77">
        <f>SUM(F91:F95)</f>
        <v>2550120</v>
      </c>
      <c r="G90" s="77">
        <f>SUM(G91:G95)</f>
        <v>0</v>
      </c>
      <c r="H90" s="78">
        <v>0</v>
      </c>
      <c r="I90" s="77">
        <f>SUM(I91:I95)</f>
        <v>0</v>
      </c>
      <c r="J90" s="77">
        <f>SUM(J91:J95)</f>
        <v>0</v>
      </c>
      <c r="K90" s="78">
        <v>0</v>
      </c>
      <c r="L90" s="77">
        <f>D90+G90+J90</f>
        <v>542366</v>
      </c>
      <c r="M90" s="77">
        <f>SUM(M91:M95)</f>
        <v>0</v>
      </c>
      <c r="N90" s="77">
        <f>SUM(N91:N95)</f>
        <v>0</v>
      </c>
      <c r="O90" s="83"/>
      <c r="P90" s="10"/>
      <c r="Q90" s="10"/>
    </row>
    <row r="91" spans="1:17" ht="26.25" thickBot="1" x14ac:dyDescent="0.25">
      <c r="A91" s="68" t="s">
        <v>153</v>
      </c>
      <c r="B91" s="86"/>
      <c r="C91" s="67">
        <v>0</v>
      </c>
      <c r="D91" s="67">
        <v>542366</v>
      </c>
      <c r="E91" s="239">
        <v>1</v>
      </c>
      <c r="F91" s="66">
        <f>120+2550000</f>
        <v>2550120</v>
      </c>
      <c r="G91" s="66">
        <f>-120000+120000</f>
        <v>0</v>
      </c>
      <c r="H91" s="70">
        <v>0</v>
      </c>
      <c r="I91" s="66">
        <v>0</v>
      </c>
      <c r="J91" s="67">
        <v>0</v>
      </c>
      <c r="K91" s="70">
        <v>0</v>
      </c>
      <c r="L91" s="66">
        <v>0</v>
      </c>
      <c r="M91" s="66">
        <v>0</v>
      </c>
      <c r="N91" s="66">
        <v>0</v>
      </c>
      <c r="O91" s="83" t="s">
        <v>423</v>
      </c>
      <c r="P91" s="10"/>
      <c r="Q91" s="10"/>
    </row>
    <row r="92" spans="1:17" hidden="1" x14ac:dyDescent="0.2">
      <c r="A92" s="23"/>
      <c r="B92" s="41"/>
      <c r="C92" s="25"/>
      <c r="D92" s="25"/>
      <c r="E92" s="26">
        <v>0</v>
      </c>
      <c r="F92" s="25"/>
      <c r="G92" s="25"/>
      <c r="H92" s="26"/>
      <c r="I92" s="25"/>
      <c r="J92" s="25"/>
      <c r="K92" s="26">
        <v>0</v>
      </c>
      <c r="L92" s="25"/>
      <c r="M92" s="25"/>
      <c r="N92" s="25"/>
      <c r="O92" s="22"/>
      <c r="P92" s="10"/>
      <c r="Q92" s="10"/>
    </row>
    <row r="93" spans="1:17" hidden="1" x14ac:dyDescent="0.2">
      <c r="A93" s="23"/>
      <c r="B93" s="41"/>
      <c r="C93" s="25"/>
      <c r="D93" s="25"/>
      <c r="E93" s="26">
        <v>0</v>
      </c>
      <c r="F93" s="25"/>
      <c r="G93" s="25"/>
      <c r="H93" s="26"/>
      <c r="I93" s="25"/>
      <c r="J93" s="25"/>
      <c r="K93" s="26">
        <v>0</v>
      </c>
      <c r="L93" s="25"/>
      <c r="M93" s="25"/>
      <c r="N93" s="25"/>
      <c r="O93" s="22"/>
      <c r="P93" s="10"/>
      <c r="Q93" s="10"/>
    </row>
    <row r="94" spans="1:17" hidden="1" x14ac:dyDescent="0.2">
      <c r="A94" s="23"/>
      <c r="B94" s="41"/>
      <c r="C94" s="25"/>
      <c r="D94" s="25"/>
      <c r="E94" s="26">
        <v>0</v>
      </c>
      <c r="F94" s="25"/>
      <c r="G94" s="25"/>
      <c r="H94" s="26"/>
      <c r="I94" s="25"/>
      <c r="J94" s="25"/>
      <c r="K94" s="26">
        <v>0</v>
      </c>
      <c r="L94" s="25"/>
      <c r="M94" s="25"/>
      <c r="N94" s="25"/>
      <c r="O94" s="22"/>
      <c r="P94" s="10"/>
      <c r="Q94" s="10"/>
    </row>
    <row r="95" spans="1:17" hidden="1" x14ac:dyDescent="0.2">
      <c r="A95" s="23"/>
      <c r="B95" s="24"/>
      <c r="C95" s="25"/>
      <c r="D95" s="25"/>
      <c r="E95" s="26">
        <v>0</v>
      </c>
      <c r="F95" s="25"/>
      <c r="G95" s="25"/>
      <c r="H95" s="26"/>
      <c r="I95" s="25"/>
      <c r="J95" s="25"/>
      <c r="K95" s="26">
        <v>0</v>
      </c>
      <c r="L95" s="25"/>
      <c r="M95" s="25"/>
      <c r="N95" s="25"/>
      <c r="O95" s="22"/>
      <c r="P95" s="10"/>
      <c r="Q95" s="10"/>
    </row>
    <row r="96" spans="1:17" ht="54" hidden="1" x14ac:dyDescent="0.25">
      <c r="A96" s="28" t="s">
        <v>53</v>
      </c>
      <c r="B96" s="40" t="s">
        <v>52</v>
      </c>
      <c r="C96" s="30">
        <f>SUM(C97:C99)</f>
        <v>0</v>
      </c>
      <c r="D96" s="30">
        <f>SUM(D97:D99)</f>
        <v>0</v>
      </c>
      <c r="E96" s="31">
        <v>0</v>
      </c>
      <c r="F96" s="30">
        <f>SUM(F97:F99)</f>
        <v>0</v>
      </c>
      <c r="G96" s="30">
        <f>SUM(G97:G99)</f>
        <v>0</v>
      </c>
      <c r="H96" s="31"/>
      <c r="I96" s="30">
        <f>SUM(I97:I99)</f>
        <v>0</v>
      </c>
      <c r="J96" s="30">
        <f>SUM(J97:J99)</f>
        <v>0</v>
      </c>
      <c r="K96" s="31">
        <v>0</v>
      </c>
      <c r="L96" s="20">
        <f>D96+G96+J96</f>
        <v>0</v>
      </c>
      <c r="M96" s="30">
        <f>SUM(M97:M99)</f>
        <v>0</v>
      </c>
      <c r="N96" s="30">
        <f>SUM(N97:N99)</f>
        <v>0</v>
      </c>
      <c r="O96" s="22"/>
      <c r="P96" s="10"/>
      <c r="Q96" s="10"/>
    </row>
    <row r="97" spans="1:17" hidden="1" x14ac:dyDescent="0.2">
      <c r="A97" s="23"/>
      <c r="B97" s="41"/>
      <c r="C97" s="25"/>
      <c r="D97" s="25"/>
      <c r="E97" s="26">
        <v>0</v>
      </c>
      <c r="F97" s="25"/>
      <c r="G97" s="25"/>
      <c r="H97" s="26"/>
      <c r="I97" s="25"/>
      <c r="J97" s="25"/>
      <c r="K97" s="26">
        <v>0</v>
      </c>
      <c r="L97" s="25"/>
      <c r="M97" s="25"/>
      <c r="N97" s="25"/>
      <c r="O97" s="22"/>
      <c r="P97" s="10"/>
      <c r="Q97" s="10"/>
    </row>
    <row r="98" spans="1:17" hidden="1" x14ac:dyDescent="0.2">
      <c r="A98" s="23"/>
      <c r="B98" s="41"/>
      <c r="C98" s="25"/>
      <c r="D98" s="25"/>
      <c r="E98" s="26">
        <v>0</v>
      </c>
      <c r="F98" s="25"/>
      <c r="G98" s="25"/>
      <c r="H98" s="26"/>
      <c r="I98" s="25"/>
      <c r="J98" s="25"/>
      <c r="K98" s="26">
        <v>0</v>
      </c>
      <c r="L98" s="25"/>
      <c r="M98" s="25"/>
      <c r="N98" s="25"/>
      <c r="O98" s="22"/>
      <c r="P98" s="10"/>
      <c r="Q98" s="10"/>
    </row>
    <row r="99" spans="1:17" ht="13.5" hidden="1" thickBot="1" x14ac:dyDescent="0.25">
      <c r="A99" s="35"/>
      <c r="B99" s="42"/>
      <c r="C99" s="37"/>
      <c r="D99" s="37"/>
      <c r="E99" s="38">
        <v>0</v>
      </c>
      <c r="F99" s="37"/>
      <c r="G99" s="37"/>
      <c r="H99" s="38"/>
      <c r="I99" s="37"/>
      <c r="J99" s="37"/>
      <c r="K99" s="38">
        <v>0</v>
      </c>
      <c r="L99" s="37"/>
      <c r="M99" s="37"/>
      <c r="N99" s="37"/>
      <c r="O99" s="22"/>
      <c r="P99" s="10"/>
      <c r="Q99" s="10"/>
    </row>
    <row r="100" spans="1:17" ht="39" thickBot="1" x14ac:dyDescent="0.25">
      <c r="A100" s="122" t="s">
        <v>55</v>
      </c>
      <c r="B100" s="123" t="s">
        <v>54</v>
      </c>
      <c r="C100" s="124">
        <f>C101+C106</f>
        <v>0</v>
      </c>
      <c r="D100" s="124">
        <f>D101+D106</f>
        <v>0</v>
      </c>
      <c r="E100" s="125">
        <v>0</v>
      </c>
      <c r="F100" s="124">
        <f>F101+F106</f>
        <v>23436</v>
      </c>
      <c r="G100" s="124">
        <f>G101+G106</f>
        <v>707584</v>
      </c>
      <c r="H100" s="125">
        <f>G100/F100</f>
        <v>30.192182966376514</v>
      </c>
      <c r="I100" s="124">
        <f>I101+I106</f>
        <v>0</v>
      </c>
      <c r="J100" s="124">
        <f>J101+J106</f>
        <v>0</v>
      </c>
      <c r="K100" s="126">
        <v>0</v>
      </c>
      <c r="L100" s="124">
        <f>D100+G100+J100</f>
        <v>707584</v>
      </c>
      <c r="M100" s="124">
        <f>M101+M106</f>
        <v>0</v>
      </c>
      <c r="N100" s="127">
        <f>N101+N106</f>
        <v>0</v>
      </c>
      <c r="O100" s="128"/>
    </row>
    <row r="101" spans="1:17" ht="67.5" x14ac:dyDescent="0.25">
      <c r="A101" s="129" t="s">
        <v>57</v>
      </c>
      <c r="B101" s="130" t="s">
        <v>56</v>
      </c>
      <c r="C101" s="131">
        <f>SUM(C102:C105)</f>
        <v>0</v>
      </c>
      <c r="D101" s="131">
        <f>SUM(D102:D105)</f>
        <v>0</v>
      </c>
      <c r="E101" s="132">
        <v>0</v>
      </c>
      <c r="F101" s="131">
        <f>SUM(F102:F105)</f>
        <v>23436</v>
      </c>
      <c r="G101" s="131">
        <f>SUM(G102:G105)</f>
        <v>707584</v>
      </c>
      <c r="H101" s="132">
        <f>G101/F101</f>
        <v>30.192182966376514</v>
      </c>
      <c r="I101" s="131">
        <f>SUM(I102:I105)</f>
        <v>0</v>
      </c>
      <c r="J101" s="131">
        <f>SUM(J102:J105)</f>
        <v>0</v>
      </c>
      <c r="K101" s="132">
        <v>0</v>
      </c>
      <c r="L101" s="131">
        <f>D101+G101+J101</f>
        <v>707584</v>
      </c>
      <c r="M101" s="131">
        <f>SUM(M102:M105)</f>
        <v>0</v>
      </c>
      <c r="N101" s="131">
        <f>SUM(N102:N105)</f>
        <v>0</v>
      </c>
      <c r="O101" s="121"/>
    </row>
    <row r="102" spans="1:17" ht="39" thickBot="1" x14ac:dyDescent="0.25">
      <c r="A102" s="133" t="s">
        <v>378</v>
      </c>
      <c r="B102" s="134"/>
      <c r="C102" s="135">
        <v>0</v>
      </c>
      <c r="D102" s="135">
        <v>0</v>
      </c>
      <c r="E102" s="136">
        <v>0</v>
      </c>
      <c r="F102" s="135">
        <f>18000+5436</f>
        <v>23436</v>
      </c>
      <c r="G102" s="135">
        <f>-18000-5436+67000+510000+154020</f>
        <v>707584</v>
      </c>
      <c r="H102" s="136">
        <f>G102/F102</f>
        <v>30.192182966376514</v>
      </c>
      <c r="I102" s="135">
        <v>0</v>
      </c>
      <c r="J102" s="135">
        <v>0</v>
      </c>
      <c r="K102" s="136">
        <v>0</v>
      </c>
      <c r="L102" s="135">
        <v>0</v>
      </c>
      <c r="M102" s="135">
        <v>0</v>
      </c>
      <c r="N102" s="135">
        <v>0</v>
      </c>
      <c r="O102" s="121" t="s">
        <v>435</v>
      </c>
    </row>
    <row r="103" spans="1:17" hidden="1" x14ac:dyDescent="0.2">
      <c r="A103" s="23"/>
      <c r="B103" s="43"/>
      <c r="C103" s="25"/>
      <c r="D103" s="25"/>
      <c r="E103" s="26">
        <v>0</v>
      </c>
      <c r="F103" s="25"/>
      <c r="G103" s="25"/>
      <c r="H103" s="26"/>
      <c r="I103" s="25"/>
      <c r="J103" s="25"/>
      <c r="K103" s="26">
        <v>0</v>
      </c>
      <c r="L103" s="25"/>
      <c r="M103" s="25"/>
      <c r="N103" s="25"/>
      <c r="O103" s="22"/>
      <c r="P103" s="10"/>
      <c r="Q103" s="10"/>
    </row>
    <row r="104" spans="1:17" hidden="1" x14ac:dyDescent="0.2">
      <c r="A104" s="23"/>
      <c r="B104" s="43"/>
      <c r="C104" s="25"/>
      <c r="D104" s="25"/>
      <c r="E104" s="26">
        <v>0</v>
      </c>
      <c r="F104" s="25"/>
      <c r="G104" s="25"/>
      <c r="H104" s="26"/>
      <c r="I104" s="25"/>
      <c r="J104" s="25"/>
      <c r="K104" s="26">
        <v>0</v>
      </c>
      <c r="L104" s="25"/>
      <c r="M104" s="25"/>
      <c r="N104" s="25"/>
      <c r="O104" s="22"/>
      <c r="P104" s="10"/>
      <c r="Q104" s="10"/>
    </row>
    <row r="105" spans="1:17" hidden="1" x14ac:dyDescent="0.2">
      <c r="A105" s="23"/>
      <c r="B105" s="43"/>
      <c r="C105" s="25"/>
      <c r="D105" s="25"/>
      <c r="E105" s="26">
        <v>0</v>
      </c>
      <c r="F105" s="25"/>
      <c r="G105" s="25"/>
      <c r="H105" s="26"/>
      <c r="I105" s="25"/>
      <c r="J105" s="25"/>
      <c r="K105" s="26">
        <v>0</v>
      </c>
      <c r="L105" s="25"/>
      <c r="M105" s="25"/>
      <c r="N105" s="25"/>
      <c r="O105" s="22"/>
      <c r="P105" s="10"/>
      <c r="Q105" s="10"/>
    </row>
    <row r="106" spans="1:17" ht="40.5" hidden="1" x14ac:dyDescent="0.25">
      <c r="A106" s="28" t="s">
        <v>59</v>
      </c>
      <c r="B106" s="29" t="s">
        <v>58</v>
      </c>
      <c r="C106" s="30">
        <f>SUM(C107:C107)</f>
        <v>0</v>
      </c>
      <c r="D106" s="30">
        <f>SUM(D107:D107)</f>
        <v>0</v>
      </c>
      <c r="E106" s="31">
        <v>0</v>
      </c>
      <c r="F106" s="30">
        <f>SUM(F107:F107)</f>
        <v>0</v>
      </c>
      <c r="G106" s="30">
        <f>SUM(G107:G107)</f>
        <v>0</v>
      </c>
      <c r="H106" s="31" t="e">
        <f>G106/F106</f>
        <v>#DIV/0!</v>
      </c>
      <c r="I106" s="30">
        <f>SUM(I107:I107)</f>
        <v>0</v>
      </c>
      <c r="J106" s="30">
        <f>SUM(J107:J107)</f>
        <v>0</v>
      </c>
      <c r="K106" s="31">
        <v>0</v>
      </c>
      <c r="L106" s="20">
        <f>D106+G106+J106</f>
        <v>0</v>
      </c>
      <c r="M106" s="30">
        <f>SUM(M107:M107)</f>
        <v>0</v>
      </c>
      <c r="N106" s="30">
        <f>SUM(N107:N107)</f>
        <v>0</v>
      </c>
      <c r="O106" s="22"/>
      <c r="P106" s="10"/>
      <c r="Q106" s="10"/>
    </row>
    <row r="107" spans="1:17" ht="32.1" hidden="1" customHeight="1" thickBot="1" x14ac:dyDescent="0.25">
      <c r="A107" s="23" t="s">
        <v>460</v>
      </c>
      <c r="B107" s="43"/>
      <c r="C107" s="25"/>
      <c r="D107" s="25"/>
      <c r="E107" s="26"/>
      <c r="F107" s="25"/>
      <c r="G107" s="25"/>
      <c r="H107" s="26" t="e">
        <f>G107/F107</f>
        <v>#DIV/0!</v>
      </c>
      <c r="I107" s="25"/>
      <c r="J107" s="25"/>
      <c r="K107" s="26">
        <v>0</v>
      </c>
      <c r="L107" s="25"/>
      <c r="M107" s="25"/>
      <c r="N107" s="25"/>
      <c r="O107" s="22"/>
      <c r="P107" s="10"/>
      <c r="Q107" s="10"/>
    </row>
    <row r="108" spans="1:17" s="243" customFormat="1" ht="39" thickBot="1" x14ac:dyDescent="0.25">
      <c r="A108" s="7" t="s">
        <v>61</v>
      </c>
      <c r="B108" s="242" t="s">
        <v>60</v>
      </c>
      <c r="C108" s="74">
        <f>C109+C111+C113</f>
        <v>0</v>
      </c>
      <c r="D108" s="74">
        <f>D109+D111+D113</f>
        <v>0</v>
      </c>
      <c r="E108" s="79">
        <v>0</v>
      </c>
      <c r="F108" s="74">
        <f>F109+F111+F113</f>
        <v>0</v>
      </c>
      <c r="G108" s="74">
        <f>G109+G111+G113</f>
        <v>0</v>
      </c>
      <c r="H108" s="79">
        <v>0</v>
      </c>
      <c r="I108" s="74">
        <f>I109+I111+I113</f>
        <v>142991</v>
      </c>
      <c r="J108" s="74">
        <f>J109+J111+J113</f>
        <v>11883</v>
      </c>
      <c r="K108" s="79">
        <v>1</v>
      </c>
      <c r="L108" s="74">
        <f>D108+G108+J108</f>
        <v>11883</v>
      </c>
      <c r="M108" s="74">
        <f>M109+M111+M113</f>
        <v>0</v>
      </c>
      <c r="N108" s="80">
        <f>N109+N111+N113</f>
        <v>0</v>
      </c>
      <c r="O108" s="81"/>
    </row>
    <row r="109" spans="1:17" ht="40.5" x14ac:dyDescent="0.25">
      <c r="A109" s="82" t="s">
        <v>401</v>
      </c>
      <c r="B109" s="85" t="s">
        <v>62</v>
      </c>
      <c r="C109" s="77">
        <f>C110</f>
        <v>0</v>
      </c>
      <c r="D109" s="77">
        <f>D110</f>
        <v>0</v>
      </c>
      <c r="E109" s="78">
        <v>0</v>
      </c>
      <c r="F109" s="77">
        <f>F110</f>
        <v>0</v>
      </c>
      <c r="G109" s="77">
        <f>G110</f>
        <v>0</v>
      </c>
      <c r="H109" s="78">
        <v>0</v>
      </c>
      <c r="I109" s="77">
        <f>I110</f>
        <v>142991</v>
      </c>
      <c r="J109" s="77">
        <f>J110</f>
        <v>11883</v>
      </c>
      <c r="K109" s="78">
        <v>1</v>
      </c>
      <c r="L109" s="77">
        <f>D109+G109+J109</f>
        <v>11883</v>
      </c>
      <c r="M109" s="77">
        <f>M110</f>
        <v>0</v>
      </c>
      <c r="N109" s="77">
        <f>N110</f>
        <v>0</v>
      </c>
      <c r="O109" s="22"/>
      <c r="P109" s="10"/>
      <c r="Q109" s="10"/>
    </row>
    <row r="110" spans="1:17" ht="26.25" thickBot="1" x14ac:dyDescent="0.25">
      <c r="A110" s="68" t="s">
        <v>160</v>
      </c>
      <c r="B110" s="86"/>
      <c r="C110" s="66">
        <v>0</v>
      </c>
      <c r="D110" s="66">
        <v>0</v>
      </c>
      <c r="E110" s="70">
        <v>0</v>
      </c>
      <c r="F110" s="66">
        <v>0</v>
      </c>
      <c r="G110" s="66">
        <v>0</v>
      </c>
      <c r="H110" s="70">
        <v>0</v>
      </c>
      <c r="I110" s="66">
        <v>142991</v>
      </c>
      <c r="J110" s="67">
        <v>11883</v>
      </c>
      <c r="K110" s="70">
        <f>J110/I110</f>
        <v>8.3103132364974019E-2</v>
      </c>
      <c r="L110" s="66"/>
      <c r="M110" s="66"/>
      <c r="N110" s="66"/>
      <c r="O110" s="22"/>
      <c r="P110" s="10"/>
      <c r="Q110" s="10"/>
    </row>
    <row r="111" spans="1:17" ht="40.5" hidden="1" x14ac:dyDescent="0.25">
      <c r="A111" s="33" t="s">
        <v>64</v>
      </c>
      <c r="B111" s="40" t="s">
        <v>63</v>
      </c>
      <c r="C111" s="30">
        <f>SUM(C112:C112)</f>
        <v>0</v>
      </c>
      <c r="D111" s="30">
        <f>SUM(D112:D112)</f>
        <v>0</v>
      </c>
      <c r="E111" s="31">
        <v>0</v>
      </c>
      <c r="F111" s="30">
        <f>SUM(F112:F112)</f>
        <v>0</v>
      </c>
      <c r="G111" s="30">
        <f>SUM(G112:G112)</f>
        <v>0</v>
      </c>
      <c r="H111" s="31"/>
      <c r="I111" s="30">
        <f>SUM(I112:I112)</f>
        <v>0</v>
      </c>
      <c r="J111" s="30">
        <f>SUM(J112:J112)</f>
        <v>0</v>
      </c>
      <c r="K111" s="31">
        <v>0</v>
      </c>
      <c r="L111" s="20">
        <f>D111+G111+J111</f>
        <v>0</v>
      </c>
      <c r="M111" s="30">
        <f>SUM(M112:M112)</f>
        <v>0</v>
      </c>
      <c r="N111" s="30">
        <f>SUM(N112:N112)</f>
        <v>0</v>
      </c>
      <c r="O111" s="22"/>
      <c r="P111" s="10"/>
      <c r="Q111" s="10"/>
    </row>
    <row r="112" spans="1:17" hidden="1" x14ac:dyDescent="0.2">
      <c r="A112" s="23"/>
      <c r="B112" s="41"/>
      <c r="C112" s="25"/>
      <c r="D112" s="25"/>
      <c r="E112" s="26">
        <v>0</v>
      </c>
      <c r="F112" s="25"/>
      <c r="G112" s="25"/>
      <c r="H112" s="26"/>
      <c r="I112" s="25"/>
      <c r="J112" s="25"/>
      <c r="K112" s="26">
        <v>0</v>
      </c>
      <c r="L112" s="25"/>
      <c r="M112" s="25"/>
      <c r="N112" s="25"/>
      <c r="O112" s="22"/>
      <c r="P112" s="10"/>
      <c r="Q112" s="10"/>
    </row>
    <row r="113" spans="1:17" ht="40.5" hidden="1" x14ac:dyDescent="0.25">
      <c r="A113" s="28" t="s">
        <v>402</v>
      </c>
      <c r="B113" s="40" t="s">
        <v>65</v>
      </c>
      <c r="C113" s="30">
        <f>SUM(C114:C114)</f>
        <v>0</v>
      </c>
      <c r="D113" s="30">
        <f>SUM(D114:D114)</f>
        <v>0</v>
      </c>
      <c r="E113" s="31">
        <v>0</v>
      </c>
      <c r="F113" s="30">
        <f>SUM(F114:F114)</f>
        <v>0</v>
      </c>
      <c r="G113" s="30">
        <f>SUM(G114:G114)</f>
        <v>0</v>
      </c>
      <c r="H113" s="31"/>
      <c r="I113" s="30">
        <f>SUM(I114:I114)</f>
        <v>0</v>
      </c>
      <c r="J113" s="30">
        <f>SUM(J114:J114)</f>
        <v>0</v>
      </c>
      <c r="K113" s="31">
        <v>0</v>
      </c>
      <c r="L113" s="20">
        <f>D113+G113+J113</f>
        <v>0</v>
      </c>
      <c r="M113" s="30">
        <f>SUM(M114:M114)</f>
        <v>0</v>
      </c>
      <c r="N113" s="30">
        <f>SUM(N114:N114)</f>
        <v>0</v>
      </c>
      <c r="O113" s="22"/>
      <c r="P113" s="10"/>
      <c r="Q113" s="10"/>
    </row>
    <row r="114" spans="1:17" ht="13.5" hidden="1" thickBot="1" x14ac:dyDescent="0.25">
      <c r="A114" s="23"/>
      <c r="B114" s="41"/>
      <c r="C114" s="25"/>
      <c r="D114" s="25"/>
      <c r="E114" s="26">
        <v>0</v>
      </c>
      <c r="F114" s="25"/>
      <c r="G114" s="25"/>
      <c r="H114" s="26"/>
      <c r="I114" s="25"/>
      <c r="J114" s="25"/>
      <c r="K114" s="26">
        <v>0</v>
      </c>
      <c r="L114" s="25"/>
      <c r="M114" s="25"/>
      <c r="N114" s="25"/>
      <c r="O114" s="22"/>
      <c r="P114" s="10"/>
      <c r="Q114" s="10"/>
    </row>
    <row r="115" spans="1:17" ht="26.25" hidden="1" thickBot="1" x14ac:dyDescent="0.25">
      <c r="A115" s="7" t="s">
        <v>67</v>
      </c>
      <c r="B115" s="73" t="s">
        <v>66</v>
      </c>
      <c r="C115" s="74">
        <f>C116+C118</f>
        <v>296171</v>
      </c>
      <c r="D115" s="74">
        <f>D116+D118</f>
        <v>0</v>
      </c>
      <c r="E115" s="75">
        <v>0</v>
      </c>
      <c r="F115" s="74">
        <f>F116+F118</f>
        <v>0</v>
      </c>
      <c r="G115" s="74">
        <f>G116+G118</f>
        <v>0</v>
      </c>
      <c r="H115" s="75">
        <v>0</v>
      </c>
      <c r="I115" s="74">
        <f>I116+I118</f>
        <v>0</v>
      </c>
      <c r="J115" s="74">
        <f>J116+J118</f>
        <v>0</v>
      </c>
      <c r="K115" s="75">
        <v>0</v>
      </c>
      <c r="L115" s="103">
        <f>D115+G115+J115</f>
        <v>0</v>
      </c>
      <c r="M115" s="74">
        <f>M116+M118</f>
        <v>0</v>
      </c>
      <c r="N115" s="80">
        <f>N116+N118</f>
        <v>0</v>
      </c>
      <c r="O115" s="34"/>
      <c r="P115" s="10"/>
      <c r="Q115" s="10"/>
    </row>
    <row r="116" spans="1:17" s="10" customFormat="1" ht="40.5" hidden="1" x14ac:dyDescent="0.25">
      <c r="A116" s="18" t="s">
        <v>403</v>
      </c>
      <c r="B116" s="19" t="s">
        <v>68</v>
      </c>
      <c r="C116" s="20">
        <f>C117</f>
        <v>0</v>
      </c>
      <c r="D116" s="20">
        <f>D117</f>
        <v>0</v>
      </c>
      <c r="E116" s="21">
        <v>0</v>
      </c>
      <c r="F116" s="20">
        <f>F117</f>
        <v>0</v>
      </c>
      <c r="G116" s="20">
        <f>G117</f>
        <v>0</v>
      </c>
      <c r="H116" s="21"/>
      <c r="I116" s="20">
        <f>I117</f>
        <v>0</v>
      </c>
      <c r="J116" s="20">
        <f>J117</f>
        <v>0</v>
      </c>
      <c r="K116" s="21">
        <v>0</v>
      </c>
      <c r="L116" s="20">
        <f>D116+G116+J116</f>
        <v>0</v>
      </c>
      <c r="M116" s="20">
        <f>M117</f>
        <v>0</v>
      </c>
      <c r="N116" s="20">
        <f>N117</f>
        <v>0</v>
      </c>
      <c r="O116" s="22"/>
    </row>
    <row r="117" spans="1:17" s="10" customFormat="1" hidden="1" x14ac:dyDescent="0.2">
      <c r="A117" s="23"/>
      <c r="B117" s="24"/>
      <c r="C117" s="25"/>
      <c r="D117" s="25"/>
      <c r="E117" s="26">
        <v>0</v>
      </c>
      <c r="F117" s="25"/>
      <c r="G117" s="25"/>
      <c r="H117" s="26"/>
      <c r="I117" s="25"/>
      <c r="J117" s="25"/>
      <c r="K117" s="26">
        <v>0</v>
      </c>
      <c r="L117" s="25"/>
      <c r="M117" s="25"/>
      <c r="N117" s="25"/>
      <c r="O117" s="22"/>
    </row>
    <row r="118" spans="1:17" ht="26.25" hidden="1" x14ac:dyDescent="0.25">
      <c r="A118" s="95" t="s">
        <v>70</v>
      </c>
      <c r="B118" s="96" t="s">
        <v>69</v>
      </c>
      <c r="C118" s="97">
        <f>C119</f>
        <v>296171</v>
      </c>
      <c r="D118" s="97">
        <f>D119</f>
        <v>0</v>
      </c>
      <c r="E118" s="98">
        <f>D118/C118</f>
        <v>0</v>
      </c>
      <c r="F118" s="97">
        <f>F119</f>
        <v>0</v>
      </c>
      <c r="G118" s="97">
        <f>G119</f>
        <v>0</v>
      </c>
      <c r="H118" s="98">
        <v>0</v>
      </c>
      <c r="I118" s="97">
        <f>I119</f>
        <v>0</v>
      </c>
      <c r="J118" s="97">
        <f>J119</f>
        <v>0</v>
      </c>
      <c r="K118" s="98">
        <v>0</v>
      </c>
      <c r="L118" s="77">
        <f>D118+G118+J118</f>
        <v>0</v>
      </c>
      <c r="M118" s="97">
        <f>M119</f>
        <v>0</v>
      </c>
      <c r="N118" s="97">
        <f>N119</f>
        <v>0</v>
      </c>
      <c r="O118" s="22"/>
      <c r="P118" s="10"/>
      <c r="Q118" s="10"/>
    </row>
    <row r="119" spans="1:17" ht="26.25" hidden="1" thickBot="1" x14ac:dyDescent="0.25">
      <c r="A119" s="99" t="s">
        <v>136</v>
      </c>
      <c r="B119" s="100" t="s">
        <v>71</v>
      </c>
      <c r="C119" s="238">
        <v>296171</v>
      </c>
      <c r="D119" s="246">
        <v>0</v>
      </c>
      <c r="E119" s="240">
        <f>D119/C119</f>
        <v>0</v>
      </c>
      <c r="F119" s="101">
        <v>0</v>
      </c>
      <c r="G119" s="101">
        <v>0</v>
      </c>
      <c r="H119" s="102">
        <v>0</v>
      </c>
      <c r="I119" s="101">
        <v>0</v>
      </c>
      <c r="J119" s="101">
        <v>0</v>
      </c>
      <c r="K119" s="102">
        <v>0</v>
      </c>
      <c r="L119" s="101">
        <v>0</v>
      </c>
      <c r="M119" s="101">
        <v>0</v>
      </c>
      <c r="N119" s="101">
        <v>0</v>
      </c>
      <c r="O119" s="22">
        <v>83186</v>
      </c>
      <c r="P119" s="10"/>
      <c r="Q119" s="10"/>
    </row>
    <row r="120" spans="1:17" ht="26.25" thickBot="1" x14ac:dyDescent="0.25">
      <c r="A120" s="7" t="s">
        <v>73</v>
      </c>
      <c r="B120" s="73" t="s">
        <v>72</v>
      </c>
      <c r="C120" s="74">
        <f>C121+C125+C127+C129</f>
        <v>0</v>
      </c>
      <c r="D120" s="74">
        <f>D121+D125+D127+D129</f>
        <v>0</v>
      </c>
      <c r="E120" s="79">
        <v>0</v>
      </c>
      <c r="F120" s="74">
        <f>F121+F125+F127+F129</f>
        <v>0</v>
      </c>
      <c r="G120" s="74">
        <f>G121+G125+G127+G129</f>
        <v>0</v>
      </c>
      <c r="H120" s="79">
        <v>0</v>
      </c>
      <c r="I120" s="74">
        <f>I121+I125+I127+I129</f>
        <v>51145881</v>
      </c>
      <c r="J120" s="74">
        <f>J121+J125+J127+J129</f>
        <v>15801056</v>
      </c>
      <c r="K120" s="79">
        <v>1</v>
      </c>
      <c r="L120" s="74">
        <f>D120+G120+J120</f>
        <v>15801056</v>
      </c>
      <c r="M120" s="74">
        <f>M121+M125+M127+M129</f>
        <v>0</v>
      </c>
      <c r="N120" s="80">
        <f>N121+N125+N127+N129</f>
        <v>0</v>
      </c>
      <c r="O120" s="34"/>
      <c r="P120" s="10"/>
      <c r="Q120" s="10"/>
    </row>
    <row r="121" spans="1:17" ht="27" x14ac:dyDescent="0.25">
      <c r="A121" s="104" t="s">
        <v>75</v>
      </c>
      <c r="B121" s="76" t="s">
        <v>74</v>
      </c>
      <c r="C121" s="77">
        <f>SUM(C122:C124)</f>
        <v>0</v>
      </c>
      <c r="D121" s="77">
        <f>SUM(D122:D124)</f>
        <v>0</v>
      </c>
      <c r="E121" s="78">
        <v>0</v>
      </c>
      <c r="F121" s="77">
        <f>SUM(F122:F124)</f>
        <v>0</v>
      </c>
      <c r="G121" s="77">
        <f>SUM(G122:G124)</f>
        <v>0</v>
      </c>
      <c r="H121" s="78">
        <v>0</v>
      </c>
      <c r="I121" s="77">
        <f>SUM(I122:I124)</f>
        <v>48145881</v>
      </c>
      <c r="J121" s="77">
        <f>SUM(J122:J124)</f>
        <v>14433884</v>
      </c>
      <c r="K121" s="78">
        <f>J121/I121</f>
        <v>0.29979478410624577</v>
      </c>
      <c r="L121" s="77">
        <f>D121+G121+J121</f>
        <v>14433884</v>
      </c>
      <c r="M121" s="77">
        <f>SUM(M122:M124)</f>
        <v>0</v>
      </c>
      <c r="N121" s="77">
        <f>SUM(N122:N124)</f>
        <v>0</v>
      </c>
      <c r="O121" s="22"/>
      <c r="P121" s="10"/>
      <c r="Q121" s="10"/>
    </row>
    <row r="122" spans="1:17" ht="30" customHeight="1" x14ac:dyDescent="0.2">
      <c r="A122" s="68" t="s">
        <v>162</v>
      </c>
      <c r="B122" s="69"/>
      <c r="C122" s="66">
        <v>0</v>
      </c>
      <c r="D122" s="66">
        <v>0</v>
      </c>
      <c r="E122" s="70">
        <v>0</v>
      </c>
      <c r="F122" s="66">
        <v>0</v>
      </c>
      <c r="G122" s="66">
        <v>0</v>
      </c>
      <c r="H122" s="70">
        <v>0</v>
      </c>
      <c r="I122" s="67">
        <v>20358183</v>
      </c>
      <c r="J122" s="67">
        <v>5000000</v>
      </c>
      <c r="K122" s="239">
        <f>J122/I122</f>
        <v>0.24560148614441671</v>
      </c>
      <c r="L122" s="66"/>
      <c r="M122" s="66"/>
      <c r="N122" s="66"/>
      <c r="O122" s="22"/>
      <c r="P122" s="10"/>
      <c r="Q122" s="10"/>
    </row>
    <row r="123" spans="1:17" ht="26.25" customHeight="1" x14ac:dyDescent="0.2">
      <c r="A123" s="68" t="s">
        <v>163</v>
      </c>
      <c r="B123" s="69"/>
      <c r="C123" s="66">
        <v>0</v>
      </c>
      <c r="D123" s="66">
        <v>0</v>
      </c>
      <c r="E123" s="70">
        <v>0</v>
      </c>
      <c r="F123" s="66">
        <v>0</v>
      </c>
      <c r="G123" s="66">
        <v>0</v>
      </c>
      <c r="H123" s="70">
        <v>0</v>
      </c>
      <c r="I123" s="67">
        <v>4126000</v>
      </c>
      <c r="J123" s="67">
        <v>1000000</v>
      </c>
      <c r="K123" s="239">
        <f>J123/I123</f>
        <v>0.24236548715462919</v>
      </c>
      <c r="L123" s="66"/>
      <c r="M123" s="66"/>
      <c r="N123" s="66"/>
      <c r="O123" s="22"/>
      <c r="P123" s="10"/>
      <c r="Q123" s="10"/>
    </row>
    <row r="124" spans="1:17" ht="25.5" x14ac:dyDescent="0.2">
      <c r="A124" s="68" t="s">
        <v>397</v>
      </c>
      <c r="B124" s="69"/>
      <c r="C124" s="66">
        <v>0</v>
      </c>
      <c r="D124" s="66">
        <v>0</v>
      </c>
      <c r="E124" s="70">
        <v>0</v>
      </c>
      <c r="F124" s="66">
        <v>0</v>
      </c>
      <c r="G124" s="66">
        <v>0</v>
      </c>
      <c r="H124" s="70">
        <v>0</v>
      </c>
      <c r="I124" s="67">
        <v>23661698</v>
      </c>
      <c r="J124" s="67">
        <v>8433884</v>
      </c>
      <c r="K124" s="239">
        <f>J124/I124</f>
        <v>0.3564361272804682</v>
      </c>
      <c r="L124" s="66"/>
      <c r="M124" s="66"/>
      <c r="N124" s="66"/>
      <c r="O124" s="83"/>
      <c r="P124" s="10"/>
      <c r="Q124" s="10"/>
    </row>
    <row r="125" spans="1:17" ht="40.5" hidden="1" x14ac:dyDescent="0.25">
      <c r="A125" s="28" t="s">
        <v>77</v>
      </c>
      <c r="B125" s="29" t="s">
        <v>76</v>
      </c>
      <c r="C125" s="30">
        <f>C126</f>
        <v>0</v>
      </c>
      <c r="D125" s="30">
        <f>D126</f>
        <v>0</v>
      </c>
      <c r="E125" s="31">
        <v>0</v>
      </c>
      <c r="F125" s="30">
        <f>F126</f>
        <v>0</v>
      </c>
      <c r="G125" s="30">
        <f>G126</f>
        <v>0</v>
      </c>
      <c r="H125" s="31">
        <v>0</v>
      </c>
      <c r="I125" s="30">
        <f>I126</f>
        <v>0</v>
      </c>
      <c r="J125" s="30">
        <f>J126</f>
        <v>0</v>
      </c>
      <c r="K125" s="31">
        <v>1</v>
      </c>
      <c r="L125" s="20">
        <f>D125+G125+J125</f>
        <v>0</v>
      </c>
      <c r="M125" s="30">
        <f>M126</f>
        <v>0</v>
      </c>
      <c r="N125" s="30">
        <f>N126</f>
        <v>0</v>
      </c>
      <c r="O125" s="22"/>
      <c r="P125" s="10"/>
      <c r="Q125" s="10"/>
    </row>
    <row r="126" spans="1:17" ht="25.5" hidden="1" x14ac:dyDescent="0.2">
      <c r="A126" s="23" t="s">
        <v>78</v>
      </c>
      <c r="B126" s="24"/>
      <c r="C126" s="25"/>
      <c r="D126" s="25"/>
      <c r="E126" s="26">
        <v>0</v>
      </c>
      <c r="F126" s="25"/>
      <c r="G126" s="25"/>
      <c r="H126" s="26">
        <v>0</v>
      </c>
      <c r="I126" s="25"/>
      <c r="J126" s="32"/>
      <c r="K126" s="26">
        <v>0</v>
      </c>
      <c r="L126" s="25"/>
      <c r="M126" s="25"/>
      <c r="N126" s="25"/>
      <c r="O126" s="22"/>
      <c r="P126" s="10"/>
      <c r="Q126" s="10"/>
    </row>
    <row r="127" spans="1:17" ht="40.5" x14ac:dyDescent="0.25">
      <c r="A127" s="8" t="s">
        <v>80</v>
      </c>
      <c r="B127" s="3" t="s">
        <v>79</v>
      </c>
      <c r="C127" s="90">
        <f>SUM(C128:C128)</f>
        <v>0</v>
      </c>
      <c r="D127" s="90">
        <f>SUM(D128:D128)</f>
        <v>0</v>
      </c>
      <c r="E127" s="91">
        <v>0</v>
      </c>
      <c r="F127" s="90">
        <f>SUM(F128:F128)</f>
        <v>0</v>
      </c>
      <c r="G127" s="90">
        <f>SUM(G128:G128)</f>
        <v>0</v>
      </c>
      <c r="H127" s="91">
        <v>0</v>
      </c>
      <c r="I127" s="90">
        <f>SUM(I128:I128)</f>
        <v>3000000</v>
      </c>
      <c r="J127" s="90">
        <f>SUM(J128:J128)</f>
        <v>1367172</v>
      </c>
      <c r="K127" s="91">
        <f>J127/I127</f>
        <v>0.45572400000000002</v>
      </c>
      <c r="L127" s="77">
        <f>D127+G127+J127</f>
        <v>1367172</v>
      </c>
      <c r="M127" s="90">
        <f>SUM(M128:M128)</f>
        <v>0</v>
      </c>
      <c r="N127" s="90">
        <f>SUM(N128:N128)</f>
        <v>0</v>
      </c>
      <c r="O127" s="22"/>
      <c r="P127" s="10"/>
      <c r="Q127" s="10"/>
    </row>
    <row r="128" spans="1:17" ht="25.5" customHeight="1" thickBot="1" x14ac:dyDescent="0.25">
      <c r="A128" s="68" t="s">
        <v>164</v>
      </c>
      <c r="B128" s="69"/>
      <c r="C128" s="66">
        <v>0</v>
      </c>
      <c r="D128" s="66">
        <v>0</v>
      </c>
      <c r="E128" s="70">
        <v>0</v>
      </c>
      <c r="F128" s="66">
        <v>0</v>
      </c>
      <c r="G128" s="66">
        <v>0</v>
      </c>
      <c r="H128" s="70">
        <v>0</v>
      </c>
      <c r="I128" s="67">
        <v>3000000</v>
      </c>
      <c r="J128" s="67">
        <v>1367172</v>
      </c>
      <c r="K128" s="239">
        <f>J128/I128</f>
        <v>0.45572400000000002</v>
      </c>
      <c r="L128" s="66"/>
      <c r="M128" s="66"/>
      <c r="N128" s="66"/>
      <c r="O128" s="22"/>
      <c r="P128" s="10"/>
      <c r="Q128" s="10"/>
    </row>
    <row r="129" spans="1:17" ht="67.5" hidden="1" x14ac:dyDescent="0.25">
      <c r="A129" s="28" t="s">
        <v>82</v>
      </c>
      <c r="B129" s="29" t="s">
        <v>81</v>
      </c>
      <c r="C129" s="30">
        <f>C130</f>
        <v>0</v>
      </c>
      <c r="D129" s="30">
        <f>D130</f>
        <v>0</v>
      </c>
      <c r="E129" s="31">
        <v>0</v>
      </c>
      <c r="F129" s="30">
        <f>F130</f>
        <v>0</v>
      </c>
      <c r="G129" s="30">
        <f>G130</f>
        <v>0</v>
      </c>
      <c r="H129" s="31">
        <v>0</v>
      </c>
      <c r="I129" s="30">
        <f>I130</f>
        <v>0</v>
      </c>
      <c r="J129" s="30">
        <f>J130</f>
        <v>0</v>
      </c>
      <c r="K129" s="31">
        <v>0</v>
      </c>
      <c r="L129" s="20">
        <f>D129+G129+J129</f>
        <v>0</v>
      </c>
      <c r="M129" s="30">
        <f>M130</f>
        <v>0</v>
      </c>
      <c r="N129" s="30">
        <f>N130</f>
        <v>0</v>
      </c>
      <c r="O129" s="22"/>
      <c r="P129" s="10"/>
      <c r="Q129" s="10"/>
    </row>
    <row r="130" spans="1:17" ht="13.5" hidden="1" thickBot="1" x14ac:dyDescent="0.25">
      <c r="A130" s="35" t="s">
        <v>165</v>
      </c>
      <c r="B130" s="36"/>
      <c r="C130" s="37"/>
      <c r="D130" s="37"/>
      <c r="E130" s="38">
        <v>0</v>
      </c>
      <c r="F130" s="37"/>
      <c r="G130" s="37"/>
      <c r="H130" s="38">
        <v>0</v>
      </c>
      <c r="I130" s="37"/>
      <c r="J130" s="39"/>
      <c r="K130" s="38">
        <v>0</v>
      </c>
      <c r="L130" s="37"/>
      <c r="M130" s="37"/>
      <c r="N130" s="37"/>
      <c r="O130" s="22"/>
      <c r="P130" s="10"/>
      <c r="Q130" s="10"/>
    </row>
    <row r="131" spans="1:17" s="243" customFormat="1" ht="39" thickBot="1" x14ac:dyDescent="0.25">
      <c r="A131" s="7" t="s">
        <v>84</v>
      </c>
      <c r="B131" s="73" t="s">
        <v>83</v>
      </c>
      <c r="C131" s="74">
        <f>C132+C136</f>
        <v>0</v>
      </c>
      <c r="D131" s="74">
        <f>D132+D136</f>
        <v>0</v>
      </c>
      <c r="E131" s="75">
        <v>1</v>
      </c>
      <c r="F131" s="74">
        <f>F132+F136</f>
        <v>0</v>
      </c>
      <c r="G131" s="74">
        <f>G132+G136</f>
        <v>0</v>
      </c>
      <c r="H131" s="75">
        <v>0</v>
      </c>
      <c r="I131" s="74">
        <f>I132+I136</f>
        <v>118713376</v>
      </c>
      <c r="J131" s="74">
        <f>J132+J136</f>
        <v>57600492</v>
      </c>
      <c r="K131" s="75">
        <v>1</v>
      </c>
      <c r="L131" s="74">
        <f>D131+G131+J131</f>
        <v>57600492</v>
      </c>
      <c r="M131" s="74">
        <f>M132+M136</f>
        <v>0</v>
      </c>
      <c r="N131" s="80">
        <f>N132+N136</f>
        <v>0</v>
      </c>
      <c r="O131" s="81"/>
    </row>
    <row r="132" spans="1:17" ht="40.5" x14ac:dyDescent="0.25">
      <c r="A132" s="82" t="s">
        <v>86</v>
      </c>
      <c r="B132" s="76" t="s">
        <v>85</v>
      </c>
      <c r="C132" s="77">
        <f>SUM(C133:C135)</f>
        <v>0</v>
      </c>
      <c r="D132" s="77">
        <f>SUM(D133:D135)</f>
        <v>0</v>
      </c>
      <c r="E132" s="78">
        <v>0</v>
      </c>
      <c r="F132" s="77">
        <f>SUM(F133:F135)</f>
        <v>0</v>
      </c>
      <c r="G132" s="77">
        <f>SUM(G133:G135)</f>
        <v>0</v>
      </c>
      <c r="H132" s="78">
        <v>0</v>
      </c>
      <c r="I132" s="77">
        <f>SUM(I133:I135)</f>
        <v>450000</v>
      </c>
      <c r="J132" s="77">
        <f>SUM(J133:J135)</f>
        <v>27490330</v>
      </c>
      <c r="K132" s="78">
        <f>J132/I132</f>
        <v>61.089622222222225</v>
      </c>
      <c r="L132" s="77">
        <f>D132+G132+J132</f>
        <v>27490330</v>
      </c>
      <c r="M132" s="77">
        <f>SUM(M133:M135)</f>
        <v>0</v>
      </c>
      <c r="N132" s="77">
        <f>SUM(N133:N135)</f>
        <v>0</v>
      </c>
      <c r="O132" s="22"/>
      <c r="P132" s="10"/>
      <c r="Q132" s="10"/>
    </row>
    <row r="133" spans="1:17" x14ac:dyDescent="0.2">
      <c r="A133" s="68" t="s">
        <v>87</v>
      </c>
      <c r="B133" s="69"/>
      <c r="C133" s="66">
        <v>0</v>
      </c>
      <c r="D133" s="66">
        <v>0</v>
      </c>
      <c r="E133" s="70">
        <v>0</v>
      </c>
      <c r="F133" s="66">
        <v>0</v>
      </c>
      <c r="G133" s="66">
        <v>0</v>
      </c>
      <c r="H133" s="70">
        <v>0</v>
      </c>
      <c r="I133" s="67">
        <v>450000</v>
      </c>
      <c r="J133" s="67">
        <v>630000</v>
      </c>
      <c r="K133" s="239">
        <f>J133/I133</f>
        <v>1.4</v>
      </c>
      <c r="L133" s="66"/>
      <c r="M133" s="66"/>
      <c r="N133" s="66"/>
      <c r="O133" s="22"/>
      <c r="P133" s="10"/>
      <c r="Q133" s="10"/>
    </row>
    <row r="134" spans="1:17" x14ac:dyDescent="0.2">
      <c r="A134" s="68" t="s">
        <v>88</v>
      </c>
      <c r="B134" s="69"/>
      <c r="C134" s="66">
        <v>0</v>
      </c>
      <c r="D134" s="66">
        <v>0</v>
      </c>
      <c r="E134" s="70">
        <v>0</v>
      </c>
      <c r="F134" s="66">
        <v>0</v>
      </c>
      <c r="G134" s="66">
        <v>0</v>
      </c>
      <c r="H134" s="70">
        <v>0</v>
      </c>
      <c r="I134" s="67">
        <v>0</v>
      </c>
      <c r="J134" s="67">
        <f>23606834+3253496</f>
        <v>26860330</v>
      </c>
      <c r="K134" s="239">
        <v>1</v>
      </c>
      <c r="L134" s="66"/>
      <c r="M134" s="66"/>
      <c r="N134" s="66"/>
      <c r="O134" s="83"/>
      <c r="P134" s="10"/>
      <c r="Q134" s="10"/>
    </row>
    <row r="135" spans="1:17" ht="25.5" hidden="1" x14ac:dyDescent="0.2">
      <c r="A135" s="68" t="s">
        <v>89</v>
      </c>
      <c r="B135" s="69"/>
      <c r="C135" s="66"/>
      <c r="D135" s="66"/>
      <c r="E135" s="70">
        <v>0</v>
      </c>
      <c r="F135" s="66"/>
      <c r="G135" s="66"/>
      <c r="H135" s="70">
        <v>0</v>
      </c>
      <c r="I135" s="66"/>
      <c r="J135" s="67"/>
      <c r="K135" s="70">
        <v>0</v>
      </c>
      <c r="L135" s="66"/>
      <c r="M135" s="66"/>
      <c r="N135" s="66"/>
      <c r="O135" s="22"/>
      <c r="P135" s="10"/>
      <c r="Q135" s="10"/>
    </row>
    <row r="136" spans="1:17" ht="40.5" x14ac:dyDescent="0.25">
      <c r="A136" s="8" t="s">
        <v>91</v>
      </c>
      <c r="B136" s="3" t="s">
        <v>90</v>
      </c>
      <c r="C136" s="90">
        <f>SUM(C137:C143)</f>
        <v>0</v>
      </c>
      <c r="D136" s="90">
        <f>SUM(D137:D143)</f>
        <v>0</v>
      </c>
      <c r="E136" s="91">
        <v>0</v>
      </c>
      <c r="F136" s="90">
        <f>SUM(F137:F143)</f>
        <v>0</v>
      </c>
      <c r="G136" s="90">
        <f>SUM(G137:G143)</f>
        <v>0</v>
      </c>
      <c r="H136" s="91">
        <v>0</v>
      </c>
      <c r="I136" s="90">
        <f>SUM(I137:I143)</f>
        <v>118263376</v>
      </c>
      <c r="J136" s="90">
        <f>SUM(J137:J143)</f>
        <v>30110162</v>
      </c>
      <c r="K136" s="91">
        <f>J136/I136</f>
        <v>0.25460259142272412</v>
      </c>
      <c r="L136" s="77">
        <f>D136+G136+J136</f>
        <v>30110162</v>
      </c>
      <c r="M136" s="90">
        <f>SUM(M137:M143)</f>
        <v>0</v>
      </c>
      <c r="N136" s="90">
        <f>SUM(N137:N143)</f>
        <v>0</v>
      </c>
      <c r="O136" s="22"/>
      <c r="P136" s="10"/>
      <c r="Q136" s="10"/>
    </row>
    <row r="137" spans="1:17" x14ac:dyDescent="0.2">
      <c r="A137" s="68" t="s">
        <v>158</v>
      </c>
      <c r="B137" s="69"/>
      <c r="C137" s="66">
        <v>0</v>
      </c>
      <c r="D137" s="67">
        <v>0</v>
      </c>
      <c r="E137" s="70">
        <v>0</v>
      </c>
      <c r="F137" s="66">
        <v>0</v>
      </c>
      <c r="G137" s="66">
        <v>0</v>
      </c>
      <c r="H137" s="70">
        <v>0</v>
      </c>
      <c r="I137" s="67">
        <v>14633564</v>
      </c>
      <c r="J137" s="67">
        <v>10776843</v>
      </c>
      <c r="K137" s="239">
        <f>J137/I137</f>
        <v>0.73644691067739887</v>
      </c>
      <c r="L137" s="66"/>
      <c r="M137" s="66"/>
      <c r="N137" s="66"/>
      <c r="O137" s="22"/>
      <c r="P137" s="10"/>
      <c r="Q137" s="10"/>
    </row>
    <row r="138" spans="1:17" x14ac:dyDescent="0.2">
      <c r="A138" s="68" t="s">
        <v>386</v>
      </c>
      <c r="B138" s="69"/>
      <c r="C138" s="66">
        <v>0</v>
      </c>
      <c r="D138" s="66">
        <v>0</v>
      </c>
      <c r="E138" s="70">
        <v>0</v>
      </c>
      <c r="F138" s="66">
        <v>0</v>
      </c>
      <c r="G138" s="66">
        <v>0</v>
      </c>
      <c r="H138" s="70">
        <v>0</v>
      </c>
      <c r="I138" s="67">
        <v>23542512</v>
      </c>
      <c r="J138" s="67">
        <f>8600530.93+0.07</f>
        <v>8600531</v>
      </c>
      <c r="K138" s="239">
        <f t="shared" ref="K138:K143" si="3">J138/I138</f>
        <v>0.36531917239757594</v>
      </c>
      <c r="L138" s="66"/>
      <c r="M138" s="66"/>
      <c r="N138" s="66"/>
      <c r="O138" s="22"/>
      <c r="P138" s="10"/>
      <c r="Q138" s="10"/>
    </row>
    <row r="139" spans="1:17" x14ac:dyDescent="0.2">
      <c r="A139" s="68" t="s">
        <v>442</v>
      </c>
      <c r="B139" s="69"/>
      <c r="C139" s="66">
        <v>0</v>
      </c>
      <c r="D139" s="66">
        <v>0</v>
      </c>
      <c r="E139" s="70">
        <v>0</v>
      </c>
      <c r="F139" s="66">
        <v>0</v>
      </c>
      <c r="G139" s="66">
        <v>0</v>
      </c>
      <c r="H139" s="70">
        <v>0</v>
      </c>
      <c r="I139" s="67">
        <v>38950000</v>
      </c>
      <c r="J139" s="67">
        <f>10732788.39-0.39</f>
        <v>10732788</v>
      </c>
      <c r="K139" s="239">
        <f t="shared" si="3"/>
        <v>0.2755529653401797</v>
      </c>
      <c r="L139" s="66"/>
      <c r="M139" s="66"/>
      <c r="N139" s="66"/>
      <c r="O139" s="22"/>
      <c r="P139" s="10"/>
      <c r="Q139" s="10"/>
    </row>
    <row r="140" spans="1:17" ht="25.5" x14ac:dyDescent="0.2">
      <c r="A140" s="68" t="s">
        <v>157</v>
      </c>
      <c r="B140" s="69"/>
      <c r="C140" s="66">
        <v>0</v>
      </c>
      <c r="D140" s="66">
        <v>0</v>
      </c>
      <c r="E140" s="70">
        <v>0</v>
      </c>
      <c r="F140" s="66">
        <v>0</v>
      </c>
      <c r="G140" s="66">
        <v>0</v>
      </c>
      <c r="H140" s="70">
        <v>0</v>
      </c>
      <c r="I140" s="67">
        <v>2000000</v>
      </c>
      <c r="J140" s="67">
        <v>300000</v>
      </c>
      <c r="K140" s="239">
        <f t="shared" si="3"/>
        <v>0.15</v>
      </c>
      <c r="L140" s="66"/>
      <c r="M140" s="66"/>
      <c r="N140" s="66"/>
      <c r="O140" s="83"/>
      <c r="P140" s="10"/>
      <c r="Q140" s="10"/>
    </row>
    <row r="141" spans="1:17" x14ac:dyDescent="0.2">
      <c r="A141" s="68" t="s">
        <v>387</v>
      </c>
      <c r="B141" s="69"/>
      <c r="C141" s="66">
        <v>0</v>
      </c>
      <c r="D141" s="66">
        <v>0</v>
      </c>
      <c r="E141" s="70">
        <v>0</v>
      </c>
      <c r="F141" s="66">
        <v>0</v>
      </c>
      <c r="G141" s="66">
        <v>0</v>
      </c>
      <c r="H141" s="70">
        <v>0</v>
      </c>
      <c r="I141" s="67">
        <v>316000</v>
      </c>
      <c r="J141" s="67">
        <v>-316000</v>
      </c>
      <c r="K141" s="239">
        <f t="shared" si="3"/>
        <v>-1</v>
      </c>
      <c r="L141" s="66"/>
      <c r="M141" s="66"/>
      <c r="N141" s="66"/>
      <c r="O141" s="83"/>
      <c r="P141" s="10"/>
      <c r="Q141" s="10"/>
    </row>
    <row r="142" spans="1:17" ht="14.25" customHeight="1" x14ac:dyDescent="0.2">
      <c r="A142" s="68" t="s">
        <v>461</v>
      </c>
      <c r="B142" s="69"/>
      <c r="C142" s="66">
        <v>0</v>
      </c>
      <c r="D142" s="66">
        <v>0</v>
      </c>
      <c r="E142" s="70">
        <v>0</v>
      </c>
      <c r="F142" s="66">
        <v>0</v>
      </c>
      <c r="G142" s="66">
        <v>0</v>
      </c>
      <c r="H142" s="70">
        <v>0</v>
      </c>
      <c r="I142" s="67">
        <v>17399000</v>
      </c>
      <c r="J142" s="67">
        <v>-1984000</v>
      </c>
      <c r="K142" s="239">
        <f t="shared" si="3"/>
        <v>-0.114029541927697</v>
      </c>
      <c r="L142" s="66"/>
      <c r="M142" s="66"/>
      <c r="N142" s="66"/>
      <c r="O142" s="22"/>
      <c r="P142" s="10"/>
      <c r="Q142" s="10"/>
    </row>
    <row r="143" spans="1:17" ht="15.75" customHeight="1" thickBot="1" x14ac:dyDescent="0.25">
      <c r="A143" s="68" t="s">
        <v>159</v>
      </c>
      <c r="B143" s="69"/>
      <c r="C143" s="66">
        <v>0</v>
      </c>
      <c r="D143" s="66">
        <v>0</v>
      </c>
      <c r="E143" s="70">
        <v>0</v>
      </c>
      <c r="F143" s="66">
        <v>0</v>
      </c>
      <c r="G143" s="66">
        <v>0</v>
      </c>
      <c r="H143" s="70">
        <v>0</v>
      </c>
      <c r="I143" s="67">
        <v>21422300</v>
      </c>
      <c r="J143" s="67">
        <v>2000000</v>
      </c>
      <c r="K143" s="239">
        <f t="shared" si="3"/>
        <v>9.3360656885581844E-2</v>
      </c>
      <c r="L143" s="66"/>
      <c r="M143" s="66"/>
      <c r="N143" s="66"/>
      <c r="O143" s="83"/>
      <c r="P143" s="10"/>
      <c r="Q143" s="10"/>
    </row>
    <row r="144" spans="1:17" ht="39" hidden="1" thickBot="1" x14ac:dyDescent="0.25">
      <c r="A144" s="12" t="s">
        <v>93</v>
      </c>
      <c r="B144" s="13" t="s">
        <v>92</v>
      </c>
      <c r="C144" s="14">
        <f>C145+C147</f>
        <v>0</v>
      </c>
      <c r="D144" s="14">
        <f>D145+D147</f>
        <v>0</v>
      </c>
      <c r="E144" s="15">
        <v>0</v>
      </c>
      <c r="F144" s="14">
        <f>F145+F147</f>
        <v>0</v>
      </c>
      <c r="G144" s="14">
        <f>G145+G147</f>
        <v>0</v>
      </c>
      <c r="H144" s="15"/>
      <c r="I144" s="14">
        <f>I145+I147</f>
        <v>0</v>
      </c>
      <c r="J144" s="14">
        <f>J145+J147</f>
        <v>0</v>
      </c>
      <c r="K144" s="15">
        <v>0</v>
      </c>
      <c r="L144" s="44">
        <f>D144+G144+J144</f>
        <v>0</v>
      </c>
      <c r="M144" s="14">
        <f>M145+M147</f>
        <v>0</v>
      </c>
      <c r="N144" s="16">
        <f>N145+N147</f>
        <v>0</v>
      </c>
      <c r="O144" s="34"/>
      <c r="P144" s="10"/>
      <c r="Q144" s="10"/>
    </row>
    <row r="145" spans="1:17" ht="40.5" hidden="1" x14ac:dyDescent="0.25">
      <c r="A145" s="18" t="s">
        <v>95</v>
      </c>
      <c r="B145" s="19" t="s">
        <v>94</v>
      </c>
      <c r="C145" s="20">
        <f>SUM(C146:C146)</f>
        <v>0</v>
      </c>
      <c r="D145" s="20">
        <f>SUM(D146:D146)</f>
        <v>0</v>
      </c>
      <c r="E145" s="21">
        <v>0</v>
      </c>
      <c r="F145" s="20">
        <f>SUM(F146:F146)</f>
        <v>0</v>
      </c>
      <c r="G145" s="20">
        <f>SUM(G146:G146)</f>
        <v>0</v>
      </c>
      <c r="H145" s="21"/>
      <c r="I145" s="20">
        <f>SUM(I146:I146)</f>
        <v>0</v>
      </c>
      <c r="J145" s="20">
        <f>SUM(J146:J146)</f>
        <v>0</v>
      </c>
      <c r="K145" s="21">
        <v>0</v>
      </c>
      <c r="L145" s="20">
        <f>D145+G145+J145</f>
        <v>0</v>
      </c>
      <c r="M145" s="20">
        <f>SUM(M146:M146)</f>
        <v>0</v>
      </c>
      <c r="N145" s="20">
        <f>SUM(N146:N146)</f>
        <v>0</v>
      </c>
      <c r="O145" s="22"/>
      <c r="P145" s="10"/>
      <c r="Q145" s="10"/>
    </row>
    <row r="146" spans="1:17" hidden="1" x14ac:dyDescent="0.2">
      <c r="A146" s="23"/>
      <c r="B146" s="24"/>
      <c r="C146" s="25"/>
      <c r="D146" s="25"/>
      <c r="E146" s="26">
        <v>0</v>
      </c>
      <c r="F146" s="25"/>
      <c r="G146" s="25"/>
      <c r="H146" s="26"/>
      <c r="I146" s="25"/>
      <c r="J146" s="25"/>
      <c r="K146" s="26">
        <v>0</v>
      </c>
      <c r="L146" s="25"/>
      <c r="M146" s="25"/>
      <c r="N146" s="25"/>
      <c r="O146" s="22"/>
      <c r="P146" s="10"/>
      <c r="Q146" s="10"/>
    </row>
    <row r="147" spans="1:17" ht="54" hidden="1" x14ac:dyDescent="0.25">
      <c r="A147" s="28" t="s">
        <v>97</v>
      </c>
      <c r="B147" s="29" t="s">
        <v>96</v>
      </c>
      <c r="C147" s="30">
        <f>C148</f>
        <v>0</v>
      </c>
      <c r="D147" s="30">
        <f>D148</f>
        <v>0</v>
      </c>
      <c r="E147" s="31">
        <v>0</v>
      </c>
      <c r="F147" s="30">
        <f>F148</f>
        <v>0</v>
      </c>
      <c r="G147" s="30">
        <f>G148</f>
        <v>0</v>
      </c>
      <c r="H147" s="31"/>
      <c r="I147" s="30">
        <f>I148</f>
        <v>0</v>
      </c>
      <c r="J147" s="30">
        <f>J148</f>
        <v>0</v>
      </c>
      <c r="K147" s="31">
        <v>0</v>
      </c>
      <c r="L147" s="20">
        <f>D147+G147+J147</f>
        <v>0</v>
      </c>
      <c r="M147" s="30">
        <f>M148</f>
        <v>0</v>
      </c>
      <c r="N147" s="30">
        <f>N148</f>
        <v>0</v>
      </c>
      <c r="O147" s="22"/>
      <c r="P147" s="10"/>
      <c r="Q147" s="10"/>
    </row>
    <row r="148" spans="1:17" ht="13.5" hidden="1" thickBot="1" x14ac:dyDescent="0.25">
      <c r="A148" s="35"/>
      <c r="B148" s="36"/>
      <c r="C148" s="37"/>
      <c r="D148" s="37"/>
      <c r="E148" s="38">
        <v>0</v>
      </c>
      <c r="F148" s="37"/>
      <c r="G148" s="37"/>
      <c r="H148" s="38"/>
      <c r="I148" s="37"/>
      <c r="J148" s="37"/>
      <c r="K148" s="38">
        <v>0</v>
      </c>
      <c r="L148" s="37"/>
      <c r="M148" s="37"/>
      <c r="N148" s="37"/>
      <c r="O148" s="22"/>
      <c r="P148" s="10"/>
      <c r="Q148" s="10"/>
    </row>
    <row r="149" spans="1:17" ht="26.25" hidden="1" thickBot="1" x14ac:dyDescent="0.25">
      <c r="A149" s="12" t="s">
        <v>99</v>
      </c>
      <c r="B149" s="13" t="s">
        <v>98</v>
      </c>
      <c r="C149" s="14">
        <f>C150+C152</f>
        <v>0</v>
      </c>
      <c r="D149" s="14">
        <f>D150+D152</f>
        <v>0</v>
      </c>
      <c r="E149" s="15">
        <v>0</v>
      </c>
      <c r="F149" s="14">
        <f>F150+F152</f>
        <v>0</v>
      </c>
      <c r="G149" s="14">
        <f>G150+G152</f>
        <v>0</v>
      </c>
      <c r="H149" s="15">
        <v>0</v>
      </c>
      <c r="I149" s="14">
        <f>I150+I152</f>
        <v>0</v>
      </c>
      <c r="J149" s="14">
        <f>J150+J152</f>
        <v>0</v>
      </c>
      <c r="K149" s="15">
        <v>0</v>
      </c>
      <c r="L149" s="44">
        <f>D149+G149+J149</f>
        <v>0</v>
      </c>
      <c r="M149" s="14">
        <f>M150+M152</f>
        <v>0</v>
      </c>
      <c r="N149" s="16">
        <f>N150+N152</f>
        <v>0</v>
      </c>
      <c r="O149" s="34"/>
      <c r="P149" s="10"/>
      <c r="Q149" s="10"/>
    </row>
    <row r="150" spans="1:17" ht="54" hidden="1" x14ac:dyDescent="0.25">
      <c r="A150" s="18" t="s">
        <v>101</v>
      </c>
      <c r="B150" s="19" t="s">
        <v>100</v>
      </c>
      <c r="C150" s="20">
        <f>SUM(C151:C151)</f>
        <v>0</v>
      </c>
      <c r="D150" s="20">
        <f>SUM(D151:D151)</f>
        <v>0</v>
      </c>
      <c r="E150" s="21">
        <v>0</v>
      </c>
      <c r="F150" s="20">
        <f>SUM(F151:F151)</f>
        <v>0</v>
      </c>
      <c r="G150" s="20">
        <f>SUM(G151:G151)</f>
        <v>0</v>
      </c>
      <c r="H150" s="21">
        <v>0</v>
      </c>
      <c r="I150" s="20">
        <f>SUM(I151:I151)</f>
        <v>0</v>
      </c>
      <c r="J150" s="20">
        <f>SUM(J151:J151)</f>
        <v>0</v>
      </c>
      <c r="K150" s="21">
        <v>0</v>
      </c>
      <c r="L150" s="20">
        <f>D150+G150+J150</f>
        <v>0</v>
      </c>
      <c r="M150" s="20">
        <f>SUM(M151:M151)</f>
        <v>0</v>
      </c>
      <c r="N150" s="20">
        <f>SUM(N151:N151)</f>
        <v>0</v>
      </c>
      <c r="O150" s="22"/>
      <c r="P150" s="10"/>
      <c r="Q150" s="10"/>
    </row>
    <row r="151" spans="1:17" hidden="1" x14ac:dyDescent="0.2">
      <c r="A151" s="45" t="s">
        <v>152</v>
      </c>
      <c r="B151" s="24"/>
      <c r="C151" s="25"/>
      <c r="D151" s="25"/>
      <c r="E151" s="26">
        <v>0</v>
      </c>
      <c r="F151" s="25"/>
      <c r="G151" s="25"/>
      <c r="H151" s="26">
        <v>0</v>
      </c>
      <c r="I151" s="25"/>
      <c r="J151" s="32"/>
      <c r="K151" s="26">
        <v>0</v>
      </c>
      <c r="L151" s="25"/>
      <c r="M151" s="25"/>
      <c r="N151" s="25"/>
      <c r="O151" s="22"/>
      <c r="P151" s="10"/>
      <c r="Q151" s="10"/>
    </row>
    <row r="152" spans="1:17" ht="40.5" hidden="1" x14ac:dyDescent="0.25">
      <c r="A152" s="28" t="s">
        <v>103</v>
      </c>
      <c r="B152" s="29" t="s">
        <v>102</v>
      </c>
      <c r="C152" s="30">
        <f>SUM(C153:C155)</f>
        <v>0</v>
      </c>
      <c r="D152" s="30">
        <f>SUM(D153:D155)</f>
        <v>0</v>
      </c>
      <c r="E152" s="31">
        <v>0</v>
      </c>
      <c r="F152" s="30">
        <f>SUM(F153:F155)</f>
        <v>0</v>
      </c>
      <c r="G152" s="30">
        <f>SUM(G153:G155)</f>
        <v>0</v>
      </c>
      <c r="H152" s="31"/>
      <c r="I152" s="30">
        <f>SUM(I153:I155)</f>
        <v>0</v>
      </c>
      <c r="J152" s="30">
        <f>SUM(J153:J155)</f>
        <v>0</v>
      </c>
      <c r="K152" s="31">
        <v>0</v>
      </c>
      <c r="L152" s="20">
        <f>D152+G152+J152</f>
        <v>0</v>
      </c>
      <c r="M152" s="30">
        <f>SUM(M153:M155)</f>
        <v>0</v>
      </c>
      <c r="N152" s="30">
        <f>SUM(N153:N155)</f>
        <v>0</v>
      </c>
      <c r="O152" s="22"/>
      <c r="P152" s="10"/>
      <c r="Q152" s="10"/>
    </row>
    <row r="153" spans="1:17" hidden="1" x14ac:dyDescent="0.2">
      <c r="A153" s="45"/>
      <c r="B153" s="24"/>
      <c r="C153" s="25"/>
      <c r="D153" s="25"/>
      <c r="E153" s="26">
        <v>0</v>
      </c>
      <c r="F153" s="25"/>
      <c r="G153" s="25"/>
      <c r="H153" s="26"/>
      <c r="I153" s="25"/>
      <c r="J153" s="25"/>
      <c r="K153" s="26">
        <v>0</v>
      </c>
      <c r="L153" s="25"/>
      <c r="M153" s="25"/>
      <c r="N153" s="25"/>
      <c r="O153" s="22"/>
      <c r="P153" s="10"/>
      <c r="Q153" s="10"/>
    </row>
    <row r="154" spans="1:17" hidden="1" x14ac:dyDescent="0.2">
      <c r="A154" s="45"/>
      <c r="B154" s="24"/>
      <c r="C154" s="25"/>
      <c r="D154" s="25"/>
      <c r="E154" s="26">
        <v>0</v>
      </c>
      <c r="F154" s="25"/>
      <c r="G154" s="25"/>
      <c r="H154" s="26"/>
      <c r="I154" s="25"/>
      <c r="J154" s="25"/>
      <c r="K154" s="26">
        <v>0</v>
      </c>
      <c r="L154" s="25"/>
      <c r="M154" s="25"/>
      <c r="N154" s="25"/>
      <c r="O154" s="22"/>
      <c r="P154" s="10"/>
      <c r="Q154" s="10"/>
    </row>
    <row r="155" spans="1:17" ht="13.5" hidden="1" thickBot="1" x14ac:dyDescent="0.25">
      <c r="A155" s="46"/>
      <c r="B155" s="36"/>
      <c r="C155" s="37"/>
      <c r="D155" s="37"/>
      <c r="E155" s="38">
        <v>0</v>
      </c>
      <c r="F155" s="37"/>
      <c r="G155" s="37"/>
      <c r="H155" s="38"/>
      <c r="I155" s="37"/>
      <c r="J155" s="37"/>
      <c r="K155" s="38">
        <v>0</v>
      </c>
      <c r="L155" s="37"/>
      <c r="M155" s="37"/>
      <c r="N155" s="37"/>
      <c r="O155" s="22"/>
      <c r="P155" s="10"/>
      <c r="Q155" s="10"/>
    </row>
    <row r="156" spans="1:17" ht="26.25" hidden="1" thickBot="1" x14ac:dyDescent="0.25">
      <c r="A156" s="12" t="s">
        <v>105</v>
      </c>
      <c r="B156" s="47" t="s">
        <v>104</v>
      </c>
      <c r="C156" s="14">
        <f>C157+C160</f>
        <v>0</v>
      </c>
      <c r="D156" s="14">
        <f>D157+D160</f>
        <v>0</v>
      </c>
      <c r="E156" s="15">
        <v>0</v>
      </c>
      <c r="F156" s="14">
        <f>F157+F160</f>
        <v>0</v>
      </c>
      <c r="G156" s="14">
        <f>G157+G160</f>
        <v>0</v>
      </c>
      <c r="H156" s="15"/>
      <c r="I156" s="14">
        <f>I157+I160</f>
        <v>0</v>
      </c>
      <c r="J156" s="14">
        <f>J157+J160</f>
        <v>0</v>
      </c>
      <c r="K156" s="15">
        <v>0</v>
      </c>
      <c r="L156" s="44">
        <f>D156+G156+J156</f>
        <v>0</v>
      </c>
      <c r="M156" s="14">
        <f>M157+M160</f>
        <v>0</v>
      </c>
      <c r="N156" s="16">
        <f>N157+N160</f>
        <v>0</v>
      </c>
      <c r="O156" s="34"/>
      <c r="P156" s="10"/>
      <c r="Q156" s="10"/>
    </row>
    <row r="157" spans="1:17" ht="40.5" hidden="1" x14ac:dyDescent="0.25">
      <c r="A157" s="48" t="s">
        <v>107</v>
      </c>
      <c r="B157" s="19" t="s">
        <v>106</v>
      </c>
      <c r="C157" s="20">
        <f>SUM(C158:C159)</f>
        <v>0</v>
      </c>
      <c r="D157" s="20">
        <f>SUM(D158:D159)</f>
        <v>0</v>
      </c>
      <c r="E157" s="21">
        <v>0</v>
      </c>
      <c r="F157" s="20">
        <f>SUM(F158:F159)</f>
        <v>0</v>
      </c>
      <c r="G157" s="20">
        <f>SUM(G158:G159)</f>
        <v>0</v>
      </c>
      <c r="H157" s="21"/>
      <c r="I157" s="20">
        <f>SUM(I158:I159)</f>
        <v>0</v>
      </c>
      <c r="J157" s="20">
        <f>SUM(J158:J159)</f>
        <v>0</v>
      </c>
      <c r="K157" s="21">
        <v>0</v>
      </c>
      <c r="L157" s="20">
        <f>D157+G157+J157</f>
        <v>0</v>
      </c>
      <c r="M157" s="20">
        <f>SUM(M158:M159)</f>
        <v>0</v>
      </c>
      <c r="N157" s="20">
        <f>SUM(N158:N159)</f>
        <v>0</v>
      </c>
      <c r="O157" s="22"/>
      <c r="P157" s="10"/>
      <c r="Q157" s="10"/>
    </row>
    <row r="158" spans="1:17" hidden="1" x14ac:dyDescent="0.2">
      <c r="A158" s="49"/>
      <c r="B158" s="24"/>
      <c r="C158" s="25"/>
      <c r="D158" s="25"/>
      <c r="E158" s="26">
        <v>0</v>
      </c>
      <c r="F158" s="25"/>
      <c r="G158" s="25"/>
      <c r="H158" s="26"/>
      <c r="I158" s="25"/>
      <c r="J158" s="25"/>
      <c r="K158" s="26">
        <v>0</v>
      </c>
      <c r="L158" s="25"/>
      <c r="M158" s="25"/>
      <c r="N158" s="25"/>
      <c r="O158" s="22"/>
      <c r="P158" s="10"/>
      <c r="Q158" s="10"/>
    </row>
    <row r="159" spans="1:17" hidden="1" x14ac:dyDescent="0.2">
      <c r="A159" s="49"/>
      <c r="B159" s="24"/>
      <c r="C159" s="25"/>
      <c r="D159" s="25"/>
      <c r="E159" s="26">
        <v>0</v>
      </c>
      <c r="F159" s="25"/>
      <c r="G159" s="25"/>
      <c r="H159" s="26"/>
      <c r="I159" s="25"/>
      <c r="J159" s="25"/>
      <c r="K159" s="26">
        <v>0</v>
      </c>
      <c r="L159" s="25"/>
      <c r="M159" s="25"/>
      <c r="N159" s="25"/>
      <c r="O159" s="22"/>
      <c r="P159" s="10"/>
      <c r="Q159" s="10"/>
    </row>
    <row r="160" spans="1:17" ht="40.5" hidden="1" x14ac:dyDescent="0.25">
      <c r="A160" s="28" t="s">
        <v>109</v>
      </c>
      <c r="B160" s="29" t="s">
        <v>108</v>
      </c>
      <c r="C160" s="30">
        <f>SUM(C161:C163)</f>
        <v>0</v>
      </c>
      <c r="D160" s="30">
        <f>SUM(D161:D163)</f>
        <v>0</v>
      </c>
      <c r="E160" s="31">
        <v>0</v>
      </c>
      <c r="F160" s="30">
        <f>SUM(F161:F163)</f>
        <v>0</v>
      </c>
      <c r="G160" s="30">
        <f>SUM(G161:G163)</f>
        <v>0</v>
      </c>
      <c r="H160" s="31"/>
      <c r="I160" s="30">
        <f>SUM(I161:I163)</f>
        <v>0</v>
      </c>
      <c r="J160" s="30">
        <f>SUM(J161:J163)</f>
        <v>0</v>
      </c>
      <c r="K160" s="31">
        <v>0</v>
      </c>
      <c r="L160" s="20">
        <f>D160+G160+J160</f>
        <v>0</v>
      </c>
      <c r="M160" s="30">
        <f>SUM(M161:M163)</f>
        <v>0</v>
      </c>
      <c r="N160" s="30">
        <f>SUM(N161:N163)</f>
        <v>0</v>
      </c>
      <c r="O160" s="22"/>
      <c r="P160" s="10"/>
      <c r="Q160" s="10"/>
    </row>
    <row r="161" spans="1:17" hidden="1" x14ac:dyDescent="0.2">
      <c r="A161" s="49"/>
      <c r="B161" s="24"/>
      <c r="C161" s="25"/>
      <c r="D161" s="25"/>
      <c r="E161" s="26">
        <v>0</v>
      </c>
      <c r="F161" s="25"/>
      <c r="G161" s="25"/>
      <c r="H161" s="26"/>
      <c r="I161" s="25"/>
      <c r="J161" s="25"/>
      <c r="K161" s="26">
        <v>0</v>
      </c>
      <c r="L161" s="25"/>
      <c r="M161" s="25"/>
      <c r="N161" s="25"/>
      <c r="O161" s="22"/>
      <c r="P161" s="10"/>
      <c r="Q161" s="10"/>
    </row>
    <row r="162" spans="1:17" hidden="1" x14ac:dyDescent="0.2">
      <c r="A162" s="50"/>
      <c r="B162" s="24"/>
      <c r="C162" s="25"/>
      <c r="D162" s="25"/>
      <c r="E162" s="26">
        <v>0</v>
      </c>
      <c r="F162" s="25"/>
      <c r="G162" s="25"/>
      <c r="H162" s="26"/>
      <c r="I162" s="25"/>
      <c r="J162" s="25"/>
      <c r="K162" s="26">
        <v>0</v>
      </c>
      <c r="L162" s="25"/>
      <c r="M162" s="25"/>
      <c r="N162" s="25"/>
      <c r="O162" s="22"/>
      <c r="P162" s="10"/>
      <c r="Q162" s="10"/>
    </row>
    <row r="163" spans="1:17" ht="13.5" hidden="1" thickBot="1" x14ac:dyDescent="0.25">
      <c r="A163" s="51"/>
      <c r="B163" s="36"/>
      <c r="C163" s="37"/>
      <c r="D163" s="37"/>
      <c r="E163" s="38">
        <v>0</v>
      </c>
      <c r="F163" s="37"/>
      <c r="G163" s="37"/>
      <c r="H163" s="38"/>
      <c r="I163" s="37"/>
      <c r="J163" s="37"/>
      <c r="K163" s="38">
        <v>0</v>
      </c>
      <c r="L163" s="37"/>
      <c r="M163" s="37"/>
      <c r="N163" s="37"/>
      <c r="O163" s="22"/>
      <c r="P163" s="10"/>
      <c r="Q163" s="10"/>
    </row>
    <row r="164" spans="1:17" ht="21.75" customHeight="1" thickBot="1" x14ac:dyDescent="0.25">
      <c r="A164" s="110" t="s">
        <v>125</v>
      </c>
      <c r="B164" s="111"/>
      <c r="C164" s="112">
        <f>C156+C149+C144+C131+C120+C115+C108+C100+C89+C84+C73+C53+C32+C5</f>
        <v>1133197278</v>
      </c>
      <c r="D164" s="112">
        <f>D156+D149+D144+D131+D120+D115+D108+D100+D89+D84+D73+D53+D32+D5</f>
        <v>-177304238</v>
      </c>
      <c r="E164" s="113">
        <f>D164/C164</f>
        <v>-0.15646369916536279</v>
      </c>
      <c r="F164" s="112">
        <f>F156+F149+F144+F131+F120+F115+F108+F100+F89+F84+F73+F53+F32+F5</f>
        <v>-237792352.25</v>
      </c>
      <c r="G164" s="112">
        <f>G156+G149+G144+G131+G120+G115+G108+G100+G89+G84+G73+G53+G32+G5</f>
        <v>-2489829</v>
      </c>
      <c r="H164" s="113">
        <f>G164/F164</f>
        <v>1.0470601667552157E-2</v>
      </c>
      <c r="I164" s="112">
        <f>I156+I149+I144+I131+I120+I115+I108+I100+I89+I84+I73+I53+I32+I5</f>
        <v>176426878</v>
      </c>
      <c r="J164" s="112">
        <f>J156+J149+J144+J131+J120+J115+J108+J100+J89+J84+J73+J53+J32+J5</f>
        <v>87479431</v>
      </c>
      <c r="K164" s="113">
        <v>1</v>
      </c>
      <c r="L164" s="112">
        <f>D164+G164+J164</f>
        <v>-92314636</v>
      </c>
      <c r="M164" s="112">
        <f>M156+M149+M144+M131+M120+M115+M108+M100+M89+M84+M73+M53+M32+M5</f>
        <v>0</v>
      </c>
      <c r="N164" s="114">
        <f>N156+N149+N144+N131+N120+N115+N108+N100+N89+N84+N73+N53+N32+N5</f>
        <v>0</v>
      </c>
      <c r="O164" s="34"/>
      <c r="P164" s="10"/>
      <c r="Q164" s="10"/>
    </row>
    <row r="165" spans="1:17" ht="21" customHeight="1" thickBot="1" x14ac:dyDescent="0.25">
      <c r="A165" s="115" t="s">
        <v>111</v>
      </c>
      <c r="B165" s="111" t="s">
        <v>110</v>
      </c>
      <c r="C165" s="112">
        <f>SUM(C167:C181)</f>
        <v>3262477</v>
      </c>
      <c r="D165" s="112">
        <f>SUM(D166:D181)</f>
        <v>3299506</v>
      </c>
      <c r="E165" s="113">
        <f>D165/C165</f>
        <v>1.0113499650725506</v>
      </c>
      <c r="F165" s="112">
        <f>SUM(F167:F181)</f>
        <v>102553904</v>
      </c>
      <c r="G165" s="112">
        <f>SUM(G166:G181)</f>
        <v>2489829</v>
      </c>
      <c r="H165" s="113">
        <f>G165/F165</f>
        <v>2.4278246881756935E-2</v>
      </c>
      <c r="I165" s="112">
        <f>SUM(I167:I181)</f>
        <v>26120982</v>
      </c>
      <c r="J165" s="112">
        <f>SUM(J166:J181)</f>
        <v>1135254</v>
      </c>
      <c r="K165" s="113">
        <v>1</v>
      </c>
      <c r="L165" s="112">
        <f>D165+G165+J165</f>
        <v>6924589</v>
      </c>
      <c r="M165" s="112">
        <f>SUM(M166:M181)</f>
        <v>0</v>
      </c>
      <c r="N165" s="114">
        <f>SUM(N166:N181)</f>
        <v>0</v>
      </c>
      <c r="O165" s="248"/>
      <c r="P165" s="10"/>
      <c r="Q165" s="10"/>
    </row>
    <row r="166" spans="1:17" ht="25.5" x14ac:dyDescent="0.2">
      <c r="A166" s="87" t="s">
        <v>388</v>
      </c>
      <c r="B166" s="88" t="s">
        <v>110</v>
      </c>
      <c r="C166" s="84">
        <v>876254</v>
      </c>
      <c r="D166" s="237">
        <v>9975</v>
      </c>
      <c r="E166" s="89">
        <f>D166/C166</f>
        <v>1.1383685552362671E-2</v>
      </c>
      <c r="F166" s="84">
        <v>0</v>
      </c>
      <c r="G166" s="84">
        <v>0</v>
      </c>
      <c r="H166" s="89">
        <v>0</v>
      </c>
      <c r="I166" s="84">
        <v>0</v>
      </c>
      <c r="J166" s="84">
        <v>0</v>
      </c>
      <c r="K166" s="89">
        <v>0</v>
      </c>
      <c r="L166" s="84"/>
      <c r="M166" s="84">
        <v>0</v>
      </c>
      <c r="N166" s="84">
        <v>0</v>
      </c>
      <c r="O166" s="83"/>
      <c r="P166" s="10"/>
      <c r="Q166" s="10"/>
    </row>
    <row r="167" spans="1:17" x14ac:dyDescent="0.2">
      <c r="A167" s="68" t="s">
        <v>142</v>
      </c>
      <c r="B167" s="69" t="s">
        <v>110</v>
      </c>
      <c r="C167" s="66">
        <v>2779530</v>
      </c>
      <c r="D167" s="67">
        <v>108208</v>
      </c>
      <c r="E167" s="89">
        <f t="shared" ref="E167:E168" si="4">D167/C167</f>
        <v>3.8930322752407778E-2</v>
      </c>
      <c r="F167" s="66">
        <v>0</v>
      </c>
      <c r="G167" s="66">
        <v>0</v>
      </c>
      <c r="H167" s="89">
        <v>0</v>
      </c>
      <c r="I167" s="66">
        <v>0</v>
      </c>
      <c r="J167" s="66">
        <v>0</v>
      </c>
      <c r="K167" s="70">
        <v>0</v>
      </c>
      <c r="L167" s="66"/>
      <c r="M167" s="66">
        <v>0</v>
      </c>
      <c r="N167" s="66">
        <v>0</v>
      </c>
      <c r="O167" s="22"/>
      <c r="P167" s="10"/>
      <c r="Q167" s="10"/>
    </row>
    <row r="168" spans="1:17" ht="25.5" x14ac:dyDescent="0.2">
      <c r="A168" s="68" t="s">
        <v>143</v>
      </c>
      <c r="B168" s="69" t="s">
        <v>110</v>
      </c>
      <c r="C168" s="66">
        <v>482947</v>
      </c>
      <c r="D168" s="67">
        <v>20132</v>
      </c>
      <c r="E168" s="89">
        <f t="shared" si="4"/>
        <v>4.1685733631226615E-2</v>
      </c>
      <c r="F168" s="66">
        <v>0</v>
      </c>
      <c r="G168" s="66">
        <v>0</v>
      </c>
      <c r="H168" s="89">
        <v>0</v>
      </c>
      <c r="I168" s="66">
        <v>0</v>
      </c>
      <c r="J168" s="66">
        <v>0</v>
      </c>
      <c r="K168" s="70">
        <v>0</v>
      </c>
      <c r="L168" s="66"/>
      <c r="M168" s="66">
        <v>0</v>
      </c>
      <c r="N168" s="66">
        <v>0</v>
      </c>
      <c r="O168" s="22"/>
      <c r="P168" s="10"/>
      <c r="Q168" s="10"/>
    </row>
    <row r="169" spans="1:17" ht="78.75" customHeight="1" x14ac:dyDescent="0.2">
      <c r="A169" s="68" t="s">
        <v>149</v>
      </c>
      <c r="B169" s="69" t="s">
        <v>110</v>
      </c>
      <c r="C169" s="66">
        <v>0</v>
      </c>
      <c r="D169" s="67">
        <f>3441191-280000-74000</f>
        <v>3087191</v>
      </c>
      <c r="E169" s="89">
        <v>1</v>
      </c>
      <c r="F169" s="67">
        <v>29670930</v>
      </c>
      <c r="G169" s="67">
        <f>-168736+75852-498657+7603292-520052+25172-255669+485309</f>
        <v>6746511</v>
      </c>
      <c r="H169" s="89">
        <f t="shared" ref="H169:H179" si="5">G169/F169</f>
        <v>0.22737780716681277</v>
      </c>
      <c r="I169" s="66">
        <v>23620982</v>
      </c>
      <c r="J169" s="67">
        <f>1086565+15949+540</f>
        <v>1103054</v>
      </c>
      <c r="K169" s="70">
        <v>1</v>
      </c>
      <c r="L169" s="66"/>
      <c r="M169" s="66">
        <v>0</v>
      </c>
      <c r="N169" s="66">
        <v>0</v>
      </c>
      <c r="O169" s="22" t="s">
        <v>453</v>
      </c>
      <c r="P169" s="10"/>
      <c r="Q169" s="10"/>
    </row>
    <row r="170" spans="1:17" s="243" customFormat="1" ht="25.5" x14ac:dyDescent="0.2">
      <c r="A170" s="68" t="s">
        <v>443</v>
      </c>
      <c r="B170" s="69" t="s">
        <v>110</v>
      </c>
      <c r="C170" s="66">
        <v>0</v>
      </c>
      <c r="D170" s="67">
        <v>0</v>
      </c>
      <c r="E170" s="70">
        <v>0</v>
      </c>
      <c r="F170" s="66">
        <v>4500000</v>
      </c>
      <c r="G170" s="66">
        <v>-4500000</v>
      </c>
      <c r="H170" s="89">
        <v>0</v>
      </c>
      <c r="I170" s="66">
        <v>0</v>
      </c>
      <c r="J170" s="67">
        <v>0</v>
      </c>
      <c r="K170" s="70">
        <v>0</v>
      </c>
      <c r="L170" s="66"/>
      <c r="M170" s="66">
        <v>0</v>
      </c>
      <c r="N170" s="66">
        <v>0</v>
      </c>
      <c r="O170" s="83" t="s">
        <v>444</v>
      </c>
    </row>
    <row r="171" spans="1:17" ht="76.5" x14ac:dyDescent="0.2">
      <c r="A171" s="137" t="s">
        <v>389</v>
      </c>
      <c r="B171" s="138" t="s">
        <v>110</v>
      </c>
      <c r="C171" s="135">
        <v>0</v>
      </c>
      <c r="D171" s="153">
        <v>74000</v>
      </c>
      <c r="E171" s="136">
        <v>0</v>
      </c>
      <c r="F171" s="135">
        <f>11090630+3349370+7929600+2393740+30000000</f>
        <v>54763340</v>
      </c>
      <c r="G171" s="135">
        <f>-7000000+4500000-1200000+2284802+173736</f>
        <v>-1241462</v>
      </c>
      <c r="H171" s="152">
        <f t="shared" si="5"/>
        <v>-2.2669581512011504E-2</v>
      </c>
      <c r="I171" s="135">
        <v>0</v>
      </c>
      <c r="J171" s="153">
        <v>0</v>
      </c>
      <c r="K171" s="136">
        <v>0</v>
      </c>
      <c r="L171" s="135"/>
      <c r="M171" s="135">
        <v>0</v>
      </c>
      <c r="N171" s="135">
        <v>0</v>
      </c>
      <c r="O171" s="121" t="s">
        <v>446</v>
      </c>
    </row>
    <row r="172" spans="1:17" ht="25.5" hidden="1" x14ac:dyDescent="0.2">
      <c r="A172" s="137" t="s">
        <v>146</v>
      </c>
      <c r="B172" s="138" t="s">
        <v>110</v>
      </c>
      <c r="C172" s="139">
        <v>0</v>
      </c>
      <c r="D172" s="139">
        <v>0</v>
      </c>
      <c r="E172" s="140">
        <v>0</v>
      </c>
      <c r="F172" s="139">
        <v>0</v>
      </c>
      <c r="G172" s="139">
        <f>-11751+11751</f>
        <v>0</v>
      </c>
      <c r="H172" s="89" t="e">
        <f t="shared" si="5"/>
        <v>#DIV/0!</v>
      </c>
      <c r="I172" s="139">
        <v>0</v>
      </c>
      <c r="J172" s="119">
        <v>0</v>
      </c>
      <c r="K172" s="140">
        <v>0</v>
      </c>
      <c r="L172" s="139"/>
      <c r="M172" s="139">
        <v>0</v>
      </c>
      <c r="N172" s="139">
        <v>0</v>
      </c>
      <c r="O172" s="141" t="s">
        <v>422</v>
      </c>
    </row>
    <row r="173" spans="1:17" ht="25.5" hidden="1" x14ac:dyDescent="0.2">
      <c r="A173" s="35" t="s">
        <v>147</v>
      </c>
      <c r="B173" s="24" t="s">
        <v>110</v>
      </c>
      <c r="C173" s="37"/>
      <c r="D173" s="37"/>
      <c r="E173" s="38"/>
      <c r="F173" s="37"/>
      <c r="G173" s="37"/>
      <c r="H173" s="89" t="e">
        <f t="shared" si="5"/>
        <v>#DIV/0!</v>
      </c>
      <c r="I173" s="37"/>
      <c r="J173" s="39"/>
      <c r="K173" s="38"/>
      <c r="L173" s="37"/>
      <c r="M173" s="37"/>
      <c r="N173" s="37"/>
      <c r="O173" s="52"/>
      <c r="P173" s="10"/>
      <c r="Q173" s="10"/>
    </row>
    <row r="174" spans="1:17" ht="25.5" hidden="1" x14ac:dyDescent="0.2">
      <c r="A174" s="35" t="s">
        <v>148</v>
      </c>
      <c r="B174" s="24" t="s">
        <v>110</v>
      </c>
      <c r="C174" s="37"/>
      <c r="D174" s="37"/>
      <c r="E174" s="38"/>
      <c r="F174" s="37"/>
      <c r="G174" s="37"/>
      <c r="H174" s="89" t="e">
        <f t="shared" si="5"/>
        <v>#DIV/0!</v>
      </c>
      <c r="I174" s="37"/>
      <c r="J174" s="39"/>
      <c r="K174" s="38"/>
      <c r="L174" s="37"/>
      <c r="M174" s="37"/>
      <c r="N174" s="37"/>
      <c r="O174" s="52"/>
      <c r="P174" s="10"/>
      <c r="Q174" s="10"/>
    </row>
    <row r="175" spans="1:17" ht="25.5" hidden="1" x14ac:dyDescent="0.2">
      <c r="A175" s="35" t="s">
        <v>150</v>
      </c>
      <c r="B175" s="24" t="s">
        <v>110</v>
      </c>
      <c r="C175" s="37"/>
      <c r="D175" s="37"/>
      <c r="E175" s="38"/>
      <c r="F175" s="37"/>
      <c r="G175" s="37"/>
      <c r="H175" s="89" t="e">
        <f t="shared" si="5"/>
        <v>#DIV/0!</v>
      </c>
      <c r="I175" s="37"/>
      <c r="J175" s="39"/>
      <c r="K175" s="38"/>
      <c r="L175" s="37"/>
      <c r="M175" s="37"/>
      <c r="N175" s="37"/>
      <c r="O175" s="52"/>
      <c r="P175" s="10"/>
      <c r="Q175" s="10"/>
    </row>
    <row r="176" spans="1:17" ht="25.5" x14ac:dyDescent="0.2">
      <c r="A176" s="99" t="s">
        <v>151</v>
      </c>
      <c r="B176" s="69" t="s">
        <v>110</v>
      </c>
      <c r="C176" s="101">
        <v>0</v>
      </c>
      <c r="D176" s="101">
        <v>0</v>
      </c>
      <c r="E176" s="102">
        <v>0</v>
      </c>
      <c r="F176" s="101">
        <v>0</v>
      </c>
      <c r="G176" s="101">
        <v>0</v>
      </c>
      <c r="H176" s="89">
        <v>0</v>
      </c>
      <c r="I176" s="101">
        <v>2500000</v>
      </c>
      <c r="J176" s="238">
        <v>-83000</v>
      </c>
      <c r="K176" s="102">
        <f>J176/I176</f>
        <v>-3.32E-2</v>
      </c>
      <c r="L176" s="101"/>
      <c r="M176" s="101">
        <v>0</v>
      </c>
      <c r="N176" s="101">
        <v>0</v>
      </c>
      <c r="O176" s="52"/>
      <c r="P176" s="10"/>
      <c r="Q176" s="10"/>
    </row>
    <row r="177" spans="1:17" ht="51" x14ac:dyDescent="0.2">
      <c r="A177" s="137" t="s">
        <v>376</v>
      </c>
      <c r="B177" s="138" t="s">
        <v>110</v>
      </c>
      <c r="C177" s="139">
        <v>0</v>
      </c>
      <c r="D177" s="139">
        <v>0</v>
      </c>
      <c r="E177" s="140">
        <v>0</v>
      </c>
      <c r="F177" s="139">
        <v>13500000</v>
      </c>
      <c r="G177" s="139">
        <f>1080000+389000</f>
        <v>1469000</v>
      </c>
      <c r="H177" s="152">
        <f t="shared" si="5"/>
        <v>0.10881481481481481</v>
      </c>
      <c r="I177" s="139">
        <v>0</v>
      </c>
      <c r="J177" s="119">
        <v>115200</v>
      </c>
      <c r="K177" s="140">
        <v>1</v>
      </c>
      <c r="L177" s="139"/>
      <c r="M177" s="139">
        <v>0</v>
      </c>
      <c r="N177" s="139">
        <v>0</v>
      </c>
      <c r="O177" s="141" t="s">
        <v>438</v>
      </c>
    </row>
    <row r="178" spans="1:17" ht="13.5" thickBot="1" x14ac:dyDescent="0.25">
      <c r="A178" s="137" t="s">
        <v>436</v>
      </c>
      <c r="B178" s="138" t="s">
        <v>110</v>
      </c>
      <c r="C178" s="139">
        <v>0</v>
      </c>
      <c r="D178" s="139">
        <v>0</v>
      </c>
      <c r="E178" s="140">
        <v>0</v>
      </c>
      <c r="F178" s="139">
        <v>119634</v>
      </c>
      <c r="G178" s="139">
        <v>15780</v>
      </c>
      <c r="H178" s="152">
        <f t="shared" si="5"/>
        <v>0.13190230202116454</v>
      </c>
      <c r="I178" s="139">
        <v>0</v>
      </c>
      <c r="J178" s="119">
        <v>0</v>
      </c>
      <c r="K178" s="140">
        <v>0</v>
      </c>
      <c r="L178" s="139"/>
      <c r="M178" s="139">
        <v>0</v>
      </c>
      <c r="N178" s="139">
        <v>0</v>
      </c>
      <c r="O178" s="141" t="s">
        <v>437</v>
      </c>
    </row>
    <row r="179" spans="1:17" hidden="1" x14ac:dyDescent="0.2">
      <c r="A179" s="35"/>
      <c r="B179" s="24" t="s">
        <v>110</v>
      </c>
      <c r="C179" s="37"/>
      <c r="D179" s="37"/>
      <c r="E179" s="38"/>
      <c r="F179" s="37">
        <v>0</v>
      </c>
      <c r="G179" s="37">
        <v>0</v>
      </c>
      <c r="H179" s="89" t="e">
        <f t="shared" si="5"/>
        <v>#DIV/0!</v>
      </c>
      <c r="I179" s="37"/>
      <c r="J179" s="37"/>
      <c r="K179" s="38"/>
      <c r="L179" s="37"/>
      <c r="M179" s="37"/>
      <c r="N179" s="37"/>
      <c r="O179" s="52"/>
      <c r="P179" s="10"/>
      <c r="Q179" s="10"/>
    </row>
    <row r="180" spans="1:17" hidden="1" x14ac:dyDescent="0.2">
      <c r="A180" s="35"/>
      <c r="B180" s="24" t="s">
        <v>110</v>
      </c>
      <c r="C180" s="37"/>
      <c r="D180" s="37"/>
      <c r="E180" s="38"/>
      <c r="F180" s="37"/>
      <c r="G180" s="37"/>
      <c r="H180" s="89"/>
      <c r="I180" s="37"/>
      <c r="J180" s="37"/>
      <c r="K180" s="38"/>
      <c r="L180" s="37"/>
      <c r="M180" s="37"/>
      <c r="N180" s="37"/>
      <c r="O180" s="52"/>
      <c r="P180" s="10"/>
      <c r="Q180" s="10"/>
    </row>
    <row r="181" spans="1:17" ht="13.5" hidden="1" thickBot="1" x14ac:dyDescent="0.25">
      <c r="A181" s="35"/>
      <c r="B181" s="24" t="s">
        <v>110</v>
      </c>
      <c r="C181" s="37"/>
      <c r="D181" s="37"/>
      <c r="E181" s="38"/>
      <c r="F181" s="37"/>
      <c r="G181" s="37"/>
      <c r="H181" s="89"/>
      <c r="I181" s="37"/>
      <c r="J181" s="37"/>
      <c r="K181" s="38"/>
      <c r="L181" s="37"/>
      <c r="M181" s="37"/>
      <c r="N181" s="37"/>
      <c r="O181" s="52"/>
      <c r="P181" s="10"/>
      <c r="Q181" s="10"/>
    </row>
    <row r="182" spans="1:17" ht="13.5" thickBot="1" x14ac:dyDescent="0.25">
      <c r="A182" s="245" t="s">
        <v>144</v>
      </c>
      <c r="B182" s="53"/>
      <c r="C182" s="120">
        <f>C164+C165</f>
        <v>1136459755</v>
      </c>
      <c r="D182" s="120">
        <f>D164+D165</f>
        <v>-174004732</v>
      </c>
      <c r="E182" s="120">
        <f>D182/C182</f>
        <v>-0.15311121333988637</v>
      </c>
      <c r="F182" s="244">
        <f>F164+F165</f>
        <v>-135238448.25</v>
      </c>
      <c r="G182" s="244">
        <f>G164+G165</f>
        <v>0</v>
      </c>
      <c r="H182" s="244">
        <f>G182/F182*100</f>
        <v>0</v>
      </c>
      <c r="I182" s="244">
        <f>I164+I165</f>
        <v>202547860</v>
      </c>
      <c r="J182" s="244">
        <f>J164+J165</f>
        <v>88614685</v>
      </c>
      <c r="K182" s="244">
        <f>J182/I182</f>
        <v>0.43749998148585723</v>
      </c>
      <c r="L182" s="244">
        <f>D182+G182+J182</f>
        <v>-85390047</v>
      </c>
      <c r="M182" s="244">
        <f>M164+M165</f>
        <v>0</v>
      </c>
      <c r="N182" s="244">
        <f>N164+N165</f>
        <v>0</v>
      </c>
      <c r="O182" s="54"/>
      <c r="P182" s="10"/>
      <c r="Q182" s="10"/>
    </row>
    <row r="184" spans="1:17" hidden="1" x14ac:dyDescent="0.2">
      <c r="J184" s="4">
        <f>D182+J182</f>
        <v>-85390047</v>
      </c>
    </row>
    <row r="189" spans="1:17" hidden="1" x14ac:dyDescent="0.2"/>
    <row r="190" spans="1:17" hidden="1" x14ac:dyDescent="0.2"/>
    <row r="191" spans="1:17" hidden="1" x14ac:dyDescent="0.2">
      <c r="F191" s="4">
        <f>Доходы!D122</f>
        <v>-85390046.699999988</v>
      </c>
      <c r="H191" s="4">
        <f>D182+J182</f>
        <v>-85390047</v>
      </c>
    </row>
    <row r="192" spans="1:17" hidden="1" x14ac:dyDescent="0.2">
      <c r="F192" s="4">
        <f>D182+G182+J182</f>
        <v>-85390047</v>
      </c>
    </row>
    <row r="193" spans="6:6" hidden="1" x14ac:dyDescent="0.2">
      <c r="F193" s="4">
        <f>F191-F192</f>
        <v>0.30000001192092896</v>
      </c>
    </row>
    <row r="194" spans="6:6" hidden="1" x14ac:dyDescent="0.2"/>
    <row r="195" spans="6:6" hidden="1" x14ac:dyDescent="0.2"/>
    <row r="196" spans="6:6" hidden="1" x14ac:dyDescent="0.2"/>
    <row r="197" spans="6:6" hidden="1" x14ac:dyDescent="0.2"/>
  </sheetData>
  <mergeCells count="8">
    <mergeCell ref="A1:Q1"/>
    <mergeCell ref="C3:E3"/>
    <mergeCell ref="F3:H3"/>
    <mergeCell ref="I3:K3"/>
    <mergeCell ref="O3:O4"/>
    <mergeCell ref="A3:A4"/>
    <mergeCell ref="B3:B4"/>
    <mergeCell ref="L3:L4"/>
  </mergeCells>
  <pageMargins left="0.31496062992125984" right="0.31496062992125984" top="0.35433070866141736" bottom="0.35433070866141736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workbookViewId="0">
      <selection activeCell="H6" sqref="H6"/>
    </sheetView>
  </sheetViews>
  <sheetFormatPr defaultRowHeight="15" x14ac:dyDescent="0.25"/>
  <cols>
    <col min="1" max="1" width="32.42578125" customWidth="1"/>
    <col min="2" max="6" width="0" hidden="1" customWidth="1"/>
    <col min="7" max="7" width="22.28515625" customWidth="1"/>
    <col min="8" max="8" width="21.28515625" customWidth="1"/>
    <col min="9" max="9" width="20.5703125" customWidth="1"/>
    <col min="10" max="10" width="21.28515625" customWidth="1"/>
  </cols>
  <sheetData>
    <row r="2" spans="1:11" hidden="1" x14ac:dyDescent="0.25"/>
    <row r="3" spans="1:11" ht="15.75" x14ac:dyDescent="0.25">
      <c r="A3" s="284" t="s">
        <v>133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</row>
    <row r="4" spans="1:11" ht="15.75" x14ac:dyDescent="0.25">
      <c r="A4" s="55"/>
      <c r="B4" s="56"/>
      <c r="C4" s="57"/>
      <c r="D4" s="285"/>
      <c r="E4" s="285"/>
      <c r="F4" s="285"/>
      <c r="G4" s="285"/>
      <c r="H4" s="57"/>
      <c r="I4" s="57"/>
      <c r="J4" s="57"/>
      <c r="K4" s="57"/>
    </row>
    <row r="5" spans="1:11" ht="31.5" x14ac:dyDescent="0.25">
      <c r="A5" s="58"/>
      <c r="B5" s="58"/>
      <c r="C5" s="58"/>
      <c r="D5" s="58"/>
      <c r="E5" s="58"/>
      <c r="F5" s="58"/>
      <c r="G5" s="59" t="s">
        <v>399</v>
      </c>
      <c r="H5" s="60" t="s">
        <v>126</v>
      </c>
      <c r="I5" s="60" t="s">
        <v>127</v>
      </c>
      <c r="J5" s="59" t="s">
        <v>404</v>
      </c>
      <c r="K5" s="61"/>
    </row>
    <row r="6" spans="1:11" ht="15.75" x14ac:dyDescent="0.25">
      <c r="A6" s="62"/>
      <c r="B6" s="286">
        <f>+G7</f>
        <v>0</v>
      </c>
      <c r="C6" s="286"/>
      <c r="D6" s="287"/>
      <c r="E6" s="287"/>
      <c r="F6" s="287"/>
      <c r="G6" s="287"/>
      <c r="H6" s="63">
        <f>H7+H9+H8</f>
        <v>-85390046.699999988</v>
      </c>
      <c r="I6" s="63">
        <f>Расходы!D182+Расходы!G182+Расходы!J182</f>
        <v>-85390047</v>
      </c>
      <c r="J6" s="63">
        <f>B6-H6+I6</f>
        <v>-0.30000001192092896</v>
      </c>
      <c r="K6" s="61"/>
    </row>
    <row r="7" spans="1:11" ht="15.75" x14ac:dyDescent="0.25">
      <c r="A7" s="64" t="s">
        <v>128</v>
      </c>
      <c r="B7" s="65"/>
      <c r="C7" s="65"/>
      <c r="D7" s="65"/>
      <c r="E7" s="65"/>
      <c r="F7" s="65"/>
      <c r="G7" s="65">
        <v>0</v>
      </c>
      <c r="H7" s="65">
        <v>0</v>
      </c>
      <c r="I7" s="65">
        <f>21508377</f>
        <v>21508377</v>
      </c>
      <c r="J7" s="65">
        <f>J6</f>
        <v>-0.30000001192092896</v>
      </c>
      <c r="K7" s="61"/>
    </row>
    <row r="8" spans="1:11" ht="31.5" x14ac:dyDescent="0.25">
      <c r="A8" s="64" t="s">
        <v>129</v>
      </c>
      <c r="B8" s="65"/>
      <c r="C8" s="65"/>
      <c r="D8" s="65"/>
      <c r="E8" s="65"/>
      <c r="F8" s="65"/>
      <c r="G8" s="65"/>
      <c r="H8" s="65">
        <f>Доходы!D6</f>
        <v>0</v>
      </c>
      <c r="I8" s="65">
        <v>0</v>
      </c>
      <c r="J8" s="65">
        <v>0</v>
      </c>
      <c r="K8" s="61"/>
    </row>
    <row r="9" spans="1:11" ht="31.5" x14ac:dyDescent="0.25">
      <c r="A9" s="64" t="s">
        <v>130</v>
      </c>
      <c r="B9" s="65"/>
      <c r="C9" s="65"/>
      <c r="D9" s="65"/>
      <c r="E9" s="65"/>
      <c r="F9" s="65"/>
      <c r="G9" s="65"/>
      <c r="H9" s="65">
        <f>Доходы!D25</f>
        <v>-85390046.699999988</v>
      </c>
      <c r="I9" s="65">
        <v>0</v>
      </c>
      <c r="J9" s="65">
        <v>0</v>
      </c>
      <c r="K9" s="61"/>
    </row>
    <row r="10" spans="1:11" ht="15.75" x14ac:dyDescent="0.25">
      <c r="A10" s="64" t="s">
        <v>131</v>
      </c>
      <c r="B10" s="65"/>
      <c r="C10" s="65"/>
      <c r="D10" s="65"/>
      <c r="E10" s="65"/>
      <c r="F10" s="65"/>
      <c r="G10" s="65"/>
      <c r="H10" s="65"/>
      <c r="I10" s="65"/>
      <c r="J10" s="65"/>
      <c r="K10" s="61"/>
    </row>
    <row r="11" spans="1:11" ht="15.75" x14ac:dyDescent="0.25">
      <c r="A11" s="64" t="s">
        <v>132</v>
      </c>
      <c r="B11" s="65"/>
      <c r="C11" s="65"/>
      <c r="D11" s="65"/>
      <c r="E11" s="65"/>
      <c r="F11" s="65"/>
      <c r="G11" s="65"/>
      <c r="H11" s="65"/>
      <c r="I11" s="65"/>
      <c r="J11" s="65"/>
      <c r="K11" s="61"/>
    </row>
    <row r="12" spans="1:11" x14ac:dyDescent="0.2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</sheetData>
  <mergeCells count="3">
    <mergeCell ref="A3:K3"/>
    <mergeCell ref="D4:G4"/>
    <mergeCell ref="B6:G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Доходы</vt:lpstr>
      <vt:lpstr>Расходы</vt:lpstr>
      <vt:lpstr>Источники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2023-04-26T07:07:50Z</dcterms:modified>
</cp:coreProperties>
</file>