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90" yWindow="570" windowWidth="12810" windowHeight="12615" tabRatio="730" firstSheet="11" activeTab="11"/>
  </bookViews>
  <sheets>
    <sheet name="Пр1" sheetId="1" state="hidden" r:id="rId1"/>
    <sheet name="Пр2" sheetId="2" state="hidden" r:id="rId2"/>
    <sheet name="Пр_3" sheetId="3" state="hidden" r:id="rId3"/>
    <sheet name="Пр4" sheetId="4" state="hidden" r:id="rId4"/>
    <sheet name="Пр5" sheetId="5" state="hidden" r:id="rId5"/>
    <sheet name="Пр6" sheetId="6" state="hidden" r:id="rId6"/>
    <sheet name="Пр7" sheetId="7" state="hidden" r:id="rId7"/>
    <sheet name="Пр8" sheetId="10" state="hidden" r:id="rId8"/>
    <sheet name="Пр9" sheetId="11" state="hidden" r:id="rId9"/>
    <sheet name="Пр10" sheetId="12" state="hidden" r:id="rId10"/>
    <sheet name="Пр11" sheetId="13" state="hidden" r:id="rId11"/>
    <sheet name="Пр12" sheetId="14" r:id="rId12"/>
    <sheet name="Пр.13" sheetId="15" state="hidden" r:id="rId13"/>
    <sheet name="Пр.14" sheetId="16" state="hidden" r:id="rId14"/>
    <sheet name="Пр15" sheetId="21" state="hidden" r:id="rId15"/>
    <sheet name="Пр16" sheetId="45" state="hidden" r:id="rId16"/>
    <sheet name="Пр17" sheetId="46" state="hidden" r:id="rId17"/>
    <sheet name="Пр.18" sheetId="47" state="hidden" r:id="rId18"/>
    <sheet name="Пр19" sheetId="48" state="hidden" r:id="rId19"/>
    <sheet name="Пр. 18" sheetId="49" state="hidden" r:id="rId20"/>
    <sheet name="Пр.19" sheetId="55" state="hidden" r:id="rId21"/>
    <sheet name="Пр20" sheetId="56" state="hidden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  <sheet name="Лист2" sheetId="58" state="hidden" r:id="rId30"/>
    <sheet name="Лист3" sheetId="59" state="hidden" r:id="rId31"/>
    <sheet name="Лист4" sheetId="60" state="hidden" r:id="rId32"/>
    <sheet name="Лист5" sheetId="61" state="hidden" r:id="rId33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Пр.13!$A$8:$L$556</definedName>
    <definedName name="_xlnm._FilterDatabase" localSheetId="13">Пр.14!$C$1:$D$230</definedName>
    <definedName name="_xlnm._FilterDatabase" localSheetId="0" hidden="1">Пр1!$A$9:$L$137</definedName>
    <definedName name="_xlnm._FilterDatabase" localSheetId="11" hidden="1">Пр12!$A$8:$I$967</definedName>
    <definedName name="_xlnm._FilterDatabase" localSheetId="1" hidden="1">Пр2!$A$9:$O$123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Пр12!$A$9:$F$947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Пр12!$A$9:$F$947</definedName>
    <definedName name="Z_91923F83_3A6B_4204_9891_178562AB34F1_.wvu.PrintArea" localSheetId="2">Пр_3!$A$1:$B$120</definedName>
    <definedName name="Z_91923F83_3A6B_4204_9891_178562AB34F1_.wvu.PrintArea" localSheetId="0">Пр1!$A$1:$I$137</definedName>
    <definedName name="Z_91923F83_3A6B_4204_9891_178562AB34F1_.wvu.PrintArea" localSheetId="11">Пр12!$A$1:$F$947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Пр12!$A$9:$F$947</definedName>
    <definedName name="Z_A5E41FC9_89B1_40D2_B587_57BC4C5E4715_.wvu.PrintArea" localSheetId="2">Пр_3!$A$1:$B$120</definedName>
    <definedName name="Z_A5E41FC9_89B1_40D2_B587_57BC4C5E4715_.wvu.PrintArea" localSheetId="0">Пр1!$A$1:$I$137</definedName>
    <definedName name="Z_A5E41FC9_89B1_40D2_B587_57BC4C5E4715_.wvu.PrintArea" localSheetId="11">Пр12!$A$1:$F$947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Пр12!$A$9:$F$947</definedName>
    <definedName name="Z_B3311466_F005_49F1_A579_3E6CECE305A8_.wvu.PrintArea" localSheetId="2">Пр_3!$A$1:$B$120</definedName>
    <definedName name="Z_B3311466_F005_49F1_A579_3E6CECE305A8_.wvu.PrintArea" localSheetId="0">Пр1!$A$1:$I$137</definedName>
    <definedName name="Z_B3311466_F005_49F1_A579_3E6CECE305A8_.wvu.PrintArea" localSheetId="11">Пр12!$A$1:$F$947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Пр12!$A$9:$F$947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Пр12!$A$9:$F$947</definedName>
    <definedName name="Z_E5662E33_D4B0_43EA_9B06_C8DA9DFDBEF6_.wvu.PrintArea" localSheetId="2">Пр_3!$A$1:$B$120</definedName>
    <definedName name="Z_E5662E33_D4B0_43EA_9B06_C8DA9DFDBEF6_.wvu.PrintArea" localSheetId="0">Пр1!$A$1:$I$137</definedName>
    <definedName name="Z_E5662E33_D4B0_43EA_9B06_C8DA9DFDBEF6_.wvu.PrintArea" localSheetId="11">Пр12!$A$1:$F$947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Пр12!$A$9:$F$947</definedName>
    <definedName name="Z_F3607253_7816_4CF7_9CFD_2ADFFAD916F8_.wvu.PrintArea" localSheetId="2">Пр_3!$A$1:$B$120</definedName>
    <definedName name="Z_F3607253_7816_4CF7_9CFD_2ADFFAD916F8_.wvu.PrintArea" localSheetId="0">Пр1!$A$1:$I$137</definedName>
    <definedName name="Z_F3607253_7816_4CF7_9CFD_2ADFFAD916F8_.wvu.PrintArea" localSheetId="11">Пр12!$A$1:$F$947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Пр.13!$A$1:$L$556</definedName>
    <definedName name="_xlnm.Print_Area" localSheetId="13">Пр.14!$A$1:$F$159</definedName>
    <definedName name="_xlnm.Print_Area" localSheetId="17">Пр.18!$A$1:$E$27</definedName>
    <definedName name="_xlnm.Print_Area" localSheetId="2">Пр_3!$A$1:$E$122</definedName>
    <definedName name="_xlnm.Print_Area" localSheetId="0">Пр1!$A$1:$L$137</definedName>
    <definedName name="_xlnm.Print_Area" localSheetId="11">Пр12!$A$1:$I$967</definedName>
    <definedName name="_xlnm.Print_Area" localSheetId="14">Пр15!$A$1:$I$144</definedName>
    <definedName name="_xlnm.Print_Area" localSheetId="15">Пр16!$A$1:$B$16</definedName>
    <definedName name="_xlnm.Print_Area" localSheetId="16">Пр17!$A$1:$C$15</definedName>
    <definedName name="_xlnm.Print_Area" localSheetId="18">Пр19!$A$1:$H$17</definedName>
    <definedName name="_xlnm.Print_Area" localSheetId="1">Пр2!$A$1:$O$123</definedName>
    <definedName name="_xlnm.Print_Area" localSheetId="21">Пр20!$A$1:$D$23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Пр9!$A$1:$C$179</definedName>
  </definedNames>
  <calcPr calcId="124519" refMode="R1C1"/>
</workbook>
</file>

<file path=xl/calcChain.xml><?xml version="1.0" encoding="utf-8"?>
<calcChain xmlns="http://schemas.openxmlformats.org/spreadsheetml/2006/main">
  <c r="I302" i="14"/>
  <c r="I303"/>
  <c r="I304"/>
  <c r="I305"/>
  <c r="I306"/>
  <c r="I307"/>
  <c r="I308"/>
  <c r="H300"/>
  <c r="I300"/>
  <c r="G300"/>
  <c r="A302"/>
  <c r="A303"/>
  <c r="A304"/>
  <c r="A305"/>
  <c r="A306"/>
  <c r="A307"/>
  <c r="A308"/>
  <c r="H82"/>
  <c r="I82"/>
  <c r="G82"/>
  <c r="I95"/>
  <c r="I96"/>
  <c r="H95"/>
  <c r="G95"/>
  <c r="A95"/>
  <c r="A96"/>
  <c r="B40" i="16"/>
  <c r="D22" i="56" l="1"/>
  <c r="D21"/>
  <c r="D20"/>
  <c r="D19"/>
  <c r="C18"/>
  <c r="B18"/>
  <c r="H87" i="14"/>
  <c r="H600"/>
  <c r="A882"/>
  <c r="A883"/>
  <c r="A884"/>
  <c r="H883"/>
  <c r="H882" s="1"/>
  <c r="G883"/>
  <c r="G882" s="1"/>
  <c r="I884"/>
  <c r="I883" s="1"/>
  <c r="I882" s="1"/>
  <c r="D18" i="56" l="1"/>
  <c r="B52" i="16"/>
  <c r="I863" i="14" l="1"/>
  <c r="H862"/>
  <c r="I862"/>
  <c r="G862"/>
  <c r="A862"/>
  <c r="A863"/>
  <c r="H855" l="1"/>
  <c r="H857"/>
  <c r="A875" l="1"/>
  <c r="A876"/>
  <c r="H875"/>
  <c r="G875"/>
  <c r="I876"/>
  <c r="I875" s="1"/>
  <c r="A871"/>
  <c r="A872"/>
  <c r="H871"/>
  <c r="G871"/>
  <c r="I872"/>
  <c r="I871" s="1"/>
  <c r="A858"/>
  <c r="A859"/>
  <c r="H858"/>
  <c r="G858"/>
  <c r="I859"/>
  <c r="I858" s="1"/>
  <c r="I778"/>
  <c r="H777"/>
  <c r="H776" s="1"/>
  <c r="I777"/>
  <c r="I776" s="1"/>
  <c r="G777"/>
  <c r="G776" s="1"/>
  <c r="I775"/>
  <c r="H774"/>
  <c r="H773" s="1"/>
  <c r="H772" s="1"/>
  <c r="H771" s="1"/>
  <c r="I774"/>
  <c r="I773" s="1"/>
  <c r="I772" s="1"/>
  <c r="I771" s="1"/>
  <c r="G774"/>
  <c r="G773" s="1"/>
  <c r="G772" s="1"/>
  <c r="G771" s="1"/>
  <c r="A771"/>
  <c r="A772"/>
  <c r="A773"/>
  <c r="A774"/>
  <c r="A775"/>
  <c r="A776"/>
  <c r="A777"/>
  <c r="A778"/>
  <c r="H765"/>
  <c r="H746"/>
  <c r="A493"/>
  <c r="A494"/>
  <c r="A495"/>
  <c r="A496"/>
  <c r="G490"/>
  <c r="H495"/>
  <c r="G495"/>
  <c r="H493"/>
  <c r="G493"/>
  <c r="I494"/>
  <c r="I493" s="1"/>
  <c r="I496"/>
  <c r="I495" s="1"/>
  <c r="A431"/>
  <c r="A432"/>
  <c r="H431"/>
  <c r="I432"/>
  <c r="I431" s="1"/>
  <c r="G431"/>
  <c r="A429"/>
  <c r="A430"/>
  <c r="I430"/>
  <c r="H429"/>
  <c r="G429"/>
  <c r="I381"/>
  <c r="I380" s="1"/>
  <c r="H380"/>
  <c r="G380"/>
  <c r="A380"/>
  <c r="A381"/>
  <c r="H371"/>
  <c r="G371"/>
  <c r="I372"/>
  <c r="I371" s="1"/>
  <c r="A371"/>
  <c r="A372"/>
  <c r="H368"/>
  <c r="H366"/>
  <c r="H109"/>
  <c r="G109"/>
  <c r="A109"/>
  <c r="A110"/>
  <c r="I110"/>
  <c r="I109" s="1"/>
  <c r="G489" l="1"/>
  <c r="I429"/>
  <c r="L122" i="1" l="1"/>
  <c r="A294" i="14" l="1"/>
  <c r="A295"/>
  <c r="A296"/>
  <c r="H295"/>
  <c r="H294" s="1"/>
  <c r="G295"/>
  <c r="G294" s="1"/>
  <c r="I296"/>
  <c r="I295" s="1"/>
  <c r="I294" s="1"/>
  <c r="A352"/>
  <c r="A353"/>
  <c r="I353"/>
  <c r="H352"/>
  <c r="G352"/>
  <c r="B153" i="16"/>
  <c r="B154"/>
  <c r="B155"/>
  <c r="H218" i="14"/>
  <c r="H217" s="1"/>
  <c r="I219"/>
  <c r="I218" s="1"/>
  <c r="I217" s="1"/>
  <c r="G218"/>
  <c r="G217" s="1"/>
  <c r="H221"/>
  <c r="H220" s="1"/>
  <c r="E155" i="16" s="1"/>
  <c r="G221" i="14"/>
  <c r="G220" s="1"/>
  <c r="D155" i="16" s="1"/>
  <c r="I222" i="14"/>
  <c r="I221" s="1"/>
  <c r="I220" s="1"/>
  <c r="F155" i="16" s="1"/>
  <c r="A216" i="14"/>
  <c r="A217"/>
  <c r="A218"/>
  <c r="A219"/>
  <c r="A220"/>
  <c r="A221"/>
  <c r="A222"/>
  <c r="I352" l="1"/>
  <c r="I216"/>
  <c r="F153" i="16" s="1"/>
  <c r="F154"/>
  <c r="G216" i="14"/>
  <c r="D153" i="16" s="1"/>
  <c r="D154"/>
  <c r="H216" i="14"/>
  <c r="E153" i="16" s="1"/>
  <c r="E154"/>
  <c r="I199" i="14"/>
  <c r="H198"/>
  <c r="I198"/>
  <c r="G198"/>
  <c r="A198"/>
  <c r="A199"/>
  <c r="K108" i="1" l="1"/>
  <c r="K102" s="1"/>
  <c r="K53"/>
  <c r="L48"/>
  <c r="L136"/>
  <c r="L57"/>
  <c r="G331" i="14"/>
  <c r="G333"/>
  <c r="G335"/>
  <c r="G338"/>
  <c r="G340"/>
  <c r="G346"/>
  <c r="G344"/>
  <c r="G350"/>
  <c r="G354"/>
  <c r="G358"/>
  <c r="G357" s="1"/>
  <c r="G356" s="1"/>
  <c r="G365"/>
  <c r="G369"/>
  <c r="G373"/>
  <c r="G375"/>
  <c r="G377"/>
  <c r="G385"/>
  <c r="G384" s="1"/>
  <c r="G388"/>
  <c r="G387" s="1"/>
  <c r="G390"/>
  <c r="G397"/>
  <c r="G403"/>
  <c r="G405"/>
  <c r="G414"/>
  <c r="G413" s="1"/>
  <c r="G417"/>
  <c r="G416" s="1"/>
  <c r="G423"/>
  <c r="G425"/>
  <c r="G427"/>
  <c r="G436"/>
  <c r="G435" s="1"/>
  <c r="G434" s="1"/>
  <c r="G433" s="1"/>
  <c r="G442"/>
  <c r="G441" s="1"/>
  <c r="G440" s="1"/>
  <c r="G439" s="1"/>
  <c r="G438" s="1"/>
  <c r="G448"/>
  <c r="G450"/>
  <c r="G452"/>
  <c r="G454"/>
  <c r="G456"/>
  <c r="G459"/>
  <c r="G462"/>
  <c r="G461" s="1"/>
  <c r="G468"/>
  <c r="G467" s="1"/>
  <c r="G466" s="1"/>
  <c r="G474"/>
  <c r="G472"/>
  <c r="G478"/>
  <c r="G479"/>
  <c r="G487"/>
  <c r="G485"/>
  <c r="G498"/>
  <c r="G497" s="1"/>
  <c r="G500"/>
  <c r="H500"/>
  <c r="G503"/>
  <c r="G507"/>
  <c r="G509"/>
  <c r="H762"/>
  <c r="G756"/>
  <c r="G755" s="1"/>
  <c r="G752"/>
  <c r="G751" s="1"/>
  <c r="G750" s="1"/>
  <c r="H745"/>
  <c r="H744" s="1"/>
  <c r="G957"/>
  <c r="G254"/>
  <c r="G149"/>
  <c r="H90"/>
  <c r="G90"/>
  <c r="G292"/>
  <c r="G291" s="1"/>
  <c r="G289"/>
  <c r="G288" s="1"/>
  <c r="G285"/>
  <c r="G283"/>
  <c r="G281"/>
  <c r="G279"/>
  <c r="G277"/>
  <c r="G273"/>
  <c r="G272" s="1"/>
  <c r="G271" s="1"/>
  <c r="G264"/>
  <c r="G263" s="1"/>
  <c r="G257"/>
  <c r="G246"/>
  <c r="G236"/>
  <c r="G235" s="1"/>
  <c r="G233"/>
  <c r="G232" s="1"/>
  <c r="G230"/>
  <c r="G229" s="1"/>
  <c r="G210"/>
  <c r="G196"/>
  <c r="G192"/>
  <c r="G190"/>
  <c r="G188"/>
  <c r="G184"/>
  <c r="G182"/>
  <c r="G180"/>
  <c r="G178"/>
  <c r="G176"/>
  <c r="G174"/>
  <c r="G172"/>
  <c r="G170"/>
  <c r="G164"/>
  <c r="G156"/>
  <c r="G155" s="1"/>
  <c r="G154" s="1"/>
  <c r="G152"/>
  <c r="G18"/>
  <c r="G17" s="1"/>
  <c r="G16" s="1"/>
  <c r="G21"/>
  <c r="G26"/>
  <c r="G28"/>
  <c r="G33"/>
  <c r="G32" s="1"/>
  <c r="G31" s="1"/>
  <c r="G37"/>
  <c r="G36" s="1"/>
  <c r="G35" s="1"/>
  <c r="G43"/>
  <c r="G41" s="1"/>
  <c r="G47"/>
  <c r="G46" s="1"/>
  <c r="G45" s="1"/>
  <c r="G51"/>
  <c r="G50" s="1"/>
  <c r="G54"/>
  <c r="G53" s="1"/>
  <c r="G58"/>
  <c r="G60"/>
  <c r="G63"/>
  <c r="G62" s="1"/>
  <c r="G67"/>
  <c r="G66" s="1"/>
  <c r="G65" s="1"/>
  <c r="G72"/>
  <c r="G71" s="1"/>
  <c r="G70" s="1"/>
  <c r="G76"/>
  <c r="G75" s="1"/>
  <c r="G74" s="1"/>
  <c r="G80"/>
  <c r="G79" s="1"/>
  <c r="G78" s="1"/>
  <c r="G83"/>
  <c r="G87"/>
  <c r="G88"/>
  <c r="G93"/>
  <c r="G97"/>
  <c r="G100"/>
  <c r="G103"/>
  <c r="G107"/>
  <c r="G106" s="1"/>
  <c r="G113"/>
  <c r="G112" s="1"/>
  <c r="G117"/>
  <c r="G116" s="1"/>
  <c r="G123"/>
  <c r="G122" s="1"/>
  <c r="G129"/>
  <c r="G131"/>
  <c r="G133"/>
  <c r="G136"/>
  <c r="G135" s="1"/>
  <c r="G139"/>
  <c r="G141"/>
  <c r="G144"/>
  <c r="G143" s="1"/>
  <c r="G162"/>
  <c r="G168"/>
  <c r="G186"/>
  <c r="G201"/>
  <c r="G200" s="1"/>
  <c r="G207"/>
  <c r="G214"/>
  <c r="G213" s="1"/>
  <c r="G212" s="1"/>
  <c r="G224"/>
  <c r="G223" s="1"/>
  <c r="G242"/>
  <c r="G244"/>
  <c r="G250"/>
  <c r="G261"/>
  <c r="G260" s="1"/>
  <c r="G259" s="1"/>
  <c r="G267"/>
  <c r="G266" s="1"/>
  <c r="G299"/>
  <c r="G298" s="1"/>
  <c r="G297" s="1"/>
  <c r="G306"/>
  <c r="G305" s="1"/>
  <c r="G304" s="1"/>
  <c r="G303" s="1"/>
  <c r="G302" s="1"/>
  <c r="G311"/>
  <c r="G310" s="1"/>
  <c r="G309" s="1"/>
  <c r="G317"/>
  <c r="G316" s="1"/>
  <c r="G315" s="1"/>
  <c r="G321"/>
  <c r="G320" s="1"/>
  <c r="G324"/>
  <c r="G323" s="1"/>
  <c r="G327"/>
  <c r="J102" i="1"/>
  <c r="J60"/>
  <c r="J52"/>
  <c r="J46"/>
  <c r="K46"/>
  <c r="G349" i="14" l="1"/>
  <c r="G287"/>
  <c r="G422"/>
  <c r="G421" s="1"/>
  <c r="G420" s="1"/>
  <c r="G419" s="1"/>
  <c r="G364"/>
  <c r="G363" s="1"/>
  <c r="J45" i="1"/>
  <c r="G471" i="14"/>
  <c r="G470" s="1"/>
  <c r="G383"/>
  <c r="G382" s="1"/>
  <c r="G206"/>
  <c r="G205" s="1"/>
  <c r="G204" s="1"/>
  <c r="G203" s="1"/>
  <c r="G195"/>
  <c r="G194" s="1"/>
  <c r="G167"/>
  <c r="G166" s="1"/>
  <c r="G128"/>
  <c r="G396"/>
  <c r="G395" s="1"/>
  <c r="G394" s="1"/>
  <c r="G343"/>
  <c r="G342" s="1"/>
  <c r="G465"/>
  <c r="G241"/>
  <c r="G240" s="1"/>
  <c r="G148"/>
  <c r="G147" s="1"/>
  <c r="G146" s="1"/>
  <c r="G161"/>
  <c r="G160" s="1"/>
  <c r="G484"/>
  <c r="G412"/>
  <c r="G411" s="1"/>
  <c r="G348"/>
  <c r="G253"/>
  <c r="G252" s="1"/>
  <c r="G447"/>
  <c r="G446" s="1"/>
  <c r="G445" s="1"/>
  <c r="G444" s="1"/>
  <c r="G85"/>
  <c r="G276"/>
  <c r="G275" s="1"/>
  <c r="G270" s="1"/>
  <c r="G228"/>
  <c r="G227" s="1"/>
  <c r="G226" s="1"/>
  <c r="G138"/>
  <c r="G127" s="1"/>
  <c r="G126" s="1"/>
  <c r="G125" s="1"/>
  <c r="G57"/>
  <c r="G56" s="1"/>
  <c r="G20"/>
  <c r="G15" s="1"/>
  <c r="G111"/>
  <c r="G319"/>
  <c r="G326"/>
  <c r="G121"/>
  <c r="G120"/>
  <c r="G119" s="1"/>
  <c r="G40"/>
  <c r="G42"/>
  <c r="G49"/>
  <c r="G393" l="1"/>
  <c r="G159"/>
  <c r="G158" s="1"/>
  <c r="G362"/>
  <c r="G361" s="1"/>
  <c r="G239"/>
  <c r="G238" s="1"/>
  <c r="G314"/>
  <c r="G313" s="1"/>
  <c r="G269"/>
  <c r="G39"/>
  <c r="J12" i="1" l="1"/>
  <c r="J14"/>
  <c r="J16"/>
  <c r="J20"/>
  <c r="J25"/>
  <c r="J27"/>
  <c r="J31"/>
  <c r="J34"/>
  <c r="J38"/>
  <c r="J36" s="1"/>
  <c r="J24" l="1"/>
  <c r="J11" s="1"/>
  <c r="J44"/>
  <c r="J137" l="1"/>
  <c r="B144" i="16"/>
  <c r="D123"/>
  <c r="B123"/>
  <c r="H452" i="14"/>
  <c r="I453"/>
  <c r="I452" s="1"/>
  <c r="A450"/>
  <c r="A451"/>
  <c r="A452"/>
  <c r="A453"/>
  <c r="B112" i="21"/>
  <c r="I46"/>
  <c r="F46"/>
  <c r="B45"/>
  <c r="B46"/>
  <c r="L458" i="15" l="1"/>
  <c r="I458"/>
  <c r="I463"/>
  <c r="I462" s="1"/>
  <c r="L463"/>
  <c r="H462"/>
  <c r="J462"/>
  <c r="K462"/>
  <c r="L462"/>
  <c r="H457"/>
  <c r="I457"/>
  <c r="J457"/>
  <c r="K457"/>
  <c r="L457"/>
  <c r="G462"/>
  <c r="G457"/>
  <c r="A462"/>
  <c r="A463"/>
  <c r="A457"/>
  <c r="A458"/>
  <c r="L452"/>
  <c r="I452"/>
  <c r="I451" s="1"/>
  <c r="I450" s="1"/>
  <c r="I449" s="1"/>
  <c r="H451"/>
  <c r="H450" s="1"/>
  <c r="H449" s="1"/>
  <c r="J451"/>
  <c r="J450" s="1"/>
  <c r="J449" s="1"/>
  <c r="K451"/>
  <c r="K450" s="1"/>
  <c r="K449" s="1"/>
  <c r="L451"/>
  <c r="L450" s="1"/>
  <c r="L449" s="1"/>
  <c r="G451"/>
  <c r="G450" s="1"/>
  <c r="G449" s="1"/>
  <c r="A449"/>
  <c r="A450"/>
  <c r="A451"/>
  <c r="A452"/>
  <c r="L430"/>
  <c r="L429" s="1"/>
  <c r="L428" s="1"/>
  <c r="L427" s="1"/>
  <c r="L426" s="1"/>
  <c r="I430"/>
  <c r="I429" s="1"/>
  <c r="I428" s="1"/>
  <c r="I427" s="1"/>
  <c r="I426" s="1"/>
  <c r="H429"/>
  <c r="H428" s="1"/>
  <c r="H427" s="1"/>
  <c r="H426" s="1"/>
  <c r="J429"/>
  <c r="J428" s="1"/>
  <c r="J427" s="1"/>
  <c r="J426" s="1"/>
  <c r="K429"/>
  <c r="K428" s="1"/>
  <c r="K427" s="1"/>
  <c r="K426" s="1"/>
  <c r="G429"/>
  <c r="G428"/>
  <c r="G427" s="1"/>
  <c r="G426" s="1"/>
  <c r="A426"/>
  <c r="A427"/>
  <c r="A428"/>
  <c r="A429"/>
  <c r="A430"/>
  <c r="H377"/>
  <c r="J377"/>
  <c r="K377"/>
  <c r="G377"/>
  <c r="L378"/>
  <c r="L377" s="1"/>
  <c r="I378"/>
  <c r="I377" s="1"/>
  <c r="A377"/>
  <c r="A378"/>
  <c r="H366"/>
  <c r="J366"/>
  <c r="K366"/>
  <c r="G366"/>
  <c r="L368"/>
  <c r="L367"/>
  <c r="I368"/>
  <c r="I367"/>
  <c r="A366"/>
  <c r="A367"/>
  <c r="A368"/>
  <c r="H353"/>
  <c r="H56"/>
  <c r="H55" s="1"/>
  <c r="H54" s="1"/>
  <c r="H53" s="1"/>
  <c r="L57"/>
  <c r="L56"/>
  <c r="I57"/>
  <c r="J55"/>
  <c r="J54" s="1"/>
  <c r="J53" s="1"/>
  <c r="K55"/>
  <c r="K54" s="1"/>
  <c r="K53" s="1"/>
  <c r="G55"/>
  <c r="G54" s="1"/>
  <c r="G53" s="1"/>
  <c r="A53"/>
  <c r="A54"/>
  <c r="A55"/>
  <c r="A56"/>
  <c r="A57"/>
  <c r="D17" i="56"/>
  <c r="D16" s="1"/>
  <c r="C16"/>
  <c r="B16"/>
  <c r="I56" i="15" l="1"/>
  <c r="I55" s="1"/>
  <c r="I54" s="1"/>
  <c r="I53" s="1"/>
  <c r="L366"/>
  <c r="I366"/>
  <c r="L55"/>
  <c r="L54" s="1"/>
  <c r="L53" s="1"/>
  <c r="G944" i="14" l="1"/>
  <c r="G943" s="1"/>
  <c r="G942" s="1"/>
  <c r="I874"/>
  <c r="I873" s="1"/>
  <c r="H873"/>
  <c r="G873"/>
  <c r="A873"/>
  <c r="A874"/>
  <c r="I849"/>
  <c r="H848"/>
  <c r="H847" s="1"/>
  <c r="H846" s="1"/>
  <c r="I848"/>
  <c r="I847" s="1"/>
  <c r="I846" s="1"/>
  <c r="G848"/>
  <c r="G847" s="1"/>
  <c r="G846" s="1"/>
  <c r="A846"/>
  <c r="A847"/>
  <c r="A848"/>
  <c r="A849"/>
  <c r="A841"/>
  <c r="I794"/>
  <c r="H793"/>
  <c r="H792" s="1"/>
  <c r="H791" s="1"/>
  <c r="H790" s="1"/>
  <c r="D45" i="3" s="1"/>
  <c r="I793" i="14"/>
  <c r="I792" s="1"/>
  <c r="I791" s="1"/>
  <c r="I790" s="1"/>
  <c r="E45" i="3" s="1"/>
  <c r="G793" i="14"/>
  <c r="G792" s="1"/>
  <c r="G791" s="1"/>
  <c r="G790" s="1"/>
  <c r="C45" i="3" s="1"/>
  <c r="A793" i="14"/>
  <c r="A794"/>
  <c r="A790"/>
  <c r="A791"/>
  <c r="A792"/>
  <c r="H662" l="1"/>
  <c r="I712"/>
  <c r="I711" s="1"/>
  <c r="H711"/>
  <c r="G711"/>
  <c r="A711"/>
  <c r="A712"/>
  <c r="A708"/>
  <c r="A709"/>
  <c r="I699"/>
  <c r="I698"/>
  <c r="H697"/>
  <c r="G697"/>
  <c r="A697"/>
  <c r="A698"/>
  <c r="A699"/>
  <c r="A695"/>
  <c r="A696"/>
  <c r="H695"/>
  <c r="G695"/>
  <c r="I696"/>
  <c r="I695" s="1"/>
  <c r="A677"/>
  <c r="H678"/>
  <c r="H677" s="1"/>
  <c r="G678"/>
  <c r="G677" s="1"/>
  <c r="I679"/>
  <c r="I678" s="1"/>
  <c r="I677" s="1"/>
  <c r="A623"/>
  <c r="A624"/>
  <c r="A625"/>
  <c r="H624"/>
  <c r="H623" s="1"/>
  <c r="E49" i="16" s="1"/>
  <c r="G624" i="14"/>
  <c r="G623" s="1"/>
  <c r="D49" i="16" s="1"/>
  <c r="I625" i="14"/>
  <c r="I624" s="1"/>
  <c r="I623" s="1"/>
  <c r="F49" i="16" s="1"/>
  <c r="B48"/>
  <c r="B49"/>
  <c r="H614" i="14"/>
  <c r="G614"/>
  <c r="I615"/>
  <c r="I616"/>
  <c r="A614"/>
  <c r="A615"/>
  <c r="A616"/>
  <c r="I697" l="1"/>
  <c r="I614"/>
  <c r="I108"/>
  <c r="H107"/>
  <c r="H106" s="1"/>
  <c r="I107"/>
  <c r="I106" s="1"/>
  <c r="A106"/>
  <c r="A107"/>
  <c r="A108"/>
  <c r="H306"/>
  <c r="H305" s="1"/>
  <c r="H304" s="1"/>
  <c r="H303" s="1"/>
  <c r="H302" s="1"/>
  <c r="A309"/>
  <c r="H358"/>
  <c r="H357" s="1"/>
  <c r="H356" s="1"/>
  <c r="A356"/>
  <c r="A357"/>
  <c r="A358"/>
  <c r="A359"/>
  <c r="I359"/>
  <c r="I358" s="1"/>
  <c r="I357" s="1"/>
  <c r="I356" s="1"/>
  <c r="A340"/>
  <c r="A341"/>
  <c r="H340"/>
  <c r="I341"/>
  <c r="I340" s="1"/>
  <c r="H581" l="1"/>
  <c r="H580" s="1"/>
  <c r="G581"/>
  <c r="G580" s="1"/>
  <c r="I582"/>
  <c r="I581" s="1"/>
  <c r="I580" s="1"/>
  <c r="A580"/>
  <c r="A581"/>
  <c r="A582"/>
  <c r="I557"/>
  <c r="I556" s="1"/>
  <c r="H556"/>
  <c r="G556"/>
  <c r="I555"/>
  <c r="I554" s="1"/>
  <c r="H554"/>
  <c r="G554"/>
  <c r="A556"/>
  <c r="A557"/>
  <c r="A553"/>
  <c r="A554"/>
  <c r="A555"/>
  <c r="I428"/>
  <c r="I427" s="1"/>
  <c r="H427"/>
  <c r="A427"/>
  <c r="A428"/>
  <c r="H377"/>
  <c r="H21"/>
  <c r="I19"/>
  <c r="I18" s="1"/>
  <c r="I17" s="1"/>
  <c r="I16" s="1"/>
  <c r="A18"/>
  <c r="A16"/>
  <c r="A17"/>
  <c r="A19"/>
  <c r="H957"/>
  <c r="I961"/>
  <c r="A961"/>
  <c r="A947"/>
  <c r="I424"/>
  <c r="I423" s="1"/>
  <c r="H423"/>
  <c r="A423"/>
  <c r="A424"/>
  <c r="I91"/>
  <c r="A91"/>
  <c r="A678"/>
  <c r="A679"/>
  <c r="G553" l="1"/>
  <c r="I553"/>
  <c r="H553"/>
  <c r="I947"/>
  <c r="H944"/>
  <c r="H943" s="1"/>
  <c r="H942" s="1"/>
  <c r="H18"/>
  <c r="H17" s="1"/>
  <c r="H16" s="1"/>
  <c r="A174"/>
  <c r="A175"/>
  <c r="I175"/>
  <c r="H174"/>
  <c r="I174" s="1"/>
  <c r="H168" l="1"/>
  <c r="H170"/>
  <c r="I170" s="1"/>
  <c r="A170"/>
  <c r="A171"/>
  <c r="I171"/>
  <c r="L50" i="1"/>
  <c r="L51"/>
  <c r="L107"/>
  <c r="H182" i="14"/>
  <c r="I157"/>
  <c r="H155"/>
  <c r="A157"/>
  <c r="D138" i="21"/>
  <c r="E138"/>
  <c r="F138"/>
  <c r="G138"/>
  <c r="H138"/>
  <c r="I138"/>
  <c r="D147" i="16"/>
  <c r="E147"/>
  <c r="F147"/>
  <c r="D134" i="21" l="1"/>
  <c r="G134"/>
  <c r="D135"/>
  <c r="G135"/>
  <c r="D136"/>
  <c r="E136"/>
  <c r="F136"/>
  <c r="G136"/>
  <c r="H136"/>
  <c r="I136"/>
  <c r="D137"/>
  <c r="E137"/>
  <c r="F137"/>
  <c r="G137"/>
  <c r="H137"/>
  <c r="I137"/>
  <c r="B137"/>
  <c r="B136"/>
  <c r="B135"/>
  <c r="B134"/>
  <c r="H354" i="14" l="1"/>
  <c r="I354" s="1"/>
  <c r="I355"/>
  <c r="A354"/>
  <c r="A355"/>
  <c r="A291"/>
  <c r="A292"/>
  <c r="A293"/>
  <c r="I293" l="1"/>
  <c r="H292"/>
  <c r="I292" s="1"/>
  <c r="H291" l="1"/>
  <c r="I291" s="1"/>
  <c r="A256"/>
  <c r="H254"/>
  <c r="I256"/>
  <c r="A236"/>
  <c r="A237"/>
  <c r="H236"/>
  <c r="H235" s="1"/>
  <c r="E123" i="16" s="1"/>
  <c r="I237" i="14"/>
  <c r="A235"/>
  <c r="I163"/>
  <c r="I165"/>
  <c r="I173"/>
  <c r="I177"/>
  <c r="I179"/>
  <c r="I181"/>
  <c r="I183"/>
  <c r="I185"/>
  <c r="I187"/>
  <c r="I189"/>
  <c r="I191"/>
  <c r="I193"/>
  <c r="I197"/>
  <c r="I202"/>
  <c r="H196"/>
  <c r="A194"/>
  <c r="A195"/>
  <c r="A196"/>
  <c r="A197"/>
  <c r="H188"/>
  <c r="I188" s="1"/>
  <c r="A188"/>
  <c r="A189"/>
  <c r="H172"/>
  <c r="H176"/>
  <c r="I176" s="1"/>
  <c r="A172"/>
  <c r="A173"/>
  <c r="A176"/>
  <c r="A177"/>
  <c r="I196" l="1"/>
  <c r="H195"/>
  <c r="I172"/>
  <c r="I236"/>
  <c r="I235"/>
  <c r="F123" i="16" s="1"/>
  <c r="H190" i="14"/>
  <c r="I190" s="1"/>
  <c r="A190"/>
  <c r="A191"/>
  <c r="L127" i="1"/>
  <c r="L125"/>
  <c r="L121"/>
  <c r="I24" i="14"/>
  <c r="A24"/>
  <c r="N98" i="2"/>
  <c r="K98"/>
  <c r="O112"/>
  <c r="L112"/>
  <c r="O110"/>
  <c r="L110"/>
  <c r="O104"/>
  <c r="L104"/>
  <c r="O102"/>
  <c r="O103"/>
  <c r="L103"/>
  <c r="O120"/>
  <c r="L120"/>
  <c r="O118"/>
  <c r="L118"/>
  <c r="L102"/>
  <c r="O111"/>
  <c r="L111"/>
  <c r="O121"/>
  <c r="L121"/>
  <c r="O109"/>
  <c r="L109"/>
  <c r="O108"/>
  <c r="L108"/>
  <c r="O107"/>
  <c r="L107"/>
  <c r="O106"/>
  <c r="L106"/>
  <c r="O114"/>
  <c r="L114"/>
  <c r="O122"/>
  <c r="L122"/>
  <c r="O117"/>
  <c r="L117"/>
  <c r="O115"/>
  <c r="L115"/>
  <c r="O101"/>
  <c r="O105"/>
  <c r="L101"/>
  <c r="L105"/>
  <c r="O100"/>
  <c r="L100"/>
  <c r="O116"/>
  <c r="O119"/>
  <c r="L116"/>
  <c r="L119"/>
  <c r="H194" i="14" l="1"/>
  <c r="I194" s="1"/>
  <c r="I195"/>
  <c r="K52" i="1"/>
  <c r="K60"/>
  <c r="L135"/>
  <c r="L130"/>
  <c r="L124"/>
  <c r="L112"/>
  <c r="L134"/>
  <c r="L133"/>
  <c r="L132"/>
  <c r="L131"/>
  <c r="L129"/>
  <c r="L113"/>
  <c r="L105"/>
  <c r="A346" i="14"/>
  <c r="A347"/>
  <c r="I347"/>
  <c r="H346"/>
  <c r="I346" s="1"/>
  <c r="I231"/>
  <c r="H230"/>
  <c r="I230" s="1"/>
  <c r="H233"/>
  <c r="I233" s="1"/>
  <c r="A233"/>
  <c r="A229"/>
  <c r="A230"/>
  <c r="A231"/>
  <c r="B121" i="16"/>
  <c r="B115"/>
  <c r="D115"/>
  <c r="A173" i="15"/>
  <c r="A174"/>
  <c r="L174"/>
  <c r="I174"/>
  <c r="K173"/>
  <c r="K170" s="1"/>
  <c r="K169" s="1"/>
  <c r="H173"/>
  <c r="I173" s="1"/>
  <c r="K70"/>
  <c r="L82"/>
  <c r="L84"/>
  <c r="L88"/>
  <c r="L90"/>
  <c r="L92"/>
  <c r="L94"/>
  <c r="L96"/>
  <c r="L102"/>
  <c r="K121"/>
  <c r="L121" s="1"/>
  <c r="L122"/>
  <c r="L126"/>
  <c r="L128"/>
  <c r="L130"/>
  <c r="L132"/>
  <c r="L134"/>
  <c r="L138"/>
  <c r="I122"/>
  <c r="I126"/>
  <c r="I128"/>
  <c r="I130"/>
  <c r="I132"/>
  <c r="I134"/>
  <c r="I138"/>
  <c r="H121"/>
  <c r="I121" s="1"/>
  <c r="K133"/>
  <c r="L133" s="1"/>
  <c r="K131"/>
  <c r="L131" s="1"/>
  <c r="K129"/>
  <c r="L129" s="1"/>
  <c r="K127"/>
  <c r="L127" s="1"/>
  <c r="K125"/>
  <c r="L125" s="1"/>
  <c r="H125"/>
  <c r="I125" s="1"/>
  <c r="H127"/>
  <c r="H129"/>
  <c r="I129" s="1"/>
  <c r="H131"/>
  <c r="I131" s="1"/>
  <c r="H133"/>
  <c r="I133" s="1"/>
  <c r="K137"/>
  <c r="L137" s="1"/>
  <c r="H137"/>
  <c r="H136" s="1"/>
  <c r="E135" i="21" s="1"/>
  <c r="A117" i="15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287" i="14"/>
  <c r="A288"/>
  <c r="K81" i="15"/>
  <c r="H81"/>
  <c r="A89"/>
  <c r="A90"/>
  <c r="A91"/>
  <c r="A92"/>
  <c r="A93"/>
  <c r="A94"/>
  <c r="A95"/>
  <c r="A96"/>
  <c r="I90"/>
  <c r="I92"/>
  <c r="I94"/>
  <c r="I96"/>
  <c r="K87"/>
  <c r="K89"/>
  <c r="L89" s="1"/>
  <c r="K91"/>
  <c r="L91" s="1"/>
  <c r="K93"/>
  <c r="L93" s="1"/>
  <c r="K95"/>
  <c r="L95" s="1"/>
  <c r="H87"/>
  <c r="H89"/>
  <c r="I89" s="1"/>
  <c r="H91"/>
  <c r="H93"/>
  <c r="I93" s="1"/>
  <c r="H95"/>
  <c r="I95" s="1"/>
  <c r="A83"/>
  <c r="A84"/>
  <c r="K83"/>
  <c r="L83" s="1"/>
  <c r="H83"/>
  <c r="I83" s="1"/>
  <c r="I84"/>
  <c r="K101"/>
  <c r="L101" s="1"/>
  <c r="H101"/>
  <c r="I101" s="1"/>
  <c r="I102"/>
  <c r="A97"/>
  <c r="A98"/>
  <c r="A99"/>
  <c r="A100"/>
  <c r="A101"/>
  <c r="A102"/>
  <c r="A74"/>
  <c r="A75"/>
  <c r="A76"/>
  <c r="K75"/>
  <c r="K74" s="1"/>
  <c r="L74" s="1"/>
  <c r="I112" i="21" s="1"/>
  <c r="H75" i="15"/>
  <c r="H74" s="1"/>
  <c r="I74" s="1"/>
  <c r="F112" i="21" s="1"/>
  <c r="L75" i="15"/>
  <c r="L76"/>
  <c r="I76"/>
  <c r="A72"/>
  <c r="A73"/>
  <c r="K72"/>
  <c r="L72" s="1"/>
  <c r="L73"/>
  <c r="H72"/>
  <c r="I72" s="1"/>
  <c r="I73"/>
  <c r="A269" i="14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9"/>
  <c r="A290"/>
  <c r="I278"/>
  <c r="I280"/>
  <c r="I282"/>
  <c r="I284"/>
  <c r="I286"/>
  <c r="I290"/>
  <c r="H277"/>
  <c r="I277" s="1"/>
  <c r="H279"/>
  <c r="I279" s="1"/>
  <c r="H281"/>
  <c r="I281" s="1"/>
  <c r="H283"/>
  <c r="I283" s="1"/>
  <c r="H285"/>
  <c r="H289"/>
  <c r="I289" s="1"/>
  <c r="K45" i="1" l="1"/>
  <c r="K80" i="15"/>
  <c r="K79" s="1"/>
  <c r="H80"/>
  <c r="H79" s="1"/>
  <c r="K136"/>
  <c r="L136" s="1"/>
  <c r="I135" i="21" s="1"/>
  <c r="K120" i="15"/>
  <c r="L173"/>
  <c r="H232" i="14"/>
  <c r="I232" s="1"/>
  <c r="H229"/>
  <c r="H135" i="15"/>
  <c r="I136"/>
  <c r="F135" i="21" s="1"/>
  <c r="H120" i="15"/>
  <c r="H86"/>
  <c r="H85" s="1"/>
  <c r="I137"/>
  <c r="K69"/>
  <c r="K68" s="1"/>
  <c r="K67" s="1"/>
  <c r="K86"/>
  <c r="K85" s="1"/>
  <c r="K78" s="1"/>
  <c r="K77" s="1"/>
  <c r="H124"/>
  <c r="H123" s="1"/>
  <c r="K124"/>
  <c r="H288" i="14"/>
  <c r="H287" s="1"/>
  <c r="I287" s="1"/>
  <c r="H276"/>
  <c r="I276" s="1"/>
  <c r="I127" i="15"/>
  <c r="I91"/>
  <c r="I75"/>
  <c r="K100"/>
  <c r="L100" s="1"/>
  <c r="H100"/>
  <c r="I285" i="14"/>
  <c r="H273"/>
  <c r="I273" s="1"/>
  <c r="I274"/>
  <c r="A263"/>
  <c r="A264"/>
  <c r="A265"/>
  <c r="I262"/>
  <c r="H264"/>
  <c r="I264" s="1"/>
  <c r="I265"/>
  <c r="A257"/>
  <c r="A258"/>
  <c r="H257"/>
  <c r="I257" s="1"/>
  <c r="I258"/>
  <c r="H248"/>
  <c r="I248" s="1"/>
  <c r="I249"/>
  <c r="A248"/>
  <c r="A249"/>
  <c r="A246"/>
  <c r="A247"/>
  <c r="H246"/>
  <c r="I246" s="1"/>
  <c r="I247"/>
  <c r="I234"/>
  <c r="I229" l="1"/>
  <c r="I228" s="1"/>
  <c r="I227" s="1"/>
  <c r="H228"/>
  <c r="H227" s="1"/>
  <c r="H78" i="15"/>
  <c r="H77" s="1"/>
  <c r="I135"/>
  <c r="F134" i="21" s="1"/>
  <c r="E134"/>
  <c r="K119" i="15"/>
  <c r="L120"/>
  <c r="K135"/>
  <c r="H135" i="21"/>
  <c r="L124" i="15"/>
  <c r="K123"/>
  <c r="I124"/>
  <c r="H275" i="14"/>
  <c r="I275" s="1"/>
  <c r="I120" i="15"/>
  <c r="H119"/>
  <c r="I119" s="1"/>
  <c r="I288" i="14"/>
  <c r="H263"/>
  <c r="I263" s="1"/>
  <c r="I123" i="15"/>
  <c r="H272" i="14"/>
  <c r="I100" i="15"/>
  <c r="H99"/>
  <c r="K99"/>
  <c r="L99" s="1"/>
  <c r="A228" i="14"/>
  <c r="A226"/>
  <c r="A227"/>
  <c r="A232"/>
  <c r="A234"/>
  <c r="A224"/>
  <c r="A225"/>
  <c r="L135" i="15" l="1"/>
  <c r="I134" i="21" s="1"/>
  <c r="H134"/>
  <c r="K118" i="15"/>
  <c r="L119"/>
  <c r="H118"/>
  <c r="H117" s="1"/>
  <c r="L123"/>
  <c r="H271" i="14"/>
  <c r="H270" s="1"/>
  <c r="H269" s="1"/>
  <c r="I272"/>
  <c r="I99" i="15"/>
  <c r="H98"/>
  <c r="K98"/>
  <c r="L98" s="1"/>
  <c r="A210" i="14"/>
  <c r="A211"/>
  <c r="H210"/>
  <c r="I210" s="1"/>
  <c r="I211"/>
  <c r="A207"/>
  <c r="H178"/>
  <c r="H180"/>
  <c r="I180" s="1"/>
  <c r="H184"/>
  <c r="I184" s="1"/>
  <c r="H192"/>
  <c r="I192" s="1"/>
  <c r="A192"/>
  <c r="A193"/>
  <c r="A178"/>
  <c r="A179"/>
  <c r="A180"/>
  <c r="A181"/>
  <c r="A182"/>
  <c r="A183"/>
  <c r="A184"/>
  <c r="A185"/>
  <c r="I182"/>
  <c r="H164"/>
  <c r="I164" s="1"/>
  <c r="A164"/>
  <c r="A165"/>
  <c r="I150"/>
  <c r="I151"/>
  <c r="I153"/>
  <c r="I156"/>
  <c r="I208"/>
  <c r="I209"/>
  <c r="I215"/>
  <c r="I225"/>
  <c r="I243"/>
  <c r="I245"/>
  <c r="I251"/>
  <c r="I255"/>
  <c r="I268"/>
  <c r="I118" i="15" l="1"/>
  <c r="H226" i="14"/>
  <c r="I226" s="1"/>
  <c r="K117" i="15"/>
  <c r="L117" s="1"/>
  <c r="L118"/>
  <c r="I178" i="14"/>
  <c r="I117" i="15"/>
  <c r="I271" i="14"/>
  <c r="I98" i="15"/>
  <c r="H97"/>
  <c r="I97" s="1"/>
  <c r="K97"/>
  <c r="L97" s="1"/>
  <c r="I270" i="14" l="1"/>
  <c r="I269"/>
  <c r="A152"/>
  <c r="A153"/>
  <c r="A154"/>
  <c r="A155"/>
  <c r="A156"/>
  <c r="I155"/>
  <c r="H152"/>
  <c r="I152" s="1"/>
  <c r="H154" l="1"/>
  <c r="L28" i="1"/>
  <c r="L100"/>
  <c r="L101"/>
  <c r="D15" i="56"/>
  <c r="A78" i="14"/>
  <c r="A79"/>
  <c r="A80"/>
  <c r="A81"/>
  <c r="H80"/>
  <c r="H79" s="1"/>
  <c r="H78" s="1"/>
  <c r="I81"/>
  <c r="I80" s="1"/>
  <c r="I79" s="1"/>
  <c r="I78" s="1"/>
  <c r="I154" l="1"/>
  <c r="F115" i="16" s="1"/>
  <c r="E115"/>
  <c r="F152"/>
  <c r="E152"/>
  <c r="D152"/>
  <c r="B152"/>
  <c r="B150"/>
  <c r="B151"/>
  <c r="H214" i="14"/>
  <c r="D151" i="16"/>
  <c r="A214" i="14"/>
  <c r="A212"/>
  <c r="A213"/>
  <c r="A215"/>
  <c r="A149"/>
  <c r="H149"/>
  <c r="H148" s="1"/>
  <c r="H147" s="1"/>
  <c r="A151"/>
  <c r="D11" i="56"/>
  <c r="D12"/>
  <c r="D13"/>
  <c r="D10"/>
  <c r="I366" i="14"/>
  <c r="C14" i="56"/>
  <c r="D14"/>
  <c r="L150" i="15"/>
  <c r="O87" i="2"/>
  <c r="L87"/>
  <c r="O57"/>
  <c r="L57"/>
  <c r="N46"/>
  <c r="O39"/>
  <c r="L39"/>
  <c r="L61" i="1"/>
  <c r="L54"/>
  <c r="L55"/>
  <c r="L58"/>
  <c r="L59"/>
  <c r="I149" i="14" l="1"/>
  <c r="H213"/>
  <c r="I214"/>
  <c r="D150" i="16"/>
  <c r="E151"/>
  <c r="B49" i="21"/>
  <c r="B38"/>
  <c r="D38"/>
  <c r="E38"/>
  <c r="F38"/>
  <c r="G38"/>
  <c r="H38"/>
  <c r="I38"/>
  <c r="D13"/>
  <c r="D15" i="10"/>
  <c r="H212" i="14" l="1"/>
  <c r="I213"/>
  <c r="F151" i="16" s="1"/>
  <c r="E122" i="4"/>
  <c r="H122"/>
  <c r="E150" i="16" l="1"/>
  <c r="I212" i="14"/>
  <c r="F150" i="16" s="1"/>
  <c r="G461" i="15"/>
  <c r="J456"/>
  <c r="G456"/>
  <c r="J436"/>
  <c r="G436"/>
  <c r="J186"/>
  <c r="G186"/>
  <c r="G397"/>
  <c r="L409"/>
  <c r="L410"/>
  <c r="I409"/>
  <c r="I410"/>
  <c r="H408"/>
  <c r="H407" s="1"/>
  <c r="J408"/>
  <c r="J407" s="1"/>
  <c r="K408"/>
  <c r="K407" s="1"/>
  <c r="G408"/>
  <c r="G407" s="1"/>
  <c r="A407"/>
  <c r="A408"/>
  <c r="A409"/>
  <c r="A410"/>
  <c r="A364"/>
  <c r="A365"/>
  <c r="H364"/>
  <c r="J364"/>
  <c r="K364"/>
  <c r="G364"/>
  <c r="L365"/>
  <c r="L364" s="1"/>
  <c r="I365"/>
  <c r="I364" s="1"/>
  <c r="L407" l="1"/>
  <c r="L408"/>
  <c r="I407"/>
  <c r="I408"/>
  <c r="L339"/>
  <c r="L337"/>
  <c r="L336" s="1"/>
  <c r="I339"/>
  <c r="I337"/>
  <c r="I336" s="1"/>
  <c r="H338"/>
  <c r="J338"/>
  <c r="K338"/>
  <c r="G338"/>
  <c r="H336"/>
  <c r="J336"/>
  <c r="K336"/>
  <c r="G336"/>
  <c r="A336"/>
  <c r="A337"/>
  <c r="A338"/>
  <c r="A339"/>
  <c r="L172"/>
  <c r="L178"/>
  <c r="G199"/>
  <c r="J211"/>
  <c r="G211"/>
  <c r="I178"/>
  <c r="I172"/>
  <c r="A164"/>
  <c r="A165"/>
  <c r="L165"/>
  <c r="H164"/>
  <c r="J164"/>
  <c r="K164"/>
  <c r="G164"/>
  <c r="I165"/>
  <c r="I164" s="1"/>
  <c r="L164" l="1"/>
  <c r="I338"/>
  <c r="L338"/>
  <c r="L66" l="1"/>
  <c r="L71"/>
  <c r="L63"/>
  <c r="L26"/>
  <c r="L25" s="1"/>
  <c r="L24" s="1"/>
  <c r="L23" s="1"/>
  <c r="I26"/>
  <c r="I25" s="1"/>
  <c r="I24" s="1"/>
  <c r="I23" s="1"/>
  <c r="H25"/>
  <c r="H24" s="1"/>
  <c r="H23" s="1"/>
  <c r="J25"/>
  <c r="J24" s="1"/>
  <c r="J23" s="1"/>
  <c r="K25"/>
  <c r="K24" s="1"/>
  <c r="K23" s="1"/>
  <c r="G25"/>
  <c r="G24" s="1"/>
  <c r="G23" s="1"/>
  <c r="A23"/>
  <c r="A24"/>
  <c r="A25"/>
  <c r="A26"/>
  <c r="K104"/>
  <c r="I150"/>
  <c r="I149" s="1"/>
  <c r="I148" s="1"/>
  <c r="I147" s="1"/>
  <c r="I146" s="1"/>
  <c r="I145" s="1"/>
  <c r="H149"/>
  <c r="H148" s="1"/>
  <c r="H147" s="1"/>
  <c r="H146" s="1"/>
  <c r="H145" s="1"/>
  <c r="J149"/>
  <c r="J148" s="1"/>
  <c r="J147" s="1"/>
  <c r="J146" s="1"/>
  <c r="J145" s="1"/>
  <c r="K149"/>
  <c r="K148" s="1"/>
  <c r="K147" s="1"/>
  <c r="K146" s="1"/>
  <c r="K145" s="1"/>
  <c r="L149"/>
  <c r="L148" s="1"/>
  <c r="L147" s="1"/>
  <c r="L146" s="1"/>
  <c r="L145" s="1"/>
  <c r="G149"/>
  <c r="G148" s="1"/>
  <c r="G147" s="1"/>
  <c r="G146" s="1"/>
  <c r="G145" s="1"/>
  <c r="A149"/>
  <c r="A150"/>
  <c r="A146"/>
  <c r="A147"/>
  <c r="A148"/>
  <c r="H143"/>
  <c r="H142" s="1"/>
  <c r="H141" s="1"/>
  <c r="H140" s="1"/>
  <c r="H139" s="1"/>
  <c r="G143"/>
  <c r="G142" s="1"/>
  <c r="G141" s="1"/>
  <c r="G140" s="1"/>
  <c r="G139" s="1"/>
  <c r="I144"/>
  <c r="I143" s="1"/>
  <c r="I142" s="1"/>
  <c r="I141" s="1"/>
  <c r="I140" s="1"/>
  <c r="I139" s="1"/>
  <c r="A139"/>
  <c r="A140"/>
  <c r="A141"/>
  <c r="A142"/>
  <c r="A143"/>
  <c r="A144"/>
  <c r="A145"/>
  <c r="A21"/>
  <c r="A22"/>
  <c r="L22"/>
  <c r="H21"/>
  <c r="J21"/>
  <c r="K21"/>
  <c r="L21"/>
  <c r="G21"/>
  <c r="I22"/>
  <c r="I21" s="1"/>
  <c r="H65"/>
  <c r="I66"/>
  <c r="I65" s="1"/>
  <c r="I63"/>
  <c r="I71"/>
  <c r="L108"/>
  <c r="L110"/>
  <c r="L112"/>
  <c r="L116"/>
  <c r="I108"/>
  <c r="I110"/>
  <c r="I112"/>
  <c r="I116"/>
  <c r="I88"/>
  <c r="L35"/>
  <c r="L34" s="1"/>
  <c r="L33" s="1"/>
  <c r="L32" s="1"/>
  <c r="I35"/>
  <c r="I34" s="1"/>
  <c r="I33" s="1"/>
  <c r="I32" s="1"/>
  <c r="H34"/>
  <c r="H33" s="1"/>
  <c r="H32" s="1"/>
  <c r="J34"/>
  <c r="J33" s="1"/>
  <c r="J32" s="1"/>
  <c r="K34"/>
  <c r="K33" s="1"/>
  <c r="K32" s="1"/>
  <c r="G34"/>
  <c r="G33" s="1"/>
  <c r="G32" s="1"/>
  <c r="A32"/>
  <c r="A33"/>
  <c r="A34"/>
  <c r="A35"/>
  <c r="H42"/>
  <c r="J42"/>
  <c r="M98" i="2"/>
  <c r="O98" s="1"/>
  <c r="J98"/>
  <c r="L98" s="1"/>
  <c r="G660" i="14"/>
  <c r="I660" s="1"/>
  <c r="G662"/>
  <c r="I658"/>
  <c r="I659"/>
  <c r="I661"/>
  <c r="I663"/>
  <c r="I662" s="1"/>
  <c r="A657"/>
  <c r="A658"/>
  <c r="A659"/>
  <c r="A660"/>
  <c r="A661"/>
  <c r="A662"/>
  <c r="A663"/>
  <c r="A121" l="1"/>
  <c r="A111"/>
  <c r="A112"/>
  <c r="A113"/>
  <c r="A114"/>
  <c r="A115"/>
  <c r="A116"/>
  <c r="A117"/>
  <c r="A118"/>
  <c r="A119"/>
  <c r="A120"/>
  <c r="A122"/>
  <c r="A123"/>
  <c r="A124"/>
  <c r="H123"/>
  <c r="H122" s="1"/>
  <c r="I124"/>
  <c r="I123" s="1"/>
  <c r="I122" s="1"/>
  <c r="H253"/>
  <c r="H267"/>
  <c r="A266"/>
  <c r="A267"/>
  <c r="A268"/>
  <c r="H266" l="1"/>
  <c r="I266" s="1"/>
  <c r="I267"/>
  <c r="H120"/>
  <c r="H119" s="1"/>
  <c r="H121"/>
  <c r="I120"/>
  <c r="I119" s="1"/>
  <c r="I121"/>
  <c r="O113" i="2"/>
  <c r="L113"/>
  <c r="L120" i="1"/>
  <c r="G906" i="14"/>
  <c r="I254"/>
  <c r="H207"/>
  <c r="H206" s="1"/>
  <c r="A208"/>
  <c r="I766"/>
  <c r="I765"/>
  <c r="G746"/>
  <c r="G747"/>
  <c r="H764"/>
  <c r="H761" s="1"/>
  <c r="G764"/>
  <c r="A765"/>
  <c r="A764"/>
  <c r="A766"/>
  <c r="H743"/>
  <c r="A204"/>
  <c r="H201"/>
  <c r="H200" s="1"/>
  <c r="H261"/>
  <c r="H250"/>
  <c r="H244"/>
  <c r="H242"/>
  <c r="H224"/>
  <c r="H223" s="1"/>
  <c r="G745" l="1"/>
  <c r="G744" s="1"/>
  <c r="G743" s="1"/>
  <c r="H241"/>
  <c r="I207"/>
  <c r="H252"/>
  <c r="H260"/>
  <c r="I764"/>
  <c r="H146"/>
  <c r="H144"/>
  <c r="H143" s="1"/>
  <c r="I145"/>
  <c r="I144" s="1"/>
  <c r="I143" s="1"/>
  <c r="I89"/>
  <c r="I92"/>
  <c r="I90" s="1"/>
  <c r="H93"/>
  <c r="A90"/>
  <c r="A92"/>
  <c r="H240" l="1"/>
  <c r="H259"/>
  <c r="H239" l="1"/>
  <c r="H238" s="1"/>
  <c r="I224" l="1"/>
  <c r="H70" i="15"/>
  <c r="H69" s="1"/>
  <c r="H68" s="1"/>
  <c r="J70"/>
  <c r="G70"/>
  <c r="G69" s="1"/>
  <c r="G68" s="1"/>
  <c r="G67" s="1"/>
  <c r="A67"/>
  <c r="A68"/>
  <c r="A69"/>
  <c r="A70"/>
  <c r="A71"/>
  <c r="H115"/>
  <c r="J115"/>
  <c r="G115"/>
  <c r="G114" s="1"/>
  <c r="G113" s="1"/>
  <c r="A113"/>
  <c r="A114"/>
  <c r="A115"/>
  <c r="A116"/>
  <c r="H109"/>
  <c r="J109"/>
  <c r="L109" s="1"/>
  <c r="H107"/>
  <c r="J107"/>
  <c r="L107" s="1"/>
  <c r="G107"/>
  <c r="G109"/>
  <c r="A107"/>
  <c r="A108"/>
  <c r="A109"/>
  <c r="A110"/>
  <c r="H171"/>
  <c r="H170" s="1"/>
  <c r="H169" s="1"/>
  <c r="I171"/>
  <c r="I170" s="1"/>
  <c r="I169" s="1"/>
  <c r="J171"/>
  <c r="J170" s="1"/>
  <c r="J169" s="1"/>
  <c r="G171"/>
  <c r="G170" s="1"/>
  <c r="G169" s="1"/>
  <c r="H177"/>
  <c r="H175" s="1"/>
  <c r="I177"/>
  <c r="I176" s="1"/>
  <c r="J177"/>
  <c r="G177"/>
  <c r="G175" s="1"/>
  <c r="A169"/>
  <c r="A170"/>
  <c r="A171"/>
  <c r="A172"/>
  <c r="A175"/>
  <c r="A176"/>
  <c r="A177"/>
  <c r="A178"/>
  <c r="I175" l="1"/>
  <c r="I109"/>
  <c r="J175"/>
  <c r="L175" s="1"/>
  <c r="L177"/>
  <c r="L171"/>
  <c r="L170" s="1"/>
  <c r="L169" s="1"/>
  <c r="J69"/>
  <c r="L70"/>
  <c r="I107"/>
  <c r="H114"/>
  <c r="I115"/>
  <c r="I70"/>
  <c r="J114"/>
  <c r="L115"/>
  <c r="G176"/>
  <c r="H176"/>
  <c r="J176"/>
  <c r="L176" s="1"/>
  <c r="J68" l="1"/>
  <c r="L69"/>
  <c r="J113"/>
  <c r="L113" s="1"/>
  <c r="L114"/>
  <c r="I69"/>
  <c r="H113"/>
  <c r="I113" s="1"/>
  <c r="I114"/>
  <c r="I244" i="14"/>
  <c r="J67" i="15" l="1"/>
  <c r="L68"/>
  <c r="H67"/>
  <c r="I68"/>
  <c r="A244" i="14"/>
  <c r="A245"/>
  <c r="A103" i="15"/>
  <c r="A104"/>
  <c r="A105"/>
  <c r="A106"/>
  <c r="A111"/>
  <c r="A112"/>
  <c r="H111"/>
  <c r="J111"/>
  <c r="L111" s="1"/>
  <c r="G111"/>
  <c r="H64"/>
  <c r="I64"/>
  <c r="J65"/>
  <c r="G65"/>
  <c r="G64" s="1"/>
  <c r="A64"/>
  <c r="A65"/>
  <c r="A66"/>
  <c r="A143" i="14"/>
  <c r="A144"/>
  <c r="A145"/>
  <c r="L67" i="15" l="1"/>
  <c r="I67"/>
  <c r="J64"/>
  <c r="L64" s="1"/>
  <c r="L65"/>
  <c r="I111"/>
  <c r="G106"/>
  <c r="G105" s="1"/>
  <c r="J106"/>
  <c r="H106"/>
  <c r="A250" i="14"/>
  <c r="A251"/>
  <c r="I250"/>
  <c r="B14" i="56"/>
  <c r="G104" i="15" l="1"/>
  <c r="G103" s="1"/>
  <c r="H105"/>
  <c r="H104" s="1"/>
  <c r="I106"/>
  <c r="J105"/>
  <c r="J104" s="1"/>
  <c r="L104" s="1"/>
  <c r="L106"/>
  <c r="A259" i="14"/>
  <c r="A260"/>
  <c r="A261"/>
  <c r="A262"/>
  <c r="I242"/>
  <c r="A252"/>
  <c r="A253"/>
  <c r="A254"/>
  <c r="A255"/>
  <c r="I252" l="1"/>
  <c r="I253"/>
  <c r="I261"/>
  <c r="L105" i="15"/>
  <c r="I105"/>
  <c r="I104" s="1"/>
  <c r="A238" i="14"/>
  <c r="A239"/>
  <c r="A240"/>
  <c r="A241"/>
  <c r="A242"/>
  <c r="A243"/>
  <c r="A146"/>
  <c r="A147"/>
  <c r="A148"/>
  <c r="A150"/>
  <c r="I169"/>
  <c r="A202"/>
  <c r="I201"/>
  <c r="A201"/>
  <c r="O96" i="2"/>
  <c r="L96"/>
  <c r="M56"/>
  <c r="J56"/>
  <c r="M38"/>
  <c r="J38"/>
  <c r="M27"/>
  <c r="J27"/>
  <c r="I200" i="14" l="1"/>
  <c r="I240"/>
  <c r="I241"/>
  <c r="I259"/>
  <c r="I260"/>
  <c r="I148"/>
  <c r="H103" i="15"/>
  <c r="J103"/>
  <c r="I93" i="14"/>
  <c r="C9" i="56"/>
  <c r="C23" s="1"/>
  <c r="D9"/>
  <c r="D23" s="1"/>
  <c r="B9"/>
  <c r="B23" s="1"/>
  <c r="C10" i="55"/>
  <c r="D10"/>
  <c r="D15" s="1"/>
  <c r="E10"/>
  <c r="E15" s="1"/>
  <c r="B10"/>
  <c r="B15" s="1"/>
  <c r="C15"/>
  <c r="D13" i="49"/>
  <c r="D14"/>
  <c r="D15"/>
  <c r="D12"/>
  <c r="C11"/>
  <c r="B16"/>
  <c r="D22" i="47"/>
  <c r="C16"/>
  <c r="E16" s="1"/>
  <c r="C10"/>
  <c r="E10" s="1"/>
  <c r="E18"/>
  <c r="E19"/>
  <c r="E20"/>
  <c r="E21"/>
  <c r="E17"/>
  <c r="E12"/>
  <c r="E13"/>
  <c r="E14"/>
  <c r="E15"/>
  <c r="E11"/>
  <c r="H345" i="15"/>
  <c r="J345"/>
  <c r="G345"/>
  <c r="H343"/>
  <c r="J343"/>
  <c r="G343"/>
  <c r="A540" i="14"/>
  <c r="I540"/>
  <c r="H539"/>
  <c r="G539"/>
  <c r="K46" i="2"/>
  <c r="M46"/>
  <c r="J46"/>
  <c r="M50"/>
  <c r="H191" i="15"/>
  <c r="J191"/>
  <c r="K191"/>
  <c r="G191"/>
  <c r="L193"/>
  <c r="I193"/>
  <c r="A193"/>
  <c r="I379" i="14"/>
  <c r="A379"/>
  <c r="K184" i="15"/>
  <c r="A186"/>
  <c r="L186"/>
  <c r="H184"/>
  <c r="J184"/>
  <c r="I186"/>
  <c r="G184"/>
  <c r="L103" l="1"/>
  <c r="I238" i="14"/>
  <c r="I239"/>
  <c r="I146"/>
  <c r="I147"/>
  <c r="I103" i="15"/>
  <c r="C22" i="47"/>
  <c r="I539" i="14"/>
  <c r="E22" i="47"/>
  <c r="D11" i="49"/>
  <c r="H365" i="14"/>
  <c r="I367"/>
  <c r="I368"/>
  <c r="A367"/>
  <c r="A368"/>
  <c r="I365" l="1"/>
  <c r="H139"/>
  <c r="L217" i="15"/>
  <c r="I217"/>
  <c r="I216" s="1"/>
  <c r="I215" s="1"/>
  <c r="I214" s="1"/>
  <c r="I213" s="1"/>
  <c r="I212" s="1"/>
  <c r="E76" i="4" s="1"/>
  <c r="H216" i="15"/>
  <c r="H215" s="1"/>
  <c r="H214" s="1"/>
  <c r="H213" s="1"/>
  <c r="H212" s="1"/>
  <c r="D76" i="4" s="1"/>
  <c r="J216" i="15"/>
  <c r="J215" s="1"/>
  <c r="J214" s="1"/>
  <c r="J213" s="1"/>
  <c r="J212" s="1"/>
  <c r="F76" i="4" s="1"/>
  <c r="K216" i="15"/>
  <c r="K215" s="1"/>
  <c r="K214" s="1"/>
  <c r="K213" s="1"/>
  <c r="K212" s="1"/>
  <c r="G76" i="4" s="1"/>
  <c r="L216" i="15"/>
  <c r="L215" s="1"/>
  <c r="L214" s="1"/>
  <c r="L213" s="1"/>
  <c r="L212" s="1"/>
  <c r="H76" i="4" s="1"/>
  <c r="G216" i="15"/>
  <c r="G215" s="1"/>
  <c r="G214" s="1"/>
  <c r="G213" s="1"/>
  <c r="G212" s="1"/>
  <c r="A217"/>
  <c r="A212"/>
  <c r="A213"/>
  <c r="A214"/>
  <c r="A215"/>
  <c r="A216"/>
  <c r="E75" i="3"/>
  <c r="I443" i="14"/>
  <c r="I442" s="1"/>
  <c r="I441" s="1"/>
  <c r="I440" s="1"/>
  <c r="I439" s="1"/>
  <c r="I438" s="1"/>
  <c r="E76" i="3" s="1"/>
  <c r="H442" i="14"/>
  <c r="H441" s="1"/>
  <c r="H440" s="1"/>
  <c r="H439" s="1"/>
  <c r="H438" s="1"/>
  <c r="D76" i="3" s="1"/>
  <c r="A438" i="14"/>
  <c r="A439"/>
  <c r="A440"/>
  <c r="A441"/>
  <c r="A442"/>
  <c r="A443"/>
  <c r="C76" i="4" l="1"/>
  <c r="K56" i="2"/>
  <c r="N56"/>
  <c r="O97"/>
  <c r="L97"/>
  <c r="H472" i="15"/>
  <c r="J472"/>
  <c r="K472"/>
  <c r="G472"/>
  <c r="L474"/>
  <c r="L475"/>
  <c r="I474"/>
  <c r="I475"/>
  <c r="A474"/>
  <c r="A475"/>
  <c r="L470"/>
  <c r="L471"/>
  <c r="I470"/>
  <c r="I471"/>
  <c r="H468"/>
  <c r="J468"/>
  <c r="K468"/>
  <c r="G468"/>
  <c r="A470"/>
  <c r="A471"/>
  <c r="H545"/>
  <c r="J545"/>
  <c r="K545"/>
  <c r="G545"/>
  <c r="L548"/>
  <c r="I548"/>
  <c r="A548"/>
  <c r="L547"/>
  <c r="I547"/>
  <c r="A547"/>
  <c r="J50" i="2"/>
  <c r="O61"/>
  <c r="O62"/>
  <c r="O63"/>
  <c r="O64"/>
  <c r="L61"/>
  <c r="L62"/>
  <c r="L63"/>
  <c r="L64"/>
  <c r="L65"/>
  <c r="L66"/>
  <c r="H405" i="15"/>
  <c r="H404" s="1"/>
  <c r="H403" s="1"/>
  <c r="H402" s="1"/>
  <c r="J405"/>
  <c r="J404" s="1"/>
  <c r="J403" s="1"/>
  <c r="J402" s="1"/>
  <c r="K405"/>
  <c r="K404" s="1"/>
  <c r="K403" s="1"/>
  <c r="K402" s="1"/>
  <c r="L406"/>
  <c r="L405" s="1"/>
  <c r="L404" s="1"/>
  <c r="L403" s="1"/>
  <c r="L402" s="1"/>
  <c r="I406"/>
  <c r="I405" s="1"/>
  <c r="I404" s="1"/>
  <c r="I403" s="1"/>
  <c r="I402" s="1"/>
  <c r="L156"/>
  <c r="G405" l="1"/>
  <c r="G404" s="1"/>
  <c r="G403" s="1"/>
  <c r="G402" s="1"/>
  <c r="A405"/>
  <c r="A402"/>
  <c r="A403"/>
  <c r="A404"/>
  <c r="A406"/>
  <c r="H395"/>
  <c r="H394" s="1"/>
  <c r="H393" s="1"/>
  <c r="J395"/>
  <c r="J394" s="1"/>
  <c r="J393" s="1"/>
  <c r="K395"/>
  <c r="K394" s="1"/>
  <c r="K393" s="1"/>
  <c r="G395"/>
  <c r="G394" s="1"/>
  <c r="G393" s="1"/>
  <c r="L397"/>
  <c r="L398"/>
  <c r="I397"/>
  <c r="I398"/>
  <c r="A397"/>
  <c r="A398"/>
  <c r="H369"/>
  <c r="J369"/>
  <c r="K369"/>
  <c r="G369"/>
  <c r="L370"/>
  <c r="L369" s="1"/>
  <c r="I370"/>
  <c r="I369" s="1"/>
  <c r="A369"/>
  <c r="A370"/>
  <c r="L265"/>
  <c r="L264" s="1"/>
  <c r="L263" s="1"/>
  <c r="L262" s="1"/>
  <c r="L261" s="1"/>
  <c r="L260" s="1"/>
  <c r="I265"/>
  <c r="I264" s="1"/>
  <c r="I263" s="1"/>
  <c r="I262" s="1"/>
  <c r="I261" s="1"/>
  <c r="I260" s="1"/>
  <c r="H264"/>
  <c r="H263" s="1"/>
  <c r="H262" s="1"/>
  <c r="H261" s="1"/>
  <c r="H260" s="1"/>
  <c r="J264"/>
  <c r="J263" s="1"/>
  <c r="J262" s="1"/>
  <c r="J261" s="1"/>
  <c r="J260" s="1"/>
  <c r="K264"/>
  <c r="K263" s="1"/>
  <c r="K262" s="1"/>
  <c r="K261" s="1"/>
  <c r="K260" s="1"/>
  <c r="G264"/>
  <c r="G263" s="1"/>
  <c r="G262" s="1"/>
  <c r="G261" s="1"/>
  <c r="G260" s="1"/>
  <c r="A260"/>
  <c r="A261"/>
  <c r="A262"/>
  <c r="A263"/>
  <c r="A264"/>
  <c r="A265"/>
  <c r="L190"/>
  <c r="I190"/>
  <c r="H189"/>
  <c r="J189"/>
  <c r="K189"/>
  <c r="G189"/>
  <c r="A189"/>
  <c r="A190"/>
  <c r="L163"/>
  <c r="H245"/>
  <c r="H244" s="1"/>
  <c r="J245"/>
  <c r="J244" s="1"/>
  <c r="K245"/>
  <c r="K244" s="1"/>
  <c r="G245"/>
  <c r="G244" s="1"/>
  <c r="L246"/>
  <c r="L245" s="1"/>
  <c r="L244" s="1"/>
  <c r="I246"/>
  <c r="I245" s="1"/>
  <c r="I244" s="1"/>
  <c r="A244"/>
  <c r="A245"/>
  <c r="A246"/>
  <c r="H252"/>
  <c r="J252"/>
  <c r="K252"/>
  <c r="G252"/>
  <c r="L254"/>
  <c r="L255"/>
  <c r="I254"/>
  <c r="I255"/>
  <c r="A254"/>
  <c r="A255"/>
  <c r="L251"/>
  <c r="H248"/>
  <c r="J248"/>
  <c r="K248"/>
  <c r="G248"/>
  <c r="I251"/>
  <c r="A251"/>
  <c r="L250"/>
  <c r="I250"/>
  <c r="A250"/>
  <c r="L160"/>
  <c r="L161"/>
  <c r="H155"/>
  <c r="H154" s="1"/>
  <c r="H153" s="1"/>
  <c r="J155"/>
  <c r="J154" s="1"/>
  <c r="J153" s="1"/>
  <c r="K155"/>
  <c r="K154" s="1"/>
  <c r="K153" s="1"/>
  <c r="L155"/>
  <c r="L154" s="1"/>
  <c r="L153" s="1"/>
  <c r="G155"/>
  <c r="G154" s="1"/>
  <c r="G153" s="1"/>
  <c r="I156"/>
  <c r="I155" s="1"/>
  <c r="I154" s="1"/>
  <c r="I153" s="1"/>
  <c r="A153"/>
  <c r="A154"/>
  <c r="A155"/>
  <c r="A156"/>
  <c r="H158"/>
  <c r="J158"/>
  <c r="K158"/>
  <c r="G158"/>
  <c r="I160"/>
  <c r="I161"/>
  <c r="A161"/>
  <c r="I163"/>
  <c r="I162" s="1"/>
  <c r="H162"/>
  <c r="J162"/>
  <c r="K162"/>
  <c r="G162"/>
  <c r="A162"/>
  <c r="A163"/>
  <c r="A160"/>
  <c r="H44"/>
  <c r="J44"/>
  <c r="K44"/>
  <c r="G44"/>
  <c r="L42"/>
  <c r="L43"/>
  <c r="L45"/>
  <c r="L46"/>
  <c r="I45"/>
  <c r="I46"/>
  <c r="A44"/>
  <c r="A45"/>
  <c r="A46"/>
  <c r="L48"/>
  <c r="L49"/>
  <c r="I48"/>
  <c r="I49"/>
  <c r="H37"/>
  <c r="J37"/>
  <c r="K37"/>
  <c r="G37"/>
  <c r="I43"/>
  <c r="I42" s="1"/>
  <c r="G42"/>
  <c r="A42"/>
  <c r="A43"/>
  <c r="L30"/>
  <c r="I30"/>
  <c r="L41"/>
  <c r="A41"/>
  <c r="I41"/>
  <c r="L38"/>
  <c r="L39"/>
  <c r="L40"/>
  <c r="I38"/>
  <c r="I39"/>
  <c r="I40"/>
  <c r="A40"/>
  <c r="L19"/>
  <c r="L20"/>
  <c r="I19"/>
  <c r="I20"/>
  <c r="H17"/>
  <c r="H16" s="1"/>
  <c r="H15" s="1"/>
  <c r="J17"/>
  <c r="J16" s="1"/>
  <c r="J15" s="1"/>
  <c r="K17"/>
  <c r="K16" s="1"/>
  <c r="K15" s="1"/>
  <c r="G17"/>
  <c r="G16" s="1"/>
  <c r="G15" s="1"/>
  <c r="A20"/>
  <c r="L162" l="1"/>
  <c r="I189"/>
  <c r="L189"/>
  <c r="I37"/>
  <c r="L37"/>
  <c r="I44"/>
  <c r="L44"/>
  <c r="A141" i="14"/>
  <c r="A142"/>
  <c r="H141"/>
  <c r="J520" i="15"/>
  <c r="L522"/>
  <c r="L523"/>
  <c r="A522" l="1"/>
  <c r="A523"/>
  <c r="G520"/>
  <c r="I522"/>
  <c r="I523"/>
  <c r="H129" i="14"/>
  <c r="H131"/>
  <c r="A129"/>
  <c r="I132"/>
  <c r="I131" s="1"/>
  <c r="I130"/>
  <c r="I129" s="1"/>
  <c r="A130"/>
  <c r="A131"/>
  <c r="A132"/>
  <c r="H736" l="1"/>
  <c r="H735" s="1"/>
  <c r="H734" s="1"/>
  <c r="G736"/>
  <c r="G735" s="1"/>
  <c r="G734" s="1"/>
  <c r="I737"/>
  <c r="I736" s="1"/>
  <c r="I735" s="1"/>
  <c r="I734" s="1"/>
  <c r="A734"/>
  <c r="A735"/>
  <c r="A736"/>
  <c r="A737"/>
  <c r="H740"/>
  <c r="H739" s="1"/>
  <c r="H738" s="1"/>
  <c r="G740"/>
  <c r="G739" s="1"/>
  <c r="G738" s="1"/>
  <c r="I741"/>
  <c r="I740" s="1"/>
  <c r="I739" s="1"/>
  <c r="I738" s="1"/>
  <c r="A740"/>
  <c r="A741"/>
  <c r="A738"/>
  <c r="A739"/>
  <c r="H72"/>
  <c r="H71" s="1"/>
  <c r="H70" s="1"/>
  <c r="I73"/>
  <c r="I72" s="1"/>
  <c r="I71" s="1"/>
  <c r="I70" s="1"/>
  <c r="A70"/>
  <c r="A71"/>
  <c r="A72"/>
  <c r="A73"/>
  <c r="I118"/>
  <c r="I117" s="1"/>
  <c r="I116" s="1"/>
  <c r="H117"/>
  <c r="H116" s="1"/>
  <c r="H565"/>
  <c r="I566"/>
  <c r="G565"/>
  <c r="A566"/>
  <c r="I549"/>
  <c r="I548" s="1"/>
  <c r="I547" s="1"/>
  <c r="I546" s="1"/>
  <c r="I545" s="1"/>
  <c r="I544" s="1"/>
  <c r="H548"/>
  <c r="H547" s="1"/>
  <c r="H546" s="1"/>
  <c r="H545" s="1"/>
  <c r="H544" s="1"/>
  <c r="G548"/>
  <c r="G547" s="1"/>
  <c r="G546" s="1"/>
  <c r="G545" s="1"/>
  <c r="G544" s="1"/>
  <c r="A544"/>
  <c r="A545"/>
  <c r="A546"/>
  <c r="A547"/>
  <c r="A548"/>
  <c r="A549"/>
  <c r="I376"/>
  <c r="I375" s="1"/>
  <c r="H375"/>
  <c r="A375"/>
  <c r="A376"/>
  <c r="I701"/>
  <c r="I700" s="1"/>
  <c r="H700"/>
  <c r="G700"/>
  <c r="A700"/>
  <c r="A701"/>
  <c r="A77" i="15" l="1"/>
  <c r="A78"/>
  <c r="A79"/>
  <c r="A80"/>
  <c r="A81"/>
  <c r="A82"/>
  <c r="A85"/>
  <c r="A86"/>
  <c r="A87"/>
  <c r="A88"/>
  <c r="J81"/>
  <c r="G81"/>
  <c r="I81" s="1"/>
  <c r="J87"/>
  <c r="I82"/>
  <c r="G87"/>
  <c r="G86" s="1"/>
  <c r="J86" l="1"/>
  <c r="L86" s="1"/>
  <c r="L87"/>
  <c r="J80"/>
  <c r="L80" s="1"/>
  <c r="L81"/>
  <c r="G80"/>
  <c r="I80" s="1"/>
  <c r="I86"/>
  <c r="G85"/>
  <c r="I85" s="1"/>
  <c r="I87"/>
  <c r="A200" i="14"/>
  <c r="A310"/>
  <c r="B148" i="16"/>
  <c r="B149"/>
  <c r="B143"/>
  <c r="B145"/>
  <c r="B146"/>
  <c r="B139"/>
  <c r="B140"/>
  <c r="B141"/>
  <c r="B142"/>
  <c r="H604" i="14"/>
  <c r="H603" s="1"/>
  <c r="H602" s="1"/>
  <c r="H601" s="1"/>
  <c r="G604"/>
  <c r="G603" s="1"/>
  <c r="G602" s="1"/>
  <c r="G601" s="1"/>
  <c r="I605"/>
  <c r="I604" s="1"/>
  <c r="I603" s="1"/>
  <c r="I602" s="1"/>
  <c r="I601" s="1"/>
  <c r="A601"/>
  <c r="A602"/>
  <c r="A603"/>
  <c r="A604"/>
  <c r="A605"/>
  <c r="I532"/>
  <c r="H531"/>
  <c r="H530" s="1"/>
  <c r="G531"/>
  <c r="G530" s="1"/>
  <c r="A530"/>
  <c r="A531"/>
  <c r="A532"/>
  <c r="A527"/>
  <c r="I437"/>
  <c r="I436" s="1"/>
  <c r="I435" s="1"/>
  <c r="I434" s="1"/>
  <c r="I433" s="1"/>
  <c r="H436"/>
  <c r="H435" s="1"/>
  <c r="H434" s="1"/>
  <c r="H433" s="1"/>
  <c r="A433"/>
  <c r="A434"/>
  <c r="A435"/>
  <c r="A436"/>
  <c r="A437"/>
  <c r="I370"/>
  <c r="H369"/>
  <c r="A369"/>
  <c r="A370"/>
  <c r="I763"/>
  <c r="I762" s="1"/>
  <c r="G762"/>
  <c r="G761" s="1"/>
  <c r="A761"/>
  <c r="A762"/>
  <c r="A763"/>
  <c r="I748"/>
  <c r="I747"/>
  <c r="I746"/>
  <c r="A744"/>
  <c r="A745"/>
  <c r="A746"/>
  <c r="A747"/>
  <c r="A748"/>
  <c r="G79" i="15" l="1"/>
  <c r="G78" s="1"/>
  <c r="I78" s="1"/>
  <c r="J79"/>
  <c r="L79" s="1"/>
  <c r="J85"/>
  <c r="L85" s="1"/>
  <c r="I369" i="14"/>
  <c r="I530"/>
  <c r="I531"/>
  <c r="I761"/>
  <c r="D139" i="16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I79" i="15" l="1"/>
  <c r="J78"/>
  <c r="L78" s="1"/>
  <c r="G77"/>
  <c r="I77" s="1"/>
  <c r="I745" i="14"/>
  <c r="A345" i="15"/>
  <c r="A346"/>
  <c r="L346"/>
  <c r="I346"/>
  <c r="I345" s="1"/>
  <c r="L345"/>
  <c r="H667" i="14"/>
  <c r="I668"/>
  <c r="I667" s="1"/>
  <c r="G667"/>
  <c r="H669"/>
  <c r="I670"/>
  <c r="I669" s="1"/>
  <c r="G669"/>
  <c r="L344" i="15"/>
  <c r="L343"/>
  <c r="I344"/>
  <c r="I343" s="1"/>
  <c r="A343"/>
  <c r="A344"/>
  <c r="A669" i="14"/>
  <c r="A670"/>
  <c r="A667"/>
  <c r="A668"/>
  <c r="A664"/>
  <c r="A666"/>
  <c r="J77" i="15" l="1"/>
  <c r="L77" s="1"/>
  <c r="I744" i="14"/>
  <c r="I743" s="1"/>
  <c r="O91" i="2"/>
  <c r="L91"/>
  <c r="O88"/>
  <c r="L88"/>
  <c r="O84"/>
  <c r="L84"/>
  <c r="O83"/>
  <c r="L83"/>
  <c r="O85"/>
  <c r="L85"/>
  <c r="O82"/>
  <c r="L82"/>
  <c r="O81"/>
  <c r="L81"/>
  <c r="O76"/>
  <c r="L76"/>
  <c r="O72"/>
  <c r="L72"/>
  <c r="O71"/>
  <c r="L71"/>
  <c r="O70"/>
  <c r="L70"/>
  <c r="O69"/>
  <c r="L69"/>
  <c r="O68"/>
  <c r="L68"/>
  <c r="O67"/>
  <c r="L67"/>
  <c r="O60" l="1"/>
  <c r="L60"/>
  <c r="O59"/>
  <c r="L59"/>
  <c r="L62" i="1"/>
  <c r="L91"/>
  <c r="L88"/>
  <c r="L87"/>
  <c r="L60" l="1"/>
  <c r="L89"/>
  <c r="H311" i="14" l="1"/>
  <c r="H310" s="1"/>
  <c r="H309" s="1"/>
  <c r="A311"/>
  <c r="H85" l="1"/>
  <c r="I88"/>
  <c r="A88"/>
  <c r="H113"/>
  <c r="H112" s="1"/>
  <c r="H111" s="1"/>
  <c r="D40" i="3" s="1"/>
  <c r="I114" i="14"/>
  <c r="I115"/>
  <c r="H60" l="1"/>
  <c r="I61"/>
  <c r="I60" s="1"/>
  <c r="I52"/>
  <c r="A312" l="1"/>
  <c r="G672"/>
  <c r="A209"/>
  <c r="I142"/>
  <c r="I141" s="1"/>
  <c r="I946" l="1"/>
  <c r="A946"/>
  <c r="A223" l="1"/>
  <c r="I223" l="1"/>
  <c r="A186"/>
  <c r="H186"/>
  <c r="H167" s="1"/>
  <c r="A158"/>
  <c r="A187"/>
  <c r="A169"/>
  <c r="I168"/>
  <c r="A168"/>
  <c r="A167"/>
  <c r="A166"/>
  <c r="A163"/>
  <c r="H162"/>
  <c r="H161" s="1"/>
  <c r="A162"/>
  <c r="A161"/>
  <c r="A160"/>
  <c r="A159"/>
  <c r="I162" l="1"/>
  <c r="I186"/>
  <c r="H166"/>
  <c r="H160"/>
  <c r="I161"/>
  <c r="A60"/>
  <c r="A61"/>
  <c r="A50"/>
  <c r="A51"/>
  <c r="A52"/>
  <c r="G236" i="15"/>
  <c r="I167" i="14" l="1"/>
  <c r="H159"/>
  <c r="I113"/>
  <c r="I50"/>
  <c r="I51"/>
  <c r="I166"/>
  <c r="I160"/>
  <c r="H672"/>
  <c r="I673"/>
  <c r="A672"/>
  <c r="A673"/>
  <c r="F21" i="4"/>
  <c r="G21"/>
  <c r="H14"/>
  <c r="H16"/>
  <c r="H17"/>
  <c r="H18"/>
  <c r="H19"/>
  <c r="H21"/>
  <c r="F14"/>
  <c r="F16"/>
  <c r="F17"/>
  <c r="F18"/>
  <c r="F19"/>
  <c r="E14"/>
  <c r="E16"/>
  <c r="E17"/>
  <c r="E18"/>
  <c r="E19"/>
  <c r="G14"/>
  <c r="G16"/>
  <c r="G17"/>
  <c r="G18"/>
  <c r="G19"/>
  <c r="H158" i="14" l="1"/>
  <c r="I672"/>
  <c r="I112"/>
  <c r="I111" s="1"/>
  <c r="E40" i="3" s="1"/>
  <c r="I159" i="14"/>
  <c r="A62"/>
  <c r="I64"/>
  <c r="I63" s="1"/>
  <c r="I62" s="1"/>
  <c r="H63"/>
  <c r="H62" s="1"/>
  <c r="A63"/>
  <c r="A64"/>
  <c r="I158" l="1"/>
  <c r="F10" i="4"/>
  <c r="G10"/>
  <c r="H10"/>
  <c r="F12"/>
  <c r="F24"/>
  <c r="G24"/>
  <c r="H24"/>
  <c r="F25"/>
  <c r="G25"/>
  <c r="H25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7"/>
  <c r="G47"/>
  <c r="H47"/>
  <c r="F48"/>
  <c r="G48"/>
  <c r="H48"/>
  <c r="F49"/>
  <c r="G49"/>
  <c r="H49"/>
  <c r="F50"/>
  <c r="G50"/>
  <c r="H50"/>
  <c r="F52"/>
  <c r="G52"/>
  <c r="H52"/>
  <c r="F53"/>
  <c r="G53"/>
  <c r="H53"/>
  <c r="F56"/>
  <c r="G56"/>
  <c r="H56"/>
  <c r="F57"/>
  <c r="G57"/>
  <c r="H57"/>
  <c r="F58"/>
  <c r="G58"/>
  <c r="H58"/>
  <c r="F60"/>
  <c r="G60"/>
  <c r="H60"/>
  <c r="F62"/>
  <c r="G62"/>
  <c r="H62"/>
  <c r="F63"/>
  <c r="G63"/>
  <c r="H63"/>
  <c r="F66"/>
  <c r="G66"/>
  <c r="H66"/>
  <c r="F67"/>
  <c r="G67"/>
  <c r="H67"/>
  <c r="F68"/>
  <c r="G68"/>
  <c r="H68"/>
  <c r="F69"/>
  <c r="G69"/>
  <c r="H69"/>
  <c r="F70"/>
  <c r="G70"/>
  <c r="H70"/>
  <c r="F75"/>
  <c r="G75"/>
  <c r="H75"/>
  <c r="F77"/>
  <c r="G77"/>
  <c r="H77"/>
  <c r="F79"/>
  <c r="G79"/>
  <c r="H79"/>
  <c r="F83"/>
  <c r="G83"/>
  <c r="H83"/>
  <c r="F84"/>
  <c r="G84"/>
  <c r="H84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101"/>
  <c r="G101"/>
  <c r="H101"/>
  <c r="F104"/>
  <c r="G104"/>
  <c r="H104"/>
  <c r="F106"/>
  <c r="G106"/>
  <c r="H106"/>
  <c r="F107"/>
  <c r="G107"/>
  <c r="H107"/>
  <c r="F108"/>
  <c r="G108"/>
  <c r="H108"/>
  <c r="F110"/>
  <c r="G110"/>
  <c r="H110"/>
  <c r="F112"/>
  <c r="G112"/>
  <c r="H112"/>
  <c r="F113"/>
  <c r="G113"/>
  <c r="H113"/>
  <c r="F116"/>
  <c r="G116"/>
  <c r="H116"/>
  <c r="F119"/>
  <c r="G119"/>
  <c r="H119"/>
  <c r="F120"/>
  <c r="G120"/>
  <c r="H120"/>
  <c r="C21"/>
  <c r="C19"/>
  <c r="C18"/>
  <c r="C17"/>
  <c r="C16"/>
  <c r="C14"/>
  <c r="C12"/>
  <c r="C10"/>
  <c r="E21"/>
  <c r="E12"/>
  <c r="E10"/>
  <c r="D10"/>
  <c r="D21"/>
  <c r="D19"/>
  <c r="D18"/>
  <c r="D17"/>
  <c r="D16"/>
  <c r="D14"/>
  <c r="D12"/>
  <c r="D120"/>
  <c r="E120"/>
  <c r="D119"/>
  <c r="E119"/>
  <c r="D116"/>
  <c r="E116"/>
  <c r="D113"/>
  <c r="E113"/>
  <c r="D112"/>
  <c r="E112"/>
  <c r="D110"/>
  <c r="E110"/>
  <c r="D108"/>
  <c r="E108"/>
  <c r="D107"/>
  <c r="E107"/>
  <c r="D106"/>
  <c r="E106"/>
  <c r="D104"/>
  <c r="E104"/>
  <c r="D101"/>
  <c r="E101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4"/>
  <c r="E84"/>
  <c r="D83"/>
  <c r="E83"/>
  <c r="D79"/>
  <c r="E79"/>
  <c r="D77"/>
  <c r="E77"/>
  <c r="D75"/>
  <c r="E75"/>
  <c r="D70"/>
  <c r="E70"/>
  <c r="D69"/>
  <c r="E69"/>
  <c r="D68"/>
  <c r="E68"/>
  <c r="D67"/>
  <c r="E67"/>
  <c r="D66"/>
  <c r="E66"/>
  <c r="D63"/>
  <c r="E63"/>
  <c r="D62"/>
  <c r="E62"/>
  <c r="D60"/>
  <c r="E60"/>
  <c r="D58"/>
  <c r="E58"/>
  <c r="D57"/>
  <c r="E57"/>
  <c r="D56"/>
  <c r="E56"/>
  <c r="D53"/>
  <c r="E53"/>
  <c r="D52"/>
  <c r="E52"/>
  <c r="D50"/>
  <c r="E50"/>
  <c r="D49"/>
  <c r="E49"/>
  <c r="D48"/>
  <c r="E48"/>
  <c r="D47"/>
  <c r="E47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2"/>
  <c r="E32"/>
  <c r="D31"/>
  <c r="E31"/>
  <c r="D30"/>
  <c r="E30"/>
  <c r="D29"/>
  <c r="E29"/>
  <c r="D28"/>
  <c r="E28"/>
  <c r="D27"/>
  <c r="E27"/>
  <c r="D25"/>
  <c r="E25"/>
  <c r="D24"/>
  <c r="E24"/>
  <c r="L90" i="1"/>
  <c r="D86" i="4" l="1"/>
  <c r="D65"/>
  <c r="F86"/>
  <c r="G86"/>
  <c r="G65"/>
  <c r="H86"/>
  <c r="H65"/>
  <c r="F65"/>
  <c r="H33"/>
  <c r="G33"/>
  <c r="F33"/>
  <c r="D33"/>
  <c r="E65"/>
  <c r="D16" i="48"/>
  <c r="G16"/>
  <c r="I13" i="21"/>
  <c r="I14"/>
  <c r="I15"/>
  <c r="I23"/>
  <c r="I24"/>
  <c r="I30"/>
  <c r="I47"/>
  <c r="I48"/>
  <c r="I49"/>
  <c r="I50"/>
  <c r="I52"/>
  <c r="I53"/>
  <c r="I54"/>
  <c r="I60"/>
  <c r="I61"/>
  <c r="I62"/>
  <c r="I63"/>
  <c r="I64"/>
  <c r="I65"/>
  <c r="I66"/>
  <c r="I72"/>
  <c r="I73"/>
  <c r="I74"/>
  <c r="I75"/>
  <c r="I76"/>
  <c r="I77"/>
  <c r="I78"/>
  <c r="I79"/>
  <c r="I80"/>
  <c r="I82"/>
  <c r="I83"/>
  <c r="I84"/>
  <c r="I85"/>
  <c r="I86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H13"/>
  <c r="H14"/>
  <c r="H15"/>
  <c r="H23"/>
  <c r="H24"/>
  <c r="H30"/>
  <c r="H47"/>
  <c r="H48"/>
  <c r="H49"/>
  <c r="H50"/>
  <c r="H52"/>
  <c r="H53"/>
  <c r="H54"/>
  <c r="H60"/>
  <c r="H61"/>
  <c r="H62"/>
  <c r="H63"/>
  <c r="H64"/>
  <c r="H65"/>
  <c r="H66"/>
  <c r="H72"/>
  <c r="H73"/>
  <c r="H74"/>
  <c r="H75"/>
  <c r="H76"/>
  <c r="H77"/>
  <c r="H78"/>
  <c r="H79"/>
  <c r="H80"/>
  <c r="H82"/>
  <c r="H83"/>
  <c r="H84"/>
  <c r="H85"/>
  <c r="H86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G13"/>
  <c r="G14"/>
  <c r="G15"/>
  <c r="G23"/>
  <c r="G24"/>
  <c r="G30"/>
  <c r="G47"/>
  <c r="G48"/>
  <c r="G49"/>
  <c r="G50"/>
  <c r="G52"/>
  <c r="G53"/>
  <c r="G54"/>
  <c r="G60"/>
  <c r="G61"/>
  <c r="G62"/>
  <c r="G63"/>
  <c r="G64"/>
  <c r="G65"/>
  <c r="G66"/>
  <c r="G72"/>
  <c r="G73"/>
  <c r="G74"/>
  <c r="G75"/>
  <c r="G76"/>
  <c r="G77"/>
  <c r="G78"/>
  <c r="G79"/>
  <c r="G80"/>
  <c r="G82"/>
  <c r="G83"/>
  <c r="G84"/>
  <c r="G85"/>
  <c r="G86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F13"/>
  <c r="F14"/>
  <c r="F15"/>
  <c r="F23"/>
  <c r="F24"/>
  <c r="F30"/>
  <c r="F47"/>
  <c r="F48"/>
  <c r="F49"/>
  <c r="F50"/>
  <c r="F52"/>
  <c r="F53"/>
  <c r="F54"/>
  <c r="F60"/>
  <c r="F61"/>
  <c r="F62"/>
  <c r="F63"/>
  <c r="F64"/>
  <c r="F65"/>
  <c r="F66"/>
  <c r="F72"/>
  <c r="F73"/>
  <c r="F74"/>
  <c r="F75"/>
  <c r="F76"/>
  <c r="F77"/>
  <c r="F78"/>
  <c r="F79"/>
  <c r="F80"/>
  <c r="F82"/>
  <c r="F83"/>
  <c r="F84"/>
  <c r="F85"/>
  <c r="F86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E65" i="16"/>
  <c r="E77"/>
  <c r="E78"/>
  <c r="E79"/>
  <c r="E80"/>
  <c r="E81"/>
  <c r="E82"/>
  <c r="E83"/>
  <c r="E84"/>
  <c r="E85"/>
  <c r="E108"/>
  <c r="E116"/>
  <c r="E117"/>
  <c r="E118"/>
  <c r="E119"/>
  <c r="E120"/>
  <c r="E121"/>
  <c r="E122"/>
  <c r="E124"/>
  <c r="E125"/>
  <c r="E126"/>
  <c r="E127"/>
  <c r="E128"/>
  <c r="E129"/>
  <c r="E130"/>
  <c r="E131"/>
  <c r="E132"/>
  <c r="E23"/>
  <c r="E24"/>
  <c r="F23"/>
  <c r="F24"/>
  <c r="F65"/>
  <c r="F77"/>
  <c r="F78"/>
  <c r="F79"/>
  <c r="F80"/>
  <c r="F81"/>
  <c r="F82"/>
  <c r="F83"/>
  <c r="F84"/>
  <c r="F85"/>
  <c r="F108"/>
  <c r="F116"/>
  <c r="F117"/>
  <c r="F118"/>
  <c r="F119"/>
  <c r="F120"/>
  <c r="F121"/>
  <c r="F122"/>
  <c r="F124"/>
  <c r="F125"/>
  <c r="F126"/>
  <c r="F127"/>
  <c r="F128"/>
  <c r="F129"/>
  <c r="F130"/>
  <c r="F131"/>
  <c r="F132"/>
  <c r="L18" i="15"/>
  <c r="L17" s="1"/>
  <c r="L16" s="1"/>
  <c r="L15" s="1"/>
  <c r="L51"/>
  <c r="L52"/>
  <c r="L159"/>
  <c r="L158" s="1"/>
  <c r="L167"/>
  <c r="L168"/>
  <c r="L185"/>
  <c r="L184" s="1"/>
  <c r="L188"/>
  <c r="L192"/>
  <c r="L191" s="1"/>
  <c r="L199"/>
  <c r="L201"/>
  <c r="L203"/>
  <c r="L205"/>
  <c r="L211"/>
  <c r="L223"/>
  <c r="L225"/>
  <c r="L226"/>
  <c r="L228"/>
  <c r="L231"/>
  <c r="L237"/>
  <c r="L242"/>
  <c r="L243"/>
  <c r="L249"/>
  <c r="L248" s="1"/>
  <c r="L253"/>
  <c r="L252" s="1"/>
  <c r="L257"/>
  <c r="L258"/>
  <c r="L259"/>
  <c r="L271"/>
  <c r="L273"/>
  <c r="L275"/>
  <c r="L278"/>
  <c r="L279"/>
  <c r="L280"/>
  <c r="L281"/>
  <c r="L284"/>
  <c r="L285"/>
  <c r="L291"/>
  <c r="L298"/>
  <c r="L299"/>
  <c r="L305"/>
  <c r="L311"/>
  <c r="L312"/>
  <c r="L314"/>
  <c r="L315"/>
  <c r="L317"/>
  <c r="L318"/>
  <c r="L320"/>
  <c r="L322"/>
  <c r="L323"/>
  <c r="L325"/>
  <c r="L326"/>
  <c r="L328"/>
  <c r="L329"/>
  <c r="L331"/>
  <c r="L332"/>
  <c r="L334"/>
  <c r="L335"/>
  <c r="L341"/>
  <c r="L342"/>
  <c r="L349"/>
  <c r="L350"/>
  <c r="L352"/>
  <c r="L353"/>
  <c r="L359"/>
  <c r="L361"/>
  <c r="L363"/>
  <c r="L372"/>
  <c r="L373"/>
  <c r="L376"/>
  <c r="L384"/>
  <c r="L386"/>
  <c r="L388"/>
  <c r="L391"/>
  <c r="L400"/>
  <c r="L401"/>
  <c r="L414"/>
  <c r="L418"/>
  <c r="L422"/>
  <c r="L424"/>
  <c r="L436"/>
  <c r="L442"/>
  <c r="L444"/>
  <c r="L446"/>
  <c r="L456"/>
  <c r="L461"/>
  <c r="L473"/>
  <c r="L472" s="1"/>
  <c r="L477"/>
  <c r="L478"/>
  <c r="L482"/>
  <c r="L487"/>
  <c r="L491"/>
  <c r="L496"/>
  <c r="L502"/>
  <c r="L506"/>
  <c r="L508"/>
  <c r="L511"/>
  <c r="L517"/>
  <c r="L521"/>
  <c r="L525"/>
  <c r="L526"/>
  <c r="L527"/>
  <c r="L533"/>
  <c r="L538"/>
  <c r="L541"/>
  <c r="L546"/>
  <c r="L545" s="1"/>
  <c r="L550"/>
  <c r="L552"/>
  <c r="L553"/>
  <c r="L555"/>
  <c r="L14"/>
  <c r="I51"/>
  <c r="I52"/>
  <c r="I159"/>
  <c r="I158" s="1"/>
  <c r="I167"/>
  <c r="I168"/>
  <c r="I185"/>
  <c r="I184" s="1"/>
  <c r="I188"/>
  <c r="I192"/>
  <c r="I191" s="1"/>
  <c r="I199"/>
  <c r="I201"/>
  <c r="I203"/>
  <c r="I205"/>
  <c r="I211"/>
  <c r="I223"/>
  <c r="I225"/>
  <c r="I226"/>
  <c r="I228"/>
  <c r="I231"/>
  <c r="I237"/>
  <c r="I242"/>
  <c r="I243"/>
  <c r="I249"/>
  <c r="I248" s="1"/>
  <c r="I253"/>
  <c r="I252" s="1"/>
  <c r="I258"/>
  <c r="I259"/>
  <c r="I271"/>
  <c r="I273"/>
  <c r="I275"/>
  <c r="I278"/>
  <c r="I279"/>
  <c r="I281"/>
  <c r="I284"/>
  <c r="I285"/>
  <c r="I291"/>
  <c r="I298"/>
  <c r="I299"/>
  <c r="I305"/>
  <c r="I311"/>
  <c r="I312"/>
  <c r="I314"/>
  <c r="I315"/>
  <c r="I317"/>
  <c r="I318"/>
  <c r="I320"/>
  <c r="I322"/>
  <c r="I323"/>
  <c r="I325"/>
  <c r="I326"/>
  <c r="I328"/>
  <c r="I329"/>
  <c r="I331"/>
  <c r="I332"/>
  <c r="I334"/>
  <c r="I335"/>
  <c r="I341"/>
  <c r="I342"/>
  <c r="I349"/>
  <c r="I350"/>
  <c r="I352"/>
  <c r="I353"/>
  <c r="I359"/>
  <c r="I361"/>
  <c r="I363"/>
  <c r="I372"/>
  <c r="I373"/>
  <c r="I376"/>
  <c r="I384"/>
  <c r="I386"/>
  <c r="I388"/>
  <c r="I391"/>
  <c r="I400"/>
  <c r="I401"/>
  <c r="I414"/>
  <c r="I418"/>
  <c r="I422"/>
  <c r="I424"/>
  <c r="I436"/>
  <c r="I442"/>
  <c r="I444"/>
  <c r="I446"/>
  <c r="I456"/>
  <c r="I461"/>
  <c r="I477"/>
  <c r="I478"/>
  <c r="I482"/>
  <c r="I487"/>
  <c r="I491"/>
  <c r="I496"/>
  <c r="I502"/>
  <c r="I506"/>
  <c r="I508"/>
  <c r="I511"/>
  <c r="I517"/>
  <c r="I521"/>
  <c r="I525"/>
  <c r="I526"/>
  <c r="I527"/>
  <c r="I533"/>
  <c r="I538"/>
  <c r="I541"/>
  <c r="I546"/>
  <c r="I545" s="1"/>
  <c r="I550"/>
  <c r="I552"/>
  <c r="I553"/>
  <c r="I555"/>
  <c r="I14"/>
  <c r="K13"/>
  <c r="K12" s="1"/>
  <c r="K11" s="1"/>
  <c r="K29"/>
  <c r="K28" s="1"/>
  <c r="K27" s="1"/>
  <c r="G20" i="4" s="1"/>
  <c r="K47" i="15"/>
  <c r="K50"/>
  <c r="K62"/>
  <c r="K61" s="1"/>
  <c r="K60" s="1"/>
  <c r="K59" s="1"/>
  <c r="K58" s="1"/>
  <c r="K166"/>
  <c r="K187"/>
  <c r="K198"/>
  <c r="K200"/>
  <c r="K202"/>
  <c r="K204"/>
  <c r="K210"/>
  <c r="K209" s="1"/>
  <c r="K208" s="1"/>
  <c r="K207" s="1"/>
  <c r="K206" s="1"/>
  <c r="K222"/>
  <c r="K224"/>
  <c r="K227"/>
  <c r="K230"/>
  <c r="K229" s="1"/>
  <c r="K236"/>
  <c r="K235" s="1"/>
  <c r="K234" s="1"/>
  <c r="K233" s="1"/>
  <c r="K241"/>
  <c r="K240" s="1"/>
  <c r="K256"/>
  <c r="K247" s="1"/>
  <c r="K270"/>
  <c r="K272"/>
  <c r="K274"/>
  <c r="K277"/>
  <c r="K283"/>
  <c r="K282" s="1"/>
  <c r="K290"/>
  <c r="K289" s="1"/>
  <c r="K288" s="1"/>
  <c r="K287" s="1"/>
  <c r="K286" s="1"/>
  <c r="G105" i="4" s="1"/>
  <c r="G103" s="1"/>
  <c r="K297" i="15"/>
  <c r="K296" s="1"/>
  <c r="K304"/>
  <c r="K303" s="1"/>
  <c r="K302" s="1"/>
  <c r="K310"/>
  <c r="K313"/>
  <c r="K316"/>
  <c r="K319"/>
  <c r="K321"/>
  <c r="K324"/>
  <c r="K327"/>
  <c r="K330"/>
  <c r="K333"/>
  <c r="K340"/>
  <c r="K348"/>
  <c r="K351"/>
  <c r="K358"/>
  <c r="K360"/>
  <c r="K362"/>
  <c r="K371"/>
  <c r="K375"/>
  <c r="K374" s="1"/>
  <c r="K383"/>
  <c r="K385"/>
  <c r="K390"/>
  <c r="K389" s="1"/>
  <c r="H44" i="21" s="1"/>
  <c r="K399" i="15"/>
  <c r="K413"/>
  <c r="K412" s="1"/>
  <c r="K411" s="1"/>
  <c r="G26" i="4" s="1"/>
  <c r="G23" s="1"/>
  <c r="K417" i="15"/>
  <c r="K416" s="1"/>
  <c r="K415" s="1"/>
  <c r="G115" i="4" s="1"/>
  <c r="G114" s="1"/>
  <c r="K421" i="15"/>
  <c r="K423"/>
  <c r="K435"/>
  <c r="K434" s="1"/>
  <c r="K433" s="1"/>
  <c r="K441"/>
  <c r="K443"/>
  <c r="K445"/>
  <c r="K455"/>
  <c r="K460"/>
  <c r="K476"/>
  <c r="K481"/>
  <c r="K480" s="1"/>
  <c r="K479" s="1"/>
  <c r="G111" i="4" s="1"/>
  <c r="G109" s="1"/>
  <c r="K486" i="15"/>
  <c r="K485" s="1"/>
  <c r="K484" s="1"/>
  <c r="K490"/>
  <c r="K489" s="1"/>
  <c r="K488" s="1"/>
  <c r="K495"/>
  <c r="K494" s="1"/>
  <c r="K493" s="1"/>
  <c r="K492" s="1"/>
  <c r="G54" i="4" s="1"/>
  <c r="K500" i="15"/>
  <c r="K499" s="1"/>
  <c r="H68" i="21" s="1"/>
  <c r="K501" i="15"/>
  <c r="K505"/>
  <c r="K507"/>
  <c r="K510"/>
  <c r="K509" s="1"/>
  <c r="K516"/>
  <c r="K515" s="1"/>
  <c r="K514" s="1"/>
  <c r="K513" s="1"/>
  <c r="K512" s="1"/>
  <c r="G61" i="4" s="1"/>
  <c r="K520" i="15"/>
  <c r="K524"/>
  <c r="K532"/>
  <c r="K531" s="1"/>
  <c r="K530" s="1"/>
  <c r="K529" s="1"/>
  <c r="K528" s="1"/>
  <c r="K537"/>
  <c r="K536" s="1"/>
  <c r="H109" i="21" s="1"/>
  <c r="K540" i="15"/>
  <c r="K539" s="1"/>
  <c r="H110" i="21" s="1"/>
  <c r="K549" i="15"/>
  <c r="K551"/>
  <c r="H13"/>
  <c r="H12" s="1"/>
  <c r="H11" s="1"/>
  <c r="H29"/>
  <c r="H28" s="1"/>
  <c r="H27" s="1"/>
  <c r="D20" i="4" s="1"/>
  <c r="H47" i="15"/>
  <c r="H50"/>
  <c r="H62"/>
  <c r="H61" s="1"/>
  <c r="H60" s="1"/>
  <c r="H59" s="1"/>
  <c r="H58" s="1"/>
  <c r="H166"/>
  <c r="H187"/>
  <c r="H198"/>
  <c r="H200"/>
  <c r="H202"/>
  <c r="H204"/>
  <c r="H210"/>
  <c r="H209" s="1"/>
  <c r="H208" s="1"/>
  <c r="H207" s="1"/>
  <c r="H206" s="1"/>
  <c r="H222"/>
  <c r="H224"/>
  <c r="H227"/>
  <c r="H230"/>
  <c r="H229" s="1"/>
  <c r="H236"/>
  <c r="H235" s="1"/>
  <c r="H234" s="1"/>
  <c r="H233" s="1"/>
  <c r="H241"/>
  <c r="H240" s="1"/>
  <c r="H256"/>
  <c r="H247" s="1"/>
  <c r="H270"/>
  <c r="H272"/>
  <c r="H274"/>
  <c r="H277"/>
  <c r="H283"/>
  <c r="H282" s="1"/>
  <c r="H290"/>
  <c r="H289" s="1"/>
  <c r="H288" s="1"/>
  <c r="H287" s="1"/>
  <c r="H286" s="1"/>
  <c r="D105" i="4" s="1"/>
  <c r="D103" s="1"/>
  <c r="H297" i="15"/>
  <c r="H296" s="1"/>
  <c r="H304"/>
  <c r="H303" s="1"/>
  <c r="H310"/>
  <c r="H313"/>
  <c r="H316"/>
  <c r="H319"/>
  <c r="H321"/>
  <c r="H324"/>
  <c r="H327"/>
  <c r="H330"/>
  <c r="H333"/>
  <c r="H340"/>
  <c r="H348"/>
  <c r="H351"/>
  <c r="H358"/>
  <c r="H360"/>
  <c r="H362"/>
  <c r="H371"/>
  <c r="H375"/>
  <c r="H374" s="1"/>
  <c r="H383"/>
  <c r="H385"/>
  <c r="H390"/>
  <c r="H389" s="1"/>
  <c r="H399"/>
  <c r="H413"/>
  <c r="H412" s="1"/>
  <c r="H411" s="1"/>
  <c r="D26" i="4" s="1"/>
  <c r="D23" s="1"/>
  <c r="H417" i="15"/>
  <c r="H416" s="1"/>
  <c r="H415" s="1"/>
  <c r="D115" i="4" s="1"/>
  <c r="D114" s="1"/>
  <c r="H421" i="15"/>
  <c r="H423"/>
  <c r="H435"/>
  <c r="H434" s="1"/>
  <c r="H441"/>
  <c r="H443"/>
  <c r="H445"/>
  <c r="H455"/>
  <c r="H454" s="1"/>
  <c r="H460"/>
  <c r="H459" s="1"/>
  <c r="H476"/>
  <c r="H481"/>
  <c r="H480" s="1"/>
  <c r="H479" s="1"/>
  <c r="D111" i="4" s="1"/>
  <c r="D109" s="1"/>
  <c r="H486" i="15"/>
  <c r="H485" s="1"/>
  <c r="H484" s="1"/>
  <c r="H490"/>
  <c r="H489" s="1"/>
  <c r="H488" s="1"/>
  <c r="H495"/>
  <c r="H494" s="1"/>
  <c r="H493" s="1"/>
  <c r="H492" s="1"/>
  <c r="D54" i="4" s="1"/>
  <c r="H500" i="15"/>
  <c r="H499" s="1"/>
  <c r="H501"/>
  <c r="H505"/>
  <c r="H507"/>
  <c r="H510"/>
  <c r="H509" s="1"/>
  <c r="H516"/>
  <c r="H515" s="1"/>
  <c r="H514" s="1"/>
  <c r="H513" s="1"/>
  <c r="H512" s="1"/>
  <c r="D61" i="4" s="1"/>
  <c r="H520" i="15"/>
  <c r="H524"/>
  <c r="H532"/>
  <c r="H531" s="1"/>
  <c r="H530" s="1"/>
  <c r="H529" s="1"/>
  <c r="H528" s="1"/>
  <c r="H537"/>
  <c r="H536" s="1"/>
  <c r="H540"/>
  <c r="H539" s="1"/>
  <c r="H549"/>
  <c r="H551"/>
  <c r="I27" i="14"/>
  <c r="I34"/>
  <c r="I38"/>
  <c r="I44"/>
  <c r="I48"/>
  <c r="I55"/>
  <c r="I59"/>
  <c r="I68"/>
  <c r="I69"/>
  <c r="I77"/>
  <c r="I87"/>
  <c r="I94"/>
  <c r="I98"/>
  <c r="I99"/>
  <c r="I101"/>
  <c r="I102"/>
  <c r="I104"/>
  <c r="I105"/>
  <c r="I134"/>
  <c r="I137"/>
  <c r="I140"/>
  <c r="I139" s="1"/>
  <c r="I301"/>
  <c r="I312"/>
  <c r="I311" s="1"/>
  <c r="I310" s="1"/>
  <c r="I309" s="1"/>
  <c r="I318"/>
  <c r="I322"/>
  <c r="I325"/>
  <c r="I330"/>
  <c r="I334"/>
  <c r="I337"/>
  <c r="I339"/>
  <c r="I345"/>
  <c r="I351"/>
  <c r="I374"/>
  <c r="I378"/>
  <c r="I386"/>
  <c r="I389"/>
  <c r="I392"/>
  <c r="I398"/>
  <c r="I400"/>
  <c r="I402"/>
  <c r="I404"/>
  <c r="I406"/>
  <c r="I410"/>
  <c r="I415"/>
  <c r="I418"/>
  <c r="I426"/>
  <c r="I449"/>
  <c r="I451"/>
  <c r="I455"/>
  <c r="I457"/>
  <c r="I458"/>
  <c r="I460"/>
  <c r="I463"/>
  <c r="I469"/>
  <c r="I473"/>
  <c r="I475"/>
  <c r="I480"/>
  <c r="I481"/>
  <c r="I482"/>
  <c r="I483"/>
  <c r="I486"/>
  <c r="I488"/>
  <c r="I491"/>
  <c r="I492"/>
  <c r="I499"/>
  <c r="I500"/>
  <c r="I501"/>
  <c r="I505"/>
  <c r="I506"/>
  <c r="I508"/>
  <c r="I511"/>
  <c r="I512"/>
  <c r="I516"/>
  <c r="I519"/>
  <c r="I520"/>
  <c r="I524"/>
  <c r="I529"/>
  <c r="I536"/>
  <c r="I543"/>
  <c r="I560"/>
  <c r="I562"/>
  <c r="I564"/>
  <c r="I567"/>
  <c r="I565" s="1"/>
  <c r="I569"/>
  <c r="I572"/>
  <c r="I573"/>
  <c r="I575"/>
  <c r="I578"/>
  <c r="I579"/>
  <c r="I588"/>
  <c r="I592"/>
  <c r="I597"/>
  <c r="I600"/>
  <c r="I612"/>
  <c r="I613"/>
  <c r="I622"/>
  <c r="I631"/>
  <c r="I632"/>
  <c r="I634"/>
  <c r="I635"/>
  <c r="I637"/>
  <c r="I639"/>
  <c r="I640"/>
  <c r="I642"/>
  <c r="I644"/>
  <c r="I646"/>
  <c r="I647"/>
  <c r="I649"/>
  <c r="I650"/>
  <c r="I652"/>
  <c r="I653"/>
  <c r="I655"/>
  <c r="I656"/>
  <c r="I665"/>
  <c r="I666"/>
  <c r="I675"/>
  <c r="I676"/>
  <c r="I685"/>
  <c r="I687"/>
  <c r="I689"/>
  <c r="I691"/>
  <c r="I693"/>
  <c r="I694"/>
  <c r="I703"/>
  <c r="I704"/>
  <c r="I707"/>
  <c r="I710"/>
  <c r="I718"/>
  <c r="I723"/>
  <c r="I724"/>
  <c r="I726"/>
  <c r="I730"/>
  <c r="I733"/>
  <c r="I753"/>
  <c r="I760"/>
  <c r="I770"/>
  <c r="I782"/>
  <c r="I786"/>
  <c r="I788"/>
  <c r="I798"/>
  <c r="I804"/>
  <c r="I808"/>
  <c r="I813"/>
  <c r="I821"/>
  <c r="I823"/>
  <c r="I825"/>
  <c r="I828"/>
  <c r="I830"/>
  <c r="I834"/>
  <c r="I838"/>
  <c r="I843"/>
  <c r="I853"/>
  <c r="I861"/>
  <c r="I865"/>
  <c r="I870"/>
  <c r="I881"/>
  <c r="I887"/>
  <c r="I897"/>
  <c r="I901"/>
  <c r="I906"/>
  <c r="I910"/>
  <c r="I911"/>
  <c r="I914"/>
  <c r="I919"/>
  <c r="I924"/>
  <c r="I928"/>
  <c r="I932"/>
  <c r="I936"/>
  <c r="I940"/>
  <c r="I945"/>
  <c r="I944" s="1"/>
  <c r="I943" s="1"/>
  <c r="I942" s="1"/>
  <c r="I953"/>
  <c r="I958"/>
  <c r="I960"/>
  <c r="I963"/>
  <c r="I966"/>
  <c r="I14"/>
  <c r="H13"/>
  <c r="H12" s="1"/>
  <c r="H11" s="1"/>
  <c r="H26"/>
  <c r="H28"/>
  <c r="H33"/>
  <c r="H32" s="1"/>
  <c r="H31" s="1"/>
  <c r="D14" i="3" s="1"/>
  <c r="H37" i="14"/>
  <c r="H36" s="1"/>
  <c r="H35" s="1"/>
  <c r="D20" i="3" s="1"/>
  <c r="H43" i="14"/>
  <c r="H41" s="1"/>
  <c r="H47"/>
  <c r="H46" s="1"/>
  <c r="H45" s="1"/>
  <c r="H54"/>
  <c r="H53" s="1"/>
  <c r="H49" s="1"/>
  <c r="H58"/>
  <c r="H67"/>
  <c r="H66" s="1"/>
  <c r="H65" s="1"/>
  <c r="H76"/>
  <c r="H75" s="1"/>
  <c r="H74" s="1"/>
  <c r="E138" i="16"/>
  <c r="H83" i="14"/>
  <c r="H97"/>
  <c r="H100"/>
  <c r="H103"/>
  <c r="H133"/>
  <c r="H128" s="1"/>
  <c r="H136"/>
  <c r="H135" s="1"/>
  <c r="E94" i="16" s="1"/>
  <c r="H138" i="14"/>
  <c r="E95" i="16" s="1"/>
  <c r="E88"/>
  <c r="E89"/>
  <c r="H299" i="14"/>
  <c r="H298" s="1"/>
  <c r="H297" s="1"/>
  <c r="D70" i="3" s="1"/>
  <c r="H317" i="14"/>
  <c r="H316" s="1"/>
  <c r="H315" s="1"/>
  <c r="H321"/>
  <c r="H320" s="1"/>
  <c r="H324"/>
  <c r="H323" s="1"/>
  <c r="H327"/>
  <c r="H331"/>
  <c r="H333"/>
  <c r="H335"/>
  <c r="H338"/>
  <c r="H344"/>
  <c r="H350"/>
  <c r="H349" s="1"/>
  <c r="I349" s="1"/>
  <c r="H373"/>
  <c r="H364" s="1"/>
  <c r="H385"/>
  <c r="H384" s="1"/>
  <c r="H388"/>
  <c r="H387" s="1"/>
  <c r="H391"/>
  <c r="H390" s="1"/>
  <c r="H397"/>
  <c r="H399"/>
  <c r="H401"/>
  <c r="H403"/>
  <c r="H405"/>
  <c r="H409"/>
  <c r="H408" s="1"/>
  <c r="H414"/>
  <c r="H413" s="1"/>
  <c r="H417"/>
  <c r="H416" s="1"/>
  <c r="H425"/>
  <c r="H422" s="1"/>
  <c r="H448"/>
  <c r="H450"/>
  <c r="H454"/>
  <c r="H456"/>
  <c r="H459"/>
  <c r="H462"/>
  <c r="H461" s="1"/>
  <c r="H468"/>
  <c r="H467" s="1"/>
  <c r="H466" s="1"/>
  <c r="H472"/>
  <c r="H474"/>
  <c r="H478"/>
  <c r="H479"/>
  <c r="H485"/>
  <c r="H487"/>
  <c r="H490"/>
  <c r="H498"/>
  <c r="H497" s="1"/>
  <c r="H503"/>
  <c r="H507"/>
  <c r="H509"/>
  <c r="H514"/>
  <c r="H517"/>
  <c r="H523"/>
  <c r="H522" s="1"/>
  <c r="H528"/>
  <c r="H535"/>
  <c r="H534" s="1"/>
  <c r="H533" s="1"/>
  <c r="H538"/>
  <c r="H537" s="1"/>
  <c r="H542"/>
  <c r="H541" s="1"/>
  <c r="H559"/>
  <c r="H561"/>
  <c r="H563"/>
  <c r="H568"/>
  <c r="H571"/>
  <c r="H577"/>
  <c r="H576" s="1"/>
  <c r="H587"/>
  <c r="H586" s="1"/>
  <c r="H585" s="1"/>
  <c r="H591"/>
  <c r="H590" s="1"/>
  <c r="H589" s="1"/>
  <c r="H596"/>
  <c r="H595" s="1"/>
  <c r="E39" i="16" s="1"/>
  <c r="H599" i="14"/>
  <c r="H598" s="1"/>
  <c r="H611"/>
  <c r="H610" s="1"/>
  <c r="H621"/>
  <c r="H620" s="1"/>
  <c r="H619" s="1"/>
  <c r="H618" s="1"/>
  <c r="H630"/>
  <c r="H633"/>
  <c r="H636"/>
  <c r="H638"/>
  <c r="H641"/>
  <c r="H643"/>
  <c r="H645"/>
  <c r="H648"/>
  <c r="H651"/>
  <c r="H654"/>
  <c r="H657"/>
  <c r="H664"/>
  <c r="H674"/>
  <c r="H671" s="1"/>
  <c r="H684"/>
  <c r="H686"/>
  <c r="H688"/>
  <c r="H690"/>
  <c r="H692"/>
  <c r="H702"/>
  <c r="H706"/>
  <c r="H705" s="1"/>
  <c r="H709"/>
  <c r="H717"/>
  <c r="H716" s="1"/>
  <c r="H715" s="1"/>
  <c r="H714" s="1"/>
  <c r="H722"/>
  <c r="H725"/>
  <c r="H727"/>
  <c r="H732"/>
  <c r="H731" s="1"/>
  <c r="E47" i="16" s="1"/>
  <c r="H752" i="14"/>
  <c r="H751" s="1"/>
  <c r="H750" s="1"/>
  <c r="H756"/>
  <c r="H755" s="1"/>
  <c r="H759"/>
  <c r="H758" s="1"/>
  <c r="H769"/>
  <c r="H768" s="1"/>
  <c r="H767" s="1"/>
  <c r="D26" i="3" s="1"/>
  <c r="H781" i="14"/>
  <c r="H780" s="1"/>
  <c r="H779" s="1"/>
  <c r="H785"/>
  <c r="H787"/>
  <c r="H797"/>
  <c r="H796" s="1"/>
  <c r="H795" s="1"/>
  <c r="D62" i="3" s="1"/>
  <c r="H803" i="14"/>
  <c r="H805"/>
  <c r="H807"/>
  <c r="H812"/>
  <c r="H811" s="1"/>
  <c r="H818"/>
  <c r="H820"/>
  <c r="H822"/>
  <c r="H824"/>
  <c r="H827"/>
  <c r="H829"/>
  <c r="H833"/>
  <c r="H832" s="1"/>
  <c r="H831" s="1"/>
  <c r="H837"/>
  <c r="H836" s="1"/>
  <c r="H835" s="1"/>
  <c r="H842"/>
  <c r="H852"/>
  <c r="H854"/>
  <c r="H856"/>
  <c r="H860"/>
  <c r="H864"/>
  <c r="H867"/>
  <c r="H869"/>
  <c r="H880"/>
  <c r="H879" s="1"/>
  <c r="H886"/>
  <c r="H885" s="1"/>
  <c r="H890"/>
  <c r="H889" s="1"/>
  <c r="H888" s="1"/>
  <c r="H896"/>
  <c r="H895" s="1"/>
  <c r="H894" s="1"/>
  <c r="H900"/>
  <c r="H899" s="1"/>
  <c r="H898" s="1"/>
  <c r="H904"/>
  <c r="H908"/>
  <c r="H912"/>
  <c r="H918"/>
  <c r="H917" s="1"/>
  <c r="H916" s="1"/>
  <c r="H915" s="1"/>
  <c r="H923"/>
  <c r="H922" s="1"/>
  <c r="H921" s="1"/>
  <c r="H920" s="1"/>
  <c r="H927"/>
  <c r="H926" s="1"/>
  <c r="H925" s="1"/>
  <c r="H931"/>
  <c r="H930" s="1"/>
  <c r="H929" s="1"/>
  <c r="H935"/>
  <c r="H934" s="1"/>
  <c r="H933" s="1"/>
  <c r="H939"/>
  <c r="H938" s="1"/>
  <c r="H937" s="1"/>
  <c r="D111" i="3" s="1"/>
  <c r="E70" i="16"/>
  <c r="D54" i="3"/>
  <c r="E73" i="16"/>
  <c r="E62"/>
  <c r="E69"/>
  <c r="E112"/>
  <c r="H952" i="14"/>
  <c r="H951" s="1"/>
  <c r="H962"/>
  <c r="H964"/>
  <c r="H12" i="6"/>
  <c r="H14"/>
  <c r="H17"/>
  <c r="H23"/>
  <c r="E12"/>
  <c r="E14"/>
  <c r="E23"/>
  <c r="G11"/>
  <c r="G13"/>
  <c r="G16"/>
  <c r="G22"/>
  <c r="G21" s="1"/>
  <c r="D11"/>
  <c r="D13"/>
  <c r="D16"/>
  <c r="D15" s="1"/>
  <c r="D22"/>
  <c r="D21" s="1"/>
  <c r="E12" i="5"/>
  <c r="E14"/>
  <c r="E17"/>
  <c r="E25"/>
  <c r="D11"/>
  <c r="D13"/>
  <c r="D16"/>
  <c r="D18"/>
  <c r="D24"/>
  <c r="D23" s="1"/>
  <c r="D10" i="3"/>
  <c r="E10"/>
  <c r="D11"/>
  <c r="D12"/>
  <c r="E12"/>
  <c r="D16"/>
  <c r="E16"/>
  <c r="D17"/>
  <c r="E17"/>
  <c r="D18"/>
  <c r="E18"/>
  <c r="D19"/>
  <c r="E19"/>
  <c r="D21"/>
  <c r="E21"/>
  <c r="D24"/>
  <c r="E24"/>
  <c r="D25"/>
  <c r="E25"/>
  <c r="D27"/>
  <c r="E27"/>
  <c r="D28"/>
  <c r="E28"/>
  <c r="D29"/>
  <c r="E29"/>
  <c r="D30"/>
  <c r="E30"/>
  <c r="D31"/>
  <c r="E31"/>
  <c r="D32"/>
  <c r="E32"/>
  <c r="D34"/>
  <c r="E34"/>
  <c r="D35"/>
  <c r="E35"/>
  <c r="D36"/>
  <c r="E36"/>
  <c r="D37"/>
  <c r="E37"/>
  <c r="D38"/>
  <c r="E38"/>
  <c r="D39"/>
  <c r="E39"/>
  <c r="D41"/>
  <c r="E41"/>
  <c r="D42"/>
  <c r="E42"/>
  <c r="D43"/>
  <c r="E43"/>
  <c r="D44"/>
  <c r="E44"/>
  <c r="D47"/>
  <c r="E47"/>
  <c r="D49"/>
  <c r="E49"/>
  <c r="D50"/>
  <c r="E50"/>
  <c r="D53"/>
  <c r="E53"/>
  <c r="D56"/>
  <c r="E56"/>
  <c r="D57"/>
  <c r="E57"/>
  <c r="D63"/>
  <c r="E63"/>
  <c r="D66"/>
  <c r="E66"/>
  <c r="D67"/>
  <c r="E67"/>
  <c r="D68"/>
  <c r="E68"/>
  <c r="D69"/>
  <c r="E69"/>
  <c r="D77"/>
  <c r="E77"/>
  <c r="D79"/>
  <c r="E79"/>
  <c r="D83"/>
  <c r="E83"/>
  <c r="D84"/>
  <c r="E84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101"/>
  <c r="E101"/>
  <c r="D104"/>
  <c r="E104"/>
  <c r="D106"/>
  <c r="E106"/>
  <c r="D107"/>
  <c r="E107"/>
  <c r="D108"/>
  <c r="E108"/>
  <c r="D110"/>
  <c r="E110"/>
  <c r="D112"/>
  <c r="E112"/>
  <c r="D113"/>
  <c r="E113"/>
  <c r="D116"/>
  <c r="E116"/>
  <c r="D119"/>
  <c r="E119"/>
  <c r="D120"/>
  <c r="E120"/>
  <c r="O15" i="2"/>
  <c r="O17"/>
  <c r="O18"/>
  <c r="O19"/>
  <c r="O21"/>
  <c r="O22"/>
  <c r="O23"/>
  <c r="O26"/>
  <c r="O30"/>
  <c r="O32"/>
  <c r="O33"/>
  <c r="O35"/>
  <c r="O37"/>
  <c r="O38"/>
  <c r="O40"/>
  <c r="O41"/>
  <c r="O42"/>
  <c r="O43"/>
  <c r="O47"/>
  <c r="O48"/>
  <c r="O49"/>
  <c r="O51"/>
  <c r="O52"/>
  <c r="O53"/>
  <c r="O54"/>
  <c r="O55"/>
  <c r="O90"/>
  <c r="O89"/>
  <c r="O86"/>
  <c r="O65"/>
  <c r="O66"/>
  <c r="O73"/>
  <c r="O74"/>
  <c r="O75"/>
  <c r="O58"/>
  <c r="O77"/>
  <c r="O78"/>
  <c r="O79"/>
  <c r="O80"/>
  <c r="O92"/>
  <c r="O93"/>
  <c r="O94"/>
  <c r="O95"/>
  <c r="O99"/>
  <c r="O13"/>
  <c r="L15"/>
  <c r="L17"/>
  <c r="L18"/>
  <c r="L19"/>
  <c r="L21"/>
  <c r="L22"/>
  <c r="L23"/>
  <c r="L26"/>
  <c r="L29"/>
  <c r="O29" s="1"/>
  <c r="L30"/>
  <c r="L32"/>
  <c r="L33"/>
  <c r="L35"/>
  <c r="L37"/>
  <c r="L38"/>
  <c r="L40"/>
  <c r="L41"/>
  <c r="L42"/>
  <c r="L43"/>
  <c r="L47"/>
  <c r="L48"/>
  <c r="L49"/>
  <c r="L51"/>
  <c r="L52"/>
  <c r="L53"/>
  <c r="L54"/>
  <c r="L55"/>
  <c r="L90"/>
  <c r="L89"/>
  <c r="L86"/>
  <c r="L73"/>
  <c r="L74"/>
  <c r="L75"/>
  <c r="L58"/>
  <c r="L77"/>
  <c r="L78"/>
  <c r="L79"/>
  <c r="L80"/>
  <c r="L92"/>
  <c r="L93"/>
  <c r="L94"/>
  <c r="L95"/>
  <c r="L99"/>
  <c r="L13"/>
  <c r="N12"/>
  <c r="N14"/>
  <c r="N16"/>
  <c r="N20"/>
  <c r="N24"/>
  <c r="N31"/>
  <c r="N34"/>
  <c r="N36"/>
  <c r="N50"/>
  <c r="K12"/>
  <c r="K14"/>
  <c r="K16"/>
  <c r="K20"/>
  <c r="K24"/>
  <c r="K31"/>
  <c r="K34"/>
  <c r="K36"/>
  <c r="K50"/>
  <c r="L15" i="1"/>
  <c r="L17"/>
  <c r="L18"/>
  <c r="L19"/>
  <c r="L21"/>
  <c r="L22"/>
  <c r="L23"/>
  <c r="L26"/>
  <c r="L29"/>
  <c r="L30"/>
  <c r="L32"/>
  <c r="L33"/>
  <c r="L35"/>
  <c r="L37"/>
  <c r="L39"/>
  <c r="L40"/>
  <c r="L41"/>
  <c r="L42"/>
  <c r="L43"/>
  <c r="L47"/>
  <c r="L46" s="1"/>
  <c r="L49"/>
  <c r="L53"/>
  <c r="L56"/>
  <c r="L94"/>
  <c r="L93"/>
  <c r="L95"/>
  <c r="L86"/>
  <c r="L70"/>
  <c r="L72"/>
  <c r="L63"/>
  <c r="L64"/>
  <c r="L81"/>
  <c r="L82"/>
  <c r="L83"/>
  <c r="L84"/>
  <c r="L74"/>
  <c r="L76"/>
  <c r="L77"/>
  <c r="L78"/>
  <c r="L69"/>
  <c r="L67"/>
  <c r="L71"/>
  <c r="L68"/>
  <c r="L75"/>
  <c r="L66"/>
  <c r="L85"/>
  <c r="L73"/>
  <c r="L65"/>
  <c r="L80"/>
  <c r="L79"/>
  <c r="L96"/>
  <c r="L99"/>
  <c r="L97"/>
  <c r="L98"/>
  <c r="L92"/>
  <c r="L103"/>
  <c r="L104"/>
  <c r="L106"/>
  <c r="L108"/>
  <c r="L109"/>
  <c r="L110"/>
  <c r="L111"/>
  <c r="L114"/>
  <c r="L115"/>
  <c r="L116"/>
  <c r="L117"/>
  <c r="L118"/>
  <c r="L119"/>
  <c r="L123"/>
  <c r="L126"/>
  <c r="L128"/>
  <c r="K12"/>
  <c r="K14"/>
  <c r="K16"/>
  <c r="K20"/>
  <c r="K25"/>
  <c r="K27"/>
  <c r="K31"/>
  <c r="K34"/>
  <c r="K36"/>
  <c r="I891" i="14"/>
  <c r="I855"/>
  <c r="H878" l="1"/>
  <c r="H810"/>
  <c r="H809" s="1"/>
  <c r="H851"/>
  <c r="E53" i="16"/>
  <c r="H489" i="14"/>
  <c r="E31" i="16" s="1"/>
  <c r="H866" i="14"/>
  <c r="E21" i="16" s="1"/>
  <c r="K454" i="15"/>
  <c r="H20" i="21" s="1"/>
  <c r="H21"/>
  <c r="K459" i="15"/>
  <c r="H447" i="14"/>
  <c r="H357" i="15"/>
  <c r="H356" s="1"/>
  <c r="H355" s="1"/>
  <c r="H354" s="1"/>
  <c r="K357"/>
  <c r="K356" s="1"/>
  <c r="K355" s="1"/>
  <c r="K354" s="1"/>
  <c r="E113" i="16"/>
  <c r="H950" i="14"/>
  <c r="H949" s="1"/>
  <c r="H683"/>
  <c r="H708"/>
  <c r="H629"/>
  <c r="H840"/>
  <c r="H839" s="1"/>
  <c r="H841"/>
  <c r="E52" i="16" s="1"/>
  <c r="H326" i="14"/>
  <c r="H421"/>
  <c r="H420" s="1"/>
  <c r="H419" s="1"/>
  <c r="D10" i="6"/>
  <c r="G10"/>
  <c r="H348" i="14"/>
  <c r="D60" i="3" s="1"/>
  <c r="H343" i="14"/>
  <c r="H342" s="1"/>
  <c r="H205"/>
  <c r="H204" s="1"/>
  <c r="H203" s="1"/>
  <c r="I203" s="1"/>
  <c r="O46" i="2"/>
  <c r="N45"/>
  <c r="N44" s="1"/>
  <c r="H309" i="15"/>
  <c r="H197"/>
  <c r="H196" s="1"/>
  <c r="K309"/>
  <c r="K197"/>
  <c r="H157"/>
  <c r="H152" s="1"/>
  <c r="H151" s="1"/>
  <c r="K157"/>
  <c r="K152" s="1"/>
  <c r="K151" s="1"/>
  <c r="G11" i="4"/>
  <c r="H817" i="14"/>
  <c r="E12" i="16" s="1"/>
  <c r="L46" i="2"/>
  <c r="O56"/>
  <c r="L56"/>
  <c r="H239" i="15"/>
  <c r="K239"/>
  <c r="H183"/>
  <c r="K183"/>
  <c r="H36"/>
  <c r="H31" s="1"/>
  <c r="H10" s="1"/>
  <c r="K36"/>
  <c r="K31" s="1"/>
  <c r="K10" s="1"/>
  <c r="H57" i="21"/>
  <c r="D11" i="4"/>
  <c r="E137" i="16"/>
  <c r="E149"/>
  <c r="E148" s="1"/>
  <c r="H526" i="14"/>
  <c r="H525" s="1"/>
  <c r="H527"/>
  <c r="E51" i="16" s="1"/>
  <c r="H57" i="14"/>
  <c r="H56" s="1"/>
  <c r="E106" i="16" s="1"/>
  <c r="H784" i="14"/>
  <c r="H783" s="1"/>
  <c r="H34" i="21"/>
  <c r="H88"/>
  <c r="H58"/>
  <c r="H56"/>
  <c r="H42"/>
  <c r="H36"/>
  <c r="H29"/>
  <c r="H19"/>
  <c r="H17"/>
  <c r="E16" i="48"/>
  <c r="D51" i="4"/>
  <c r="G51"/>
  <c r="H111" i="21"/>
  <c r="H87"/>
  <c r="H81"/>
  <c r="H69"/>
  <c r="H59"/>
  <c r="H55"/>
  <c r="H51"/>
  <c r="H37"/>
  <c r="H16"/>
  <c r="H16" i="48"/>
  <c r="E63" i="16"/>
  <c r="E34"/>
  <c r="E109"/>
  <c r="E54"/>
  <c r="E37"/>
  <c r="E14"/>
  <c r="E104"/>
  <c r="E101"/>
  <c r="E71"/>
  <c r="E55"/>
  <c r="E64"/>
  <c r="E45"/>
  <c r="E105"/>
  <c r="E57"/>
  <c r="E29"/>
  <c r="E114"/>
  <c r="E98"/>
  <c r="E74"/>
  <c r="E58"/>
  <c r="E91"/>
  <c r="E59"/>
  <c r="E41"/>
  <c r="E15"/>
  <c r="E135"/>
  <c r="E61"/>
  <c r="E110"/>
  <c r="E102"/>
  <c r="H440" i="15"/>
  <c r="H439" s="1"/>
  <c r="K347"/>
  <c r="H43" i="21" s="1"/>
  <c r="K382" i="15"/>
  <c r="K381" s="1"/>
  <c r="K380" s="1"/>
  <c r="K379" s="1"/>
  <c r="G102" i="4" s="1"/>
  <c r="H504" i="15"/>
  <c r="H503" s="1"/>
  <c r="H498" s="1"/>
  <c r="H497" s="1"/>
  <c r="K504"/>
  <c r="H31" i="21"/>
  <c r="H182" i="15"/>
  <c r="H181" s="1"/>
  <c r="H180" s="1"/>
  <c r="D72" i="4" s="1"/>
  <c r="K519" i="15"/>
  <c r="K518" s="1"/>
  <c r="G64" i="4" s="1"/>
  <c r="G59" s="1"/>
  <c r="K440" i="15"/>
  <c r="H12" i="21" s="1"/>
  <c r="K420" i="15"/>
  <c r="K419" s="1"/>
  <c r="G118" i="4" s="1"/>
  <c r="G117" s="1"/>
  <c r="H35" i="21"/>
  <c r="K221" i="15"/>
  <c r="H269"/>
  <c r="H268" s="1"/>
  <c r="H267" s="1"/>
  <c r="H266" s="1"/>
  <c r="H453"/>
  <c r="H467"/>
  <c r="H466" s="1"/>
  <c r="H535"/>
  <c r="H534" s="1"/>
  <c r="H519"/>
  <c r="H518" s="1"/>
  <c r="D64" i="4" s="1"/>
  <c r="D59" s="1"/>
  <c r="D13"/>
  <c r="H140" i="21"/>
  <c r="H544" i="15"/>
  <c r="H543" s="1"/>
  <c r="H542" s="1"/>
  <c r="H420"/>
  <c r="H419" s="1"/>
  <c r="D118" i="4" s="1"/>
  <c r="D117" s="1"/>
  <c r="H382" i="15"/>
  <c r="H381" s="1"/>
  <c r="H380" s="1"/>
  <c r="H379" s="1"/>
  <c r="D102" i="4" s="1"/>
  <c r="H347" i="15"/>
  <c r="K453"/>
  <c r="G13" i="4"/>
  <c r="K544" i="15"/>
  <c r="K543" s="1"/>
  <c r="H221"/>
  <c r="H220" s="1"/>
  <c r="H219" s="1"/>
  <c r="H218" s="1"/>
  <c r="K467"/>
  <c r="K466" s="1"/>
  <c r="K535"/>
  <c r="K534" s="1"/>
  <c r="K269"/>
  <c r="K295"/>
  <c r="K294"/>
  <c r="K432"/>
  <c r="K431" s="1"/>
  <c r="G74" i="4" s="1"/>
  <c r="K301" i="15"/>
  <c r="K300" s="1"/>
  <c r="G98" i="4" s="1"/>
  <c r="H433" i="15"/>
  <c r="H432"/>
  <c r="H431" s="1"/>
  <c r="D74" i="4" s="1"/>
  <c r="H295" i="15"/>
  <c r="H294"/>
  <c r="H293" s="1"/>
  <c r="D97" i="4" s="1"/>
  <c r="H302" i="15"/>
  <c r="H301"/>
  <c r="H300" s="1"/>
  <c r="D98" i="4" s="1"/>
  <c r="H471" i="14"/>
  <c r="H484"/>
  <c r="H20"/>
  <c r="H15" s="1"/>
  <c r="H826"/>
  <c r="E13" i="16" s="1"/>
  <c r="E68"/>
  <c r="D64" i="3"/>
  <c r="H903" i="14"/>
  <c r="H754"/>
  <c r="H749" s="1"/>
  <c r="H742" s="1"/>
  <c r="H412"/>
  <c r="H411" s="1"/>
  <c r="H802"/>
  <c r="E136" i="16"/>
  <c r="H721" i="14"/>
  <c r="H720" s="1"/>
  <c r="H719" s="1"/>
  <c r="H594"/>
  <c r="H593" s="1"/>
  <c r="H956"/>
  <c r="H955" s="1"/>
  <c r="H954" s="1"/>
  <c r="H877"/>
  <c r="H396"/>
  <c r="H383"/>
  <c r="H948"/>
  <c r="H941" s="1"/>
  <c r="E67" i="16"/>
  <c r="H502" i="14"/>
  <c r="H609"/>
  <c r="H608"/>
  <c r="H607" s="1"/>
  <c r="D97" i="3" s="1"/>
  <c r="H319" i="14"/>
  <c r="H558"/>
  <c r="H552" s="1"/>
  <c r="H42"/>
  <c r="H40"/>
  <c r="H39" s="1"/>
  <c r="D109" i="3"/>
  <c r="E86"/>
  <c r="D33"/>
  <c r="D65"/>
  <c r="E33"/>
  <c r="D115"/>
  <c r="D114" s="1"/>
  <c r="H617" i="14"/>
  <c r="D98" i="3" s="1"/>
  <c r="H584" i="14"/>
  <c r="H521"/>
  <c r="E36" i="16" s="1"/>
  <c r="H407" i="14"/>
  <c r="D86" i="3"/>
  <c r="D23"/>
  <c r="G15" i="6"/>
  <c r="D10" i="5"/>
  <c r="D15"/>
  <c r="E86" i="4"/>
  <c r="E33"/>
  <c r="K45" i="2"/>
  <c r="K11"/>
  <c r="N11"/>
  <c r="K44" i="1"/>
  <c r="K24"/>
  <c r="K11" s="1"/>
  <c r="I819" i="14"/>
  <c r="G829"/>
  <c r="I829" s="1"/>
  <c r="A829"/>
  <c r="G827"/>
  <c r="A826"/>
  <c r="A827"/>
  <c r="A828"/>
  <c r="A830"/>
  <c r="B13" i="21"/>
  <c r="E13"/>
  <c r="B13" i="16"/>
  <c r="B44" i="21"/>
  <c r="B47" i="16"/>
  <c r="L387" i="15"/>
  <c r="I387"/>
  <c r="J390"/>
  <c r="G390"/>
  <c r="A389"/>
  <c r="A390"/>
  <c r="A391"/>
  <c r="I729" i="14"/>
  <c r="G732"/>
  <c r="A731"/>
  <c r="A732"/>
  <c r="A733"/>
  <c r="A869"/>
  <c r="A870"/>
  <c r="G869"/>
  <c r="I869" s="1"/>
  <c r="I857"/>
  <c r="B135" i="16"/>
  <c r="A299" i="14"/>
  <c r="A492" i="15"/>
  <c r="A493"/>
  <c r="A494"/>
  <c r="A495"/>
  <c r="A496"/>
  <c r="J495"/>
  <c r="G495"/>
  <c r="K448" l="1"/>
  <c r="K447" s="1"/>
  <c r="H448"/>
  <c r="H447" s="1"/>
  <c r="D82" i="4" s="1"/>
  <c r="H682" i="14"/>
  <c r="H681" s="1"/>
  <c r="H680" s="1"/>
  <c r="E48" i="16"/>
  <c r="E90"/>
  <c r="H392" i="15"/>
  <c r="H713" i="14"/>
  <c r="D102" i="3" s="1"/>
  <c r="H583" i="14"/>
  <c r="D105" i="3" s="1"/>
  <c r="D103" s="1"/>
  <c r="H628" i="14"/>
  <c r="H627" s="1"/>
  <c r="H626" s="1"/>
  <c r="E30" i="16"/>
  <c r="H477" i="14"/>
  <c r="H476" s="1"/>
  <c r="D22" i="4"/>
  <c r="H195" i="15"/>
  <c r="H194" s="1"/>
  <c r="D73" i="4" s="1"/>
  <c r="E107" i="16"/>
  <c r="H41" i="21"/>
  <c r="D48" i="3"/>
  <c r="H438" i="15"/>
  <c r="H437" s="1"/>
  <c r="D78" i="4" s="1"/>
  <c r="D15" i="3"/>
  <c r="E103" i="16"/>
  <c r="E46"/>
  <c r="H465" i="15"/>
  <c r="H464" s="1"/>
  <c r="D85" i="4" s="1"/>
  <c r="K439" i="15"/>
  <c r="H11" i="21" s="1"/>
  <c r="H139"/>
  <c r="K438" i="15"/>
  <c r="K437" s="1"/>
  <c r="K392"/>
  <c r="G22" i="4"/>
  <c r="K542" i="15"/>
  <c r="G15" i="4"/>
  <c r="D15"/>
  <c r="H483" i="15"/>
  <c r="D55" i="4"/>
  <c r="D46" s="1"/>
  <c r="K293" i="15"/>
  <c r="G97" i="4" s="1"/>
  <c r="K268" i="15"/>
  <c r="K267" s="1"/>
  <c r="K266" s="1"/>
  <c r="G100" i="4" s="1"/>
  <c r="H32" i="21"/>
  <c r="K220" i="15"/>
  <c r="K219" s="1"/>
  <c r="K218" s="1"/>
  <c r="H33" i="21"/>
  <c r="K503" i="15"/>
  <c r="H71" i="21"/>
  <c r="H143"/>
  <c r="K465" i="15"/>
  <c r="K464" s="1"/>
  <c r="G85" i="4" s="1"/>
  <c r="H22" i="21"/>
  <c r="K182" i="15"/>
  <c r="H27" i="21"/>
  <c r="K196" i="15"/>
  <c r="H28" i="21"/>
  <c r="D100" i="4"/>
  <c r="H142" i="21"/>
  <c r="H108"/>
  <c r="H18"/>
  <c r="E44" i="16"/>
  <c r="E99"/>
  <c r="E100"/>
  <c r="E35"/>
  <c r="D58" i="3"/>
  <c r="E87" i="16"/>
  <c r="H362" i="14"/>
  <c r="E27" i="16"/>
  <c r="E158"/>
  <c r="E97"/>
  <c r="E157"/>
  <c r="E20"/>
  <c r="E60"/>
  <c r="H127" i="14"/>
  <c r="H126" s="1"/>
  <c r="E93" i="16"/>
  <c r="H551" i="14"/>
  <c r="H550" s="1"/>
  <c r="E32" i="16"/>
  <c r="H382" i="14"/>
  <c r="E50" i="16"/>
  <c r="H446" i="14"/>
  <c r="H445" s="1"/>
  <c r="H444" s="1"/>
  <c r="E33" i="16"/>
  <c r="H902" i="14"/>
  <c r="H893" s="1"/>
  <c r="H892" s="1"/>
  <c r="D85" i="3" s="1"/>
  <c r="E22" i="16"/>
  <c r="H470" i="14"/>
  <c r="E17" i="16"/>
  <c r="E134"/>
  <c r="E38"/>
  <c r="H801" i="14"/>
  <c r="E19" i="16"/>
  <c r="E111"/>
  <c r="H395" i="14"/>
  <c r="H394" s="1"/>
  <c r="H393" s="1"/>
  <c r="D73" i="3" s="1"/>
  <c r="E28" i="16"/>
  <c r="E76"/>
  <c r="E96"/>
  <c r="K308" i="15"/>
  <c r="K307" s="1"/>
  <c r="K238"/>
  <c r="K232" s="1"/>
  <c r="H308"/>
  <c r="H307" s="1"/>
  <c r="H306" s="1"/>
  <c r="K195"/>
  <c r="K194" s="1"/>
  <c r="G73" i="4" s="1"/>
  <c r="H238" i="15"/>
  <c r="H232" s="1"/>
  <c r="H179" s="1"/>
  <c r="G389"/>
  <c r="I390"/>
  <c r="J494"/>
  <c r="G111" i="21" s="1"/>
  <c r="L495" i="15"/>
  <c r="J389"/>
  <c r="G44" i="21" s="1"/>
  <c r="L390" i="15"/>
  <c r="G494"/>
  <c r="I495"/>
  <c r="H363" i="14"/>
  <c r="H850"/>
  <c r="H800"/>
  <c r="H799" s="1"/>
  <c r="D75" i="3" s="1"/>
  <c r="H816" i="14"/>
  <c r="G826"/>
  <c r="I827"/>
  <c r="G731"/>
  <c r="I732"/>
  <c r="H314"/>
  <c r="H313" s="1"/>
  <c r="K44" i="2"/>
  <c r="N123"/>
  <c r="G19" i="6" s="1"/>
  <c r="K137" i="1"/>
  <c r="D21" i="5" s="1"/>
  <c r="J532" i="15"/>
  <c r="G532"/>
  <c r="A531"/>
  <c r="A532"/>
  <c r="A528"/>
  <c r="A529"/>
  <c r="A530"/>
  <c r="A533"/>
  <c r="I473"/>
  <c r="I472" s="1"/>
  <c r="L469"/>
  <c r="L468" s="1"/>
  <c r="I469"/>
  <c r="I468" s="1"/>
  <c r="G535" i="14"/>
  <c r="A533"/>
  <c r="A534"/>
  <c r="A535"/>
  <c r="A536"/>
  <c r="G896"/>
  <c r="A894"/>
  <c r="A895"/>
  <c r="A896"/>
  <c r="A897"/>
  <c r="A810"/>
  <c r="G812"/>
  <c r="A809"/>
  <c r="A811"/>
  <c r="A812"/>
  <c r="A813"/>
  <c r="G886"/>
  <c r="A885"/>
  <c r="A886"/>
  <c r="A887"/>
  <c r="G931"/>
  <c r="G927"/>
  <c r="A925"/>
  <c r="A926"/>
  <c r="A927"/>
  <c r="A928"/>
  <c r="A929"/>
  <c r="A930"/>
  <c r="A931"/>
  <c r="A932"/>
  <c r="I909"/>
  <c r="I913"/>
  <c r="I907"/>
  <c r="I905"/>
  <c r="I868"/>
  <c r="G856"/>
  <c r="I856" s="1"/>
  <c r="I806"/>
  <c r="J290" i="15"/>
  <c r="G290"/>
  <c r="G596" i="14"/>
  <c r="I596" s="1"/>
  <c r="G591"/>
  <c r="I591" s="1"/>
  <c r="A290" i="15"/>
  <c r="A286"/>
  <c r="A287"/>
  <c r="A288"/>
  <c r="A289"/>
  <c r="A291"/>
  <c r="A282"/>
  <c r="J283"/>
  <c r="G283"/>
  <c r="A285"/>
  <c r="A281"/>
  <c r="J277"/>
  <c r="L277" s="1"/>
  <c r="L276"/>
  <c r="I276"/>
  <c r="A579" i="14"/>
  <c r="G577"/>
  <c r="A576"/>
  <c r="I574"/>
  <c r="I570"/>
  <c r="E131" i="21"/>
  <c r="E129"/>
  <c r="E127"/>
  <c r="E132"/>
  <c r="E133"/>
  <c r="I257" i="15"/>
  <c r="A252"/>
  <c r="A253"/>
  <c r="I518" i="14"/>
  <c r="I515"/>
  <c r="I513"/>
  <c r="I510"/>
  <c r="I504"/>
  <c r="A497"/>
  <c r="I459"/>
  <c r="A459"/>
  <c r="A460"/>
  <c r="A461"/>
  <c r="A227" i="15"/>
  <c r="A228"/>
  <c r="J227"/>
  <c r="L227" s="1"/>
  <c r="G227"/>
  <c r="I227" s="1"/>
  <c r="A229"/>
  <c r="J210"/>
  <c r="G210"/>
  <c r="A206"/>
  <c r="A207"/>
  <c r="A208"/>
  <c r="A209"/>
  <c r="A210"/>
  <c r="A211"/>
  <c r="A420" i="14"/>
  <c r="A419"/>
  <c r="A421"/>
  <c r="A422"/>
  <c r="A425"/>
  <c r="A426"/>
  <c r="A387"/>
  <c r="A388"/>
  <c r="A389"/>
  <c r="B36" i="21"/>
  <c r="B37"/>
  <c r="B33"/>
  <c r="B34"/>
  <c r="B35"/>
  <c r="B33" i="16"/>
  <c r="B34"/>
  <c r="B35"/>
  <c r="I26" i="14"/>
  <c r="I86"/>
  <c r="I85" s="1"/>
  <c r="I84"/>
  <c r="A68"/>
  <c r="A65"/>
  <c r="A66"/>
  <c r="A67"/>
  <c r="A69"/>
  <c r="D81" i="4" l="1"/>
  <c r="H425" i="15"/>
  <c r="K425"/>
  <c r="G82" i="4"/>
  <c r="G81" s="1"/>
  <c r="H845" i="14"/>
  <c r="H844" s="1"/>
  <c r="D82" i="3" s="1"/>
  <c r="D81" s="1"/>
  <c r="D74"/>
  <c r="G78" i="4"/>
  <c r="K306" i="15"/>
  <c r="G99" i="4" s="1"/>
  <c r="G96" s="1"/>
  <c r="D80"/>
  <c r="D71" s="1"/>
  <c r="G80"/>
  <c r="D100" i="3"/>
  <c r="D9" i="4"/>
  <c r="H361" i="14"/>
  <c r="D72" i="3" s="1"/>
  <c r="H10" i="21"/>
  <c r="E43" i="16"/>
  <c r="G277" i="15"/>
  <c r="I277" s="1"/>
  <c r="I280"/>
  <c r="H292"/>
  <c r="D99" i="4"/>
  <c r="D96" s="1"/>
  <c r="H40" i="21"/>
  <c r="H39"/>
  <c r="K181" i="15"/>
  <c r="H26" i="21"/>
  <c r="H70"/>
  <c r="K498" i="15"/>
  <c r="D118" i="3"/>
  <c r="D117" s="1"/>
  <c r="D13"/>
  <c r="D22"/>
  <c r="E26" i="16"/>
  <c r="L12" i="1"/>
  <c r="L13"/>
  <c r="H815" i="14"/>
  <c r="H814" s="1"/>
  <c r="E11" i="16"/>
  <c r="E92"/>
  <c r="E18"/>
  <c r="E66"/>
  <c r="E16"/>
  <c r="H465" i="14"/>
  <c r="D52" i="3"/>
  <c r="E133" i="16"/>
  <c r="E75"/>
  <c r="E25"/>
  <c r="G531" i="15"/>
  <c r="I532"/>
  <c r="G493"/>
  <c r="I494"/>
  <c r="F111" i="21" s="1"/>
  <c r="J209" i="15"/>
  <c r="L210"/>
  <c r="D44" i="21"/>
  <c r="I389" i="15"/>
  <c r="F44" i="21" s="1"/>
  <c r="G209" i="15"/>
  <c r="I210"/>
  <c r="J289"/>
  <c r="L290"/>
  <c r="G289"/>
  <c r="I289" s="1"/>
  <c r="I290"/>
  <c r="J493"/>
  <c r="L494"/>
  <c r="I111" i="21" s="1"/>
  <c r="J282" i="15"/>
  <c r="L282" s="1"/>
  <c r="L283"/>
  <c r="G282"/>
  <c r="I282" s="1"/>
  <c r="I283"/>
  <c r="E44" i="21"/>
  <c r="L389" i="15"/>
  <c r="I44" i="21" s="1"/>
  <c r="J531" i="15"/>
  <c r="G56" i="21" s="1"/>
  <c r="L532" i="15"/>
  <c r="G576" i="14"/>
  <c r="I576" s="1"/>
  <c r="I577"/>
  <c r="I67"/>
  <c r="I387"/>
  <c r="I388"/>
  <c r="G811"/>
  <c r="I812"/>
  <c r="D13" i="16"/>
  <c r="I826" i="14"/>
  <c r="F13" i="16" s="1"/>
  <c r="I425" i="14"/>
  <c r="I422" s="1"/>
  <c r="G930"/>
  <c r="I931"/>
  <c r="G895"/>
  <c r="I896"/>
  <c r="G926"/>
  <c r="I927"/>
  <c r="G885"/>
  <c r="I886"/>
  <c r="D47" i="16"/>
  <c r="I731" i="14"/>
  <c r="F47" i="16" s="1"/>
  <c r="G534" i="14"/>
  <c r="I535"/>
  <c r="K123" i="2"/>
  <c r="D19" i="6" s="1"/>
  <c r="E37" i="21"/>
  <c r="E36"/>
  <c r="A77" i="14"/>
  <c r="A74"/>
  <c r="A75"/>
  <c r="A76"/>
  <c r="A89"/>
  <c r="A421" i="15"/>
  <c r="A422"/>
  <c r="J421"/>
  <c r="L421" s="1"/>
  <c r="G421"/>
  <c r="I421" s="1"/>
  <c r="I885" i="14" l="1"/>
  <c r="E10" i="16"/>
  <c r="D78" i="3"/>
  <c r="H789" i="14"/>
  <c r="E42" i="16"/>
  <c r="K292" i="15"/>
  <c r="D121" i="4"/>
  <c r="H464" i="14"/>
  <c r="H360" s="1"/>
  <c r="D99" i="3"/>
  <c r="D96" s="1"/>
  <c r="H554" i="15"/>
  <c r="H556" s="1"/>
  <c r="K180"/>
  <c r="K179" s="1"/>
  <c r="H25" i="21"/>
  <c r="F37"/>
  <c r="L289" i="15"/>
  <c r="G37" i="21"/>
  <c r="K497" i="15"/>
  <c r="H67" i="21"/>
  <c r="H141" s="1"/>
  <c r="D9" i="3"/>
  <c r="H125" i="14"/>
  <c r="H10" s="1"/>
  <c r="E86" i="16"/>
  <c r="E56"/>
  <c r="E72"/>
  <c r="J288" i="15"/>
  <c r="J287" s="1"/>
  <c r="G530"/>
  <c r="I531"/>
  <c r="F56" i="21" s="1"/>
  <c r="J492" i="15"/>
  <c r="F54" i="4" s="1"/>
  <c r="L493" i="15"/>
  <c r="G208"/>
  <c r="I209"/>
  <c r="G492"/>
  <c r="I492" s="1"/>
  <c r="E54" i="4" s="1"/>
  <c r="I493" i="15"/>
  <c r="G288"/>
  <c r="G287" s="1"/>
  <c r="J208"/>
  <c r="L209"/>
  <c r="D37" i="21"/>
  <c r="J530" i="15"/>
  <c r="L531"/>
  <c r="I56" i="21" s="1"/>
  <c r="I76" i="14"/>
  <c r="G533"/>
  <c r="I533" s="1"/>
  <c r="I534"/>
  <c r="G929"/>
  <c r="I929" s="1"/>
  <c r="I930"/>
  <c r="G810"/>
  <c r="I811"/>
  <c r="G894"/>
  <c r="I894" s="1"/>
  <c r="I895"/>
  <c r="F138" i="16"/>
  <c r="I65" i="14"/>
  <c r="I66"/>
  <c r="G925"/>
  <c r="I925" s="1"/>
  <c r="I926"/>
  <c r="I30"/>
  <c r="I29"/>
  <c r="I23"/>
  <c r="I25"/>
  <c r="I18" i="15"/>
  <c r="I17" s="1"/>
  <c r="I16" s="1"/>
  <c r="I15" s="1"/>
  <c r="I22" i="14"/>
  <c r="A26"/>
  <c r="A27"/>
  <c r="L396" i="15"/>
  <c r="L395" s="1"/>
  <c r="L394" s="1"/>
  <c r="L393" s="1"/>
  <c r="I396"/>
  <c r="I395" s="1"/>
  <c r="I394" s="1"/>
  <c r="I393" s="1"/>
  <c r="A750" i="14"/>
  <c r="A751"/>
  <c r="A752"/>
  <c r="A753"/>
  <c r="E156" i="16" l="1"/>
  <c r="E159" s="1"/>
  <c r="I21" i="14"/>
  <c r="D36" i="21"/>
  <c r="I75" i="14"/>
  <c r="I74" s="1"/>
  <c r="D149" i="16"/>
  <c r="D148" s="1"/>
  <c r="H606" i="14"/>
  <c r="D55" i="3"/>
  <c r="H144" i="21"/>
  <c r="I37"/>
  <c r="G72" i="4"/>
  <c r="G71" s="1"/>
  <c r="L288" i="15"/>
  <c r="G36" i="21"/>
  <c r="G55" i="4"/>
  <c r="G46" s="1"/>
  <c r="K483" i="15"/>
  <c r="D80" i="3"/>
  <c r="D71" s="1"/>
  <c r="D51"/>
  <c r="D61"/>
  <c r="D59" s="1"/>
  <c r="I288" i="15"/>
  <c r="G529"/>
  <c r="I530"/>
  <c r="G286"/>
  <c r="I286" s="1"/>
  <c r="E105" i="4" s="1"/>
  <c r="E103" s="1"/>
  <c r="I287" i="15"/>
  <c r="L492"/>
  <c r="H54" i="4" s="1"/>
  <c r="J207" i="15"/>
  <c r="L208"/>
  <c r="J529"/>
  <c r="L530"/>
  <c r="G207"/>
  <c r="I208"/>
  <c r="J286"/>
  <c r="F105" i="4" s="1"/>
  <c r="F103" s="1"/>
  <c r="L287" i="15"/>
  <c r="I752" i="14"/>
  <c r="G809"/>
  <c r="I809" s="1"/>
  <c r="I810"/>
  <c r="I421"/>
  <c r="F136" i="16"/>
  <c r="D130" i="21"/>
  <c r="E130" s="1"/>
  <c r="D131"/>
  <c r="D129"/>
  <c r="D133"/>
  <c r="D132"/>
  <c r="B129"/>
  <c r="B130"/>
  <c r="B131"/>
  <c r="B132"/>
  <c r="B133"/>
  <c r="B139"/>
  <c r="B140"/>
  <c r="D138" i="16"/>
  <c r="D137"/>
  <c r="F137" l="1"/>
  <c r="F149"/>
  <c r="F148" s="1"/>
  <c r="D46" i="3"/>
  <c r="D121" s="1"/>
  <c r="H967" i="14"/>
  <c r="F36" i="21"/>
  <c r="I36"/>
  <c r="K554" i="15"/>
  <c r="K556" s="1"/>
  <c r="L286"/>
  <c r="H105" i="4" s="1"/>
  <c r="H103" s="1"/>
  <c r="J206" i="15"/>
  <c r="L207"/>
  <c r="J528"/>
  <c r="L528" s="1"/>
  <c r="L529"/>
  <c r="G528"/>
  <c r="I528" s="1"/>
  <c r="I529"/>
  <c r="G206"/>
  <c r="I206" s="1"/>
  <c r="I207"/>
  <c r="I420" i="14"/>
  <c r="I419" s="1"/>
  <c r="I751"/>
  <c r="B137" i="16"/>
  <c r="B138"/>
  <c r="D136"/>
  <c r="B136"/>
  <c r="J507" i="15"/>
  <c r="L507" s="1"/>
  <c r="A338" i="14"/>
  <c r="I338"/>
  <c r="A339"/>
  <c r="I328"/>
  <c r="I329"/>
  <c r="I336"/>
  <c r="I332"/>
  <c r="A315"/>
  <c r="A316"/>
  <c r="A317"/>
  <c r="A318"/>
  <c r="B51" i="16"/>
  <c r="I959" i="14"/>
  <c r="E17" i="6"/>
  <c r="E19" i="5"/>
  <c r="D122" i="3" l="1"/>
  <c r="D22" i="5"/>
  <c r="D20" s="1"/>
  <c r="D26" s="1"/>
  <c r="I750" i="14"/>
  <c r="L206" i="15"/>
  <c r="I317" i="14"/>
  <c r="J358" i="15"/>
  <c r="L358" s="1"/>
  <c r="G358"/>
  <c r="I358" s="1"/>
  <c r="A358"/>
  <c r="A359"/>
  <c r="I315" i="14" l="1"/>
  <c r="I316"/>
  <c r="J362" i="15"/>
  <c r="L362" s="1"/>
  <c r="G362"/>
  <c r="I362" s="1"/>
  <c r="A362"/>
  <c r="A363"/>
  <c r="A351"/>
  <c r="A352"/>
  <c r="A353"/>
  <c r="J351"/>
  <c r="L351" s="1"/>
  <c r="G351"/>
  <c r="I351" s="1"/>
  <c r="B134" i="16"/>
  <c r="B133"/>
  <c r="A534" i="15"/>
  <c r="A535"/>
  <c r="A536"/>
  <c r="A537"/>
  <c r="A538"/>
  <c r="A539"/>
  <c r="A540"/>
  <c r="A541"/>
  <c r="J540"/>
  <c r="G540"/>
  <c r="J537"/>
  <c r="G537"/>
  <c r="A948" i="14"/>
  <c r="A949"/>
  <c r="A950"/>
  <c r="A951"/>
  <c r="A952"/>
  <c r="A953"/>
  <c r="G952"/>
  <c r="F16" i="48"/>
  <c r="J536" i="15" l="1"/>
  <c r="L537"/>
  <c r="G536"/>
  <c r="I536" s="1"/>
  <c r="F109" i="21" s="1"/>
  <c r="I537" i="15"/>
  <c r="J539"/>
  <c r="L540"/>
  <c r="G539"/>
  <c r="I539" s="1"/>
  <c r="F110" i="21" s="1"/>
  <c r="I540" i="15"/>
  <c r="F112" i="16"/>
  <c r="G951" i="14"/>
  <c r="I952"/>
  <c r="B14" i="46"/>
  <c r="C14"/>
  <c r="J319" i="15"/>
  <c r="G319"/>
  <c r="A319"/>
  <c r="A320"/>
  <c r="A316"/>
  <c r="A317"/>
  <c r="A318"/>
  <c r="J316"/>
  <c r="L316" s="1"/>
  <c r="G316"/>
  <c r="I316" s="1"/>
  <c r="A313"/>
  <c r="A314"/>
  <c r="A315"/>
  <c r="J313"/>
  <c r="L313" s="1"/>
  <c r="G313"/>
  <c r="I313" s="1"/>
  <c r="A310"/>
  <c r="A311"/>
  <c r="A312"/>
  <c r="J310"/>
  <c r="G310"/>
  <c r="I951" i="14" l="1"/>
  <c r="G950"/>
  <c r="G949" s="1"/>
  <c r="L319" i="15"/>
  <c r="I319"/>
  <c r="L310"/>
  <c r="I310"/>
  <c r="L539"/>
  <c r="I110" i="21" s="1"/>
  <c r="G110"/>
  <c r="L536" i="15"/>
  <c r="I109" i="21" s="1"/>
  <c r="G109"/>
  <c r="J535" i="15"/>
  <c r="G535"/>
  <c r="F113" i="16" l="1"/>
  <c r="I950" i="14"/>
  <c r="I949" s="1"/>
  <c r="L535" i="15"/>
  <c r="I108" i="21" s="1"/>
  <c r="G108"/>
  <c r="J534" i="15"/>
  <c r="L534" s="1"/>
  <c r="G534"/>
  <c r="I534" s="1"/>
  <c r="I535"/>
  <c r="F108" i="21" s="1"/>
  <c r="G948" i="14"/>
  <c r="I948" l="1"/>
  <c r="I941" s="1"/>
  <c r="G941"/>
  <c r="F134" i="16"/>
  <c r="D134"/>
  <c r="J413" i="15"/>
  <c r="G413"/>
  <c r="A411"/>
  <c r="A412"/>
  <c r="A413"/>
  <c r="A414"/>
  <c r="I965" i="14"/>
  <c r="G722"/>
  <c r="I722" s="1"/>
  <c r="A725"/>
  <c r="A726"/>
  <c r="G725"/>
  <c r="I725" s="1"/>
  <c r="G702"/>
  <c r="A702"/>
  <c r="A703"/>
  <c r="A704"/>
  <c r="A674"/>
  <c r="A675"/>
  <c r="A676"/>
  <c r="G674"/>
  <c r="G671" s="1"/>
  <c r="A690"/>
  <c r="A691"/>
  <c r="G690"/>
  <c r="I690" s="1"/>
  <c r="G688"/>
  <c r="I688" s="1"/>
  <c r="A688"/>
  <c r="A689"/>
  <c r="D16" i="49"/>
  <c r="C16"/>
  <c r="C16" i="48"/>
  <c r="B15" i="45"/>
  <c r="B143" i="21"/>
  <c r="B142"/>
  <c r="E128"/>
  <c r="D128"/>
  <c r="B128"/>
  <c r="D127"/>
  <c r="B127"/>
  <c r="E126"/>
  <c r="D126"/>
  <c r="B126"/>
  <c r="E125"/>
  <c r="D125"/>
  <c r="B125"/>
  <c r="E124"/>
  <c r="D124"/>
  <c r="B124"/>
  <c r="E123"/>
  <c r="D123"/>
  <c r="B123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3"/>
  <c r="D113"/>
  <c r="B113"/>
  <c r="E111"/>
  <c r="D111"/>
  <c r="B111"/>
  <c r="B110"/>
  <c r="B109"/>
  <c r="B108"/>
  <c r="E107"/>
  <c r="D107"/>
  <c r="B107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E96"/>
  <c r="D96"/>
  <c r="B96"/>
  <c r="B95"/>
  <c r="B94"/>
  <c r="B93"/>
  <c r="B92"/>
  <c r="B91"/>
  <c r="E90"/>
  <c r="D90"/>
  <c r="B90"/>
  <c r="E89"/>
  <c r="D89"/>
  <c r="B89"/>
  <c r="B88"/>
  <c r="B87"/>
  <c r="E86"/>
  <c r="D86"/>
  <c r="B86"/>
  <c r="E85"/>
  <c r="D85"/>
  <c r="B85"/>
  <c r="E84"/>
  <c r="D84"/>
  <c r="B84"/>
  <c r="E83"/>
  <c r="D83"/>
  <c r="B83"/>
  <c r="E82"/>
  <c r="D82"/>
  <c r="B82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4"/>
  <c r="D74"/>
  <c r="B74"/>
  <c r="E73"/>
  <c r="D73"/>
  <c r="B73"/>
  <c r="E72"/>
  <c r="D72"/>
  <c r="B72"/>
  <c r="B71"/>
  <c r="B70"/>
  <c r="B69"/>
  <c r="B68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B59"/>
  <c r="B58"/>
  <c r="E57"/>
  <c r="B57"/>
  <c r="E56"/>
  <c r="D56"/>
  <c r="B56"/>
  <c r="E55"/>
  <c r="B55"/>
  <c r="E54"/>
  <c r="D54"/>
  <c r="B54"/>
  <c r="E53"/>
  <c r="D53"/>
  <c r="B53"/>
  <c r="E52"/>
  <c r="D52"/>
  <c r="B52"/>
  <c r="B51"/>
  <c r="E50"/>
  <c r="D50"/>
  <c r="B50"/>
  <c r="E49"/>
  <c r="D49"/>
  <c r="E48"/>
  <c r="D48"/>
  <c r="B48"/>
  <c r="E47"/>
  <c r="D47"/>
  <c r="B47"/>
  <c r="B43"/>
  <c r="B42"/>
  <c r="B41"/>
  <c r="B40"/>
  <c r="B39"/>
  <c r="B32"/>
  <c r="B31"/>
  <c r="E30"/>
  <c r="D30"/>
  <c r="B30"/>
  <c r="B29"/>
  <c r="B28"/>
  <c r="B27"/>
  <c r="B26"/>
  <c r="B25"/>
  <c r="E24"/>
  <c r="D24"/>
  <c r="B24"/>
  <c r="E23"/>
  <c r="D23"/>
  <c r="B23"/>
  <c r="B22"/>
  <c r="B21"/>
  <c r="B20"/>
  <c r="B19"/>
  <c r="B18"/>
  <c r="B17"/>
  <c r="B16"/>
  <c r="E15"/>
  <c r="D15"/>
  <c r="B15"/>
  <c r="E14"/>
  <c r="D14"/>
  <c r="B14"/>
  <c r="B12"/>
  <c r="B11"/>
  <c r="B10"/>
  <c r="B158" i="16"/>
  <c r="B157"/>
  <c r="D132"/>
  <c r="B132"/>
  <c r="D131"/>
  <c r="B131"/>
  <c r="D130"/>
  <c r="B130"/>
  <c r="D129"/>
  <c r="B129"/>
  <c r="D128"/>
  <c r="B128"/>
  <c r="D127"/>
  <c r="B127"/>
  <c r="D126"/>
  <c r="B126"/>
  <c r="D125"/>
  <c r="B125"/>
  <c r="D124"/>
  <c r="B124"/>
  <c r="D122"/>
  <c r="B122"/>
  <c r="D121"/>
  <c r="D120"/>
  <c r="B120"/>
  <c r="D119"/>
  <c r="B119"/>
  <c r="D118"/>
  <c r="B118"/>
  <c r="D117"/>
  <c r="B117"/>
  <c r="D116"/>
  <c r="B116"/>
  <c r="B114"/>
  <c r="B113"/>
  <c r="B112"/>
  <c r="B111"/>
  <c r="B110"/>
  <c r="B109"/>
  <c r="D108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D85"/>
  <c r="B85"/>
  <c r="D84"/>
  <c r="B84"/>
  <c r="D83"/>
  <c r="B83"/>
  <c r="D82"/>
  <c r="B82"/>
  <c r="D81"/>
  <c r="B81"/>
  <c r="D80"/>
  <c r="B80"/>
  <c r="D79"/>
  <c r="B79"/>
  <c r="D78"/>
  <c r="B78"/>
  <c r="D77"/>
  <c r="B77"/>
  <c r="B76"/>
  <c r="B75"/>
  <c r="B74"/>
  <c r="B73"/>
  <c r="B72"/>
  <c r="B71"/>
  <c r="B70"/>
  <c r="B69"/>
  <c r="B68"/>
  <c r="B67"/>
  <c r="B66"/>
  <c r="D65"/>
  <c r="B65"/>
  <c r="B64"/>
  <c r="B63"/>
  <c r="B62"/>
  <c r="B61"/>
  <c r="B60"/>
  <c r="B59"/>
  <c r="B58"/>
  <c r="B57"/>
  <c r="B56"/>
  <c r="B55"/>
  <c r="B54"/>
  <c r="B53"/>
  <c r="B50"/>
  <c r="B46"/>
  <c r="B45"/>
  <c r="B44"/>
  <c r="B43"/>
  <c r="B42"/>
  <c r="B41"/>
  <c r="B39"/>
  <c r="B38"/>
  <c r="B37"/>
  <c r="B36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2"/>
  <c r="B11"/>
  <c r="B10"/>
  <c r="A553" i="15"/>
  <c r="A552"/>
  <c r="J551"/>
  <c r="L551" s="1"/>
  <c r="G551"/>
  <c r="I551" s="1"/>
  <c r="A551"/>
  <c r="A550"/>
  <c r="J549"/>
  <c r="L549" s="1"/>
  <c r="G549"/>
  <c r="I549" s="1"/>
  <c r="A549"/>
  <c r="A546"/>
  <c r="A545"/>
  <c r="A544"/>
  <c r="A543"/>
  <c r="A542"/>
  <c r="A527"/>
  <c r="A526"/>
  <c r="A525"/>
  <c r="J524"/>
  <c r="L524" s="1"/>
  <c r="G524"/>
  <c r="I524" s="1"/>
  <c r="A524"/>
  <c r="A521"/>
  <c r="L520"/>
  <c r="A520"/>
  <c r="A519"/>
  <c r="A518"/>
  <c r="A517"/>
  <c r="J516"/>
  <c r="G516"/>
  <c r="A516"/>
  <c r="A515"/>
  <c r="A514"/>
  <c r="A513"/>
  <c r="A512"/>
  <c r="A511"/>
  <c r="J510"/>
  <c r="G510"/>
  <c r="A510"/>
  <c r="A509"/>
  <c r="A508"/>
  <c r="G507"/>
  <c r="I507" s="1"/>
  <c r="A507"/>
  <c r="A506"/>
  <c r="J505"/>
  <c r="G505"/>
  <c r="I505" s="1"/>
  <c r="A505"/>
  <c r="A504"/>
  <c r="A503"/>
  <c r="A502"/>
  <c r="J501"/>
  <c r="L501" s="1"/>
  <c r="G501"/>
  <c r="I501" s="1"/>
  <c r="A501"/>
  <c r="J500"/>
  <c r="G69" i="21" s="1"/>
  <c r="G500" i="15"/>
  <c r="A500"/>
  <c r="A499"/>
  <c r="A498"/>
  <c r="A497"/>
  <c r="E110" i="21"/>
  <c r="D110"/>
  <c r="A491" i="15"/>
  <c r="J490"/>
  <c r="G490"/>
  <c r="A490"/>
  <c r="A489"/>
  <c r="A488"/>
  <c r="A487"/>
  <c r="J486"/>
  <c r="G486"/>
  <c r="A486"/>
  <c r="A485"/>
  <c r="A484"/>
  <c r="A483"/>
  <c r="A482"/>
  <c r="J481"/>
  <c r="G481"/>
  <c r="A481"/>
  <c r="A480"/>
  <c r="A479"/>
  <c r="A478"/>
  <c r="A477"/>
  <c r="J476"/>
  <c r="L476" s="1"/>
  <c r="G476"/>
  <c r="I476" s="1"/>
  <c r="A476"/>
  <c r="A473"/>
  <c r="A472"/>
  <c r="A469"/>
  <c r="A468"/>
  <c r="A467"/>
  <c r="A466"/>
  <c r="A465"/>
  <c r="A464"/>
  <c r="A461"/>
  <c r="J460"/>
  <c r="J459" s="1"/>
  <c r="G460"/>
  <c r="G459" s="1"/>
  <c r="A460"/>
  <c r="A459"/>
  <c r="A456"/>
  <c r="J455"/>
  <c r="J454" s="1"/>
  <c r="G455"/>
  <c r="G454" s="1"/>
  <c r="A455"/>
  <c r="A454"/>
  <c r="A453"/>
  <c r="A448"/>
  <c r="A447"/>
  <c r="A446"/>
  <c r="J445"/>
  <c r="L445" s="1"/>
  <c r="G445"/>
  <c r="I445" s="1"/>
  <c r="A445"/>
  <c r="A444"/>
  <c r="J443"/>
  <c r="L443" s="1"/>
  <c r="G443"/>
  <c r="I443" s="1"/>
  <c r="A443"/>
  <c r="A442"/>
  <c r="J441"/>
  <c r="L441" s="1"/>
  <c r="G441"/>
  <c r="I441" s="1"/>
  <c r="A441"/>
  <c r="A440"/>
  <c r="A439"/>
  <c r="A438"/>
  <c r="A437"/>
  <c r="A436"/>
  <c r="J435"/>
  <c r="G435"/>
  <c r="A435"/>
  <c r="A434"/>
  <c r="A433"/>
  <c r="A432"/>
  <c r="A431"/>
  <c r="A425"/>
  <c r="A424"/>
  <c r="J423"/>
  <c r="L423" s="1"/>
  <c r="G423"/>
  <c r="A423"/>
  <c r="A420"/>
  <c r="A419"/>
  <c r="A418"/>
  <c r="J417"/>
  <c r="G417"/>
  <c r="I417" s="1"/>
  <c r="A417"/>
  <c r="A416"/>
  <c r="A415"/>
  <c r="A401"/>
  <c r="A400"/>
  <c r="J399"/>
  <c r="L399" s="1"/>
  <c r="G399"/>
  <c r="I399" s="1"/>
  <c r="A399"/>
  <c r="A396"/>
  <c r="A395"/>
  <c r="A394"/>
  <c r="A393"/>
  <c r="A392"/>
  <c r="A388"/>
  <c r="A387"/>
  <c r="A386"/>
  <c r="J385"/>
  <c r="L385" s="1"/>
  <c r="G385"/>
  <c r="I385" s="1"/>
  <c r="A385"/>
  <c r="A384"/>
  <c r="J383"/>
  <c r="L383" s="1"/>
  <c r="G383"/>
  <c r="A383"/>
  <c r="A382"/>
  <c r="A381"/>
  <c r="A380"/>
  <c r="A379"/>
  <c r="A376"/>
  <c r="J375"/>
  <c r="J374" s="1"/>
  <c r="G375"/>
  <c r="G374" s="1"/>
  <c r="A375"/>
  <c r="A374"/>
  <c r="A373"/>
  <c r="A372"/>
  <c r="J371"/>
  <c r="G371"/>
  <c r="A371"/>
  <c r="A361"/>
  <c r="J360"/>
  <c r="J357" s="1"/>
  <c r="G360"/>
  <c r="G357" s="1"/>
  <c r="A360"/>
  <c r="A357"/>
  <c r="A356"/>
  <c r="A355"/>
  <c r="A354"/>
  <c r="A350"/>
  <c r="A349"/>
  <c r="J348"/>
  <c r="L348" s="1"/>
  <c r="G348"/>
  <c r="A348"/>
  <c r="A347"/>
  <c r="A342"/>
  <c r="A341"/>
  <c r="J340"/>
  <c r="L340" s="1"/>
  <c r="G340"/>
  <c r="I340" s="1"/>
  <c r="A340"/>
  <c r="A335"/>
  <c r="A334"/>
  <c r="J333"/>
  <c r="L333" s="1"/>
  <c r="G333"/>
  <c r="I333" s="1"/>
  <c r="A333"/>
  <c r="A332"/>
  <c r="A331"/>
  <c r="J330"/>
  <c r="L330" s="1"/>
  <c r="G330"/>
  <c r="I330" s="1"/>
  <c r="A330"/>
  <c r="A329"/>
  <c r="A328"/>
  <c r="J327"/>
  <c r="L327" s="1"/>
  <c r="G327"/>
  <c r="I327" s="1"/>
  <c r="A327"/>
  <c r="A326"/>
  <c r="A325"/>
  <c r="J324"/>
  <c r="L324" s="1"/>
  <c r="G324"/>
  <c r="I324" s="1"/>
  <c r="A324"/>
  <c r="A323"/>
  <c r="A322"/>
  <c r="J321"/>
  <c r="G321"/>
  <c r="A321"/>
  <c r="A309"/>
  <c r="A308"/>
  <c r="A307"/>
  <c r="A306"/>
  <c r="A305"/>
  <c r="J304"/>
  <c r="G304"/>
  <c r="A304"/>
  <c r="A303"/>
  <c r="A302"/>
  <c r="A301"/>
  <c r="A300"/>
  <c r="A299"/>
  <c r="A298"/>
  <c r="J297"/>
  <c r="G297"/>
  <c r="A297"/>
  <c r="A296"/>
  <c r="A295"/>
  <c r="A294"/>
  <c r="A293"/>
  <c r="A292"/>
  <c r="A284"/>
  <c r="A283"/>
  <c r="A280"/>
  <c r="A279"/>
  <c r="A278"/>
  <c r="A277"/>
  <c r="A276"/>
  <c r="A275"/>
  <c r="J274"/>
  <c r="L274" s="1"/>
  <c r="G274"/>
  <c r="I274" s="1"/>
  <c r="A274"/>
  <c r="A273"/>
  <c r="J272"/>
  <c r="L272" s="1"/>
  <c r="G272"/>
  <c r="I272" s="1"/>
  <c r="A272"/>
  <c r="A271"/>
  <c r="J270"/>
  <c r="G270"/>
  <c r="G269" s="1"/>
  <c r="A270"/>
  <c r="A269"/>
  <c r="A268"/>
  <c r="A267"/>
  <c r="A266"/>
  <c r="A259"/>
  <c r="A258"/>
  <c r="A257"/>
  <c r="J256"/>
  <c r="J247" s="1"/>
  <c r="G256"/>
  <c r="G247" s="1"/>
  <c r="A256"/>
  <c r="A249"/>
  <c r="A248"/>
  <c r="A247"/>
  <c r="A243"/>
  <c r="A242"/>
  <c r="J241"/>
  <c r="G241"/>
  <c r="A241"/>
  <c r="A240"/>
  <c r="A239"/>
  <c r="A238"/>
  <c r="A237"/>
  <c r="J236"/>
  <c r="A236"/>
  <c r="A235"/>
  <c r="A234"/>
  <c r="A233"/>
  <c r="A232"/>
  <c r="A231"/>
  <c r="J230"/>
  <c r="G230"/>
  <c r="A230"/>
  <c r="A226"/>
  <c r="A225"/>
  <c r="J224"/>
  <c r="L224" s="1"/>
  <c r="G224"/>
  <c r="I224" s="1"/>
  <c r="A224"/>
  <c r="A223"/>
  <c r="J222"/>
  <c r="G222"/>
  <c r="A222"/>
  <c r="A221"/>
  <c r="A220"/>
  <c r="A219"/>
  <c r="A218"/>
  <c r="A205"/>
  <c r="J204"/>
  <c r="L204" s="1"/>
  <c r="G204"/>
  <c r="I204" s="1"/>
  <c r="A204"/>
  <c r="A203"/>
  <c r="J202"/>
  <c r="L202" s="1"/>
  <c r="G202"/>
  <c r="I202" s="1"/>
  <c r="A202"/>
  <c r="A201"/>
  <c r="J200"/>
  <c r="L200" s="1"/>
  <c r="G200"/>
  <c r="I200" s="1"/>
  <c r="A200"/>
  <c r="A199"/>
  <c r="J198"/>
  <c r="J197" s="1"/>
  <c r="G198"/>
  <c r="A198"/>
  <c r="A197"/>
  <c r="A196"/>
  <c r="A195"/>
  <c r="A194"/>
  <c r="A192"/>
  <c r="A191"/>
  <c r="A188"/>
  <c r="J187"/>
  <c r="G187"/>
  <c r="I187" s="1"/>
  <c r="A187"/>
  <c r="A185"/>
  <c r="A184"/>
  <c r="A183"/>
  <c r="A182"/>
  <c r="A181"/>
  <c r="A180"/>
  <c r="A179"/>
  <c r="A168"/>
  <c r="A167"/>
  <c r="J166"/>
  <c r="J157" s="1"/>
  <c r="G166"/>
  <c r="G157" s="1"/>
  <c r="A166"/>
  <c r="A159"/>
  <c r="A158"/>
  <c r="A157"/>
  <c r="A152"/>
  <c r="A151"/>
  <c r="A63"/>
  <c r="J62"/>
  <c r="G62"/>
  <c r="I62" s="1"/>
  <c r="A62"/>
  <c r="A61"/>
  <c r="A60"/>
  <c r="A59"/>
  <c r="A58"/>
  <c r="A52"/>
  <c r="A51"/>
  <c r="J50"/>
  <c r="L50" s="1"/>
  <c r="G50"/>
  <c r="I50" s="1"/>
  <c r="A50"/>
  <c r="A49"/>
  <c r="A48"/>
  <c r="J47"/>
  <c r="G47"/>
  <c r="A47"/>
  <c r="A39"/>
  <c r="A38"/>
  <c r="A37"/>
  <c r="A36"/>
  <c r="A31"/>
  <c r="A30"/>
  <c r="J29"/>
  <c r="G29"/>
  <c r="A29"/>
  <c r="A28"/>
  <c r="A27"/>
  <c r="A19"/>
  <c r="A18"/>
  <c r="A17"/>
  <c r="A16"/>
  <c r="A15"/>
  <c r="A14"/>
  <c r="J13"/>
  <c r="G13"/>
  <c r="A13"/>
  <c r="A12"/>
  <c r="A11"/>
  <c r="A10"/>
  <c r="A966" i="14"/>
  <c r="A965"/>
  <c r="G964"/>
  <c r="I964" s="1"/>
  <c r="A964"/>
  <c r="A963"/>
  <c r="G962"/>
  <c r="A962"/>
  <c r="A960"/>
  <c r="A959"/>
  <c r="A958"/>
  <c r="I957"/>
  <c r="A957"/>
  <c r="A956"/>
  <c r="A955"/>
  <c r="A954"/>
  <c r="A945"/>
  <c r="A944"/>
  <c r="A943"/>
  <c r="A942"/>
  <c r="F64" i="16"/>
  <c r="D113"/>
  <c r="A941" i="14"/>
  <c r="A940"/>
  <c r="G939"/>
  <c r="A939"/>
  <c r="A938"/>
  <c r="A937"/>
  <c r="A936"/>
  <c r="G935"/>
  <c r="A935"/>
  <c r="A934"/>
  <c r="A933"/>
  <c r="A924"/>
  <c r="G923"/>
  <c r="A923"/>
  <c r="A922"/>
  <c r="A921"/>
  <c r="A920"/>
  <c r="A919"/>
  <c r="G918"/>
  <c r="A918"/>
  <c r="A917"/>
  <c r="A916"/>
  <c r="A915"/>
  <c r="A914"/>
  <c r="A913"/>
  <c r="G912"/>
  <c r="I912" s="1"/>
  <c r="A912"/>
  <c r="A911"/>
  <c r="A910"/>
  <c r="A909"/>
  <c r="G908"/>
  <c r="I908" s="1"/>
  <c r="A908"/>
  <c r="A907"/>
  <c r="A906"/>
  <c r="A905"/>
  <c r="G904"/>
  <c r="I904" s="1"/>
  <c r="A904"/>
  <c r="A903"/>
  <c r="A902"/>
  <c r="A901"/>
  <c r="G900"/>
  <c r="A900"/>
  <c r="A899"/>
  <c r="A898"/>
  <c r="A893"/>
  <c r="A892"/>
  <c r="A891"/>
  <c r="G890"/>
  <c r="A890"/>
  <c r="A889"/>
  <c r="A888"/>
  <c r="A881"/>
  <c r="G880"/>
  <c r="A880"/>
  <c r="A879"/>
  <c r="A878"/>
  <c r="A877"/>
  <c r="A868"/>
  <c r="G867"/>
  <c r="G866" s="1"/>
  <c r="A867"/>
  <c r="A866"/>
  <c r="A865"/>
  <c r="G864"/>
  <c r="I864" s="1"/>
  <c r="A864"/>
  <c r="A861"/>
  <c r="G860"/>
  <c r="I860" s="1"/>
  <c r="A860"/>
  <c r="A857"/>
  <c r="A856"/>
  <c r="A855"/>
  <c r="G854"/>
  <c r="G851" s="1"/>
  <c r="A854"/>
  <c r="A853"/>
  <c r="G852"/>
  <c r="I852" s="1"/>
  <c r="A852"/>
  <c r="A851"/>
  <c r="A850"/>
  <c r="A845"/>
  <c r="A844"/>
  <c r="A843"/>
  <c r="G842"/>
  <c r="G841" s="1"/>
  <c r="D52" i="16" s="1"/>
  <c r="A842" i="14"/>
  <c r="A840"/>
  <c r="A839"/>
  <c r="A838"/>
  <c r="G837"/>
  <c r="A837"/>
  <c r="A836"/>
  <c r="A835"/>
  <c r="A834"/>
  <c r="G833"/>
  <c r="A833"/>
  <c r="A832"/>
  <c r="A831"/>
  <c r="A825"/>
  <c r="G824"/>
  <c r="I824" s="1"/>
  <c r="A824"/>
  <c r="A823"/>
  <c r="G822"/>
  <c r="I822" s="1"/>
  <c r="A822"/>
  <c r="A821"/>
  <c r="G820"/>
  <c r="I820" s="1"/>
  <c r="A820"/>
  <c r="A819"/>
  <c r="G818"/>
  <c r="A818"/>
  <c r="A817"/>
  <c r="A816"/>
  <c r="A815"/>
  <c r="A814"/>
  <c r="A808"/>
  <c r="G807"/>
  <c r="I807" s="1"/>
  <c r="A807"/>
  <c r="A806"/>
  <c r="G805"/>
  <c r="I805" s="1"/>
  <c r="A805"/>
  <c r="A804"/>
  <c r="G803"/>
  <c r="I803" s="1"/>
  <c r="A803"/>
  <c r="A802"/>
  <c r="A801"/>
  <c r="A800"/>
  <c r="A799"/>
  <c r="A798"/>
  <c r="G797"/>
  <c r="I797" s="1"/>
  <c r="A797"/>
  <c r="A796"/>
  <c r="A795"/>
  <c r="A789"/>
  <c r="A788"/>
  <c r="G787"/>
  <c r="I787" s="1"/>
  <c r="A787"/>
  <c r="A786"/>
  <c r="G785"/>
  <c r="A785"/>
  <c r="A784"/>
  <c r="A783"/>
  <c r="A782"/>
  <c r="G781"/>
  <c r="G780" s="1"/>
  <c r="G779" s="1"/>
  <c r="A781"/>
  <c r="A780"/>
  <c r="A779"/>
  <c r="A770"/>
  <c r="G769"/>
  <c r="A769"/>
  <c r="A768"/>
  <c r="A767"/>
  <c r="A760"/>
  <c r="G759"/>
  <c r="A759"/>
  <c r="A758"/>
  <c r="A757"/>
  <c r="A756"/>
  <c r="A755"/>
  <c r="A754"/>
  <c r="A749"/>
  <c r="A743"/>
  <c r="A742"/>
  <c r="A730"/>
  <c r="A729"/>
  <c r="A728"/>
  <c r="A727"/>
  <c r="A724"/>
  <c r="A723"/>
  <c r="A722"/>
  <c r="A721"/>
  <c r="A720"/>
  <c r="A719"/>
  <c r="A718"/>
  <c r="G717"/>
  <c r="A717"/>
  <c r="A716"/>
  <c r="A715"/>
  <c r="A714"/>
  <c r="A713"/>
  <c r="A710"/>
  <c r="G709"/>
  <c r="A707"/>
  <c r="G706"/>
  <c r="A706"/>
  <c r="A705"/>
  <c r="A694"/>
  <c r="A693"/>
  <c r="G692"/>
  <c r="A692"/>
  <c r="A687"/>
  <c r="G686"/>
  <c r="A686"/>
  <c r="A685"/>
  <c r="G684"/>
  <c r="I684" s="1"/>
  <c r="A684"/>
  <c r="A683"/>
  <c r="A682"/>
  <c r="A681"/>
  <c r="A680"/>
  <c r="A671"/>
  <c r="A665"/>
  <c r="G664"/>
  <c r="I664" s="1"/>
  <c r="G657"/>
  <c r="I657" s="1"/>
  <c r="A656"/>
  <c r="A655"/>
  <c r="G654"/>
  <c r="I654" s="1"/>
  <c r="A654"/>
  <c r="A653"/>
  <c r="A652"/>
  <c r="G651"/>
  <c r="I651" s="1"/>
  <c r="A651"/>
  <c r="A650"/>
  <c r="A649"/>
  <c r="G648"/>
  <c r="I648" s="1"/>
  <c r="A648"/>
  <c r="A647"/>
  <c r="A646"/>
  <c r="G645"/>
  <c r="I645" s="1"/>
  <c r="A645"/>
  <c r="A644"/>
  <c r="G643"/>
  <c r="I643" s="1"/>
  <c r="A643"/>
  <c r="A642"/>
  <c r="G641"/>
  <c r="I641" s="1"/>
  <c r="A641"/>
  <c r="A640"/>
  <c r="A639"/>
  <c r="G638"/>
  <c r="I638" s="1"/>
  <c r="A638"/>
  <c r="A637"/>
  <c r="G636"/>
  <c r="I636" s="1"/>
  <c r="A636"/>
  <c r="A635"/>
  <c r="A634"/>
  <c r="G633"/>
  <c r="I633" s="1"/>
  <c r="A633"/>
  <c r="A632"/>
  <c r="A631"/>
  <c r="G630"/>
  <c r="A630"/>
  <c r="A629"/>
  <c r="A628"/>
  <c r="A627"/>
  <c r="A626"/>
  <c r="A622"/>
  <c r="G621"/>
  <c r="A621"/>
  <c r="A620"/>
  <c r="A619"/>
  <c r="A618"/>
  <c r="A617"/>
  <c r="A613"/>
  <c r="A612"/>
  <c r="G611"/>
  <c r="G610" s="1"/>
  <c r="A611"/>
  <c r="A610"/>
  <c r="A609"/>
  <c r="A608"/>
  <c r="A607"/>
  <c r="A606"/>
  <c r="A600"/>
  <c r="G599"/>
  <c r="A599"/>
  <c r="A598"/>
  <c r="A597"/>
  <c r="G595"/>
  <c r="A596"/>
  <c r="A595"/>
  <c r="A594"/>
  <c r="A593"/>
  <c r="A592"/>
  <c r="G590"/>
  <c r="A591"/>
  <c r="A590"/>
  <c r="A589"/>
  <c r="A588"/>
  <c r="G587"/>
  <c r="A587"/>
  <c r="A586"/>
  <c r="A585"/>
  <c r="A584"/>
  <c r="A583"/>
  <c r="A578"/>
  <c r="A577"/>
  <c r="A575"/>
  <c r="A574"/>
  <c r="A573"/>
  <c r="A572"/>
  <c r="G571"/>
  <c r="I571" s="1"/>
  <c r="A571"/>
  <c r="A570"/>
  <c r="A569"/>
  <c r="G568"/>
  <c r="I568" s="1"/>
  <c r="A568"/>
  <c r="A567"/>
  <c r="A565"/>
  <c r="A564"/>
  <c r="G563"/>
  <c r="I563" s="1"/>
  <c r="A563"/>
  <c r="A562"/>
  <c r="G561"/>
  <c r="I561" s="1"/>
  <c r="A561"/>
  <c r="A560"/>
  <c r="G559"/>
  <c r="I559" s="1"/>
  <c r="A559"/>
  <c r="A558"/>
  <c r="A552"/>
  <c r="A551"/>
  <c r="A550"/>
  <c r="A543"/>
  <c r="G542"/>
  <c r="A542"/>
  <c r="A541"/>
  <c r="A539"/>
  <c r="G538"/>
  <c r="A538"/>
  <c r="A537"/>
  <c r="A529"/>
  <c r="G528"/>
  <c r="A528"/>
  <c r="A526"/>
  <c r="A525"/>
  <c r="A524"/>
  <c r="G523"/>
  <c r="A523"/>
  <c r="A522"/>
  <c r="A521"/>
  <c r="A520"/>
  <c r="A519"/>
  <c r="A518"/>
  <c r="G517"/>
  <c r="A517"/>
  <c r="A516"/>
  <c r="A515"/>
  <c r="I514"/>
  <c r="A514"/>
  <c r="A513"/>
  <c r="A512"/>
  <c r="A511"/>
  <c r="A510"/>
  <c r="I509"/>
  <c r="A509"/>
  <c r="A508"/>
  <c r="I507"/>
  <c r="A507"/>
  <c r="A506"/>
  <c r="A505"/>
  <c r="A504"/>
  <c r="I503"/>
  <c r="A503"/>
  <c r="A502"/>
  <c r="A501"/>
  <c r="A500"/>
  <c r="A499"/>
  <c r="A498"/>
  <c r="A492"/>
  <c r="A491"/>
  <c r="A490"/>
  <c r="A489"/>
  <c r="A488"/>
  <c r="I487"/>
  <c r="A487"/>
  <c r="A486"/>
  <c r="I485"/>
  <c r="A485"/>
  <c r="A484"/>
  <c r="A483"/>
  <c r="A482"/>
  <c r="A481"/>
  <c r="A480"/>
  <c r="I479"/>
  <c r="A479"/>
  <c r="I478"/>
  <c r="F29" i="16" s="1"/>
  <c r="A478" i="14"/>
  <c r="A477"/>
  <c r="A476"/>
  <c r="A475"/>
  <c r="I474"/>
  <c r="A474"/>
  <c r="A473"/>
  <c r="I472"/>
  <c r="A472"/>
  <c r="A471"/>
  <c r="A470"/>
  <c r="A469"/>
  <c r="A468"/>
  <c r="A467"/>
  <c r="A466"/>
  <c r="A465"/>
  <c r="A464"/>
  <c r="A463"/>
  <c r="A462"/>
  <c r="A458"/>
  <c r="A457"/>
  <c r="I456"/>
  <c r="A456"/>
  <c r="A455"/>
  <c r="I454"/>
  <c r="A454"/>
  <c r="I450"/>
  <c r="A449"/>
  <c r="A448"/>
  <c r="A447"/>
  <c r="A446"/>
  <c r="A445"/>
  <c r="A444"/>
  <c r="A418"/>
  <c r="A417"/>
  <c r="A416"/>
  <c r="A415"/>
  <c r="I414"/>
  <c r="A414"/>
  <c r="A413"/>
  <c r="A412"/>
  <c r="A411"/>
  <c r="A410"/>
  <c r="A409"/>
  <c r="A408"/>
  <c r="A407"/>
  <c r="A406"/>
  <c r="I405"/>
  <c r="A405"/>
  <c r="A404"/>
  <c r="I403"/>
  <c r="A403"/>
  <c r="A402"/>
  <c r="I401"/>
  <c r="A401"/>
  <c r="A400"/>
  <c r="I399"/>
  <c r="A399"/>
  <c r="A398"/>
  <c r="I397"/>
  <c r="A397"/>
  <c r="A396"/>
  <c r="A395"/>
  <c r="A394"/>
  <c r="A393"/>
  <c r="A392"/>
  <c r="A391"/>
  <c r="A390"/>
  <c r="A386"/>
  <c r="A385"/>
  <c r="A384"/>
  <c r="A383"/>
  <c r="A382"/>
  <c r="A378"/>
  <c r="I377"/>
  <c r="A377"/>
  <c r="A374"/>
  <c r="I373"/>
  <c r="A373"/>
  <c r="A366"/>
  <c r="A365"/>
  <c r="A364"/>
  <c r="A363"/>
  <c r="A362"/>
  <c r="A361"/>
  <c r="A360"/>
  <c r="A351"/>
  <c r="A350"/>
  <c r="A349"/>
  <c r="A348"/>
  <c r="A345"/>
  <c r="A344"/>
  <c r="A343"/>
  <c r="A342"/>
  <c r="A337"/>
  <c r="A336"/>
  <c r="I335"/>
  <c r="A335"/>
  <c r="A334"/>
  <c r="I333"/>
  <c r="A333"/>
  <c r="A332"/>
  <c r="I331"/>
  <c r="A331"/>
  <c r="A330"/>
  <c r="A329"/>
  <c r="A328"/>
  <c r="A327"/>
  <c r="A326"/>
  <c r="A325"/>
  <c r="A324"/>
  <c r="A323"/>
  <c r="A322"/>
  <c r="A321"/>
  <c r="A320"/>
  <c r="A319"/>
  <c r="A314"/>
  <c r="A313"/>
  <c r="A301"/>
  <c r="A300"/>
  <c r="A298"/>
  <c r="A297"/>
  <c r="A206"/>
  <c r="A205"/>
  <c r="A203"/>
  <c r="A140"/>
  <c r="A139"/>
  <c r="A138"/>
  <c r="A137"/>
  <c r="A136"/>
  <c r="A135"/>
  <c r="A134"/>
  <c r="A133"/>
  <c r="A128"/>
  <c r="A127"/>
  <c r="A126"/>
  <c r="A125"/>
  <c r="A105"/>
  <c r="A104"/>
  <c r="I103"/>
  <c r="A103"/>
  <c r="A102"/>
  <c r="A101"/>
  <c r="A100"/>
  <c r="A99"/>
  <c r="A98"/>
  <c r="I97"/>
  <c r="A97"/>
  <c r="A94"/>
  <c r="A93"/>
  <c r="A87"/>
  <c r="A86"/>
  <c r="A85"/>
  <c r="A84"/>
  <c r="A83"/>
  <c r="A82"/>
  <c r="A59"/>
  <c r="A58"/>
  <c r="A57"/>
  <c r="A56"/>
  <c r="A55"/>
  <c r="A54"/>
  <c r="A53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I28"/>
  <c r="A28"/>
  <c r="A25"/>
  <c r="A23"/>
  <c r="A22"/>
  <c r="A21"/>
  <c r="A20"/>
  <c r="A15"/>
  <c r="A14"/>
  <c r="G13"/>
  <c r="A13"/>
  <c r="A12"/>
  <c r="A11"/>
  <c r="A10"/>
  <c r="D14" i="10"/>
  <c r="D20" s="1"/>
  <c r="B43" i="7"/>
  <c r="C41" s="1"/>
  <c r="B15"/>
  <c r="B21" s="1"/>
  <c r="F22" i="6"/>
  <c r="C22"/>
  <c r="F16"/>
  <c r="F13"/>
  <c r="H13" s="1"/>
  <c r="C13"/>
  <c r="B15" i="10" s="1"/>
  <c r="F11" i="6"/>
  <c r="C11"/>
  <c r="C24" i="5"/>
  <c r="C18"/>
  <c r="C16"/>
  <c r="E16" s="1"/>
  <c r="C13"/>
  <c r="E13" s="1"/>
  <c r="C11"/>
  <c r="E11" s="1"/>
  <c r="C120" i="4"/>
  <c r="C119"/>
  <c r="C116"/>
  <c r="C113"/>
  <c r="C112"/>
  <c r="C110"/>
  <c r="C108"/>
  <c r="C107"/>
  <c r="C106"/>
  <c r="C105"/>
  <c r="C104"/>
  <c r="C101"/>
  <c r="C95"/>
  <c r="C94"/>
  <c r="C93"/>
  <c r="C92"/>
  <c r="C91"/>
  <c r="C90"/>
  <c r="C89"/>
  <c r="C88"/>
  <c r="C87"/>
  <c r="C84"/>
  <c r="C83"/>
  <c r="C79"/>
  <c r="C77"/>
  <c r="C75"/>
  <c r="C70"/>
  <c r="C69"/>
  <c r="C68"/>
  <c r="C67"/>
  <c r="C66"/>
  <c r="C63"/>
  <c r="C62"/>
  <c r="C60"/>
  <c r="C58"/>
  <c r="C57"/>
  <c r="C56"/>
  <c r="C53"/>
  <c r="C52"/>
  <c r="C50"/>
  <c r="C49"/>
  <c r="C48"/>
  <c r="C47"/>
  <c r="C45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120" i="3"/>
  <c r="C119"/>
  <c r="C116"/>
  <c r="C113"/>
  <c r="C112"/>
  <c r="C110"/>
  <c r="C108"/>
  <c r="C107"/>
  <c r="C106"/>
  <c r="C104"/>
  <c r="C101"/>
  <c r="C95"/>
  <c r="C94"/>
  <c r="C93"/>
  <c r="C92"/>
  <c r="C91"/>
  <c r="C90"/>
  <c r="C89"/>
  <c r="C88"/>
  <c r="C87"/>
  <c r="C84"/>
  <c r="C83"/>
  <c r="C79"/>
  <c r="C77"/>
  <c r="C76"/>
  <c r="C75"/>
  <c r="C69"/>
  <c r="C68"/>
  <c r="C67"/>
  <c r="C66"/>
  <c r="C63"/>
  <c r="C57"/>
  <c r="C56"/>
  <c r="C53"/>
  <c r="C50"/>
  <c r="C49"/>
  <c r="C47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21"/>
  <c r="C19"/>
  <c r="C18"/>
  <c r="C17"/>
  <c r="C16"/>
  <c r="C12"/>
  <c r="C10"/>
  <c r="O50" i="2"/>
  <c r="L50"/>
  <c r="M36"/>
  <c r="O36" s="1"/>
  <c r="J36"/>
  <c r="L36" s="1"/>
  <c r="M34"/>
  <c r="O34" s="1"/>
  <c r="J34"/>
  <c r="L34" s="1"/>
  <c r="M31"/>
  <c r="O31" s="1"/>
  <c r="J31"/>
  <c r="L31" s="1"/>
  <c r="O27"/>
  <c r="L27"/>
  <c r="M25"/>
  <c r="O25" s="1"/>
  <c r="J25"/>
  <c r="L25" s="1"/>
  <c r="M20"/>
  <c r="O20" s="1"/>
  <c r="J20"/>
  <c r="L20" s="1"/>
  <c r="M16"/>
  <c r="O16" s="1"/>
  <c r="J16"/>
  <c r="L16" s="1"/>
  <c r="M14"/>
  <c r="O14" s="1"/>
  <c r="J14"/>
  <c r="L14" s="1"/>
  <c r="M12"/>
  <c r="O12" s="1"/>
  <c r="J12"/>
  <c r="L12" s="1"/>
  <c r="L102" i="1"/>
  <c r="L52"/>
  <c r="L34"/>
  <c r="L31"/>
  <c r="L27"/>
  <c r="L25"/>
  <c r="L20"/>
  <c r="L16"/>
  <c r="L14"/>
  <c r="I364" i="14" l="1"/>
  <c r="G629"/>
  <c r="G628" s="1"/>
  <c r="G627" s="1"/>
  <c r="I854"/>
  <c r="I851" s="1"/>
  <c r="I517"/>
  <c r="G502"/>
  <c r="G477" s="1"/>
  <c r="I962"/>
  <c r="G956"/>
  <c r="G955" s="1"/>
  <c r="G954" s="1"/>
  <c r="I702"/>
  <c r="G683"/>
  <c r="I448"/>
  <c r="I447" s="1"/>
  <c r="I706"/>
  <c r="I705" s="1"/>
  <c r="G705"/>
  <c r="I709"/>
  <c r="G708"/>
  <c r="D48" i="16" s="1"/>
  <c r="I867" i="14"/>
  <c r="I866" s="1"/>
  <c r="I708"/>
  <c r="F48" i="16" s="1"/>
  <c r="I327" i="14"/>
  <c r="I326" s="1"/>
  <c r="C15" i="5"/>
  <c r="O45" i="2"/>
  <c r="O44" s="1"/>
  <c r="E18" i="5"/>
  <c r="B19" i="7"/>
  <c r="G309" i="15"/>
  <c r="E11" i="6"/>
  <c r="C10"/>
  <c r="H11"/>
  <c r="H10" s="1"/>
  <c r="F10"/>
  <c r="J309" i="15"/>
  <c r="I371"/>
  <c r="L371"/>
  <c r="I198"/>
  <c r="I197" s="1"/>
  <c r="G197"/>
  <c r="G36"/>
  <c r="G31" s="1"/>
  <c r="I818" i="14"/>
  <c r="I817" s="1"/>
  <c r="G817"/>
  <c r="I692"/>
  <c r="I100"/>
  <c r="I83"/>
  <c r="I674"/>
  <c r="I671" s="1"/>
  <c r="L360" i="15"/>
  <c r="I360"/>
  <c r="J45" i="2"/>
  <c r="G183" i="15"/>
  <c r="D27" i="21" s="1"/>
  <c r="L187" i="15"/>
  <c r="L183" s="1"/>
  <c r="J183"/>
  <c r="G27" i="21" s="1"/>
  <c r="I183" i="15"/>
  <c r="L166"/>
  <c r="J152"/>
  <c r="J151" s="1"/>
  <c r="I166"/>
  <c r="G152"/>
  <c r="G151" s="1"/>
  <c r="J36"/>
  <c r="J31" s="1"/>
  <c r="I47"/>
  <c r="I36" s="1"/>
  <c r="I31" s="1"/>
  <c r="L47"/>
  <c r="L36" s="1"/>
  <c r="L31" s="1"/>
  <c r="I133" i="14"/>
  <c r="I128" s="1"/>
  <c r="I686"/>
  <c r="G527"/>
  <c r="G526"/>
  <c r="I321" i="15"/>
  <c r="I309" s="1"/>
  <c r="L321"/>
  <c r="L309" s="1"/>
  <c r="I630" i="14"/>
  <c r="I629" s="1"/>
  <c r="I785"/>
  <c r="I784" s="1"/>
  <c r="I783" s="1"/>
  <c r="G784"/>
  <c r="G783" s="1"/>
  <c r="B18" i="10"/>
  <c r="B16" s="1"/>
  <c r="E16" i="6"/>
  <c r="C21"/>
  <c r="E21" s="1"/>
  <c r="E22"/>
  <c r="B21" i="10"/>
  <c r="E13" i="6"/>
  <c r="G727" i="14"/>
  <c r="I727" s="1"/>
  <c r="I728"/>
  <c r="F21" i="6"/>
  <c r="H21" s="1"/>
  <c r="H22"/>
  <c r="F15"/>
  <c r="H15" s="1"/>
  <c r="H16"/>
  <c r="I756" i="14"/>
  <c r="I757"/>
  <c r="G485" i="15"/>
  <c r="I486"/>
  <c r="J499"/>
  <c r="L500"/>
  <c r="I69" i="21" s="1"/>
  <c r="G509" i="15"/>
  <c r="I509" s="1"/>
  <c r="I510"/>
  <c r="G515"/>
  <c r="I516"/>
  <c r="F31" i="21"/>
  <c r="J296" i="15"/>
  <c r="J295" s="1"/>
  <c r="L297"/>
  <c r="G303"/>
  <c r="I304"/>
  <c r="J489"/>
  <c r="L490"/>
  <c r="G499"/>
  <c r="I499" s="1"/>
  <c r="F68" i="21" s="1"/>
  <c r="I500" i="15"/>
  <c r="F69" i="21" s="1"/>
  <c r="J61" i="15"/>
  <c r="J60" s="1"/>
  <c r="L62"/>
  <c r="I270"/>
  <c r="G296"/>
  <c r="I296" s="1"/>
  <c r="I297"/>
  <c r="G347"/>
  <c r="I348"/>
  <c r="J434"/>
  <c r="G19" i="21" s="1"/>
  <c r="L435" i="15"/>
  <c r="L455"/>
  <c r="L454" s="1"/>
  <c r="G489"/>
  <c r="I490"/>
  <c r="G519"/>
  <c r="I520"/>
  <c r="G412"/>
  <c r="I413"/>
  <c r="J28"/>
  <c r="L29"/>
  <c r="G61"/>
  <c r="I61" s="1"/>
  <c r="F88" i="21" s="1"/>
  <c r="L256" i="15"/>
  <c r="L247" s="1"/>
  <c r="G434"/>
  <c r="G432" s="1"/>
  <c r="I435"/>
  <c r="I455"/>
  <c r="I454" s="1"/>
  <c r="G28"/>
  <c r="I29"/>
  <c r="G12"/>
  <c r="I13"/>
  <c r="J229"/>
  <c r="G34" i="21" s="1"/>
  <c r="L230" i="15"/>
  <c r="J235"/>
  <c r="J234" s="1"/>
  <c r="J233" s="1"/>
  <c r="L236"/>
  <c r="J416"/>
  <c r="L417"/>
  <c r="G21" i="21"/>
  <c r="L460" i="15"/>
  <c r="L459" s="1"/>
  <c r="G544"/>
  <c r="J12"/>
  <c r="L13"/>
  <c r="I256"/>
  <c r="I247" s="1"/>
  <c r="F35" i="21" s="1"/>
  <c r="J195" i="15"/>
  <c r="L198"/>
  <c r="L197" s="1"/>
  <c r="J221"/>
  <c r="L222"/>
  <c r="G229"/>
  <c r="I230"/>
  <c r="G235"/>
  <c r="G234" s="1"/>
  <c r="I234" s="1"/>
  <c r="F16" i="21" s="1"/>
  <c r="I236" i="15"/>
  <c r="J240"/>
  <c r="J239" s="1"/>
  <c r="J238" s="1"/>
  <c r="L241"/>
  <c r="L375"/>
  <c r="L374" s="1"/>
  <c r="I45" i="21" s="1"/>
  <c r="I460" i="15"/>
  <c r="I459" s="1"/>
  <c r="F21" i="21" s="1"/>
  <c r="J480" i="15"/>
  <c r="L481"/>
  <c r="G221"/>
  <c r="I221" s="1"/>
  <c r="F33" i="21" s="1"/>
  <c r="I222" i="15"/>
  <c r="G240"/>
  <c r="I240" s="1"/>
  <c r="I241"/>
  <c r="I375"/>
  <c r="I374" s="1"/>
  <c r="F45" i="21" s="1"/>
  <c r="G382" i="15"/>
  <c r="I382" s="1"/>
  <c r="I383"/>
  <c r="G480"/>
  <c r="I481"/>
  <c r="J485"/>
  <c r="L486"/>
  <c r="J504"/>
  <c r="L505"/>
  <c r="J509"/>
  <c r="L509" s="1"/>
  <c r="L510"/>
  <c r="J515"/>
  <c r="L516"/>
  <c r="J303"/>
  <c r="G42" i="21" s="1"/>
  <c r="L304" i="15"/>
  <c r="G420"/>
  <c r="I420" s="1"/>
  <c r="I423"/>
  <c r="J269"/>
  <c r="G32" i="21" s="1"/>
  <c r="L270" i="15"/>
  <c r="J412"/>
  <c r="L413"/>
  <c r="J440"/>
  <c r="F71" i="16"/>
  <c r="I37" i="14"/>
  <c r="I320"/>
  <c r="I321"/>
  <c r="I416"/>
  <c r="I417"/>
  <c r="I490"/>
  <c r="I489" s="1"/>
  <c r="F31" i="16" s="1"/>
  <c r="I528" i="14"/>
  <c r="I527" s="1"/>
  <c r="G541"/>
  <c r="I541" s="1"/>
  <c r="I542"/>
  <c r="G589"/>
  <c r="I589" s="1"/>
  <c r="I590"/>
  <c r="G832"/>
  <c r="I833"/>
  <c r="G917"/>
  <c r="I918"/>
  <c r="G938"/>
  <c r="I939"/>
  <c r="I41"/>
  <c r="I43"/>
  <c r="D95" i="16"/>
  <c r="I138" i="14"/>
  <c r="F95" i="16" s="1"/>
  <c r="G716" i="14"/>
  <c r="I717"/>
  <c r="I391"/>
  <c r="D39" i="16"/>
  <c r="I595" i="14"/>
  <c r="F39" i="16" s="1"/>
  <c r="G768" i="14"/>
  <c r="I769"/>
  <c r="G879"/>
  <c r="I880"/>
  <c r="G922"/>
  <c r="I923"/>
  <c r="F114" i="16"/>
  <c r="G836" i="14"/>
  <c r="I837"/>
  <c r="C52" i="3"/>
  <c r="I58" i="14"/>
  <c r="I350"/>
  <c r="I46"/>
  <c r="I47"/>
  <c r="I323"/>
  <c r="I324"/>
  <c r="F98" i="16"/>
  <c r="I781" i="14"/>
  <c r="I780" s="1"/>
  <c r="I779" s="1"/>
  <c r="G12"/>
  <c r="I12" s="1"/>
  <c r="I13"/>
  <c r="I33"/>
  <c r="I136"/>
  <c r="I468"/>
  <c r="G522"/>
  <c r="I522" s="1"/>
  <c r="I523"/>
  <c r="G586"/>
  <c r="I587"/>
  <c r="G889"/>
  <c r="I890"/>
  <c r="G934"/>
  <c r="D110" i="16" s="1"/>
  <c r="I935" i="14"/>
  <c r="I408"/>
  <c r="I409"/>
  <c r="I461"/>
  <c r="F34" i="16" s="1"/>
  <c r="I462" i="14"/>
  <c r="I385"/>
  <c r="G840"/>
  <c r="I842"/>
  <c r="I841" s="1"/>
  <c r="F52" i="16" s="1"/>
  <c r="F67"/>
  <c r="I497" i="14"/>
  <c r="I498"/>
  <c r="G899"/>
  <c r="I900"/>
  <c r="I54"/>
  <c r="I344"/>
  <c r="G758"/>
  <c r="I759"/>
  <c r="G537"/>
  <c r="I537" s="1"/>
  <c r="I538"/>
  <c r="G598"/>
  <c r="I598" s="1"/>
  <c r="I599"/>
  <c r="G609"/>
  <c r="I609" s="1"/>
  <c r="I611"/>
  <c r="I610" s="1"/>
  <c r="G620"/>
  <c r="I621"/>
  <c r="C23" i="5"/>
  <c r="E23" s="1"/>
  <c r="E24"/>
  <c r="L36" i="1"/>
  <c r="L38"/>
  <c r="B33" i="7"/>
  <c r="F21" i="16"/>
  <c r="I299" i="14"/>
  <c r="F135" i="16" s="1"/>
  <c r="E71" i="21"/>
  <c r="E140"/>
  <c r="G558" i="14"/>
  <c r="G903"/>
  <c r="G902" s="1"/>
  <c r="E35" i="21"/>
  <c r="D23" i="16"/>
  <c r="G796" i="14"/>
  <c r="D93" i="21"/>
  <c r="G416" i="15"/>
  <c r="J420"/>
  <c r="I956" i="14"/>
  <c r="G440" i="15"/>
  <c r="J347"/>
  <c r="E17" i="21"/>
  <c r="M24" i="2"/>
  <c r="M45"/>
  <c r="C43" i="7"/>
  <c r="J382" i="15"/>
  <c r="C42" i="7"/>
  <c r="C40"/>
  <c r="G504" i="15"/>
  <c r="D71" i="21" s="1"/>
  <c r="J519" i="15"/>
  <c r="E15" i="5"/>
  <c r="J24" i="2"/>
  <c r="L24" s="1"/>
  <c r="D12" i="16"/>
  <c r="E20" i="21"/>
  <c r="G521" i="14"/>
  <c r="J467" i="15"/>
  <c r="E70" i="21"/>
  <c r="G467" i="15"/>
  <c r="G466" s="1"/>
  <c r="I466" s="1"/>
  <c r="I502" i="14"/>
  <c r="F35" i="16" s="1"/>
  <c r="G301" i="15"/>
  <c r="E33" i="21"/>
  <c r="J544" i="15"/>
  <c r="C15" i="6"/>
  <c r="E15" s="1"/>
  <c r="C10" i="5"/>
  <c r="E10" s="1"/>
  <c r="B14" i="7"/>
  <c r="D40" s="1"/>
  <c r="D76" i="16"/>
  <c r="D29"/>
  <c r="G802" i="14"/>
  <c r="G800" s="1"/>
  <c r="I800" s="1"/>
  <c r="C33" i="3"/>
  <c r="C86"/>
  <c r="C65" i="4"/>
  <c r="C103"/>
  <c r="C86"/>
  <c r="C33"/>
  <c r="E92" i="21"/>
  <c r="D94"/>
  <c r="D95"/>
  <c r="D109"/>
  <c r="D98" i="16"/>
  <c r="E94" i="21"/>
  <c r="E95"/>
  <c r="E88"/>
  <c r="E16"/>
  <c r="D32" i="10"/>
  <c r="D69" i="21"/>
  <c r="F93" i="16"/>
  <c r="D24"/>
  <c r="D42" i="21"/>
  <c r="D112" i="16"/>
  <c r="E29" i="21"/>
  <c r="E41"/>
  <c r="F100" i="16"/>
  <c r="D64"/>
  <c r="E93" i="21"/>
  <c r="E19"/>
  <c r="E12"/>
  <c r="E109"/>
  <c r="E69"/>
  <c r="E59"/>
  <c r="B14" i="10"/>
  <c r="D18"/>
  <c r="D16" s="1"/>
  <c r="D13"/>
  <c r="F40" i="16" l="1"/>
  <c r="I879" i="14"/>
  <c r="I878" s="1"/>
  <c r="G878"/>
  <c r="G682"/>
  <c r="G681" s="1"/>
  <c r="G680" s="1"/>
  <c r="I758"/>
  <c r="G754"/>
  <c r="G476"/>
  <c r="D27" i="16"/>
  <c r="I390" i="14"/>
  <c r="I683"/>
  <c r="I682" s="1"/>
  <c r="D55" i="16"/>
  <c r="I239" i="15"/>
  <c r="L357"/>
  <c r="I357"/>
  <c r="I558" i="14"/>
  <c r="I552" s="1"/>
  <c r="G552"/>
  <c r="D45" i="16"/>
  <c r="G619" i="14"/>
  <c r="G618" s="1"/>
  <c r="F32" i="16"/>
  <c r="I20" i="14"/>
  <c r="I15" s="1"/>
  <c r="I206"/>
  <c r="F57" i="16"/>
  <c r="E10" i="6"/>
  <c r="I347" i="15"/>
  <c r="G308"/>
  <c r="I157"/>
  <c r="I152" s="1"/>
  <c r="I151" s="1"/>
  <c r="L157"/>
  <c r="L152" s="1"/>
  <c r="L151" s="1"/>
  <c r="J432"/>
  <c r="G433"/>
  <c r="I433" s="1"/>
  <c r="G294"/>
  <c r="I294" s="1"/>
  <c r="B17" i="7"/>
  <c r="D41"/>
  <c r="D43" s="1"/>
  <c r="E42" s="1"/>
  <c r="J220" i="15"/>
  <c r="L220" s="1"/>
  <c r="G239"/>
  <c r="F29" i="21"/>
  <c r="G721" i="14"/>
  <c r="D44" i="16" s="1"/>
  <c r="G626" i="14"/>
  <c r="J514" i="15"/>
  <c r="G55" i="21" s="1"/>
  <c r="G57"/>
  <c r="I515" i="15"/>
  <c r="F57" i="21" s="1"/>
  <c r="D57"/>
  <c r="F59"/>
  <c r="G43"/>
  <c r="D59"/>
  <c r="D43"/>
  <c r="J11" i="2"/>
  <c r="L11" s="1"/>
  <c r="I53" i="14"/>
  <c r="G453" i="15"/>
  <c r="J301"/>
  <c r="L301" s="1"/>
  <c r="D33" i="21"/>
  <c r="G220" i="15"/>
  <c r="G219" s="1"/>
  <c r="I219" s="1"/>
  <c r="J453"/>
  <c r="J448" s="1"/>
  <c r="G594" i="14"/>
  <c r="I594" s="1"/>
  <c r="D67" i="16"/>
  <c r="D68" i="21"/>
  <c r="D143"/>
  <c r="G749" i="14"/>
  <c r="D61" i="16"/>
  <c r="I49" i="14"/>
  <c r="D33" i="16"/>
  <c r="I319" i="14"/>
  <c r="D21" i="21"/>
  <c r="G11" i="14"/>
  <c r="F60" i="16"/>
  <c r="D19"/>
  <c r="D29" i="21"/>
  <c r="D37" i="16"/>
  <c r="J302" i="15"/>
  <c r="L302" s="1"/>
  <c r="D31" i="21"/>
  <c r="F46" i="16"/>
  <c r="D34"/>
  <c r="D41"/>
  <c r="I42" i="14"/>
  <c r="D32" i="16"/>
  <c r="J308" i="15"/>
  <c r="L308" s="1"/>
  <c r="L233"/>
  <c r="L234"/>
  <c r="I16" i="21" s="1"/>
  <c r="G16"/>
  <c r="J438" i="15"/>
  <c r="L438" s="1"/>
  <c r="G12" i="21"/>
  <c r="I140"/>
  <c r="G140"/>
  <c r="L515" i="15"/>
  <c r="G59" i="21"/>
  <c r="L504" i="15"/>
  <c r="I71" i="21" s="1"/>
  <c r="G71"/>
  <c r="L240" i="15"/>
  <c r="L239" s="1"/>
  <c r="G29" i="21"/>
  <c r="L221" i="15"/>
  <c r="I33" i="21" s="1"/>
  <c r="G33"/>
  <c r="I28"/>
  <c r="G28"/>
  <c r="L235" i="15"/>
  <c r="I17" i="21" s="1"/>
  <c r="G17"/>
  <c r="G35"/>
  <c r="I20"/>
  <c r="G20"/>
  <c r="L61" i="15"/>
  <c r="I88" i="21" s="1"/>
  <c r="G88"/>
  <c r="L499" i="15"/>
  <c r="I68" i="21" s="1"/>
  <c r="G68"/>
  <c r="I31"/>
  <c r="G31"/>
  <c r="G143"/>
  <c r="F43"/>
  <c r="G41"/>
  <c r="G58"/>
  <c r="L295" i="15"/>
  <c r="L60"/>
  <c r="I87" i="21" s="1"/>
  <c r="G87"/>
  <c r="L467" i="15"/>
  <c r="I22" i="21" s="1"/>
  <c r="G22"/>
  <c r="D21" i="16"/>
  <c r="D102"/>
  <c r="F87"/>
  <c r="D15"/>
  <c r="D17"/>
  <c r="D105"/>
  <c r="G850" i="14"/>
  <c r="G877"/>
  <c r="I877" s="1"/>
  <c r="B22" i="7"/>
  <c r="B28" s="1"/>
  <c r="I955" i="14"/>
  <c r="G142" i="21"/>
  <c r="D88"/>
  <c r="G465" i="15"/>
  <c r="I465" s="1"/>
  <c r="G60"/>
  <c r="I60" s="1"/>
  <c r="F87" i="21" s="1"/>
  <c r="L238" i="15"/>
  <c r="D35" i="21"/>
  <c r="G295" i="15"/>
  <c r="I295" s="1"/>
  <c r="G514"/>
  <c r="G513" s="1"/>
  <c r="I513" s="1"/>
  <c r="F51" i="21" s="1"/>
  <c r="D22"/>
  <c r="I467" i="15"/>
  <c r="F22" i="21" s="1"/>
  <c r="I220" i="15"/>
  <c r="J439"/>
  <c r="G11" i="21" s="1"/>
  <c r="L440" i="15"/>
  <c r="I12" i="21" s="1"/>
  <c r="J479" i="15"/>
  <c r="F111" i="4" s="1"/>
  <c r="F109" s="1"/>
  <c r="L480" i="15"/>
  <c r="D17" i="21"/>
  <c r="I235" i="15"/>
  <c r="F17" i="21" s="1"/>
  <c r="J415" i="15"/>
  <c r="F115" i="4" s="1"/>
  <c r="F114" s="1"/>
  <c r="L416" i="15"/>
  <c r="G27"/>
  <c r="C20" i="4" s="1"/>
  <c r="I28" i="15"/>
  <c r="G488"/>
  <c r="I488" s="1"/>
  <c r="I489"/>
  <c r="J488"/>
  <c r="L488" s="1"/>
  <c r="L489"/>
  <c r="D28" i="21"/>
  <c r="F28"/>
  <c r="G182" i="15"/>
  <c r="I182" s="1"/>
  <c r="F27" i="21"/>
  <c r="D12"/>
  <c r="I440" i="15"/>
  <c r="F12" i="21" s="1"/>
  <c r="J196" i="15"/>
  <c r="L196" s="1"/>
  <c r="G415"/>
  <c r="I416"/>
  <c r="J194"/>
  <c r="L195"/>
  <c r="C13" i="4"/>
  <c r="E21" i="21"/>
  <c r="I21"/>
  <c r="G11" i="15"/>
  <c r="I12"/>
  <c r="G518"/>
  <c r="I519"/>
  <c r="G484"/>
  <c r="I484" s="1"/>
  <c r="I485"/>
  <c r="J431"/>
  <c r="L432"/>
  <c r="G300"/>
  <c r="I301"/>
  <c r="D140" i="21"/>
  <c r="F140"/>
  <c r="J182" i="15"/>
  <c r="I27" i="21"/>
  <c r="J356" i="15"/>
  <c r="J419"/>
  <c r="F118" i="4" s="1"/>
  <c r="F117" s="1"/>
  <c r="L420" i="15"/>
  <c r="G419"/>
  <c r="G381"/>
  <c r="G503"/>
  <c r="G498" s="1"/>
  <c r="I504"/>
  <c r="F71" i="21" s="1"/>
  <c r="E43"/>
  <c r="L347" i="15"/>
  <c r="I43" i="21" s="1"/>
  <c r="J268" i="15"/>
  <c r="L269"/>
  <c r="I32" i="21" s="1"/>
  <c r="G479" i="15"/>
  <c r="I480"/>
  <c r="G543"/>
  <c r="I544"/>
  <c r="E34" i="21"/>
  <c r="L229" i="15"/>
  <c r="I34" i="21" s="1"/>
  <c r="D19"/>
  <c r="I434" i="15"/>
  <c r="F19" i="21" s="1"/>
  <c r="G411" i="15"/>
  <c r="I412"/>
  <c r="F143" i="21" s="1"/>
  <c r="J433" i="15"/>
  <c r="L434"/>
  <c r="I19" i="21" s="1"/>
  <c r="J294" i="15"/>
  <c r="L296"/>
  <c r="J300"/>
  <c r="F98" i="4" s="1"/>
  <c r="J518" i="15"/>
  <c r="F64" i="4" s="1"/>
  <c r="L519" i="15"/>
  <c r="J381"/>
  <c r="L382"/>
  <c r="E139" i="21"/>
  <c r="J543" i="15"/>
  <c r="L544"/>
  <c r="G356"/>
  <c r="J411"/>
  <c r="L412"/>
  <c r="E42" i="21"/>
  <c r="L303" i="15"/>
  <c r="I42" i="21" s="1"/>
  <c r="J484" i="15"/>
  <c r="L484" s="1"/>
  <c r="L485"/>
  <c r="D34" i="21"/>
  <c r="I229" i="15"/>
  <c r="F34" i="21" s="1"/>
  <c r="J11" i="15"/>
  <c r="L12"/>
  <c r="D20" i="21"/>
  <c r="F20"/>
  <c r="J27" i="15"/>
  <c r="L28"/>
  <c r="G268"/>
  <c r="I269"/>
  <c r="F32" i="21" s="1"/>
  <c r="G302" i="15"/>
  <c r="I302" s="1"/>
  <c r="I303"/>
  <c r="F42" i="21" s="1"/>
  <c r="G431" i="15"/>
  <c r="I432"/>
  <c r="J503"/>
  <c r="G70" i="21" s="1"/>
  <c r="D71" i="16"/>
  <c r="F66"/>
  <c r="G584" i="14"/>
  <c r="I584" s="1"/>
  <c r="D60" i="16"/>
  <c r="D73"/>
  <c r="F73"/>
  <c r="D30"/>
  <c r="I484" i="14"/>
  <c r="F102" i="16"/>
  <c r="G835" i="14"/>
  <c r="I835" s="1"/>
  <c r="I836"/>
  <c r="G921"/>
  <c r="I922"/>
  <c r="F53" i="16" s="1"/>
  <c r="G715" i="14"/>
  <c r="I716"/>
  <c r="G831"/>
  <c r="I831" s="1"/>
  <c r="I832"/>
  <c r="D63" i="16"/>
  <c r="F63"/>
  <c r="I413" i="14"/>
  <c r="D70" i="16"/>
  <c r="F70"/>
  <c r="I521" i="14"/>
  <c r="G888"/>
  <c r="I888" s="1"/>
  <c r="I889"/>
  <c r="D94" i="16"/>
  <c r="I135" i="14"/>
  <c r="F94" i="16" s="1"/>
  <c r="I45" i="14"/>
  <c r="G801"/>
  <c r="I801" s="1"/>
  <c r="I802"/>
  <c r="F19" i="16" s="1"/>
  <c r="E52" i="3"/>
  <c r="D59" i="16"/>
  <c r="F59"/>
  <c r="G916" i="14"/>
  <c r="I917"/>
  <c r="G525"/>
  <c r="I525" s="1"/>
  <c r="I526"/>
  <c r="C20" i="3"/>
  <c r="I36" i="14"/>
  <c r="F20" i="16"/>
  <c r="I407" i="14"/>
  <c r="I902"/>
  <c r="G816"/>
  <c r="D11" i="16" s="1"/>
  <c r="F12"/>
  <c r="I363" i="14"/>
  <c r="F27" i="16"/>
  <c r="D69"/>
  <c r="F69"/>
  <c r="D89"/>
  <c r="F89"/>
  <c r="G933" i="14"/>
  <c r="I934"/>
  <c r="F110" i="16" s="1"/>
  <c r="I467" i="14"/>
  <c r="D107" i="16"/>
  <c r="I57" i="14"/>
  <c r="F72" i="16"/>
  <c r="F76"/>
  <c r="C118" i="3"/>
  <c r="F97" i="16"/>
  <c r="F61"/>
  <c r="D74"/>
  <c r="F74"/>
  <c r="G767" i="14"/>
  <c r="I768"/>
  <c r="D88" i="16"/>
  <c r="F88"/>
  <c r="G937" i="14"/>
  <c r="C111" i="3" s="1"/>
  <c r="I938" i="14"/>
  <c r="D90" i="16"/>
  <c r="G608" i="14"/>
  <c r="I342"/>
  <c r="I343"/>
  <c r="I383"/>
  <c r="I384"/>
  <c r="D58" i="16"/>
  <c r="F58"/>
  <c r="C60" i="3"/>
  <c r="I395" i="14"/>
  <c r="I396"/>
  <c r="F28" i="16" s="1"/>
  <c r="G720" i="14"/>
  <c r="G795"/>
  <c r="I796"/>
  <c r="D22" i="16"/>
  <c r="I903" i="14"/>
  <c r="F22" i="16" s="1"/>
  <c r="D68"/>
  <c r="F68"/>
  <c r="D91"/>
  <c r="F91"/>
  <c r="D62"/>
  <c r="F62"/>
  <c r="D97"/>
  <c r="D114"/>
  <c r="I471" i="14"/>
  <c r="F33" i="16"/>
  <c r="I620" i="14"/>
  <c r="G898"/>
  <c r="I898" s="1"/>
  <c r="I899"/>
  <c r="G839"/>
  <c r="I840"/>
  <c r="G585"/>
  <c r="I585" s="1"/>
  <c r="I586"/>
  <c r="I32"/>
  <c r="F111" i="16"/>
  <c r="J44" i="2"/>
  <c r="L45"/>
  <c r="M11"/>
  <c r="O11" s="1"/>
  <c r="O24"/>
  <c r="M44"/>
  <c r="L11" i="1"/>
  <c r="L24"/>
  <c r="L44"/>
  <c r="L45"/>
  <c r="D46" i="16"/>
  <c r="E142" i="21"/>
  <c r="E143"/>
  <c r="G438" i="15"/>
  <c r="I298" i="14"/>
  <c r="F133" i="16" s="1"/>
  <c r="D135"/>
  <c r="D142" i="21"/>
  <c r="G799" i="14"/>
  <c r="C74" i="3" s="1"/>
  <c r="E32" i="21"/>
  <c r="D32"/>
  <c r="E31"/>
  <c r="D35" i="16"/>
  <c r="E28" i="21"/>
  <c r="D28" i="16"/>
  <c r="E27" i="21"/>
  <c r="D158" i="16"/>
  <c r="D106"/>
  <c r="G439" i="15"/>
  <c r="D51" i="16"/>
  <c r="D92" i="21"/>
  <c r="D91"/>
  <c r="G196" i="15"/>
  <c r="I196" s="1"/>
  <c r="G195"/>
  <c r="D16" i="21"/>
  <c r="G233" i="15"/>
  <c r="E26" i="21"/>
  <c r="E22"/>
  <c r="J465" i="15"/>
  <c r="J466"/>
  <c r="E40" i="21"/>
  <c r="D41"/>
  <c r="D108"/>
  <c r="C54" i="4"/>
  <c r="D31" i="16"/>
  <c r="B20" i="10"/>
  <c r="B27" s="1"/>
  <c r="B13"/>
  <c r="E58" i="21"/>
  <c r="G293" i="15"/>
  <c r="E108" i="21"/>
  <c r="D58"/>
  <c r="E39"/>
  <c r="D20" i="16"/>
  <c r="E91" i="21"/>
  <c r="D21" i="10"/>
  <c r="D19" s="1"/>
  <c r="D22" s="1"/>
  <c r="E25" i="21"/>
  <c r="E68"/>
  <c r="E87"/>
  <c r="J59" i="15"/>
  <c r="J58" s="1"/>
  <c r="D100" i="16"/>
  <c r="D57"/>
  <c r="D93"/>
  <c r="I127" i="14"/>
  <c r="D157" i="16"/>
  <c r="G742" i="14" l="1"/>
  <c r="G464"/>
  <c r="I453" i="15"/>
  <c r="I448" s="1"/>
  <c r="G448"/>
  <c r="J10"/>
  <c r="C62" i="3"/>
  <c r="I850" i="14"/>
  <c r="I845" s="1"/>
  <c r="G845"/>
  <c r="I314"/>
  <c r="F45" i="16"/>
  <c r="I619" i="14"/>
  <c r="I618" s="1"/>
  <c r="I205"/>
  <c r="B43" i="10"/>
  <c r="D43" s="1"/>
  <c r="F18" i="21"/>
  <c r="D36" i="16"/>
  <c r="F11" i="4"/>
  <c r="I11" i="14"/>
  <c r="F90" i="16"/>
  <c r="L453" i="15"/>
  <c r="L448" s="1"/>
  <c r="I721" i="14"/>
  <c r="J219" i="15"/>
  <c r="L219" s="1"/>
  <c r="G59"/>
  <c r="G593" i="14"/>
  <c r="G583" s="1"/>
  <c r="D38" i="16"/>
  <c r="J437" i="15"/>
  <c r="L437" s="1"/>
  <c r="G392"/>
  <c r="J513"/>
  <c r="J512" s="1"/>
  <c r="F61" i="4" s="1"/>
  <c r="F59" s="1"/>
  <c r="D87" i="16"/>
  <c r="D66"/>
  <c r="I954" i="14"/>
  <c r="L514" i="15"/>
  <c r="I55" i="21" s="1"/>
  <c r="J392" i="15"/>
  <c r="L44" i="2"/>
  <c r="J123"/>
  <c r="C19" i="6" s="1"/>
  <c r="I29" i="21"/>
  <c r="I35"/>
  <c r="F92" i="16"/>
  <c r="I126" i="14"/>
  <c r="I40"/>
  <c r="I628"/>
  <c r="I627" s="1"/>
  <c r="I626" s="1"/>
  <c r="F105" i="16"/>
  <c r="I58" i="21"/>
  <c r="I59"/>
  <c r="I57"/>
  <c r="I514" i="15"/>
  <c r="F55" i="21" s="1"/>
  <c r="D55"/>
  <c r="F58"/>
  <c r="C11" i="4"/>
  <c r="L11" i="15"/>
  <c r="I362" i="14"/>
  <c r="F30" i="16"/>
  <c r="I477" i="14"/>
  <c r="I476" s="1"/>
  <c r="I593"/>
  <c r="I583" s="1"/>
  <c r="C26" i="3"/>
  <c r="C23" s="1"/>
  <c r="I767" i="14"/>
  <c r="E26" i="3" s="1"/>
  <c r="E23" s="1"/>
  <c r="D18" i="21"/>
  <c r="D10"/>
  <c r="C15" i="4"/>
  <c r="G464" i="15"/>
  <c r="I464" s="1"/>
  <c r="E85" i="4" s="1"/>
  <c r="D96" i="16"/>
  <c r="C61" i="3"/>
  <c r="F55" i="16"/>
  <c r="G617" i="14"/>
  <c r="C98" i="3" s="1"/>
  <c r="C11"/>
  <c r="D103" i="16"/>
  <c r="D18"/>
  <c r="F51"/>
  <c r="C13" i="3"/>
  <c r="D87" i="21"/>
  <c r="J307" i="15"/>
  <c r="F157" i="16"/>
  <c r="B20" i="7"/>
  <c r="B23" s="1"/>
  <c r="F15" i="4"/>
  <c r="I755" i="14"/>
  <c r="F104" i="16" s="1"/>
  <c r="D104"/>
  <c r="M123" i="2"/>
  <c r="G40" i="21"/>
  <c r="L27" i="15"/>
  <c r="H20" i="4" s="1"/>
  <c r="F20"/>
  <c r="H13"/>
  <c r="F13"/>
  <c r="F22"/>
  <c r="G10" i="21"/>
  <c r="F107" i="16"/>
  <c r="I56" i="14"/>
  <c r="F106" i="16" s="1"/>
  <c r="L59" i="15"/>
  <c r="I81" i="21" s="1"/>
  <c r="G81"/>
  <c r="L433" i="15"/>
  <c r="G18" i="21"/>
  <c r="C22" i="4"/>
  <c r="L431" i="15"/>
  <c r="F74" i="4"/>
  <c r="L194" i="15"/>
  <c r="H73" i="4" s="1"/>
  <c r="F73"/>
  <c r="I139" i="21"/>
  <c r="G139"/>
  <c r="I142"/>
  <c r="I143"/>
  <c r="D40"/>
  <c r="G26"/>
  <c r="F26" i="4"/>
  <c r="F23" s="1"/>
  <c r="I41" i="21"/>
  <c r="E15" i="3"/>
  <c r="C15"/>
  <c r="E115"/>
  <c r="E114" s="1"/>
  <c r="C115"/>
  <c r="C114" s="1"/>
  <c r="F17" i="16"/>
  <c r="F37"/>
  <c r="F38"/>
  <c r="F41"/>
  <c r="F101"/>
  <c r="E41" i="7"/>
  <c r="F158" i="16"/>
  <c r="F15"/>
  <c r="F44"/>
  <c r="G218" i="15"/>
  <c r="I218" s="1"/>
  <c r="G181"/>
  <c r="I181" s="1"/>
  <c r="D26" i="21"/>
  <c r="L479" i="15"/>
  <c r="H111" i="4" s="1"/>
  <c r="H109" s="1"/>
  <c r="H22"/>
  <c r="L518" i="15"/>
  <c r="H64" i="4" s="1"/>
  <c r="C26"/>
  <c r="I411" i="15"/>
  <c r="C111" i="4"/>
  <c r="C109" s="1"/>
  <c r="I479" i="15"/>
  <c r="J447"/>
  <c r="L419"/>
  <c r="H118" i="4" s="1"/>
  <c r="H117" s="1"/>
  <c r="C98"/>
  <c r="I300" i="15"/>
  <c r="E98" i="4" s="1"/>
  <c r="I11" i="15"/>
  <c r="C115" i="4"/>
  <c r="C114" s="1"/>
  <c r="I415" i="15"/>
  <c r="G497"/>
  <c r="I497" s="1"/>
  <c r="E55" i="4" s="1"/>
  <c r="I498" i="15"/>
  <c r="F67" i="21" s="1"/>
  <c r="D139"/>
  <c r="F139"/>
  <c r="G447" i="15"/>
  <c r="I293"/>
  <c r="E97" i="4" s="1"/>
  <c r="J464" i="15"/>
  <c r="F85" i="4" s="1"/>
  <c r="L465" i="15"/>
  <c r="D11" i="21"/>
  <c r="I439" i="15"/>
  <c r="F11" i="21" s="1"/>
  <c r="E18"/>
  <c r="L466" i="15"/>
  <c r="C74" i="4"/>
  <c r="I431" i="15"/>
  <c r="J542"/>
  <c r="L542" s="1"/>
  <c r="L543"/>
  <c r="J380"/>
  <c r="L381"/>
  <c r="G542"/>
  <c r="I542" s="1"/>
  <c r="I543"/>
  <c r="D70" i="21"/>
  <c r="I503" i="15"/>
  <c r="F70" i="21" s="1"/>
  <c r="C118" i="4"/>
  <c r="C117" s="1"/>
  <c r="I419" i="15"/>
  <c r="C64" i="4"/>
  <c r="I518" i="15"/>
  <c r="E64" i="4" s="1"/>
  <c r="J232" i="15"/>
  <c r="F80" i="4" s="1"/>
  <c r="G194" i="15"/>
  <c r="I195"/>
  <c r="G437"/>
  <c r="I438"/>
  <c r="G238"/>
  <c r="L415"/>
  <c r="H115" i="4" s="1"/>
  <c r="H114" s="1"/>
  <c r="J218" i="15"/>
  <c r="J498"/>
  <c r="L503"/>
  <c r="I70" i="21" s="1"/>
  <c r="G267" i="15"/>
  <c r="I268"/>
  <c r="G355"/>
  <c r="I356"/>
  <c r="G307"/>
  <c r="I308"/>
  <c r="J293"/>
  <c r="F97" i="4" s="1"/>
  <c r="L294" i="15"/>
  <c r="J181"/>
  <c r="L182"/>
  <c r="E13" i="4"/>
  <c r="I233" i="15"/>
  <c r="G380"/>
  <c r="I381"/>
  <c r="I27"/>
  <c r="E20" i="4" s="1"/>
  <c r="E11" i="21"/>
  <c r="L439" i="15"/>
  <c r="I11" i="21" s="1"/>
  <c r="L411" i="15"/>
  <c r="H26" i="4" s="1"/>
  <c r="H23" s="1"/>
  <c r="L300" i="15"/>
  <c r="H98" i="4" s="1"/>
  <c r="J267" i="15"/>
  <c r="L268"/>
  <c r="J355"/>
  <c r="L356"/>
  <c r="C85" i="4"/>
  <c r="D101" i="16"/>
  <c r="I754" i="14"/>
  <c r="D99" i="16"/>
  <c r="F99"/>
  <c r="C14" i="3"/>
  <c r="I31" i="14"/>
  <c r="E14" i="3" s="1"/>
  <c r="I799" i="14"/>
  <c r="I348"/>
  <c r="E60" i="3" s="1"/>
  <c r="G607" i="14"/>
  <c r="C97" i="3" s="1"/>
  <c r="I608" i="14"/>
  <c r="C109" i="3"/>
  <c r="I937" i="14"/>
  <c r="E111" i="3" s="1"/>
  <c r="E109" s="1"/>
  <c r="G893" i="14"/>
  <c r="D50" i="16"/>
  <c r="D111"/>
  <c r="G551" i="14"/>
  <c r="G815"/>
  <c r="I815" s="1"/>
  <c r="I816"/>
  <c r="F11" i="16" s="1"/>
  <c r="I35" i="14"/>
  <c r="E20" i="3" s="1"/>
  <c r="F56" i="16"/>
  <c r="D75"/>
  <c r="F75"/>
  <c r="G719" i="14"/>
  <c r="I720"/>
  <c r="I839"/>
  <c r="F54" i="16" s="1"/>
  <c r="D54"/>
  <c r="D16"/>
  <c r="I470" i="14"/>
  <c r="F16" i="16" s="1"/>
  <c r="I933" i="14"/>
  <c r="F109" i="16" s="1"/>
  <c r="D109"/>
  <c r="G920" i="14"/>
  <c r="I920" s="1"/>
  <c r="I921"/>
  <c r="I795"/>
  <c r="E62" i="3" s="1"/>
  <c r="C117"/>
  <c r="E118"/>
  <c r="E117" s="1"/>
  <c r="D26" i="16"/>
  <c r="I446" i="14"/>
  <c r="I466"/>
  <c r="F14" i="16" s="1"/>
  <c r="D14"/>
  <c r="G915" i="14"/>
  <c r="I915" s="1"/>
  <c r="I916"/>
  <c r="I411"/>
  <c r="I412"/>
  <c r="G714"/>
  <c r="I714" s="1"/>
  <c r="I715"/>
  <c r="F36" i="16" s="1"/>
  <c r="C64" i="3"/>
  <c r="C21" i="5"/>
  <c r="E10" i="21"/>
  <c r="E40" i="7"/>
  <c r="D133" i="16"/>
  <c r="C70" i="3"/>
  <c r="E43" i="7"/>
  <c r="D43" i="16"/>
  <c r="D67" i="21"/>
  <c r="G180" i="15"/>
  <c r="E51" i="21"/>
  <c r="E67"/>
  <c r="B32" i="10"/>
  <c r="B19"/>
  <c r="B22" s="1"/>
  <c r="D72" i="16"/>
  <c r="D81" i="21"/>
  <c r="C97" i="4"/>
  <c r="D56" i="16"/>
  <c r="D92"/>
  <c r="E81" i="21"/>
  <c r="F51" i="4"/>
  <c r="D51" i="21"/>
  <c r="G512" i="15"/>
  <c r="F18" i="16" l="1"/>
  <c r="I382" i="14"/>
  <c r="E141" i="21"/>
  <c r="G425" i="15"/>
  <c r="F82" i="4"/>
  <c r="J425" i="15"/>
  <c r="E74" i="4"/>
  <c r="H74"/>
  <c r="I39" i="14"/>
  <c r="E74" i="3"/>
  <c r="I313" i="14"/>
  <c r="I204"/>
  <c r="F96" i="16"/>
  <c r="O123" i="2"/>
  <c r="F19" i="6"/>
  <c r="H19" s="1"/>
  <c r="E11" i="4"/>
  <c r="H11"/>
  <c r="E11" i="3"/>
  <c r="F103" i="16"/>
  <c r="I749" i="14"/>
  <c r="I742" s="1"/>
  <c r="E13" i="3"/>
  <c r="I59" i="15"/>
  <c r="G58"/>
  <c r="G10" s="1"/>
  <c r="L513"/>
  <c r="I51" i="21" s="1"/>
  <c r="G844" i="14"/>
  <c r="I844" s="1"/>
  <c r="G51" i="21"/>
  <c r="F142"/>
  <c r="H15" i="4"/>
  <c r="I392" i="15"/>
  <c r="L392"/>
  <c r="J306"/>
  <c r="F99" i="4" s="1"/>
  <c r="I238" i="15"/>
  <c r="G232"/>
  <c r="I40" i="21"/>
  <c r="G713" i="14"/>
  <c r="C102" i="3" s="1"/>
  <c r="I394" i="14"/>
  <c r="C73" i="3"/>
  <c r="I465" i="14"/>
  <c r="I464" s="1"/>
  <c r="F10" i="21"/>
  <c r="I617" i="14"/>
  <c r="E98" i="3" s="1"/>
  <c r="L307" i="15"/>
  <c r="L306" s="1"/>
  <c r="H99" i="4" s="1"/>
  <c r="C22" i="3"/>
  <c r="C9" s="1"/>
  <c r="C48"/>
  <c r="C58"/>
  <c r="F50" i="16"/>
  <c r="F26"/>
  <c r="G39" i="21"/>
  <c r="F40"/>
  <c r="F9" i="4"/>
  <c r="F86" i="16"/>
  <c r="F26" i="21"/>
  <c r="G25"/>
  <c r="E15" i="4"/>
  <c r="I10" i="21"/>
  <c r="L498" i="15"/>
  <c r="I67" i="21" s="1"/>
  <c r="G67"/>
  <c r="L218" i="15"/>
  <c r="H78" i="4" s="1"/>
  <c r="F78"/>
  <c r="E115"/>
  <c r="E114" s="1"/>
  <c r="E111"/>
  <c r="E109" s="1"/>
  <c r="E26"/>
  <c r="E23" s="1"/>
  <c r="E118"/>
  <c r="E117" s="1"/>
  <c r="I26" i="21"/>
  <c r="F81" i="4"/>
  <c r="E22"/>
  <c r="I18" i="21"/>
  <c r="E105" i="3"/>
  <c r="E103" s="1"/>
  <c r="C105"/>
  <c r="C103" s="1"/>
  <c r="E55"/>
  <c r="C55"/>
  <c r="E54"/>
  <c r="C54"/>
  <c r="C80"/>
  <c r="F43" i="16"/>
  <c r="C23" i="4"/>
  <c r="G814" i="14"/>
  <c r="E144" i="21"/>
  <c r="D25"/>
  <c r="C9" i="4"/>
  <c r="C78"/>
  <c r="J497" i="15"/>
  <c r="J483" s="1"/>
  <c r="L483" s="1"/>
  <c r="L58"/>
  <c r="L10" s="1"/>
  <c r="L512"/>
  <c r="H61" i="4" s="1"/>
  <c r="H59" s="1"/>
  <c r="C61"/>
  <c r="C59" s="1"/>
  <c r="I512" i="15"/>
  <c r="J354"/>
  <c r="L354" s="1"/>
  <c r="L355"/>
  <c r="L293"/>
  <c r="H97" i="4" s="1"/>
  <c r="C82"/>
  <c r="C81" s="1"/>
  <c r="I447" i="15"/>
  <c r="L380"/>
  <c r="J379"/>
  <c r="G379"/>
  <c r="I380"/>
  <c r="J180"/>
  <c r="L181"/>
  <c r="I267"/>
  <c r="G266"/>
  <c r="L447"/>
  <c r="H82" i="4" s="1"/>
  <c r="L232" i="15"/>
  <c r="I180"/>
  <c r="E72" i="4" s="1"/>
  <c r="G354" i="15"/>
  <c r="I354" s="1"/>
  <c r="I355"/>
  <c r="C73" i="4"/>
  <c r="I194" i="15"/>
  <c r="E73" i="4" s="1"/>
  <c r="G306" i="15"/>
  <c r="I307"/>
  <c r="I306" s="1"/>
  <c r="D39" i="21"/>
  <c r="I437" i="15"/>
  <c r="E78" i="4" s="1"/>
  <c r="L267" i="15"/>
  <c r="J266"/>
  <c r="L464"/>
  <c r="H85" i="4" s="1"/>
  <c r="D42" i="16"/>
  <c r="G892" i="14"/>
  <c r="C85" i="3" s="1"/>
  <c r="I893" i="14"/>
  <c r="C99" i="3"/>
  <c r="C65"/>
  <c r="I297" i="14"/>
  <c r="E70" i="3" s="1"/>
  <c r="E65" s="1"/>
  <c r="G550" i="14"/>
  <c r="G360" s="1"/>
  <c r="I551"/>
  <c r="I607"/>
  <c r="E97" i="3" s="1"/>
  <c r="I445" i="14"/>
  <c r="E61" i="3"/>
  <c r="E58"/>
  <c r="I719" i="14"/>
  <c r="I713" s="1"/>
  <c r="I681"/>
  <c r="D25" i="16"/>
  <c r="D10"/>
  <c r="E64" i="3"/>
  <c r="E19" i="6"/>
  <c r="L123" i="2"/>
  <c r="L137" i="1"/>
  <c r="E21" i="5"/>
  <c r="G483" i="15"/>
  <c r="D86" i="16"/>
  <c r="D27" i="10"/>
  <c r="B45"/>
  <c r="C51" i="4"/>
  <c r="C72"/>
  <c r="C55"/>
  <c r="D156" i="16" l="1"/>
  <c r="D141" i="21"/>
  <c r="G789" i="14"/>
  <c r="G141" i="21"/>
  <c r="L425" i="15"/>
  <c r="I425"/>
  <c r="I814" i="14"/>
  <c r="G10"/>
  <c r="D159" i="16"/>
  <c r="C82" i="3"/>
  <c r="D144" i="21"/>
  <c r="H51" i="4"/>
  <c r="E22" i="3"/>
  <c r="E9" s="1"/>
  <c r="F81" i="21"/>
  <c r="I58" i="15"/>
  <c r="I10" s="1"/>
  <c r="F25" i="21"/>
  <c r="G179" i="15"/>
  <c r="J179"/>
  <c r="H80" i="4"/>
  <c r="F100"/>
  <c r="F25" i="16"/>
  <c r="E48" i="3"/>
  <c r="I125" i="14"/>
  <c r="I10" s="1"/>
  <c r="C51" i="3"/>
  <c r="E80"/>
  <c r="E9" i="4"/>
  <c r="G144" i="21"/>
  <c r="I39"/>
  <c r="F39"/>
  <c r="I25"/>
  <c r="I483" i="15"/>
  <c r="H81" i="4"/>
  <c r="C100" i="3"/>
  <c r="L379" i="15"/>
  <c r="H102" i="4" s="1"/>
  <c r="F102"/>
  <c r="E82"/>
  <c r="E81" s="1"/>
  <c r="E61"/>
  <c r="E59" s="1"/>
  <c r="L497" i="15"/>
  <c r="H55" i="4" s="1"/>
  <c r="F55"/>
  <c r="F46" s="1"/>
  <c r="J292" i="15"/>
  <c r="L292" s="1"/>
  <c r="L180"/>
  <c r="H72" i="4" s="1"/>
  <c r="F72"/>
  <c r="F71" s="1"/>
  <c r="I361" i="14"/>
  <c r="C72" i="3"/>
  <c r="I444" i="14"/>
  <c r="C78" i="3"/>
  <c r="F42" i="16"/>
  <c r="E59" i="3"/>
  <c r="F10" i="16"/>
  <c r="L266" i="15"/>
  <c r="E99" i="4"/>
  <c r="C99"/>
  <c r="G292" i="15"/>
  <c r="I292" s="1"/>
  <c r="I266"/>
  <c r="C100" i="4"/>
  <c r="C102"/>
  <c r="I379" i="15"/>
  <c r="E102" i="4" s="1"/>
  <c r="C80"/>
  <c r="C71" s="1"/>
  <c r="I232" i="15"/>
  <c r="I550" i="14"/>
  <c r="I892"/>
  <c r="E85" i="3" s="1"/>
  <c r="C59"/>
  <c r="E102"/>
  <c r="G606" i="14"/>
  <c r="I606" s="1"/>
  <c r="I680"/>
  <c r="E99" i="3"/>
  <c r="E82"/>
  <c r="I393" i="14"/>
  <c r="E73" i="3" s="1"/>
  <c r="C46" i="4"/>
  <c r="C44" i="10"/>
  <c r="B42"/>
  <c r="C45"/>
  <c r="C43"/>
  <c r="F156" i="16" l="1"/>
  <c r="F159" s="1"/>
  <c r="I141" i="21"/>
  <c r="F141"/>
  <c r="F144" s="1"/>
  <c r="E78" i="3"/>
  <c r="I789" i="14"/>
  <c r="G967"/>
  <c r="H46" i="4"/>
  <c r="G554" i="15"/>
  <c r="E51" i="4"/>
  <c r="E46" s="1"/>
  <c r="H71"/>
  <c r="I360" i="14"/>
  <c r="C71" i="3"/>
  <c r="L179" i="15"/>
  <c r="I179"/>
  <c r="F96" i="4"/>
  <c r="F121" s="1"/>
  <c r="F20" i="6" s="1"/>
  <c r="F18" s="1"/>
  <c r="H100" i="4"/>
  <c r="H96" s="1"/>
  <c r="E100"/>
  <c r="E96" s="1"/>
  <c r="E72" i="3"/>
  <c r="E51"/>
  <c r="E46" s="1"/>
  <c r="E81"/>
  <c r="I144" i="21"/>
  <c r="J554" i="15"/>
  <c r="L554" s="1"/>
  <c r="E80" i="4"/>
  <c r="E71" s="1"/>
  <c r="E100" i="3"/>
  <c r="E96" s="1"/>
  <c r="D20" i="6"/>
  <c r="C96" i="4"/>
  <c r="C121" s="1"/>
  <c r="C20" i="6" s="1"/>
  <c r="C18" s="1"/>
  <c r="C81" i="3"/>
  <c r="C96"/>
  <c r="C46"/>
  <c r="C42" i="10"/>
  <c r="D42"/>
  <c r="I967" i="14" l="1"/>
  <c r="D53" i="16"/>
  <c r="E71" i="3"/>
  <c r="E121" s="1"/>
  <c r="E122" s="1"/>
  <c r="D18" i="6"/>
  <c r="D24" s="1"/>
  <c r="F123" i="4"/>
  <c r="C123"/>
  <c r="E121"/>
  <c r="E123" s="1"/>
  <c r="J556" i="15"/>
  <c r="L556" s="1"/>
  <c r="I554"/>
  <c r="G12" i="4"/>
  <c r="H12"/>
  <c r="G556" i="15"/>
  <c r="I556" s="1"/>
  <c r="E20" i="6"/>
  <c r="C121" i="3"/>
  <c r="C22" i="5" s="1"/>
  <c r="C20" s="1"/>
  <c r="D45" i="10"/>
  <c r="E42" s="1"/>
  <c r="G9" i="4" l="1"/>
  <c r="G121" s="1"/>
  <c r="H9"/>
  <c r="F24" i="6"/>
  <c r="C24"/>
  <c r="E24" s="1"/>
  <c r="E18"/>
  <c r="E22" i="5"/>
  <c r="C122" i="3"/>
  <c r="E45" i="10"/>
  <c r="E44"/>
  <c r="E43"/>
  <c r="H121" i="4" l="1"/>
  <c r="H123" s="1"/>
  <c r="G20" i="6"/>
  <c r="G18" s="1"/>
  <c r="C26" i="5"/>
  <c r="E26" s="1"/>
  <c r="E20"/>
  <c r="H20" i="6" l="1"/>
  <c r="G24" l="1"/>
  <c r="H24" s="1"/>
  <c r="H18"/>
  <c r="F41" i="21"/>
</calcChain>
</file>

<file path=xl/sharedStrings.xml><?xml version="1.0" encoding="utf-8"?>
<sst xmlns="http://schemas.openxmlformats.org/spreadsheetml/2006/main" count="5118" uniqueCount="1865">
  <si>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</si>
  <si>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</si>
  <si>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</si>
  <si>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</si>
  <si>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</si>
  <si>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</si>
  <si>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</si>
  <si>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</si>
  <si>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</si>
  <si>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</si>
  <si>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</si>
  <si>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</si>
  <si>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</si>
  <si>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</si>
  <si>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</si>
  <si>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</si>
  <si>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</si>
  <si>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</si>
  <si>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</si>
  <si>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</si>
  <si>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</si>
  <si>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</si>
  <si>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</si>
  <si>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</si>
  <si>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</si>
  <si>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</si>
  <si>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</si>
  <si>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</si>
  <si>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</si>
  <si>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</si>
  <si>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</si>
  <si>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</si>
  <si>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</si>
  <si>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</si>
  <si>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</si>
  <si>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</si>
  <si>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</si>
  <si>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</si>
  <si>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</si>
  <si>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</si>
  <si>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</si>
  <si>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</si>
  <si>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</si>
  <si>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</si>
  <si>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</si>
  <si>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</si>
  <si>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</si>
  <si>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</si>
  <si>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</si>
  <si>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</si>
  <si>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</si>
  <si>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</si>
  <si>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</si>
  <si>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</si>
  <si>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</si>
  <si>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</si>
  <si>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</si>
  <si>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</si>
  <si>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</si>
  <si>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</si>
  <si>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</si>
  <si>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</si>
  <si>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</si>
  <si>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</si>
  <si>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</si>
  <si>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</si>
  <si>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</si>
  <si>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</si>
  <si>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</si>
  <si>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</si>
  <si>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</si>
  <si>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</si>
  <si>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</si>
  <si>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</si>
  <si>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</si>
  <si>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</si>
  <si>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</si>
  <si>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</si>
  <si>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</si>
  <si>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</si>
  <si>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</si>
  <si>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</si>
  <si>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</si>
  <si>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</si>
  <si>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</si>
  <si>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</si>
  <si>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</si>
  <si>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</si>
  <si>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</si>
  <si>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</si>
  <si>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</si>
  <si>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01999</t>
  </si>
  <si>
    <t>1001</t>
  </si>
  <si>
    <t>Дотации на реализацию мероприятий, предусмотренных нормативными актами органов государственной власти, в рамках п.3 ст.8 Закона Ярославской области от 07.10.2008 г. № 40-з "О межбюджетных отношениях"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</si>
  <si>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</si>
  <si>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</si>
  <si>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958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</si>
  <si>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</si>
  <si>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</si>
  <si>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</si>
  <si>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</si>
  <si>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</si>
  <si>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Субсидия на проведение капитального ремонта муниципальных учреждений культуры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</si>
  <si>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</si>
  <si>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</si>
  <si>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</si>
  <si>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</si>
  <si>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</si>
  <si>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</si>
  <si>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</si>
  <si>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</si>
  <si>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</si>
  <si>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</si>
  <si>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</si>
  <si>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</si>
  <si>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</si>
  <si>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</si>
  <si>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</si>
  <si>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</si>
  <si>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</si>
  <si>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</si>
  <si>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</si>
  <si>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</si>
  <si>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</si>
  <si>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</si>
  <si>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</si>
  <si>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</si>
  <si>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</si>
  <si>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</si>
  <si>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</si>
  <si>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</si>
  <si>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</si>
  <si>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</si>
  <si>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</si>
  <si>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</si>
  <si>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</si>
  <si>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</si>
  <si>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</si>
  <si>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</si>
  <si>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</si>
  <si>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</si>
  <si>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</si>
  <si>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</si>
  <si>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</si>
  <si>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</si>
  <si>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</si>
  <si>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</si>
  <si>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</si>
  <si>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</si>
  <si>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</si>
  <si>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</si>
  <si>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</si>
  <si>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</si>
  <si>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</si>
  <si>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</si>
  <si>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</si>
  <si>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</si>
  <si>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</si>
  <si>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</si>
  <si>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</si>
  <si>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</si>
  <si>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</si>
  <si>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</si>
  <si>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</si>
  <si>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</si>
  <si>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</si>
  <si>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</si>
  <si>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</si>
  <si>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</si>
  <si>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</si>
  <si>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</si>
  <si>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</si>
  <si>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</si>
  <si>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</si>
  <si>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лет, за счет средств областного бюджета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</si>
  <si>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</si>
  <si>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</si>
  <si>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</si>
  <si>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</si>
  <si>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</si>
  <si>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</si>
  <si>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</si>
  <si>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</si>
  <si>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</si>
  <si>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</si>
  <si>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</si>
  <si>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</si>
  <si>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</si>
  <si>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</si>
  <si>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</si>
  <si>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</si>
  <si>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</si>
  <si>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</si>
  <si>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</si>
  <si>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</si>
  <si>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</si>
  <si>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</si>
  <si>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</si>
  <si>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</si>
  <si>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</si>
  <si>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</si>
  <si>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</si>
  <si>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</si>
  <si>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</si>
  <si>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</si>
  <si>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</si>
  <si>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</si>
  <si>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</si>
  <si>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</si>
  <si>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</si>
  <si>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</si>
  <si>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</si>
  <si>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</si>
  <si>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</si>
  <si>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</si>
  <si>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</si>
  <si>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</si>
  <si>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</si>
  <si>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</si>
  <si>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</si>
  <si>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</si>
  <si>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</si>
  <si>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</si>
  <si>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</si>
  <si>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</si>
  <si>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</si>
  <si>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</si>
  <si>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</si>
  <si>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</si>
  <si>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</si>
  <si>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</si>
  <si>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</si>
  <si>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</si>
  <si>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</si>
  <si>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</si>
  <si>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</si>
  <si>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</si>
  <si>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</si>
  <si>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</si>
  <si>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</si>
  <si>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</si>
  <si>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</si>
  <si>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</si>
  <si>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</si>
  <si>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</si>
  <si>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</si>
  <si>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</si>
  <si>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</si>
  <si>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</si>
  <si>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</si>
  <si>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</si>
  <si>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</si>
  <si>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</si>
  <si>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</si>
  <si>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</si>
  <si>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</si>
  <si>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</si>
  <si>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</si>
  <si>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</si>
  <si>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</si>
  <si>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</si>
  <si>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</si>
  <si>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</si>
  <si>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</si>
  <si>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</si>
  <si>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</si>
  <si>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</si>
  <si>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</si>
  <si>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</si>
  <si>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</si>
  <si>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</si>
  <si>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</si>
  <si>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</si>
  <si>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</si>
  <si>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</si>
  <si>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</si>
  <si>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</si>
  <si>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</si>
  <si>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</si>
  <si>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</si>
  <si>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</si>
  <si>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</si>
  <si>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</si>
  <si>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</si>
  <si>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</si>
  <si>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</si>
  <si>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</si>
  <si>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</si>
  <si>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</si>
  <si>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</si>
  <si>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</si>
  <si>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</si>
  <si>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</si>
  <si>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</si>
  <si>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</si>
  <si>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</si>
  <si>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</si>
  <si>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</si>
  <si>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</si>
  <si>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</si>
  <si>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</si>
  <si>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</si>
  <si>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</si>
  <si>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</si>
  <si>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</si>
  <si>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</si>
  <si>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</si>
  <si>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</si>
  <si>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</si>
  <si>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</si>
  <si>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</si>
  <si>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</si>
  <si>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</si>
  <si>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</si>
  <si>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</si>
  <si>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</si>
  <si>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</si>
  <si>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</si>
  <si>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</si>
  <si>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</si>
  <si>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</si>
  <si>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</si>
  <si>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</si>
  <si>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</si>
  <si>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</si>
  <si>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</si>
  <si>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</si>
  <si>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</si>
  <si>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</si>
  <si>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</si>
  <si>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</si>
  <si>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</si>
  <si>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</si>
  <si>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</si>
  <si>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</si>
  <si>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</si>
  <si>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</si>
  <si>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</si>
  <si>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</si>
  <si>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</si>
  <si>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</si>
  <si>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</si>
  <si>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</si>
  <si>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</si>
  <si>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</si>
  <si>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</si>
  <si>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</si>
  <si>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</si>
  <si>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</si>
  <si>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</si>
  <si>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</si>
  <si>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</si>
  <si>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</si>
  <si>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</si>
  <si>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</si>
  <si>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</si>
  <si>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</si>
  <si>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</si>
  <si>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</si>
  <si>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</si>
  <si>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</si>
  <si>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</si>
  <si>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</si>
  <si>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</si>
  <si>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</si>
  <si>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</si>
  <si>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</si>
  <si>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</si>
  <si>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</si>
  <si>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</si>
  <si>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</si>
  <si>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</si>
  <si>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</si>
  <si>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</si>
  <si>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</si>
  <si>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</si>
  <si>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</si>
  <si>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</si>
  <si>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</si>
  <si>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</si>
  <si>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</si>
  <si>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</si>
  <si>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</si>
  <si>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</si>
  <si>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</si>
  <si>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</si>
  <si>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</si>
  <si>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</si>
  <si>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</si>
  <si>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</si>
  <si>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</si>
  <si>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</si>
  <si>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</si>
  <si>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</si>
  <si>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</si>
  <si>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</si>
  <si>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</si>
  <si>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</si>
  <si>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</si>
  <si>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</si>
  <si>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</si>
  <si>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</si>
  <si>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</si>
  <si>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</si>
  <si>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</si>
  <si>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</si>
  <si>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</si>
  <si>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</si>
  <si>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</si>
  <si>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</si>
  <si>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</si>
  <si>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</si>
  <si>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</si>
  <si>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</si>
  <si>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</si>
  <si>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</si>
  <si>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</si>
  <si>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</si>
  <si>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</si>
  <si>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</si>
  <si>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</si>
  <si>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</si>
  <si>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</si>
  <si>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</si>
  <si>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</si>
  <si>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</si>
  <si>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</si>
  <si>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</si>
  <si>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</si>
  <si>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</si>
  <si>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</si>
  <si>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</si>
  <si>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</si>
  <si>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</si>
  <si>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</si>
  <si>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</si>
  <si>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</si>
  <si>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</si>
  <si>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</si>
  <si>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</si>
  <si>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</si>
  <si>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</si>
  <si>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</si>
  <si>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</si>
  <si>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</si>
  <si>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</si>
  <si>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</si>
  <si>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</si>
  <si>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</si>
  <si>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</si>
  <si>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</si>
  <si>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</si>
  <si>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</si>
  <si>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</si>
  <si>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</si>
  <si>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</si>
  <si>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</si>
  <si>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</si>
  <si>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</si>
  <si>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</si>
  <si>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</si>
  <si>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</si>
  <si>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</si>
  <si>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</si>
  <si>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</si>
  <si>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</si>
  <si>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</si>
  <si>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</si>
  <si>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</si>
  <si>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</si>
  <si>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</si>
  <si>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</si>
  <si>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</si>
  <si>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</si>
  <si>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</si>
  <si>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</si>
  <si>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</si>
  <si>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</si>
  <si>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</si>
  <si>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</si>
  <si>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</si>
  <si>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</si>
  <si>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</si>
  <si>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</si>
  <si>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</si>
  <si>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</si>
  <si>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</si>
  <si>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</si>
  <si>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</si>
  <si>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</si>
  <si>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</si>
  <si>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</si>
  <si>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</si>
  <si>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</si>
  <si>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</si>
  <si>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</si>
  <si>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</si>
  <si>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</si>
  <si>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</si>
  <si>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</si>
  <si>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</si>
  <si>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</si>
  <si>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</si>
  <si>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</si>
  <si>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</si>
  <si>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</si>
  <si>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</si>
  <si>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</si>
  <si>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</si>
  <si>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</si>
  <si>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</si>
  <si>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</si>
  <si>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</si>
  <si>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</si>
  <si>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</si>
  <si>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</si>
  <si>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</si>
  <si>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</si>
  <si>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</si>
  <si>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</si>
  <si>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</si>
  <si>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</si>
  <si>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</si>
  <si>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</si>
  <si>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</si>
  <si>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</si>
  <si>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</si>
  <si>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</si>
  <si>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</si>
  <si>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</si>
  <si>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</si>
  <si>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</si>
  <si>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</si>
  <si>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</si>
  <si>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</si>
  <si>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</si>
  <si>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</si>
  <si>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</si>
  <si>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</si>
  <si>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</si>
  <si>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</si>
  <si>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</si>
  <si>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</si>
  <si>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</si>
  <si>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</si>
  <si>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</si>
  <si>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</si>
  <si>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</si>
  <si>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</si>
  <si>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</si>
  <si>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</si>
  <si>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</si>
  <si>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</si>
  <si>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</si>
  <si>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</si>
  <si>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</si>
  <si>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</si>
  <si>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</si>
  <si>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</si>
  <si>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</si>
  <si>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</si>
  <si>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</si>
  <si>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</si>
  <si>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</si>
  <si>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</si>
  <si>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</si>
  <si>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</si>
  <si>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</si>
  <si>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</si>
  <si>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</si>
  <si>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</si>
  <si>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</si>
  <si>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</si>
  <si>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</si>
  <si>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</si>
  <si>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</si>
  <si>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</si>
  <si>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</si>
  <si>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</si>
  <si>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</si>
  <si>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</si>
  <si>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</si>
  <si>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</si>
  <si>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</si>
  <si>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</si>
  <si>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</si>
  <si>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</si>
  <si>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</si>
  <si>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</si>
  <si>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</si>
  <si>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</si>
  <si>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</si>
  <si>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</si>
  <si>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</si>
  <si>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</si>
  <si>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</si>
  <si>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</si>
  <si>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</si>
  <si>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</si>
  <si>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</si>
  <si>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</si>
  <si>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</si>
  <si>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</si>
  <si>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</si>
  <si>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</si>
  <si>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</si>
  <si>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</si>
  <si>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</si>
  <si>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</si>
  <si>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</si>
  <si>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</si>
  <si>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</si>
  <si>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</si>
  <si>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</si>
  <si>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</si>
  <si>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</si>
  <si>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</si>
  <si>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</si>
  <si>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</si>
  <si>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</si>
  <si>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</si>
  <si>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</si>
  <si>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</si>
  <si>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</si>
  <si>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</si>
  <si>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</si>
  <si>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</si>
  <si>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</si>
  <si>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</si>
  <si>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</si>
  <si>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</si>
  <si>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</si>
  <si>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</si>
  <si>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</si>
  <si>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</si>
  <si>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</si>
  <si>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</si>
  <si>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</si>
  <si>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</si>
  <si>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</si>
  <si>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</si>
  <si>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</si>
  <si>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</si>
  <si>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</si>
  <si>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</si>
  <si>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</si>
  <si>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</si>
  <si>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</si>
  <si>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</si>
  <si>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</si>
  <si>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</si>
  <si>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</si>
  <si>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</si>
  <si>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</si>
  <si>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</si>
  <si>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</si>
  <si>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</si>
  <si>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</si>
  <si>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</si>
  <si>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</si>
  <si>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</si>
  <si>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</si>
  <si>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</si>
  <si>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</si>
  <si>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</si>
  <si>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</si>
  <si>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</si>
  <si>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</si>
  <si>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</si>
  <si>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</si>
  <si>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</si>
  <si>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</si>
  <si>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</si>
  <si>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</si>
  <si>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</si>
  <si>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</si>
  <si>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</si>
  <si>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</si>
  <si>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</si>
  <si>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</si>
  <si>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</si>
  <si>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</si>
  <si>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</si>
  <si>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</si>
  <si>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</si>
  <si>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</si>
  <si>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</si>
  <si>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</si>
  <si>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</si>
  <si>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</si>
  <si>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</si>
  <si>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</si>
  <si>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</si>
  <si>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</si>
  <si>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</si>
  <si>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</si>
  <si>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</si>
  <si>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</si>
  <si>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</si>
  <si>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</si>
  <si>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</si>
  <si>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</si>
  <si>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</si>
  <si>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</si>
  <si>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</si>
  <si>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</si>
  <si>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</si>
  <si>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</si>
  <si>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</si>
  <si>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</si>
  <si>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</si>
  <si>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</si>
  <si>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</si>
  <si>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</si>
  <si>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</si>
  <si>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</si>
  <si>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</si>
  <si>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</si>
  <si>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</si>
  <si>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</si>
  <si>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</si>
  <si>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</si>
  <si>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</si>
  <si>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</si>
  <si>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</si>
  <si>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</si>
  <si>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</si>
  <si>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</si>
  <si>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</si>
  <si>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</si>
  <si>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</si>
  <si>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</si>
  <si>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</si>
  <si>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</si>
  <si>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</si>
  <si>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</si>
  <si>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</si>
  <si>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</si>
  <si>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</si>
  <si>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</si>
  <si>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</si>
  <si>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</si>
  <si>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</si>
  <si>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</si>
  <si>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</si>
  <si>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</si>
  <si>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</si>
  <si>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</si>
  <si>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</si>
  <si>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</si>
  <si>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</si>
  <si>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</si>
  <si>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</si>
  <si>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</si>
  <si>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</si>
  <si>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</si>
  <si>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</si>
  <si>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</si>
  <si>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</si>
  <si>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</si>
  <si>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</si>
  <si>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</si>
  <si>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</si>
  <si>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</si>
  <si>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</si>
  <si>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</si>
  <si>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</si>
  <si>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</si>
  <si>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</si>
  <si>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</si>
  <si>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</si>
  <si>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</si>
  <si>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</si>
  <si>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</si>
  <si>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</si>
  <si>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</si>
  <si>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</si>
  <si>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</si>
  <si>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</si>
  <si>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</si>
  <si>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</si>
  <si>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</si>
  <si>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</si>
  <si>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</si>
  <si>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</si>
  <si>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</si>
  <si>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</si>
  <si>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</si>
  <si>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</si>
  <si>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</si>
  <si>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</si>
  <si>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</si>
  <si>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</si>
  <si>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</si>
  <si>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</si>
  <si>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</si>
  <si>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</si>
  <si>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</si>
  <si>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</si>
  <si>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</si>
  <si>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</si>
  <si>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</si>
  <si>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</si>
  <si>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</si>
  <si>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</si>
  <si>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</si>
  <si>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</si>
  <si>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</si>
  <si>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</si>
  <si>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</si>
  <si>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</si>
  <si>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</si>
  <si>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</si>
  <si>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</si>
  <si>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</si>
  <si>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</si>
  <si>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</si>
  <si>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</si>
  <si>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</si>
  <si>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</si>
  <si>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</si>
  <si>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</si>
  <si>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</si>
  <si>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</si>
  <si>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</si>
  <si>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</si>
  <si>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</si>
  <si>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</si>
  <si>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</si>
  <si>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</si>
  <si>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</si>
  <si>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</si>
  <si>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</si>
  <si>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</si>
  <si>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</si>
  <si>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</si>
  <si>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</si>
  <si>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</si>
  <si>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</si>
  <si>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</si>
  <si>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</si>
  <si>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</si>
  <si>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</si>
  <si>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</si>
  <si>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</si>
  <si>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</si>
  <si>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</si>
  <si>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</si>
  <si>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</si>
  <si>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</si>
  <si>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</si>
  <si>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</si>
  <si>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</si>
  <si>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</si>
  <si>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</si>
  <si>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</si>
  <si>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</si>
  <si>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</si>
  <si>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</si>
  <si>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</si>
  <si>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</si>
  <si>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</si>
  <si>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</si>
  <si>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</si>
  <si>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</si>
  <si>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</si>
  <si>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</si>
  <si>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</si>
  <si>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</si>
  <si>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</si>
  <si>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</si>
  <si>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</si>
  <si>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</si>
  <si>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</si>
  <si>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</si>
  <si>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</si>
  <si>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</si>
  <si>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</si>
  <si>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</si>
  <si>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</si>
  <si>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</si>
  <si>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</si>
  <si>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</si>
  <si>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</si>
  <si>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</si>
  <si>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</si>
  <si>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</si>
  <si>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</si>
  <si>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</si>
  <si>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</si>
  <si>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</si>
  <si>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</si>
  <si>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</si>
  <si>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</si>
  <si>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</si>
  <si>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</si>
  <si>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</si>
  <si>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</si>
  <si>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</si>
  <si>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</si>
  <si>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</si>
  <si>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</si>
  <si>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</si>
  <si>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</si>
  <si>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</si>
  <si>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</si>
  <si>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</si>
  <si>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</si>
  <si>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</si>
  <si>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</si>
  <si>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</si>
  <si>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</si>
  <si>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</si>
  <si>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</si>
  <si>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</si>
  <si>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</si>
  <si>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</si>
  <si>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</si>
  <si>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</si>
  <si>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</si>
  <si>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</si>
  <si>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</si>
  <si>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</si>
  <si>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</si>
  <si>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</si>
  <si>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</si>
  <si>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</si>
  <si>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</si>
  <si>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</si>
  <si>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</si>
  <si>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</si>
  <si>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</si>
  <si>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</si>
  <si>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</si>
  <si>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</si>
  <si>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</si>
  <si>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</si>
  <si>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</si>
  <si>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</si>
  <si>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</si>
  <si>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</si>
  <si>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</si>
  <si>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</si>
  <si>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</si>
  <si>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</si>
  <si>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</si>
  <si>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</si>
  <si>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</si>
  <si>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</si>
  <si>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</si>
  <si>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</si>
  <si>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</si>
  <si>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</si>
  <si>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</si>
  <si>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</si>
  <si>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</si>
  <si>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</si>
  <si>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</si>
  <si>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</si>
  <si>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</si>
  <si>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</si>
  <si>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</si>
  <si>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</si>
  <si>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</si>
  <si>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</si>
  <si>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</si>
  <si>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</si>
  <si>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</si>
  <si>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</si>
  <si>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</si>
  <si>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</si>
  <si>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</si>
  <si>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</si>
  <si>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</si>
  <si>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</si>
  <si>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</si>
  <si>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</si>
  <si>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</si>
  <si>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</si>
  <si>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</si>
  <si>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</si>
  <si>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</si>
  <si>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</si>
  <si>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</si>
  <si>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</si>
  <si>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</si>
  <si>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</si>
  <si>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</si>
  <si>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</si>
  <si>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</si>
  <si>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</si>
  <si>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</si>
  <si>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</si>
  <si>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</si>
  <si>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</si>
  <si>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</si>
  <si>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</si>
  <si>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</si>
  <si>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</si>
  <si>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</si>
  <si>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</si>
  <si>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</si>
  <si>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</si>
  <si>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</si>
  <si>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</si>
  <si>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</si>
  <si>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</si>
  <si>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</si>
  <si>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</si>
  <si>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</si>
  <si>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</si>
  <si>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</si>
  <si>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</si>
  <si>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</si>
  <si>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</si>
  <si>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</si>
  <si>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</si>
  <si>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</si>
  <si>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</si>
  <si>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</si>
  <si>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</si>
  <si>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</si>
  <si>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</si>
  <si>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</si>
  <si>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</si>
  <si>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</si>
  <si>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</si>
  <si>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</si>
  <si>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</si>
  <si>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</si>
  <si>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</si>
  <si>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</si>
  <si>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</si>
  <si>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</si>
  <si>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</si>
  <si>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</si>
  <si>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</si>
  <si>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</si>
  <si>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</si>
  <si>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</si>
  <si>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</si>
  <si>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</si>
  <si>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</si>
  <si>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</si>
  <si>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</si>
  <si>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</si>
  <si>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</si>
  <si>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</si>
  <si>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</si>
  <si>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</si>
  <si>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</si>
  <si>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</si>
  <si>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</si>
  <si>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</si>
  <si>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</si>
  <si>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</si>
  <si>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</si>
  <si>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</si>
  <si>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</si>
  <si>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</si>
  <si>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</si>
  <si>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</si>
  <si>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</si>
  <si>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</si>
  <si>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</si>
  <si>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</si>
  <si>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</si>
  <si>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</si>
  <si>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</si>
  <si>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</si>
  <si>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</si>
  <si>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</si>
  <si>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</si>
  <si>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</si>
  <si>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</si>
  <si>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</si>
  <si>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</si>
  <si>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</si>
  <si>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</si>
  <si>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</si>
  <si>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</si>
  <si>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</si>
  <si>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</si>
  <si>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</si>
  <si>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</si>
  <si>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</si>
  <si>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</si>
  <si>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</si>
  <si>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</si>
  <si>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</si>
  <si>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</si>
  <si>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</si>
  <si>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</si>
  <si>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</si>
  <si>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</si>
  <si>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</si>
  <si>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</si>
  <si>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</si>
  <si>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</si>
  <si>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</si>
  <si>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</si>
  <si>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</si>
  <si>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</si>
  <si>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</si>
  <si>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</si>
  <si>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</si>
  <si>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</si>
  <si>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</si>
  <si>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</si>
  <si>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</si>
  <si>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</si>
  <si>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</si>
  <si>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</si>
  <si>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</si>
  <si>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</si>
  <si>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</si>
  <si>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</si>
  <si>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</si>
  <si>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</si>
  <si>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</si>
  <si>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</si>
  <si>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</si>
  <si>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</si>
  <si>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</si>
  <si>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</si>
  <si>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</si>
  <si>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</si>
  <si>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</si>
  <si>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</si>
  <si>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</si>
  <si>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</si>
  <si>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</si>
  <si>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</si>
  <si>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</si>
  <si>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мероприятия по газификации поселений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</si>
  <si>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</si>
  <si>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</si>
  <si>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</si>
  <si>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</si>
  <si>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</si>
  <si>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</si>
  <si>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</si>
  <si>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</si>
  <si>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</si>
  <si>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</si>
  <si>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</si>
  <si>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</si>
  <si>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</si>
  <si>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</si>
  <si>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</si>
  <si>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</si>
  <si>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</si>
  <si>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</si>
  <si>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</si>
  <si>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</si>
  <si>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</si>
  <si>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</si>
  <si>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</si>
  <si>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</si>
  <si>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</si>
  <si>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</si>
  <si>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</si>
  <si>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</si>
  <si>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</si>
  <si>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</si>
  <si>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</si>
  <si>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</si>
  <si>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</si>
  <si>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</si>
  <si>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</si>
  <si>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</si>
  <si>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</si>
  <si>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</si>
  <si>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</si>
  <si>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</si>
  <si>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</si>
  <si>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</si>
  <si>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</si>
  <si>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</si>
  <si>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</si>
  <si>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</si>
  <si>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</si>
  <si>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</si>
  <si>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</si>
  <si>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</si>
  <si>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</si>
  <si>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</si>
  <si>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</si>
  <si>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</si>
  <si>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</si>
  <si>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</si>
  <si>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</si>
  <si>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</si>
  <si>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</si>
  <si>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</si>
  <si>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</si>
  <si>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</si>
  <si>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</si>
  <si>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</si>
  <si>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</si>
  <si>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</si>
  <si>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</si>
  <si>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</si>
  <si>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</si>
  <si>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</si>
  <si>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</si>
  <si>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</si>
  <si>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</si>
  <si>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</si>
  <si>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</si>
  <si>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</si>
  <si>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</si>
  <si>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</si>
  <si>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</si>
  <si>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</si>
  <si>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</si>
  <si>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</si>
  <si>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</si>
  <si>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</si>
  <si>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</si>
  <si>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</si>
  <si>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</si>
  <si>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</si>
  <si>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</si>
  <si>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</si>
  <si>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</si>
  <si>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</si>
  <si>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</si>
  <si>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</si>
  <si>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</si>
  <si>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</si>
  <si>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</si>
  <si>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</si>
  <si>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</si>
  <si>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</si>
  <si>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</si>
  <si>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</si>
  <si>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</si>
  <si>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</si>
  <si>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</si>
  <si>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</si>
  <si>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</si>
  <si>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</si>
  <si>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</si>
  <si>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</si>
  <si>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</si>
  <si>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</si>
  <si>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</si>
  <si>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</si>
  <si>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</si>
  <si>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</si>
  <si>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</si>
  <si>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</si>
  <si>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</si>
  <si>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</si>
  <si>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</si>
  <si>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</si>
  <si>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</si>
  <si>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</si>
  <si>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</si>
  <si>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</si>
  <si>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</si>
  <si>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</si>
  <si>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</si>
  <si>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</si>
  <si>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</si>
  <si>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</si>
  <si>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</si>
  <si>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</si>
  <si>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</si>
  <si>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</si>
  <si>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</si>
  <si>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</si>
  <si>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</si>
  <si>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</si>
  <si>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</si>
  <si>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</si>
  <si>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</si>
  <si>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</si>
  <si>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</si>
  <si>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</si>
  <si>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</si>
  <si>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</si>
  <si>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</si>
  <si>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</si>
  <si>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</si>
  <si>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</si>
  <si>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</si>
  <si>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</si>
  <si>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</si>
  <si>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</si>
  <si>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</si>
  <si>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</si>
  <si>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</si>
  <si>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</si>
  <si>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</si>
  <si>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</si>
  <si>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</si>
  <si>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</si>
  <si>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</si>
  <si>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</si>
  <si>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</si>
  <si>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</si>
  <si>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</si>
  <si>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3035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</si>
  <si>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</si>
  <si>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</si>
  <si>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</si>
  <si>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</si>
  <si>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</si>
  <si>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</si>
  <si>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</si>
  <si>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</si>
  <si>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</si>
  <si>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</si>
  <si>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</si>
  <si>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</si>
  <si>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</si>
  <si>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</si>
  <si>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</si>
  <si>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</si>
  <si>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</si>
  <si>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</si>
  <si>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</si>
  <si>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</si>
  <si>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</si>
  <si>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</si>
  <si>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</si>
  <si>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</si>
  <si>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</si>
  <si>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</si>
  <si>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</si>
  <si>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</si>
  <si>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</si>
  <si>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</si>
  <si>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</si>
  <si>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</si>
  <si>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</si>
  <si>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</si>
  <si>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</si>
  <si>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</si>
  <si>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</si>
  <si>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</si>
  <si>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</si>
  <si>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</si>
  <si>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</si>
  <si>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</si>
  <si>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</si>
  <si>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</si>
  <si>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</si>
  <si>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</si>
  <si>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</si>
  <si>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</si>
  <si>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</si>
  <si>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</si>
  <si>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</si>
  <si>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</si>
  <si>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</si>
  <si>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</si>
  <si>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</si>
  <si>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</si>
  <si>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</si>
  <si>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</si>
  <si>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</si>
  <si>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</si>
  <si>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</si>
  <si>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</si>
  <si>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</si>
  <si>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</si>
  <si>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</si>
  <si>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</si>
  <si>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</si>
  <si>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</si>
  <si>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</si>
  <si>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</si>
  <si>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</si>
  <si>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</si>
  <si>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</si>
  <si>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</si>
  <si>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</si>
  <si>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</si>
  <si>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</si>
  <si>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</si>
  <si>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</si>
  <si>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</si>
  <si>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</si>
  <si>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</si>
  <si>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</si>
  <si>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</si>
  <si>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</si>
  <si>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</si>
  <si>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</si>
  <si>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</si>
  <si>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</si>
  <si>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</si>
  <si>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</si>
  <si>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</si>
  <si>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</si>
  <si>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</si>
  <si>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</si>
  <si>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</si>
  <si>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</si>
  <si>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</si>
  <si>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</si>
  <si>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</si>
  <si>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</si>
  <si>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</si>
  <si>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</si>
  <si>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</si>
  <si>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</si>
  <si>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</si>
  <si>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</si>
  <si>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на 2019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</si>
  <si>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</si>
  <si>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2019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</si>
  <si>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</si>
  <si>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муниципального района на 2019 год</t>
  </si>
  <si>
    <t>Источники внутреннего финансирования дефицита  бюджета Тутаевского муниципального района на плановый период 2020-2021 годов</t>
  </si>
  <si>
    <t>от "____"____________ 2018г.№_____</t>
  </si>
  <si>
    <t xml:space="preserve">Программа муниципальных внутренних заимствований Тутаевского муниципального района на 2019 год </t>
  </si>
  <si>
    <t>1. Муниципальные внутренние заимствования, осуществляемые Тутаевским муниципальным районом в 2019 году</t>
  </si>
  <si>
    <t>2. Предельные размеры на 2019 год</t>
  </si>
  <si>
    <t xml:space="preserve">на 2019 год </t>
  </si>
  <si>
    <t>от "____"____________ 2018 г. №_____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</si>
  <si>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</si>
  <si>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</si>
  <si>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</si>
  <si>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</si>
  <si>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</si>
  <si>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</si>
  <si>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</si>
  <si>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от "____"___________ 2018 г.№ ______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</si>
  <si>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</si>
  <si>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</si>
  <si>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2019 год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</si>
  <si>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</si>
  <si>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2019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</si>
  <si>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</si>
  <si>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 на 2019 год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</si>
  <si>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</si>
  <si>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</si>
  <si>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</si>
  <si>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</si>
  <si>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Распределение иных межбюджетных трансфертов бюджетам поселений Тутаевского муниципального района на 2019 год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</si>
  <si>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</si>
  <si>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</si>
  <si>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</si>
  <si>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</si>
  <si>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</si>
  <si>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</si>
  <si>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</si>
  <si>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</si>
  <si>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</si>
  <si>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</si>
  <si>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</si>
  <si>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</si>
  <si>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</si>
  <si>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 xml:space="preserve">1 13 02995 13 0000 130 </t>
  </si>
  <si>
    <t>1 16 46000 13 0000 140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</si>
  <si>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поселений, либо в связи с уклонением от заключения таких контрактов или иных договоров</t>
  </si>
  <si>
    <t>1 16 90050 13 0000 140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</si>
  <si>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</si>
  <si>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1 17 05050 13 0000 180</t>
  </si>
  <si>
    <t>2 02 20041 13 0000 150</t>
  </si>
  <si>
    <t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</si>
  <si>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</si>
  <si>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</si>
  <si>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2 02 20079 13 0000 150</t>
  </si>
  <si>
    <t>Субсидии бюджетам городских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</si>
  <si>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</si>
  <si>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</si>
  <si>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2 02 20302 13 0000 150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</si>
  <si>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</si>
  <si>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</si>
  <si>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</si>
  <si>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</si>
  <si>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</si>
  <si>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</si>
  <si>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</si>
  <si>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2 02 27112 13 0000 150</t>
  </si>
  <si>
    <t>Субсидии бюджетам городских поселений на софинансирование капитальных вложений в объекты муниципальной собственности</t>
  </si>
  <si>
    <t>2 02 29999 13 0000 150</t>
  </si>
  <si>
    <t>Прочие субсидии бюджетам городских поселений</t>
  </si>
  <si>
    <t>2 02 49999 13 0000 150</t>
  </si>
  <si>
    <t>Прочие межбюджетные трансферты, передаваемые бюджетам городских поселений</t>
  </si>
  <si>
    <t>2 07 05030 13 0000 150</t>
  </si>
  <si>
    <t>Прочие безвозмездные поступления в бюджеты городских поселений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</si>
  <si>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</si>
  <si>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</si>
  <si>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2 18 05030 13 0000 150</t>
  </si>
  <si>
    <t>Доходы бюджетов городских поселений от возврата иными организациями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</si>
  <si>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</si>
  <si>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</si>
  <si>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</si>
  <si>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</si>
  <si>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</si>
  <si>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</si>
  <si>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2 19 25112 05 0000 150</t>
  </si>
  <si>
    <t>Возврат остатков субсидий на софинансирование капитальных вложений в объекты муниципальной собственности из бюджетов муниципальных районов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</si>
  <si>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</si>
  <si>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</si>
  <si>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</si>
  <si>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</si>
  <si>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</si>
  <si>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</si>
  <si>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</si>
  <si>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</si>
  <si>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</si>
  <si>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</si>
  <si>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1 11 05013 13 0000 120</t>
  </si>
  <si>
    <t>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</si>
  <si>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</si>
  <si>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</si>
  <si>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</si>
  <si>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</si>
  <si>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</si>
  <si>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</si>
  <si>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</si>
  <si>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</si>
  <si>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1 14 06013 13 0000 430 </t>
  </si>
  <si>
    <t>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</si>
  <si>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</si>
  <si>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</si>
  <si>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</si>
  <si>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</si>
  <si>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</si>
  <si>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</si>
  <si>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</si>
  <si>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</si>
  <si>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</si>
  <si>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</si>
  <si>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</si>
  <si>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</si>
  <si>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</si>
  <si>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</si>
  <si>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</si>
  <si>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</si>
  <si>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</si>
  <si>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</si>
  <si>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</si>
  <si>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</si>
  <si>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</si>
  <si>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</si>
  <si>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</si>
  <si>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</si>
  <si>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</si>
  <si>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</si>
  <si>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</si>
  <si>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</si>
  <si>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</si>
  <si>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</si>
  <si>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</si>
  <si>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</si>
  <si>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</si>
  <si>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</si>
  <si>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</si>
  <si>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</si>
  <si>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</si>
  <si>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</si>
  <si>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</si>
  <si>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</si>
  <si>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</si>
  <si>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</si>
  <si>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</si>
  <si>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</si>
  <si>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2 19 27112 05 0000 150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</si>
  <si>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</si>
  <si>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</si>
  <si>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</si>
  <si>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</si>
  <si>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</si>
  <si>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</si>
  <si>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</si>
  <si>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</si>
  <si>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</si>
  <si>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</si>
  <si>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</si>
  <si>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</si>
  <si>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</si>
  <si>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</si>
  <si>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</si>
  <si>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</si>
  <si>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</si>
  <si>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</si>
  <si>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</si>
  <si>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</si>
  <si>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</si>
  <si>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</si>
  <si>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</si>
  <si>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</si>
  <si>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</si>
  <si>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</si>
  <si>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</si>
  <si>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</si>
  <si>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</si>
  <si>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</si>
  <si>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</si>
  <si>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</si>
  <si>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</si>
  <si>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</si>
  <si>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доходов бюджета Тутаевского муниципального района и доходов бюджета городского поселения Тутаев и закрепляемые за ними источники доходов бюджета Тутаевского муниципального района и бюджета городского поселения Тутаев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</si>
  <si>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</si>
  <si>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на 01.01.2020 (прогноз)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</si>
  <si>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</si>
  <si>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</si>
  <si>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</si>
  <si>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</si>
  <si>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</si>
  <si>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</si>
  <si>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</si>
  <si>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</si>
  <si>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</si>
  <si>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</si>
  <si>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</si>
  <si>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</si>
  <si>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</si>
  <si>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</si>
  <si>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</si>
  <si>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</si>
  <si>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15.0.04</t>
  </si>
  <si>
    <t>Муниципальная программа "Развитие дорожного хозяйства и транспорта в Тутаевском муниципальном районе"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</si>
  <si>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</si>
  <si>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</si>
  <si>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</si>
  <si>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</si>
  <si>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</si>
  <si>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</si>
  <si>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</si>
  <si>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</si>
  <si>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</si>
  <si>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</si>
  <si>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</si>
  <si>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</si>
  <si>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</si>
  <si>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</si>
  <si>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</si>
  <si>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</si>
  <si>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</si>
  <si>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</si>
  <si>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</si>
  <si>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</si>
  <si>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</si>
  <si>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</si>
  <si>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</si>
  <si>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</si>
  <si>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</si>
  <si>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</si>
  <si>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</si>
  <si>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</si>
  <si>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</si>
  <si>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</si>
  <si>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</si>
  <si>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</si>
  <si>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</si>
  <si>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</si>
  <si>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</si>
  <si>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</si>
  <si>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</si>
  <si>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</si>
  <si>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</si>
  <si>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</si>
  <si>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комплексное развитие транспортной инфраструктуры городской агломерации "Ярославская"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</si>
  <si>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</si>
  <si>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</si>
  <si>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</si>
  <si>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</si>
  <si>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</si>
  <si>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</si>
  <si>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</si>
  <si>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</si>
  <si>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</si>
  <si>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</si>
  <si>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</si>
  <si>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</si>
  <si>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</si>
  <si>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</si>
  <si>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</si>
  <si>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</si>
  <si>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</si>
  <si>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</si>
  <si>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</si>
  <si>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</si>
  <si>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</si>
  <si>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</si>
  <si>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</si>
  <si>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</si>
  <si>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</si>
  <si>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</si>
  <si>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</si>
  <si>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</si>
  <si>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</si>
  <si>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</si>
  <si>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</si>
  <si>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</si>
  <si>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</si>
  <si>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</si>
  <si>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</si>
  <si>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</si>
  <si>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</si>
  <si>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</si>
  <si>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</si>
  <si>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</si>
  <si>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</si>
  <si>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</si>
  <si>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</si>
  <si>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</si>
  <si>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</si>
  <si>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</si>
  <si>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</si>
  <si>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</si>
  <si>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</si>
  <si>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</si>
  <si>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</si>
  <si>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</si>
  <si>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</si>
  <si>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</si>
  <si>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</si>
  <si>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</si>
  <si>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</si>
  <si>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</si>
  <si>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</si>
  <si>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</si>
  <si>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</si>
  <si>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</si>
  <si>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</si>
  <si>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</si>
  <si>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</si>
  <si>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</si>
  <si>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</si>
  <si>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</si>
  <si>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</si>
  <si>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</si>
  <si>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</si>
  <si>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</si>
  <si>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</si>
  <si>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</si>
  <si>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</si>
  <si>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</si>
  <si>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</si>
  <si>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</si>
  <si>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</si>
  <si>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</si>
  <si>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</si>
  <si>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</si>
  <si>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</si>
  <si>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Всего сумма из районного фонда финансовой поддержки поселений, руб.</t>
  </si>
  <si>
    <t>Всего сумма из районного фонда финансовой поддержки поселений</t>
  </si>
  <si>
    <t>2020 год</t>
  </si>
  <si>
    <t>2021 год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</si>
  <si>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</si>
  <si>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</si>
  <si>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</si>
  <si>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</si>
  <si>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</si>
  <si>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</si>
  <si>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</si>
  <si>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</si>
  <si>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</si>
  <si>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</si>
  <si>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</si>
  <si>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</si>
  <si>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</si>
  <si>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</si>
  <si>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</si>
  <si>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</si>
  <si>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</si>
  <si>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</si>
  <si>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</si>
  <si>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</si>
  <si>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</si>
  <si>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</si>
  <si>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</si>
  <si>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</si>
  <si>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</si>
  <si>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</si>
  <si>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</si>
  <si>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</si>
  <si>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</si>
  <si>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</si>
  <si>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</si>
  <si>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</si>
  <si>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</si>
  <si>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</si>
  <si>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</si>
  <si>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</si>
  <si>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</si>
  <si>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</si>
  <si>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Изменения, руб.</t>
  </si>
  <si>
    <t>на 01.01.2019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</si>
  <si>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</si>
  <si>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</si>
  <si>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</si>
  <si>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</si>
  <si>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</si>
  <si>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</si>
  <si>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</si>
  <si>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софинансирования мероприятий по развитию транспортной инфраструктуры городской  агломерации "Ярославская" (гп Тутаев)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</si>
  <si>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</si>
  <si>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Обеспечение   софинансирования мероприятий в области  дорожного хозяйства  на  ремонт и содержание автомобильных дорог (гп Тутаев)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</si>
  <si>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</si>
  <si>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</si>
  <si>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</si>
  <si>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</si>
  <si>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</si>
  <si>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</si>
  <si>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</si>
  <si>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</si>
  <si>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</si>
  <si>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</si>
  <si>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</si>
  <si>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</si>
  <si>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</si>
  <si>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</si>
  <si>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</si>
  <si>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</si>
  <si>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</si>
  <si>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</si>
  <si>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</si>
  <si>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"___"_____________ 2019 г.№ _____</t>
  </si>
  <si>
    <t>от "___"_____________2019г.№_____</t>
  </si>
  <si>
    <t>от "_____"_____________ 2019 г. №______</t>
  </si>
  <si>
    <t>от "____"______________ 2019 г.№ ______</t>
  </si>
  <si>
    <t>от "____"______________ 2019г.№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</si>
  <si>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</si>
  <si>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</si>
  <si>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</si>
  <si>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от "___"_____________ 2019 г.№______</t>
  </si>
  <si>
    <t>от "____"_____________ 2019 г.№______</t>
  </si>
  <si>
    <t>от "_____"______________ 2019 г.№ ______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</si>
  <si>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</si>
  <si>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</si>
  <si>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2032</t>
  </si>
  <si>
    <t xml:space="preserve">Субсидия на реализацию мероприятий инициативного бюджетирования на территории Ярославской области (поддержка местных инициатив) 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</si>
  <si>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</si>
  <si>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</si>
  <si>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</si>
  <si>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</si>
  <si>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</si>
  <si>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</si>
  <si>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</si>
  <si>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</si>
  <si>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</si>
  <si>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 xml:space="preserve">Разработка и актуализация схем инженерного обеспечения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</si>
  <si>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</si>
  <si>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</si>
  <si>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</si>
  <si>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</si>
  <si>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</si>
  <si>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</si>
  <si>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>4. Межбюджетные трансферты на 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</si>
  <si>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</si>
  <si>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</si>
  <si>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Мероприятия по актуализации схем теплоснабжения и водоснабжения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</si>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</sst>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64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44" fontId="35" fillId="0" borderId="0"/>
    <xf numFmtId="0" fontId="1" fillId="0" borderId="0"/>
    <xf numFmtId="0" fontId="2" fillId="0" borderId="0"/>
    <xf numFmtId="0" fontId="3" fillId="0" borderId="0"/>
    <xf numFmtId="0" fontId="57" fillId="0" borderId="0" applyNumberFormat="0" applyFill="0" applyBorder="0" applyAlignment="0" applyProtection="0">
      <alignment vertical="top"/>
      <protection locked="0"/>
    </xf>
    <xf numFmtId="164" fontId="35" fillId="0" borderId="0" applyFont="0" applyFill="0" applyBorder="0" applyAlignment="0" applyProtection="0"/>
  </cellStyleXfs>
  <cellXfs count="8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 indent="3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3" fontId="14" fillId="0" borderId="20" xfId="0" applyNumberFormat="1" applyFont="1" applyBorder="1" applyAlignment="1">
      <alignment horizontal="right" wrapText="1"/>
    </xf>
    <xf numFmtId="166" fontId="14" fillId="0" borderId="20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6" fillId="3" borderId="0" xfId="0" applyFont="1" applyFill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7" borderId="1" xfId="0" applyNumberFormat="1" applyFont="1" applyFill="1" applyBorder="1" applyAlignment="1">
      <alignment horizontal="right" vertical="center"/>
    </xf>
    <xf numFmtId="3" fontId="23" fillId="8" borderId="1" xfId="0" applyNumberFormat="1" applyFont="1" applyFill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26" fillId="8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30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6" fillId="12" borderId="1" xfId="0" applyNumberFormat="1" applyFont="1" applyFill="1" applyBorder="1" applyAlignment="1">
      <alignment horizontal="right" vertical="center"/>
    </xf>
    <xf numFmtId="3" fontId="26" fillId="13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1" fillId="6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3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top" wrapText="1"/>
    </xf>
    <xf numFmtId="49" fontId="5" fillId="0" borderId="35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8" fillId="0" borderId="6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14" xfId="0" applyNumberFormat="1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3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49" fontId="5" fillId="0" borderId="27" xfId="0" applyNumberFormat="1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25" xfId="0" applyNumberFormat="1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4" fillId="0" borderId="38" xfId="0" applyFont="1" applyBorder="1" applyAlignment="1">
      <alignment horizontal="left" wrapText="1"/>
    </xf>
    <xf numFmtId="49" fontId="18" fillId="0" borderId="5" xfId="0" applyNumberFormat="1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left" wrapText="1"/>
    </xf>
    <xf numFmtId="0" fontId="32" fillId="0" borderId="34" xfId="0" applyFont="1" applyBorder="1" applyAlignment="1">
      <alignment horizontal="center" wrapText="1"/>
    </xf>
    <xf numFmtId="49" fontId="3" fillId="0" borderId="45" xfId="0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 wrapText="1"/>
    </xf>
    <xf numFmtId="49" fontId="3" fillId="0" borderId="28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0" fontId="32" fillId="2" borderId="37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left" wrapText="1"/>
    </xf>
    <xf numFmtId="49" fontId="18" fillId="2" borderId="5" xfId="0" applyNumberFormat="1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 wrapText="1"/>
    </xf>
    <xf numFmtId="0" fontId="3" fillId="2" borderId="38" xfId="3" applyFont="1" applyFill="1" applyBorder="1" applyAlignment="1">
      <alignment horizontal="left" wrapText="1"/>
    </xf>
    <xf numFmtId="49" fontId="3" fillId="2" borderId="26" xfId="0" applyNumberFormat="1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167" fontId="5" fillId="2" borderId="2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left" wrapText="1"/>
    </xf>
    <xf numFmtId="0" fontId="18" fillId="2" borderId="38" xfId="0" applyFont="1" applyFill="1" applyBorder="1" applyAlignment="1">
      <alignment horizontal="center" wrapText="1"/>
    </xf>
    <xf numFmtId="49" fontId="18" fillId="2" borderId="26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30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 wrapText="1"/>
    </xf>
    <xf numFmtId="0" fontId="3" fillId="2" borderId="3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49" fontId="5" fillId="2" borderId="30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0" fontId="12" fillId="0" borderId="3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30" xfId="0" applyNumberFormat="1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7" fontId="3" fillId="2" borderId="25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3" fontId="26" fillId="14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wrapText="1"/>
    </xf>
    <xf numFmtId="0" fontId="3" fillId="0" borderId="0" xfId="0" applyFont="1"/>
    <xf numFmtId="3" fontId="26" fillId="15" borderId="1" xfId="0" applyNumberFormat="1" applyFont="1" applyFill="1" applyBorder="1" applyAlignment="1">
      <alignment horizontal="right" vertical="center"/>
    </xf>
    <xf numFmtId="0" fontId="0" fillId="16" borderId="0" xfId="0" applyFill="1"/>
    <xf numFmtId="0" fontId="3" fillId="0" borderId="3" xfId="0" applyFont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6" fillId="18" borderId="1" xfId="0" applyNumberFormat="1" applyFont="1" applyFill="1" applyBorder="1" applyAlignment="1">
      <alignment horizontal="right" vertical="center"/>
    </xf>
    <xf numFmtId="3" fontId="26" fillId="19" borderId="1" xfId="0" applyNumberFormat="1" applyFont="1" applyFill="1" applyBorder="1" applyAlignment="1">
      <alignment horizontal="right" vertical="center"/>
    </xf>
    <xf numFmtId="0" fontId="0" fillId="19" borderId="0" xfId="0" applyFill="1" applyAlignment="1">
      <alignment horizontal="center"/>
    </xf>
    <xf numFmtId="0" fontId="0" fillId="17" borderId="0" xfId="0" applyFill="1"/>
    <xf numFmtId="0" fontId="6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168" fontId="3" fillId="19" borderId="5" xfId="0" applyNumberFormat="1" applyFont="1" applyFill="1" applyBorder="1" applyAlignment="1">
      <alignment wrapText="1"/>
    </xf>
    <xf numFmtId="3" fontId="2" fillId="19" borderId="1" xfId="0" applyNumberFormat="1" applyFont="1" applyFill="1" applyBorder="1" applyAlignment="1">
      <alignment horizontal="right" vertical="center" wrapText="1"/>
    </xf>
    <xf numFmtId="3" fontId="2" fillId="19" borderId="38" xfId="0" applyNumberFormat="1" applyFont="1" applyFill="1" applyBorder="1" applyAlignment="1">
      <alignment horizontal="right" vertical="center"/>
    </xf>
    <xf numFmtId="168" fontId="5" fillId="19" borderId="45" xfId="0" applyNumberFormat="1" applyFont="1" applyFill="1" applyBorder="1" applyAlignment="1">
      <alignment wrapText="1"/>
    </xf>
    <xf numFmtId="3" fontId="34" fillId="19" borderId="46" xfId="0" applyNumberFormat="1" applyFont="1" applyFill="1" applyBorder="1" applyAlignment="1">
      <alignment horizontal="right" vertical="center"/>
    </xf>
    <xf numFmtId="3" fontId="34" fillId="19" borderId="47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wrapText="1"/>
    </xf>
    <xf numFmtId="3" fontId="43" fillId="0" borderId="38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 wrapText="1"/>
    </xf>
    <xf numFmtId="168" fontId="42" fillId="0" borderId="26" xfId="0" applyNumberFormat="1" applyFont="1" applyBorder="1" applyAlignment="1">
      <alignment wrapText="1"/>
    </xf>
    <xf numFmtId="3" fontId="43" fillId="0" borderId="34" xfId="0" applyNumberFormat="1" applyFont="1" applyBorder="1" applyAlignment="1">
      <alignment horizontal="right" vertical="center"/>
    </xf>
    <xf numFmtId="3" fontId="43" fillId="0" borderId="14" xfId="0" applyNumberFormat="1" applyFont="1" applyFill="1" applyBorder="1" applyAlignment="1">
      <alignment horizontal="right" vertical="center" wrapText="1"/>
    </xf>
    <xf numFmtId="3" fontId="23" fillId="18" borderId="1" xfId="0" applyNumberFormat="1" applyFont="1" applyFill="1" applyBorder="1" applyAlignment="1">
      <alignment horizontal="right" vertical="center"/>
    </xf>
    <xf numFmtId="3" fontId="23" fillId="20" borderId="1" xfId="0" applyNumberFormat="1" applyFont="1" applyFill="1" applyBorder="1" applyAlignment="1">
      <alignment horizontal="right" vertical="center"/>
    </xf>
    <xf numFmtId="49" fontId="46" fillId="2" borderId="27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wrapText="1"/>
    </xf>
    <xf numFmtId="0" fontId="47" fillId="0" borderId="38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left" vertical="top" wrapText="1"/>
    </xf>
    <xf numFmtId="3" fontId="26" fillId="21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14" borderId="1" xfId="0" applyNumberFormat="1" applyFont="1" applyFill="1" applyBorder="1" applyAlignment="1">
      <alignment horizontal="right" vertical="center"/>
    </xf>
    <xf numFmtId="49" fontId="46" fillId="2" borderId="41" xfId="0" applyNumberFormat="1" applyFont="1" applyFill="1" applyBorder="1" applyAlignment="1">
      <alignment horizontal="center" wrapText="1"/>
    </xf>
    <xf numFmtId="0" fontId="12" fillId="0" borderId="42" xfId="0" applyFont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17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3" fillId="19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68" fontId="33" fillId="0" borderId="5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horizontal="right" vertical="center" wrapText="1"/>
    </xf>
    <xf numFmtId="3" fontId="33" fillId="0" borderId="38" xfId="0" applyNumberFormat="1" applyFont="1" applyBorder="1" applyAlignment="1">
      <alignment horizontal="right" vertical="center"/>
    </xf>
    <xf numFmtId="168" fontId="6" fillId="0" borderId="45" xfId="0" applyNumberFormat="1" applyFont="1" applyBorder="1" applyAlignment="1">
      <alignment wrapText="1"/>
    </xf>
    <xf numFmtId="3" fontId="6" fillId="0" borderId="46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4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22" borderId="0" xfId="0" applyFill="1"/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left"/>
    </xf>
    <xf numFmtId="0" fontId="3" fillId="19" borderId="0" xfId="0" applyFont="1" applyFill="1" applyAlignment="1">
      <alignment horizontal="center"/>
    </xf>
    <xf numFmtId="49" fontId="16" fillId="19" borderId="1" xfId="0" applyNumberFormat="1" applyFont="1" applyFill="1" applyBorder="1" applyAlignment="1">
      <alignment horizontal="center" vertical="center" textRotation="90"/>
    </xf>
    <xf numFmtId="49" fontId="16" fillId="19" borderId="1" xfId="0" applyNumberFormat="1" applyFont="1" applyFill="1" applyBorder="1" applyAlignment="1">
      <alignment horizontal="center" vertical="center" textRotation="90" wrapText="1"/>
    </xf>
    <xf numFmtId="49" fontId="16" fillId="19" borderId="1" xfId="0" applyNumberFormat="1" applyFont="1" applyFill="1" applyBorder="1" applyAlignment="1">
      <alignment horizontal="left" vertical="center" textRotation="90"/>
    </xf>
    <xf numFmtId="49" fontId="8" fillId="19" borderId="1" xfId="0" applyNumberFormat="1" applyFont="1" applyFill="1" applyBorder="1" applyAlignment="1">
      <alignment horizontal="center" vertical="justify"/>
    </xf>
    <xf numFmtId="49" fontId="8" fillId="19" borderId="1" xfId="0" applyNumberFormat="1" applyFont="1" applyFill="1" applyBorder="1" applyAlignment="1">
      <alignment horizontal="center" vertical="justify" wrapText="1"/>
    </xf>
    <xf numFmtId="0" fontId="5" fillId="19" borderId="1" xfId="0" applyFont="1" applyFill="1" applyBorder="1" applyAlignment="1">
      <alignment horizontal="left" vertical="top" wrapText="1"/>
    </xf>
    <xf numFmtId="3" fontId="5" fillId="19" borderId="1" xfId="1" applyNumberFormat="1" applyFont="1" applyFill="1" applyBorder="1" applyAlignment="1">
      <alignment horizontal="right" vertical="center" wrapText="1"/>
    </xf>
    <xf numFmtId="49" fontId="9" fillId="19" borderId="1" xfId="0" applyNumberFormat="1" applyFont="1" applyFill="1" applyBorder="1" applyAlignment="1">
      <alignment horizontal="center" vertical="justify"/>
    </xf>
    <xf numFmtId="49" fontId="9" fillId="19" borderId="1" xfId="0" applyNumberFormat="1" applyFont="1" applyFill="1" applyBorder="1" applyAlignment="1">
      <alignment horizontal="center" vertical="justify" wrapText="1"/>
    </xf>
    <xf numFmtId="3" fontId="3" fillId="19" borderId="1" xfId="1" applyNumberFormat="1" applyFont="1" applyFill="1" applyBorder="1" applyAlignment="1">
      <alignment horizontal="right" vertical="center" wrapText="1"/>
    </xf>
    <xf numFmtId="3" fontId="5" fillId="19" borderId="1" xfId="0" applyNumberFormat="1" applyFont="1" applyFill="1" applyBorder="1" applyAlignment="1">
      <alignment horizontal="right" vertical="center"/>
    </xf>
    <xf numFmtId="49" fontId="17" fillId="19" borderId="1" xfId="0" applyNumberFormat="1" applyFont="1" applyFill="1" applyBorder="1" applyAlignment="1">
      <alignment horizontal="center" vertical="justify"/>
    </xf>
    <xf numFmtId="49" fontId="17" fillId="19" borderId="1" xfId="0" applyNumberFormat="1" applyFont="1" applyFill="1" applyBorder="1" applyAlignment="1">
      <alignment horizontal="center" vertical="justify" wrapText="1"/>
    </xf>
    <xf numFmtId="0" fontId="18" fillId="19" borderId="1" xfId="0" applyFont="1" applyFill="1" applyBorder="1" applyAlignment="1">
      <alignment horizontal="left" vertical="top" wrapText="1"/>
    </xf>
    <xf numFmtId="3" fontId="18" fillId="19" borderId="1" xfId="0" applyNumberFormat="1" applyFont="1" applyFill="1" applyBorder="1" applyAlignment="1">
      <alignment horizontal="right" vertical="center"/>
    </xf>
    <xf numFmtId="3" fontId="18" fillId="19" borderId="1" xfId="1" applyNumberFormat="1" applyFont="1" applyFill="1" applyBorder="1" applyAlignment="1">
      <alignment horizontal="right" vertical="center" wrapText="1"/>
    </xf>
    <xf numFmtId="3" fontId="3" fillId="19" borderId="1" xfId="0" applyNumberFormat="1" applyFont="1" applyFill="1" applyBorder="1" applyAlignment="1">
      <alignment horizontal="right" vertical="center"/>
    </xf>
    <xf numFmtId="49" fontId="11" fillId="19" borderId="1" xfId="0" applyNumberFormat="1" applyFont="1" applyFill="1" applyBorder="1" applyAlignment="1">
      <alignment horizontal="center" vertical="justify" wrapText="1"/>
    </xf>
    <xf numFmtId="0" fontId="12" fillId="19" borderId="1" xfId="0" applyFont="1" applyFill="1" applyBorder="1" applyAlignment="1">
      <alignment horizontal="left" vertical="top" wrapText="1"/>
    </xf>
    <xf numFmtId="49" fontId="13" fillId="19" borderId="1" xfId="0" applyNumberFormat="1" applyFont="1" applyFill="1" applyBorder="1" applyAlignment="1">
      <alignment horizontal="center" vertical="justify" wrapText="1"/>
    </xf>
    <xf numFmtId="0" fontId="14" fillId="19" borderId="1" xfId="0" applyFont="1" applyFill="1" applyBorder="1" applyAlignment="1">
      <alignment horizontal="left" vertical="top" wrapText="1"/>
    </xf>
    <xf numFmtId="0" fontId="3" fillId="19" borderId="1" xfId="4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center" vertical="top"/>
    </xf>
    <xf numFmtId="49" fontId="9" fillId="19" borderId="1" xfId="0" applyNumberFormat="1" applyFont="1" applyFill="1" applyBorder="1" applyAlignment="1">
      <alignment horizontal="center" vertical="top"/>
    </xf>
    <xf numFmtId="3" fontId="19" fillId="19" borderId="1" xfId="0" applyNumberFormat="1" applyFont="1" applyFill="1" applyBorder="1" applyAlignment="1">
      <alignment horizontal="right" vertical="center"/>
    </xf>
    <xf numFmtId="3" fontId="23" fillId="19" borderId="1" xfId="0" applyNumberFormat="1" applyFont="1" applyFill="1" applyBorder="1" applyAlignment="1">
      <alignment horizontal="right" vertical="center"/>
    </xf>
    <xf numFmtId="3" fontId="23" fillId="23" borderId="1" xfId="0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wrapText="1"/>
    </xf>
    <xf numFmtId="3" fontId="50" fillId="0" borderId="1" xfId="0" applyNumberFormat="1" applyFont="1" applyBorder="1" applyAlignment="1">
      <alignment horizontal="right" vertical="center"/>
    </xf>
    <xf numFmtId="3" fontId="51" fillId="18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7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horizontal="right" vertical="center"/>
    </xf>
    <xf numFmtId="3" fontId="46" fillId="19" borderId="1" xfId="0" applyNumberFormat="1" applyFont="1" applyFill="1" applyBorder="1" applyAlignment="1">
      <alignment horizontal="right" vertical="center"/>
    </xf>
    <xf numFmtId="3" fontId="46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vertical="center"/>
    </xf>
    <xf numFmtId="0" fontId="52" fillId="3" borderId="0" xfId="0" applyFont="1" applyFill="1"/>
    <xf numFmtId="49" fontId="53" fillId="2" borderId="1" xfId="0" applyNumberFormat="1" applyFont="1" applyFill="1" applyBorder="1" applyAlignment="1">
      <alignment horizontal="center" vertical="justify"/>
    </xf>
    <xf numFmtId="49" fontId="53" fillId="2" borderId="1" xfId="0" applyNumberFormat="1" applyFont="1" applyFill="1" applyBorder="1" applyAlignment="1">
      <alignment horizontal="center" vertical="justify" wrapText="1"/>
    </xf>
    <xf numFmtId="0" fontId="37" fillId="2" borderId="1" xfId="0" applyFont="1" applyFill="1" applyBorder="1" applyAlignment="1">
      <alignment horizontal="left" vertical="top" wrapText="1"/>
    </xf>
    <xf numFmtId="3" fontId="37" fillId="0" borderId="3" xfId="0" applyNumberFormat="1" applyFont="1" applyBorder="1"/>
    <xf numFmtId="165" fontId="51" fillId="19" borderId="1" xfId="0" applyNumberFormat="1" applyFont="1" applyFill="1" applyBorder="1" applyAlignment="1">
      <alignment horizontal="center" vertical="center"/>
    </xf>
    <xf numFmtId="167" fontId="51" fillId="19" borderId="1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0" borderId="0" xfId="0" applyFont="1"/>
    <xf numFmtId="3" fontId="37" fillId="0" borderId="1" xfId="0" applyNumberFormat="1" applyFont="1" applyBorder="1" applyAlignment="1">
      <alignment horizontal="right"/>
    </xf>
    <xf numFmtId="3" fontId="37" fillId="0" borderId="31" xfId="0" applyNumberFormat="1" applyFont="1" applyBorder="1" applyAlignment="1">
      <alignment horizontal="right" vertical="center" wrapText="1"/>
    </xf>
    <xf numFmtId="3" fontId="46" fillId="0" borderId="46" xfId="0" applyNumberFormat="1" applyFont="1" applyBorder="1" applyAlignment="1">
      <alignment horizontal="right"/>
    </xf>
    <xf numFmtId="0" fontId="37" fillId="0" borderId="0" xfId="0" applyFont="1"/>
    <xf numFmtId="168" fontId="46" fillId="0" borderId="0" xfId="0" applyNumberFormat="1" applyFont="1" applyAlignment="1">
      <alignment horizontal="left" wrapText="1"/>
    </xf>
    <xf numFmtId="3" fontId="46" fillId="0" borderId="0" xfId="0" applyNumberFormat="1" applyFont="1" applyAlignment="1">
      <alignment horizontal="right"/>
    </xf>
    <xf numFmtId="3" fontId="37" fillId="0" borderId="14" xfId="0" applyNumberFormat="1" applyFont="1" applyBorder="1" applyAlignment="1">
      <alignment horizontal="right"/>
    </xf>
    <xf numFmtId="3" fontId="46" fillId="0" borderId="14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19" borderId="25" xfId="0" applyFont="1" applyFill="1" applyBorder="1" applyAlignment="1">
      <alignment horizontal="left" vertical="center" wrapText="1"/>
    </xf>
    <xf numFmtId="3" fontId="5" fillId="19" borderId="1" xfId="0" applyNumberFormat="1" applyFont="1" applyFill="1" applyBorder="1" applyAlignment="1">
      <alignment horizontal="right" wrapText="1"/>
    </xf>
    <xf numFmtId="3" fontId="3" fillId="19" borderId="1" xfId="0" applyNumberFormat="1" applyFont="1" applyFill="1" applyBorder="1" applyAlignment="1">
      <alignment horizontal="right" vertical="center" wrapText="1"/>
    </xf>
    <xf numFmtId="3" fontId="5" fillId="19" borderId="46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wrapText="1"/>
    </xf>
    <xf numFmtId="0" fontId="22" fillId="16" borderId="0" xfId="0" applyFont="1" applyFill="1"/>
    <xf numFmtId="3" fontId="6" fillId="0" borderId="31" xfId="0" applyNumberFormat="1" applyFont="1" applyBorder="1" applyAlignment="1">
      <alignment horizontal="right" wrapText="1"/>
    </xf>
    <xf numFmtId="3" fontId="45" fillId="0" borderId="38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left" vertical="center" wrapText="1"/>
    </xf>
    <xf numFmtId="168" fontId="44" fillId="19" borderId="5" xfId="0" applyNumberFormat="1" applyFont="1" applyFill="1" applyBorder="1" applyAlignment="1">
      <alignment horizontal="left" vertical="top" wrapText="1"/>
    </xf>
    <xf numFmtId="168" fontId="44" fillId="0" borderId="5" xfId="0" applyNumberFormat="1" applyFont="1" applyBorder="1" applyAlignment="1">
      <alignment horizontal="left" wrapText="1"/>
    </xf>
    <xf numFmtId="168" fontId="42" fillId="19" borderId="26" xfId="0" applyNumberFormat="1" applyFont="1" applyFill="1" applyBorder="1" applyAlignment="1">
      <alignment wrapText="1"/>
    </xf>
    <xf numFmtId="0" fontId="56" fillId="0" borderId="9" xfId="0" applyFont="1" applyBorder="1" applyAlignment="1">
      <alignment vertical="top" wrapText="1"/>
    </xf>
    <xf numFmtId="0" fontId="56" fillId="0" borderId="20" xfId="0" applyFont="1" applyBorder="1" applyAlignment="1">
      <alignment vertical="top" wrapText="1"/>
    </xf>
    <xf numFmtId="0" fontId="56" fillId="0" borderId="18" xfId="0" applyFont="1" applyBorder="1" applyAlignment="1">
      <alignment vertical="top" wrapText="1"/>
    </xf>
    <xf numFmtId="0" fontId="56" fillId="0" borderId="50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6" fillId="0" borderId="20" xfId="0" applyFont="1" applyBorder="1" applyAlignment="1">
      <alignment vertical="top"/>
    </xf>
    <xf numFmtId="0" fontId="56" fillId="0" borderId="19" xfId="0" applyFont="1" applyBorder="1" applyAlignment="1">
      <alignment vertical="top" wrapText="1"/>
    </xf>
    <xf numFmtId="0" fontId="46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21" xfId="0" applyFont="1" applyBorder="1" applyAlignment="1">
      <alignment horizontal="left" vertical="top" wrapText="1"/>
    </xf>
    <xf numFmtId="167" fontId="37" fillId="0" borderId="1" xfId="0" applyNumberFormat="1" applyFont="1" applyBorder="1" applyAlignment="1">
      <alignment horizontal="left" vertical="top" wrapText="1"/>
    </xf>
    <xf numFmtId="0" fontId="37" fillId="0" borderId="9" xfId="0" applyFont="1" applyBorder="1" applyAlignment="1">
      <alignment vertical="top" wrapText="1"/>
    </xf>
    <xf numFmtId="0" fontId="37" fillId="0" borderId="20" xfId="0" applyFont="1" applyBorder="1" applyAlignment="1">
      <alignment horizontal="justify" vertical="top" wrapText="1"/>
    </xf>
    <xf numFmtId="0" fontId="37" fillId="0" borderId="1" xfId="5" applyFont="1" applyBorder="1" applyAlignment="1" applyProtection="1">
      <alignment horizontal="left" vertical="top" wrapText="1"/>
    </xf>
    <xf numFmtId="0" fontId="37" fillId="0" borderId="5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top" wrapText="1"/>
    </xf>
    <xf numFmtId="0" fontId="37" fillId="0" borderId="20" xfId="0" applyFont="1" applyBorder="1" applyAlignment="1">
      <alignment vertical="top" wrapText="1"/>
    </xf>
    <xf numFmtId="0" fontId="37" fillId="0" borderId="20" xfId="0" applyFont="1" applyBorder="1" applyAlignment="1">
      <alignment horizontal="justify" vertical="top"/>
    </xf>
    <xf numFmtId="0" fontId="37" fillId="0" borderId="20" xfId="0" applyFont="1" applyBorder="1" applyAlignment="1">
      <alignment vertical="top"/>
    </xf>
    <xf numFmtId="0" fontId="37" fillId="0" borderId="50" xfId="0" applyFont="1" applyBorder="1" applyAlignment="1">
      <alignment horizontal="justify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37" fillId="0" borderId="24" xfId="0" applyFont="1" applyBorder="1" applyAlignment="1">
      <alignment horizontal="left" vertical="top" wrapText="1"/>
    </xf>
    <xf numFmtId="0" fontId="3" fillId="19" borderId="38" xfId="0" applyFont="1" applyFill="1" applyBorder="1" applyAlignment="1">
      <alignment horizontal="left" vertical="top" wrapText="1"/>
    </xf>
    <xf numFmtId="0" fontId="37" fillId="19" borderId="38" xfId="0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18" fillId="4" borderId="6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49" fontId="46" fillId="2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top" wrapText="1"/>
    </xf>
    <xf numFmtId="0" fontId="51" fillId="0" borderId="1" xfId="0" applyFont="1" applyBorder="1" applyAlignment="1">
      <alignment horizontal="left" vertical="top" wrapText="1" indent="2"/>
    </xf>
    <xf numFmtId="1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51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50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3" fontId="58" fillId="19" borderId="1" xfId="0" applyNumberFormat="1" applyFont="1" applyFill="1" applyBorder="1" applyAlignment="1">
      <alignment horizontal="right" vertical="center"/>
    </xf>
    <xf numFmtId="3" fontId="51" fillId="19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5" borderId="1" xfId="0" applyNumberFormat="1" applyFont="1" applyFill="1" applyBorder="1" applyAlignment="1">
      <alignment horizontal="right" vertical="center"/>
    </xf>
    <xf numFmtId="3" fontId="51" fillId="12" borderId="1" xfId="0" applyNumberFormat="1" applyFont="1" applyFill="1" applyBorder="1" applyAlignment="1">
      <alignment horizontal="right" vertical="center"/>
    </xf>
    <xf numFmtId="3" fontId="51" fillId="21" borderId="1" xfId="0" applyNumberFormat="1" applyFont="1" applyFill="1" applyBorder="1" applyAlignment="1">
      <alignment horizontal="right" vertical="center"/>
    </xf>
    <xf numFmtId="3" fontId="51" fillId="13" borderId="1" xfId="0" applyNumberFormat="1" applyFont="1" applyFill="1" applyBorder="1" applyAlignment="1">
      <alignment horizontal="right" vertical="center"/>
    </xf>
    <xf numFmtId="3" fontId="51" fillId="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 wrapText="1"/>
    </xf>
    <xf numFmtId="3" fontId="59" fillId="0" borderId="1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43" fillId="0" borderId="15" xfId="0" applyNumberFormat="1" applyFont="1" applyBorder="1" applyAlignment="1">
      <alignment horizontal="right" vertical="center"/>
    </xf>
    <xf numFmtId="3" fontId="45" fillId="19" borderId="21" xfId="0" applyNumberFormat="1" applyFont="1" applyFill="1" applyBorder="1" applyAlignment="1">
      <alignment horizontal="right" vertical="center"/>
    </xf>
    <xf numFmtId="3" fontId="43" fillId="19" borderId="15" xfId="0" applyNumberFormat="1" applyFont="1" applyFill="1" applyBorder="1" applyAlignment="1">
      <alignment horizontal="right" vertical="center"/>
    </xf>
    <xf numFmtId="0" fontId="60" fillId="0" borderId="1" xfId="0" applyFont="1" applyFill="1" applyBorder="1" applyAlignment="1"/>
    <xf numFmtId="49" fontId="5" fillId="2" borderId="41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3" fontId="61" fillId="0" borderId="1" xfId="0" applyNumberFormat="1" applyFont="1" applyFill="1" applyBorder="1" applyAlignment="1"/>
    <xf numFmtId="0" fontId="37" fillId="0" borderId="1" xfId="0" applyFont="1" applyBorder="1" applyAlignment="1">
      <alignment vertical="top" wrapText="1"/>
    </xf>
    <xf numFmtId="0" fontId="37" fillId="0" borderId="5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6" fillId="0" borderId="38" xfId="0" applyFont="1" applyBorder="1" applyAlignment="1">
      <alignment wrapText="1"/>
    </xf>
    <xf numFmtId="49" fontId="3" fillId="2" borderId="45" xfId="0" applyNumberFormat="1" applyFont="1" applyFill="1" applyBorder="1" applyAlignment="1">
      <alignment horizontal="center" wrapText="1"/>
    </xf>
    <xf numFmtId="0" fontId="56" fillId="0" borderId="47" xfId="0" applyFont="1" applyBorder="1"/>
    <xf numFmtId="49" fontId="37" fillId="0" borderId="1" xfId="0" applyNumberFormat="1" applyFont="1" applyBorder="1" applyAlignment="1">
      <alignment wrapText="1"/>
    </xf>
    <xf numFmtId="0" fontId="9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51" fillId="14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3" fillId="19" borderId="1" xfId="0" applyNumberFormat="1" applyFont="1" applyFill="1" applyBorder="1" applyAlignment="1">
      <alignment vertical="center"/>
    </xf>
    <xf numFmtId="3" fontId="27" fillId="0" borderId="0" xfId="0" applyNumberFormat="1" applyFont="1"/>
    <xf numFmtId="3" fontId="51" fillId="7" borderId="1" xfId="0" applyNumberFormat="1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left" wrapText="1"/>
    </xf>
    <xf numFmtId="0" fontId="3" fillId="0" borderId="21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/>
    </xf>
    <xf numFmtId="0" fontId="3" fillId="24" borderId="0" xfId="0" applyFont="1" applyFill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>
      <alignment horizontal="center" vertical="center" wrapText="1"/>
    </xf>
    <xf numFmtId="49" fontId="18" fillId="2" borderId="3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3" fillId="2" borderId="46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3" fontId="3" fillId="0" borderId="47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49" fillId="0" borderId="1" xfId="0" applyNumberFormat="1" applyFont="1" applyBorder="1" applyAlignment="1">
      <alignment horizontal="right" vertical="top" wrapText="1"/>
    </xf>
    <xf numFmtId="49" fontId="5" fillId="0" borderId="19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9" fontId="26" fillId="0" borderId="1" xfId="0" applyNumberFormat="1" applyFont="1" applyBorder="1" applyAlignment="1">
      <alignment horizontal="left" vertical="top" wrapText="1" indent="2"/>
    </xf>
    <xf numFmtId="3" fontId="62" fillId="0" borderId="1" xfId="0" applyNumberFormat="1" applyFont="1" applyFill="1" applyBorder="1" applyAlignment="1">
      <alignment horizontal="right" vertical="center"/>
    </xf>
    <xf numFmtId="3" fontId="62" fillId="0" borderId="1" xfId="0" applyNumberFormat="1" applyFont="1" applyBorder="1" applyAlignment="1">
      <alignment horizontal="right" vertical="center"/>
    </xf>
    <xf numFmtId="3" fontId="63" fillId="0" borderId="1" xfId="0" applyNumberFormat="1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49" fontId="56" fillId="19" borderId="34" xfId="0" applyNumberFormat="1" applyFont="1" applyFill="1" applyBorder="1" applyAlignment="1">
      <alignment horizontal="left" vertical="center" wrapText="1"/>
    </xf>
    <xf numFmtId="0" fontId="61" fillId="0" borderId="14" xfId="0" applyFont="1" applyFill="1" applyBorder="1" applyAlignment="1"/>
    <xf numFmtId="3" fontId="61" fillId="0" borderId="14" xfId="0" applyNumberFormat="1" applyFont="1" applyFill="1" applyBorder="1" applyAlignment="1"/>
    <xf numFmtId="0" fontId="55" fillId="19" borderId="1" xfId="0" applyFont="1" applyFill="1" applyBorder="1"/>
    <xf numFmtId="3" fontId="55" fillId="19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wrapText="1"/>
    </xf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justify" shrinkToFit="1"/>
    </xf>
    <xf numFmtId="0" fontId="4" fillId="0" borderId="12" xfId="0" applyFont="1" applyBorder="1" applyAlignment="1">
      <alignment shrinkToFit="1"/>
    </xf>
    <xf numFmtId="0" fontId="14" fillId="0" borderId="1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54" fillId="0" borderId="3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3" fillId="0" borderId="6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3" fontId="37" fillId="0" borderId="9" xfId="0" applyNumberFormat="1" applyFont="1" applyBorder="1" applyAlignment="1">
      <alignment horizontal="right" wrapText="1"/>
    </xf>
    <xf numFmtId="3" fontId="54" fillId="0" borderId="9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5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center" wrapText="1"/>
    </xf>
    <xf numFmtId="0" fontId="46" fillId="0" borderId="21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center" vertical="top" wrapText="1"/>
    </xf>
    <xf numFmtId="0" fontId="46" fillId="0" borderId="2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6" fillId="0" borderId="21" xfId="0" applyNumberFormat="1" applyFont="1" applyBorder="1" applyAlignment="1">
      <alignment horizontal="center" vertical="top" wrapText="1"/>
    </xf>
    <xf numFmtId="167" fontId="46" fillId="0" borderId="22" xfId="0" applyNumberFormat="1" applyFont="1" applyBorder="1" applyAlignment="1">
      <alignment horizontal="center" vertical="top" wrapText="1"/>
    </xf>
    <xf numFmtId="167" fontId="46" fillId="0" borderId="23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168" fontId="46" fillId="0" borderId="45" xfId="0" applyNumberFormat="1" applyFont="1" applyBorder="1" applyAlignment="1">
      <alignment horizontal="left" wrapText="1"/>
    </xf>
    <xf numFmtId="168" fontId="46" fillId="0" borderId="46" xfId="0" applyNumberFormat="1" applyFont="1" applyBorder="1" applyAlignment="1">
      <alignment horizontal="left" wrapText="1"/>
    </xf>
    <xf numFmtId="168" fontId="37" fillId="0" borderId="21" xfId="0" applyNumberFormat="1" applyFont="1" applyBorder="1" applyAlignment="1">
      <alignment horizontal="left" wrapText="1"/>
    </xf>
    <xf numFmtId="168" fontId="37" fillId="0" borderId="23" xfId="0" applyNumberFormat="1" applyFont="1" applyBorder="1" applyAlignment="1">
      <alignment horizontal="left" wrapText="1"/>
    </xf>
    <xf numFmtId="0" fontId="37" fillId="0" borderId="48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168" fontId="37" fillId="0" borderId="5" xfId="0" applyNumberFormat="1" applyFont="1" applyBorder="1" applyAlignment="1">
      <alignment horizontal="left" wrapText="1"/>
    </xf>
    <xf numFmtId="168" fontId="37" fillId="0" borderId="1" xfId="0" applyNumberFormat="1" applyFont="1" applyBorder="1" applyAlignment="1">
      <alignment horizontal="left" wrapText="1"/>
    </xf>
    <xf numFmtId="168" fontId="46" fillId="0" borderId="48" xfId="0" applyNumberFormat="1" applyFont="1" applyBorder="1" applyAlignment="1">
      <alignment horizontal="left" wrapText="1"/>
    </xf>
    <xf numFmtId="168" fontId="46" fillId="0" borderId="23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left" wrapText="1"/>
    </xf>
    <xf numFmtId="0" fontId="46" fillId="0" borderId="23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68" fontId="3" fillId="0" borderId="21" xfId="0" applyNumberFormat="1" applyFont="1" applyBorder="1" applyAlignment="1">
      <alignment horizontal="left" wrapText="1"/>
    </xf>
    <xf numFmtId="168" fontId="3" fillId="0" borderId="23" xfId="0" applyNumberFormat="1" applyFont="1" applyBorder="1" applyAlignment="1">
      <alignment horizontal="left" wrapText="1"/>
    </xf>
    <xf numFmtId="168" fontId="5" fillId="0" borderId="1" xfId="0" applyNumberFormat="1" applyFont="1" applyBorder="1" applyAlignment="1">
      <alignment horizontal="left" wrapText="1"/>
    </xf>
    <xf numFmtId="0" fontId="33" fillId="17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0" fillId="0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relativeIndent="0" shrinkToFit="0"/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8"/>
  <sheetViews>
    <sheetView showGridLines="0" view="pageBreakPreview" topLeftCell="A7" zoomScaleSheetLayoutView="100" workbookViewId="0">
      <selection activeCell="O41" sqref="O41"/>
    </sheetView>
  </sheetViews>
  <sheetFormatPr defaultColWidth="9.140625" defaultRowHeight="15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21" style="1" hidden="1" customWidth="1"/>
    <col min="11" max="11" width="15.42578125" style="1" hidden="1" customWidth="1"/>
    <col min="12" max="12" width="15.42578125" style="1" customWidth="1"/>
    <col min="13" max="16384" width="9.140625" style="1"/>
  </cols>
  <sheetData>
    <row r="1" spans="1:12" ht="15.75">
      <c r="G1" s="682" t="s">
        <v>0</v>
      </c>
      <c r="H1" s="682"/>
      <c r="I1" s="682"/>
      <c r="J1" s="682"/>
      <c r="K1" s="682"/>
      <c r="L1" s="682"/>
    </row>
    <row r="2" spans="1:12" ht="15.75">
      <c r="G2" s="682" t="s">
        <v>1</v>
      </c>
      <c r="H2" s="682"/>
      <c r="I2" s="682"/>
      <c r="J2" s="682"/>
      <c r="K2" s="682"/>
      <c r="L2" s="682"/>
    </row>
    <row r="3" spans="1:12" ht="15.75">
      <c r="G3" s="682" t="s">
        <v>2</v>
      </c>
      <c r="H3" s="682"/>
      <c r="I3" s="682"/>
      <c r="J3" s="682"/>
      <c r="K3" s="682"/>
      <c r="L3" s="682"/>
    </row>
    <row r="4" spans="1:12" ht="15.75">
      <c r="G4" s="682" t="s">
        <v>1818</v>
      </c>
      <c r="H4" s="682"/>
      <c r="I4" s="682"/>
      <c r="J4" s="682"/>
      <c r="K4" s="682"/>
      <c r="L4" s="682"/>
    </row>
    <row r="5" spans="1:12" ht="15.75">
      <c r="G5" s="4"/>
      <c r="H5" s="5"/>
    </row>
    <row r="6" spans="1:12" ht="50.25" customHeight="1">
      <c r="A6" s="683" t="s">
        <v>1412</v>
      </c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</row>
    <row r="7" spans="1:12" ht="18" customHeight="1">
      <c r="G7" s="7"/>
      <c r="H7" s="8"/>
      <c r="I7" s="8"/>
    </row>
    <row r="8" spans="1:12" ht="18.75" hidden="1">
      <c r="G8" s="7"/>
      <c r="H8" s="8"/>
      <c r="I8" s="8"/>
    </row>
    <row r="9" spans="1:12" ht="15.75" customHeight="1">
      <c r="A9" s="684" t="s">
        <v>3</v>
      </c>
      <c r="B9" s="684"/>
      <c r="C9" s="684"/>
      <c r="D9" s="684"/>
      <c r="E9" s="684"/>
      <c r="F9" s="684"/>
      <c r="G9" s="684"/>
      <c r="H9" s="684"/>
      <c r="I9" s="681" t="s">
        <v>4</v>
      </c>
      <c r="J9" s="681" t="s">
        <v>5</v>
      </c>
      <c r="K9" s="681" t="s">
        <v>843</v>
      </c>
      <c r="L9" s="681" t="s">
        <v>5</v>
      </c>
    </row>
    <row r="10" spans="1:12" ht="131.25" customHeight="1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681"/>
      <c r="J10" s="681"/>
      <c r="K10" s="681"/>
      <c r="L10" s="681"/>
    </row>
    <row r="11" spans="1:12" s="13" customFormat="1" ht="18.75" customHeight="1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1605</v>
      </c>
      <c r="J11" s="16">
        <f>J12+J14+J16+J20+J24+J31+J34+J36+J42+J43</f>
        <v>216543900</v>
      </c>
      <c r="K11" s="16">
        <f>K12+K14+K16+K20+K24+K31+K34+K36+K42+K43</f>
        <v>1000000</v>
      </c>
      <c r="L11" s="16">
        <f>SUM(J11:K11)</f>
        <v>217543900</v>
      </c>
    </row>
    <row r="12" spans="1:12" s="13" customFormat="1" ht="19.5" customHeight="1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f>J13</f>
        <v>109653000</v>
      </c>
      <c r="K12" s="17">
        <f t="shared" ref="K12" si="0">K13</f>
        <v>0</v>
      </c>
      <c r="L12" s="16">
        <f t="shared" ref="L12:L95" si="1">SUM(J12:K12)</f>
        <v>109653000</v>
      </c>
    </row>
    <row r="13" spans="1:12" s="13" customFormat="1" ht="18.75" customHeight="1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/>
      <c r="L13" s="412">
        <f t="shared" si="1"/>
        <v>109653000</v>
      </c>
    </row>
    <row r="14" spans="1:12" s="13" customFormat="1" ht="47.25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f>J15</f>
        <v>7833000</v>
      </c>
      <c r="K14" s="17">
        <f t="shared" ref="K14" si="2">K15</f>
        <v>0</v>
      </c>
      <c r="L14" s="16">
        <f t="shared" si="1"/>
        <v>7833000</v>
      </c>
    </row>
    <row r="15" spans="1:12" s="13" customFormat="1" ht="47.25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7833000</v>
      </c>
      <c r="K15" s="20"/>
      <c r="L15" s="412">
        <f t="shared" si="1"/>
        <v>7833000</v>
      </c>
    </row>
    <row r="16" spans="1:12" ht="21.75" customHeight="1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f>J17+J18+J19</f>
        <v>11904000</v>
      </c>
      <c r="K16" s="23">
        <f t="shared" ref="K16" si="3">K17+K18+K19</f>
        <v>0</v>
      </c>
      <c r="L16" s="16">
        <f t="shared" si="1"/>
        <v>11904000</v>
      </c>
    </row>
    <row r="17" spans="1:12" ht="31.5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/>
      <c r="L17" s="412">
        <f t="shared" si="1"/>
        <v>11430000</v>
      </c>
    </row>
    <row r="18" spans="1:12" ht="22.5" customHeight="1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209000</v>
      </c>
      <c r="K18" s="20"/>
      <c r="L18" s="412">
        <f t="shared" si="1"/>
        <v>209000</v>
      </c>
    </row>
    <row r="19" spans="1:12" ht="31.5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265000</v>
      </c>
      <c r="K19" s="26"/>
      <c r="L19" s="412">
        <f t="shared" si="1"/>
        <v>265000</v>
      </c>
    </row>
    <row r="20" spans="1:12" ht="20.25" customHeight="1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f>J21+J22</f>
        <v>6400000</v>
      </c>
      <c r="K20" s="23">
        <f t="shared" ref="K20" si="4">K21+K22</f>
        <v>0</v>
      </c>
      <c r="L20" s="16">
        <f t="shared" si="1"/>
        <v>6400000</v>
      </c>
    </row>
    <row r="21" spans="1:12" ht="46.5" customHeight="1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6300000</v>
      </c>
      <c r="K21" s="20"/>
      <c r="L21" s="412">
        <f t="shared" si="1"/>
        <v>6300000</v>
      </c>
    </row>
    <row r="22" spans="1:12" ht="48" customHeight="1">
      <c r="A22" s="24" t="s">
        <v>1444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100000</v>
      </c>
      <c r="K22" s="20"/>
      <c r="L22" s="412">
        <f t="shared" si="1"/>
        <v>100000</v>
      </c>
    </row>
    <row r="23" spans="1:12" ht="0.75" hidden="1" customHeight="1">
      <c r="A23" s="21" t="s">
        <v>20</v>
      </c>
      <c r="B23" s="21" t="s">
        <v>15</v>
      </c>
      <c r="C23" s="21" t="s">
        <v>40</v>
      </c>
      <c r="D23" s="21"/>
      <c r="E23" s="21" t="s">
        <v>41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0</v>
      </c>
      <c r="K23" s="23"/>
      <c r="L23" s="16">
        <f t="shared" si="1"/>
        <v>0</v>
      </c>
    </row>
    <row r="24" spans="1:12" ht="47.25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f>J25+J27</f>
        <v>11790000</v>
      </c>
      <c r="K24" s="23">
        <f t="shared" ref="K24" si="5">K25+K27</f>
        <v>0</v>
      </c>
      <c r="L24" s="16">
        <f t="shared" si="1"/>
        <v>11790000</v>
      </c>
    </row>
    <row r="25" spans="1:12" ht="109.5" customHeight="1">
      <c r="A25" s="447" t="s">
        <v>45</v>
      </c>
      <c r="B25" s="447" t="s">
        <v>15</v>
      </c>
      <c r="C25" s="447" t="s">
        <v>43</v>
      </c>
      <c r="D25" s="447" t="s">
        <v>18</v>
      </c>
      <c r="E25" s="447" t="s">
        <v>14</v>
      </c>
      <c r="F25" s="447" t="s">
        <v>16</v>
      </c>
      <c r="G25" s="448" t="s">
        <v>17</v>
      </c>
      <c r="H25" s="448" t="s">
        <v>46</v>
      </c>
      <c r="I25" s="449" t="s">
        <v>47</v>
      </c>
      <c r="J25" s="450">
        <f>J26</f>
        <v>100000</v>
      </c>
      <c r="K25" s="450">
        <f t="shared" ref="K25" si="6">K26</f>
        <v>0</v>
      </c>
      <c r="L25" s="451">
        <f t="shared" si="1"/>
        <v>100000</v>
      </c>
    </row>
    <row r="26" spans="1:12" ht="82.5" customHeight="1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/>
      <c r="L26" s="412">
        <f t="shared" si="1"/>
        <v>100000</v>
      </c>
    </row>
    <row r="27" spans="1:12" s="27" customFormat="1" ht="129.75" customHeight="1">
      <c r="A27" s="447" t="s">
        <v>14</v>
      </c>
      <c r="B27" s="447" t="s">
        <v>15</v>
      </c>
      <c r="C27" s="447" t="s">
        <v>43</v>
      </c>
      <c r="D27" s="447" t="s">
        <v>28</v>
      </c>
      <c r="E27" s="447" t="s">
        <v>14</v>
      </c>
      <c r="F27" s="447" t="s">
        <v>16</v>
      </c>
      <c r="G27" s="448" t="s">
        <v>17</v>
      </c>
      <c r="H27" s="448" t="s">
        <v>46</v>
      </c>
      <c r="I27" s="449" t="s">
        <v>50</v>
      </c>
      <c r="J27" s="452">
        <f>J28+J29+J30</f>
        <v>11690000</v>
      </c>
      <c r="K27" s="452">
        <f t="shared" ref="K27" si="7">K29+K30</f>
        <v>0</v>
      </c>
      <c r="L27" s="451">
        <f t="shared" si="1"/>
        <v>11690000</v>
      </c>
    </row>
    <row r="28" spans="1:12" s="27" customFormat="1" ht="102" customHeight="1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3150000</v>
      </c>
      <c r="K28" s="452"/>
      <c r="L28" s="412">
        <f t="shared" si="1"/>
        <v>3150000</v>
      </c>
    </row>
    <row r="29" spans="1:12" s="27" customFormat="1" ht="96" customHeight="1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6040000</v>
      </c>
      <c r="K29" s="26"/>
      <c r="L29" s="412">
        <f t="shared" si="1"/>
        <v>6040000</v>
      </c>
    </row>
    <row r="30" spans="1:12" s="27" customFormat="1" ht="54.75" customHeight="1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2500000</v>
      </c>
      <c r="K30" s="26"/>
      <c r="L30" s="412">
        <f t="shared" si="1"/>
        <v>2500000</v>
      </c>
    </row>
    <row r="31" spans="1:12" s="27" customFormat="1" ht="31.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f>J32+J33</f>
        <v>569000</v>
      </c>
      <c r="K31" s="23">
        <f t="shared" ref="K31" si="8">K32+K33</f>
        <v>0</v>
      </c>
      <c r="L31" s="16">
        <f t="shared" si="1"/>
        <v>569000</v>
      </c>
    </row>
    <row r="32" spans="1:12" ht="31.5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569000</v>
      </c>
      <c r="K32" s="20"/>
      <c r="L32" s="412">
        <f t="shared" si="1"/>
        <v>569000</v>
      </c>
    </row>
    <row r="33" spans="1:12" ht="0.75" customHeight="1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0</v>
      </c>
      <c r="L33" s="16">
        <f t="shared" si="1"/>
        <v>0</v>
      </c>
    </row>
    <row r="34" spans="1:12" ht="39" customHeight="1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f>J35</f>
        <v>60576900</v>
      </c>
      <c r="K34" s="23">
        <f t="shared" ref="K34" si="9">K35</f>
        <v>1000000</v>
      </c>
      <c r="L34" s="16">
        <f t="shared" si="1"/>
        <v>61576900</v>
      </c>
    </row>
    <row r="35" spans="1:12" ht="51" customHeight="1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60576900</v>
      </c>
      <c r="K35" s="20">
        <v>1000000</v>
      </c>
      <c r="L35" s="412">
        <f t="shared" si="1"/>
        <v>61576900</v>
      </c>
    </row>
    <row r="36" spans="1:12" ht="31.5">
      <c r="A36" s="21" t="s">
        <v>14</v>
      </c>
      <c r="B36" s="21" t="s">
        <v>15</v>
      </c>
      <c r="C36" s="21" t="s">
        <v>65</v>
      </c>
      <c r="D36" s="21" t="s">
        <v>16</v>
      </c>
      <c r="E36" s="21" t="s">
        <v>14</v>
      </c>
      <c r="F36" s="21" t="s">
        <v>16</v>
      </c>
      <c r="G36" s="22" t="s">
        <v>17</v>
      </c>
      <c r="H36" s="22" t="s">
        <v>14</v>
      </c>
      <c r="I36" s="15" t="s">
        <v>66</v>
      </c>
      <c r="J36" s="23">
        <f>J37+J38</f>
        <v>5600000</v>
      </c>
      <c r="K36" s="23">
        <f t="shared" ref="K36" si="10">K37+K38</f>
        <v>0</v>
      </c>
      <c r="L36" s="16">
        <f t="shared" si="1"/>
        <v>5600000</v>
      </c>
    </row>
    <row r="37" spans="1:12" ht="115.5" customHeight="1">
      <c r="A37" s="24" t="s">
        <v>45</v>
      </c>
      <c r="B37" s="24" t="s">
        <v>15</v>
      </c>
      <c r="C37" s="24" t="s">
        <v>65</v>
      </c>
      <c r="D37" s="24" t="s">
        <v>21</v>
      </c>
      <c r="E37" s="24" t="s">
        <v>14</v>
      </c>
      <c r="F37" s="24" t="s">
        <v>16</v>
      </c>
      <c r="G37" s="25" t="s">
        <v>17</v>
      </c>
      <c r="H37" s="25" t="s">
        <v>14</v>
      </c>
      <c r="I37" s="19" t="s">
        <v>67</v>
      </c>
      <c r="J37" s="20">
        <v>3000000</v>
      </c>
      <c r="K37" s="20"/>
      <c r="L37" s="412">
        <f t="shared" si="1"/>
        <v>3000000</v>
      </c>
    </row>
    <row r="38" spans="1:12" ht="47.25">
      <c r="A38" s="447" t="s">
        <v>14</v>
      </c>
      <c r="B38" s="447" t="s">
        <v>15</v>
      </c>
      <c r="C38" s="447" t="s">
        <v>65</v>
      </c>
      <c r="D38" s="447" t="s">
        <v>68</v>
      </c>
      <c r="E38" s="447" t="s">
        <v>14</v>
      </c>
      <c r="F38" s="447" t="s">
        <v>16</v>
      </c>
      <c r="G38" s="448" t="s">
        <v>17</v>
      </c>
      <c r="H38" s="448" t="s">
        <v>69</v>
      </c>
      <c r="I38" s="449" t="s">
        <v>70</v>
      </c>
      <c r="J38" s="450">
        <f>J39+J40+J41</f>
        <v>2600000</v>
      </c>
      <c r="K38" s="450"/>
      <c r="L38" s="451">
        <f t="shared" si="1"/>
        <v>2600000</v>
      </c>
    </row>
    <row r="39" spans="1:12" ht="81" customHeight="1">
      <c r="A39" s="24" t="s">
        <v>45</v>
      </c>
      <c r="B39" s="24" t="s">
        <v>15</v>
      </c>
      <c r="C39" s="24" t="s">
        <v>65</v>
      </c>
      <c r="D39" s="24" t="s">
        <v>68</v>
      </c>
      <c r="E39" s="24" t="s">
        <v>71</v>
      </c>
      <c r="F39" s="24" t="s">
        <v>28</v>
      </c>
      <c r="G39" s="25" t="s">
        <v>17</v>
      </c>
      <c r="H39" s="25" t="s">
        <v>69</v>
      </c>
      <c r="I39" s="19" t="s">
        <v>1350</v>
      </c>
      <c r="J39" s="20">
        <v>1500000</v>
      </c>
      <c r="K39" s="20"/>
      <c r="L39" s="412">
        <f t="shared" si="1"/>
        <v>1500000</v>
      </c>
    </row>
    <row r="40" spans="1:12" ht="66.75" customHeight="1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60</v>
      </c>
      <c r="G40" s="25" t="s">
        <v>17</v>
      </c>
      <c r="H40" s="25" t="s">
        <v>69</v>
      </c>
      <c r="I40" s="19" t="s">
        <v>73</v>
      </c>
      <c r="J40" s="20">
        <v>500000</v>
      </c>
      <c r="K40" s="20"/>
      <c r="L40" s="412">
        <f t="shared" si="1"/>
        <v>500000</v>
      </c>
    </row>
    <row r="41" spans="1:12" ht="77.25" customHeight="1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74</v>
      </c>
      <c r="F41" s="24" t="s">
        <v>28</v>
      </c>
      <c r="G41" s="25" t="s">
        <v>17</v>
      </c>
      <c r="H41" s="25" t="s">
        <v>69</v>
      </c>
      <c r="I41" s="19" t="s">
        <v>75</v>
      </c>
      <c r="J41" s="20">
        <v>600000</v>
      </c>
      <c r="K41" s="20">
        <v>0</v>
      </c>
      <c r="L41" s="16">
        <f t="shared" si="1"/>
        <v>600000</v>
      </c>
    </row>
    <row r="42" spans="1:12" ht="18.75" customHeight="1">
      <c r="A42" s="21" t="s">
        <v>14</v>
      </c>
      <c r="B42" s="21" t="s">
        <v>15</v>
      </c>
      <c r="C42" s="21" t="s">
        <v>76</v>
      </c>
      <c r="D42" s="21" t="s">
        <v>16</v>
      </c>
      <c r="E42" s="21" t="s">
        <v>14</v>
      </c>
      <c r="F42" s="21" t="s">
        <v>16</v>
      </c>
      <c r="G42" s="22" t="s">
        <v>17</v>
      </c>
      <c r="H42" s="22" t="s">
        <v>14</v>
      </c>
      <c r="I42" s="15" t="s">
        <v>77</v>
      </c>
      <c r="J42" s="23">
        <v>2218000</v>
      </c>
      <c r="K42" s="23"/>
      <c r="L42" s="16">
        <f t="shared" si="1"/>
        <v>2218000</v>
      </c>
    </row>
    <row r="43" spans="1:12" ht="0.75" hidden="1" customHeight="1">
      <c r="A43" s="21" t="s">
        <v>14</v>
      </c>
      <c r="B43" s="21" t="s">
        <v>15</v>
      </c>
      <c r="C43" s="21" t="s">
        <v>78</v>
      </c>
      <c r="D43" s="21" t="s">
        <v>16</v>
      </c>
      <c r="E43" s="21" t="s">
        <v>41</v>
      </c>
      <c r="F43" s="21" t="s">
        <v>16</v>
      </c>
      <c r="G43" s="22" t="s">
        <v>17</v>
      </c>
      <c r="H43" s="22" t="s">
        <v>14</v>
      </c>
      <c r="I43" s="15" t="s">
        <v>79</v>
      </c>
      <c r="J43" s="23">
        <v>0</v>
      </c>
      <c r="K43" s="23">
        <v>0</v>
      </c>
      <c r="L43" s="16">
        <f t="shared" si="1"/>
        <v>0</v>
      </c>
    </row>
    <row r="44" spans="1:12" ht="22.5" customHeight="1">
      <c r="A44" s="21" t="s">
        <v>14</v>
      </c>
      <c r="B44" s="21" t="s">
        <v>80</v>
      </c>
      <c r="C44" s="21" t="s">
        <v>16</v>
      </c>
      <c r="D44" s="21" t="s">
        <v>16</v>
      </c>
      <c r="E44" s="21" t="s">
        <v>14</v>
      </c>
      <c r="F44" s="21" t="s">
        <v>16</v>
      </c>
      <c r="G44" s="28" t="s">
        <v>17</v>
      </c>
      <c r="H44" s="28" t="s">
        <v>14</v>
      </c>
      <c r="I44" s="29" t="s">
        <v>81</v>
      </c>
      <c r="J44" s="23">
        <f>J45</f>
        <v>1908908845</v>
      </c>
      <c r="K44" s="23">
        <f t="shared" ref="K44" si="11">K45</f>
        <v>25116985</v>
      </c>
      <c r="L44" s="16">
        <f t="shared" si="1"/>
        <v>1934025830</v>
      </c>
    </row>
    <row r="45" spans="1:12" ht="47.25">
      <c r="A45" s="21" t="s">
        <v>14</v>
      </c>
      <c r="B45" s="21" t="s">
        <v>80</v>
      </c>
      <c r="C45" s="21" t="s">
        <v>21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82</v>
      </c>
      <c r="J45" s="23">
        <f>J46+J52+J60+J102</f>
        <v>1908908845</v>
      </c>
      <c r="K45" s="23">
        <f>K46+K52+K60+K102</f>
        <v>25116985</v>
      </c>
      <c r="L45" s="16">
        <f t="shared" si="1"/>
        <v>1934025830</v>
      </c>
    </row>
    <row r="46" spans="1:12" ht="31.5">
      <c r="A46" s="21" t="s">
        <v>14</v>
      </c>
      <c r="B46" s="21" t="s">
        <v>80</v>
      </c>
      <c r="C46" s="21" t="s">
        <v>21</v>
      </c>
      <c r="D46" s="21" t="s">
        <v>72</v>
      </c>
      <c r="E46" s="21" t="s">
        <v>14</v>
      </c>
      <c r="F46" s="21" t="s">
        <v>16</v>
      </c>
      <c r="G46" s="28" t="s">
        <v>17</v>
      </c>
      <c r="H46" s="28" t="s">
        <v>1445</v>
      </c>
      <c r="I46" s="29" t="s">
        <v>84</v>
      </c>
      <c r="J46" s="23">
        <f>J47+J48+J49+J50+J51</f>
        <v>506806000</v>
      </c>
      <c r="K46" s="23">
        <f>K47+K48+K49+K50+K51</f>
        <v>0</v>
      </c>
      <c r="L46" s="23">
        <f>L47+L48+L49+L50+L51</f>
        <v>506806000</v>
      </c>
    </row>
    <row r="47" spans="1:12" ht="46.5" customHeight="1">
      <c r="A47" s="24" t="s">
        <v>85</v>
      </c>
      <c r="B47" s="24" t="s">
        <v>80</v>
      </c>
      <c r="C47" s="24" t="s">
        <v>21</v>
      </c>
      <c r="D47" s="24" t="s">
        <v>848</v>
      </c>
      <c r="E47" s="24" t="s">
        <v>86</v>
      </c>
      <c r="F47" s="24" t="s">
        <v>28</v>
      </c>
      <c r="G47" s="30" t="s">
        <v>17</v>
      </c>
      <c r="H47" s="30" t="s">
        <v>1445</v>
      </c>
      <c r="I47" s="31" t="s">
        <v>87</v>
      </c>
      <c r="J47" s="20">
        <v>438952000</v>
      </c>
      <c r="K47" s="20"/>
      <c r="L47" s="412">
        <f t="shared" si="1"/>
        <v>438952000</v>
      </c>
    </row>
    <row r="48" spans="1:12" ht="48" hidden="1" customHeight="1">
      <c r="A48" s="24" t="s">
        <v>85</v>
      </c>
      <c r="B48" s="24" t="s">
        <v>80</v>
      </c>
      <c r="C48" s="24" t="s">
        <v>21</v>
      </c>
      <c r="D48" s="24" t="s">
        <v>848</v>
      </c>
      <c r="E48" s="24" t="s">
        <v>86</v>
      </c>
      <c r="F48" s="24" t="s">
        <v>28</v>
      </c>
      <c r="G48" s="30" t="s">
        <v>17</v>
      </c>
      <c r="H48" s="30" t="s">
        <v>1445</v>
      </c>
      <c r="I48" s="31" t="s">
        <v>88</v>
      </c>
      <c r="J48" s="20">
        <v>0</v>
      </c>
      <c r="K48" s="20"/>
      <c r="L48" s="412">
        <f t="shared" si="1"/>
        <v>0</v>
      </c>
    </row>
    <row r="49" spans="1:12" ht="52.15" customHeight="1">
      <c r="A49" s="24" t="s">
        <v>85</v>
      </c>
      <c r="B49" s="24" t="s">
        <v>80</v>
      </c>
      <c r="C49" s="24" t="s">
        <v>21</v>
      </c>
      <c r="D49" s="24" t="s">
        <v>848</v>
      </c>
      <c r="E49" s="24" t="s">
        <v>1268</v>
      </c>
      <c r="F49" s="24" t="s">
        <v>28</v>
      </c>
      <c r="G49" s="30" t="s">
        <v>17</v>
      </c>
      <c r="H49" s="30" t="s">
        <v>1445</v>
      </c>
      <c r="I49" s="31" t="s">
        <v>90</v>
      </c>
      <c r="J49" s="20">
        <v>62854000</v>
      </c>
      <c r="K49" s="20"/>
      <c r="L49" s="412">
        <f t="shared" si="1"/>
        <v>62854000</v>
      </c>
    </row>
    <row r="50" spans="1:12" ht="21" hidden="1" customHeight="1">
      <c r="A50" s="24" t="s">
        <v>85</v>
      </c>
      <c r="B50" s="24" t="s">
        <v>80</v>
      </c>
      <c r="C50" s="24" t="s">
        <v>21</v>
      </c>
      <c r="D50" s="24"/>
      <c r="E50" s="24" t="s">
        <v>91</v>
      </c>
      <c r="F50" s="24" t="s">
        <v>28</v>
      </c>
      <c r="G50" s="30" t="s">
        <v>92</v>
      </c>
      <c r="H50" s="30" t="s">
        <v>83</v>
      </c>
      <c r="I50" s="31" t="s">
        <v>93</v>
      </c>
      <c r="J50" s="20">
        <v>0</v>
      </c>
      <c r="K50" s="20">
        <v>0</v>
      </c>
      <c r="L50" s="412">
        <f t="shared" si="1"/>
        <v>0</v>
      </c>
    </row>
    <row r="51" spans="1:12" ht="66" customHeight="1">
      <c r="A51" s="24" t="s">
        <v>85</v>
      </c>
      <c r="B51" s="24" t="s">
        <v>80</v>
      </c>
      <c r="C51" s="24" t="s">
        <v>21</v>
      </c>
      <c r="D51" s="24" t="s">
        <v>1806</v>
      </c>
      <c r="E51" s="24" t="s">
        <v>101</v>
      </c>
      <c r="F51" s="24" t="s">
        <v>28</v>
      </c>
      <c r="G51" s="30" t="s">
        <v>1807</v>
      </c>
      <c r="H51" s="30" t="s">
        <v>1445</v>
      </c>
      <c r="I51" s="31" t="s">
        <v>1805</v>
      </c>
      <c r="J51" s="20">
        <v>5000000</v>
      </c>
      <c r="K51" s="20"/>
      <c r="L51" s="412">
        <f t="shared" si="1"/>
        <v>5000000</v>
      </c>
    </row>
    <row r="52" spans="1:12" ht="51" customHeight="1">
      <c r="A52" s="21" t="s">
        <v>14</v>
      </c>
      <c r="B52" s="21" t="s">
        <v>80</v>
      </c>
      <c r="C52" s="21" t="s">
        <v>21</v>
      </c>
      <c r="D52" s="21" t="s">
        <v>1269</v>
      </c>
      <c r="E52" s="21" t="s">
        <v>14</v>
      </c>
      <c r="F52" s="21" t="s">
        <v>16</v>
      </c>
      <c r="G52" s="28" t="s">
        <v>17</v>
      </c>
      <c r="H52" s="28" t="s">
        <v>1445</v>
      </c>
      <c r="I52" s="29" t="s">
        <v>94</v>
      </c>
      <c r="J52" s="23">
        <f>SUM(J53:J59)</f>
        <v>54098120</v>
      </c>
      <c r="K52" s="23">
        <f>SUM(K53:K59)</f>
        <v>144043</v>
      </c>
      <c r="L52" s="16">
        <f t="shared" si="1"/>
        <v>54242163</v>
      </c>
    </row>
    <row r="53" spans="1:12" ht="33.6" customHeight="1">
      <c r="A53" s="24" t="s">
        <v>37</v>
      </c>
      <c r="B53" s="24" t="s">
        <v>80</v>
      </c>
      <c r="C53" s="24" t="s">
        <v>21</v>
      </c>
      <c r="D53" s="24" t="s">
        <v>1269</v>
      </c>
      <c r="E53" s="24" t="s">
        <v>97</v>
      </c>
      <c r="F53" s="24" t="s">
        <v>28</v>
      </c>
      <c r="G53" s="30" t="s">
        <v>17</v>
      </c>
      <c r="H53" s="30" t="s">
        <v>1445</v>
      </c>
      <c r="I53" s="31" t="s">
        <v>98</v>
      </c>
      <c r="J53" s="20">
        <v>11699949</v>
      </c>
      <c r="K53" s="20">
        <f>(-11699949+5752331)</f>
        <v>-5947618</v>
      </c>
      <c r="L53" s="412">
        <f>SUM(J53:K53)</f>
        <v>5752331</v>
      </c>
    </row>
    <row r="54" spans="1:12" ht="38.450000000000003" customHeight="1">
      <c r="A54" s="32" t="s">
        <v>37</v>
      </c>
      <c r="B54" s="32" t="s">
        <v>80</v>
      </c>
      <c r="C54" s="32" t="s">
        <v>21</v>
      </c>
      <c r="D54" s="32" t="s">
        <v>1269</v>
      </c>
      <c r="E54" s="32" t="s">
        <v>1330</v>
      </c>
      <c r="F54" s="32" t="s">
        <v>28</v>
      </c>
      <c r="G54" s="33" t="s">
        <v>17</v>
      </c>
      <c r="H54" s="33" t="s">
        <v>1445</v>
      </c>
      <c r="I54" s="437" t="s">
        <v>1450</v>
      </c>
      <c r="J54" s="35">
        <v>4014000</v>
      </c>
      <c r="K54" s="35"/>
      <c r="L54" s="412">
        <f t="shared" si="1"/>
        <v>4014000</v>
      </c>
    </row>
    <row r="55" spans="1:12" ht="0.6" customHeight="1">
      <c r="A55" s="24" t="s">
        <v>100</v>
      </c>
      <c r="B55" s="24" t="s">
        <v>80</v>
      </c>
      <c r="C55" s="24" t="s">
        <v>21</v>
      </c>
      <c r="D55" s="24" t="s">
        <v>21</v>
      </c>
      <c r="E55" s="24" t="s">
        <v>101</v>
      </c>
      <c r="F55" s="24" t="s">
        <v>28</v>
      </c>
      <c r="G55" s="30" t="s">
        <v>17</v>
      </c>
      <c r="H55" s="30" t="s">
        <v>1445</v>
      </c>
      <c r="I55" s="36" t="s">
        <v>102</v>
      </c>
      <c r="J55" s="20">
        <v>0</v>
      </c>
      <c r="K55" s="20">
        <v>0</v>
      </c>
      <c r="L55" s="412">
        <f t="shared" si="1"/>
        <v>0</v>
      </c>
    </row>
    <row r="56" spans="1:12" ht="62.45" customHeight="1">
      <c r="A56" s="24" t="s">
        <v>103</v>
      </c>
      <c r="B56" s="24" t="s">
        <v>80</v>
      </c>
      <c r="C56" s="24" t="s">
        <v>21</v>
      </c>
      <c r="D56" s="24" t="s">
        <v>1270</v>
      </c>
      <c r="E56" s="24" t="s">
        <v>101</v>
      </c>
      <c r="F56" s="24" t="s">
        <v>28</v>
      </c>
      <c r="G56" s="30" t="s">
        <v>1329</v>
      </c>
      <c r="H56" s="30" t="s">
        <v>1445</v>
      </c>
      <c r="I56" s="36" t="s">
        <v>104</v>
      </c>
      <c r="J56" s="20">
        <v>739530</v>
      </c>
      <c r="K56" s="20"/>
      <c r="L56" s="412">
        <f t="shared" si="1"/>
        <v>739530</v>
      </c>
    </row>
    <row r="57" spans="1:12" ht="62.45" customHeight="1">
      <c r="A57" s="24" t="s">
        <v>37</v>
      </c>
      <c r="B57" s="24" t="s">
        <v>80</v>
      </c>
      <c r="C57" s="24" t="s">
        <v>21</v>
      </c>
      <c r="D57" s="24" t="s">
        <v>1270</v>
      </c>
      <c r="E57" s="24" t="s">
        <v>101</v>
      </c>
      <c r="F57" s="24" t="s">
        <v>28</v>
      </c>
      <c r="G57" s="30" t="s">
        <v>1831</v>
      </c>
      <c r="H57" s="30" t="s">
        <v>1445</v>
      </c>
      <c r="I57" s="36" t="s">
        <v>1832</v>
      </c>
      <c r="J57" s="20"/>
      <c r="K57" s="20">
        <v>6091661</v>
      </c>
      <c r="L57" s="412">
        <f t="shared" si="1"/>
        <v>6091661</v>
      </c>
    </row>
    <row r="58" spans="1:12" ht="69" customHeight="1">
      <c r="A58" s="424" t="s">
        <v>103</v>
      </c>
      <c r="B58" s="24" t="s">
        <v>80</v>
      </c>
      <c r="C58" s="24" t="s">
        <v>21</v>
      </c>
      <c r="D58" s="24" t="s">
        <v>1270</v>
      </c>
      <c r="E58" s="24" t="s">
        <v>101</v>
      </c>
      <c r="F58" s="24" t="s">
        <v>28</v>
      </c>
      <c r="G58" s="436" t="s">
        <v>1448</v>
      </c>
      <c r="H58" s="30" t="s">
        <v>1445</v>
      </c>
      <c r="I58" s="31" t="s">
        <v>1447</v>
      </c>
      <c r="J58" s="20">
        <v>10240524</v>
      </c>
      <c r="K58" s="20"/>
      <c r="L58" s="412">
        <f t="shared" si="1"/>
        <v>10240524</v>
      </c>
    </row>
    <row r="59" spans="1:12" ht="51" customHeight="1">
      <c r="A59" s="424" t="s">
        <v>100</v>
      </c>
      <c r="B59" s="24" t="s">
        <v>80</v>
      </c>
      <c r="C59" s="24" t="s">
        <v>21</v>
      </c>
      <c r="D59" s="24" t="s">
        <v>1270</v>
      </c>
      <c r="E59" s="24" t="s">
        <v>101</v>
      </c>
      <c r="F59" s="24" t="s">
        <v>28</v>
      </c>
      <c r="G59" s="436" t="s">
        <v>1446</v>
      </c>
      <c r="H59" s="30" t="s">
        <v>1445</v>
      </c>
      <c r="I59" s="31" t="s">
        <v>1449</v>
      </c>
      <c r="J59" s="20">
        <v>27404117</v>
      </c>
      <c r="K59" s="20"/>
      <c r="L59" s="412">
        <f t="shared" si="1"/>
        <v>27404117</v>
      </c>
    </row>
    <row r="60" spans="1:12" s="37" customFormat="1" ht="33" customHeight="1">
      <c r="A60" s="21" t="s">
        <v>14</v>
      </c>
      <c r="B60" s="21" t="s">
        <v>80</v>
      </c>
      <c r="C60" s="21" t="s">
        <v>21</v>
      </c>
      <c r="D60" s="21" t="s">
        <v>1276</v>
      </c>
      <c r="E60" s="21" t="s">
        <v>14</v>
      </c>
      <c r="F60" s="21" t="s">
        <v>16</v>
      </c>
      <c r="G60" s="28" t="s">
        <v>17</v>
      </c>
      <c r="H60" s="28" t="s">
        <v>1445</v>
      </c>
      <c r="I60" s="29" t="s">
        <v>106</v>
      </c>
      <c r="J60" s="23">
        <f>SUM(J61:J101)</f>
        <v>1122696077</v>
      </c>
      <c r="K60" s="23">
        <f>SUM(K61:K101)</f>
        <v>182753</v>
      </c>
      <c r="L60" s="23">
        <f>J60+K60</f>
        <v>1122878830</v>
      </c>
    </row>
    <row r="61" spans="1:12" s="472" customFormat="1" ht="50.45" customHeight="1">
      <c r="A61" s="24" t="s">
        <v>107</v>
      </c>
      <c r="B61" s="24" t="s">
        <v>80</v>
      </c>
      <c r="C61" s="24" t="s">
        <v>21</v>
      </c>
      <c r="D61" s="24" t="s">
        <v>1276</v>
      </c>
      <c r="E61" s="24" t="s">
        <v>1453</v>
      </c>
      <c r="F61" s="24" t="s">
        <v>28</v>
      </c>
      <c r="G61" s="30" t="s">
        <v>17</v>
      </c>
      <c r="H61" s="30" t="s">
        <v>1445</v>
      </c>
      <c r="I61" s="31" t="s">
        <v>112</v>
      </c>
      <c r="J61" s="20">
        <v>28535000</v>
      </c>
      <c r="K61" s="23"/>
      <c r="L61" s="412">
        <f>J61+K61</f>
        <v>28535000</v>
      </c>
    </row>
    <row r="62" spans="1:12" s="411" customFormat="1" ht="69" customHeight="1">
      <c r="A62" s="24" t="s">
        <v>107</v>
      </c>
      <c r="B62" s="24" t="s">
        <v>80</v>
      </c>
      <c r="C62" s="24" t="s">
        <v>21</v>
      </c>
      <c r="D62" s="24" t="s">
        <v>1276</v>
      </c>
      <c r="E62" s="24" t="s">
        <v>113</v>
      </c>
      <c r="F62" s="24" t="s">
        <v>28</v>
      </c>
      <c r="G62" s="30" t="s">
        <v>1308</v>
      </c>
      <c r="H62" s="30" t="s">
        <v>1445</v>
      </c>
      <c r="I62" s="19" t="s">
        <v>116</v>
      </c>
      <c r="J62" s="20">
        <v>15000</v>
      </c>
      <c r="K62" s="20"/>
      <c r="L62" s="412">
        <f>J62+K62</f>
        <v>15000</v>
      </c>
    </row>
    <row r="63" spans="1:12" s="411" customFormat="1" ht="49.5" customHeight="1">
      <c r="A63" s="24" t="s">
        <v>107</v>
      </c>
      <c r="B63" s="24" t="s">
        <v>80</v>
      </c>
      <c r="C63" s="24" t="s">
        <v>21</v>
      </c>
      <c r="D63" s="24" t="s">
        <v>1276</v>
      </c>
      <c r="E63" s="24" t="s">
        <v>113</v>
      </c>
      <c r="F63" s="24" t="s">
        <v>28</v>
      </c>
      <c r="G63" s="30" t="s">
        <v>1309</v>
      </c>
      <c r="H63" s="30" t="s">
        <v>1445</v>
      </c>
      <c r="I63" s="19" t="s">
        <v>1377</v>
      </c>
      <c r="J63" s="20">
        <v>562000</v>
      </c>
      <c r="K63" s="20"/>
      <c r="L63" s="412">
        <f t="shared" ref="L63:L94" si="12">SUM(J63:K63)</f>
        <v>562000</v>
      </c>
    </row>
    <row r="64" spans="1:12" s="411" customFormat="1" ht="79.5" customHeight="1">
      <c r="A64" s="24" t="s">
        <v>107</v>
      </c>
      <c r="B64" s="24" t="s">
        <v>80</v>
      </c>
      <c r="C64" s="24" t="s">
        <v>21</v>
      </c>
      <c r="D64" s="24" t="s">
        <v>1276</v>
      </c>
      <c r="E64" s="24" t="s">
        <v>113</v>
      </c>
      <c r="F64" s="24" t="s">
        <v>28</v>
      </c>
      <c r="G64" s="30" t="s">
        <v>1310</v>
      </c>
      <c r="H64" s="30" t="s">
        <v>1445</v>
      </c>
      <c r="I64" s="19" t="s">
        <v>117</v>
      </c>
      <c r="J64" s="20">
        <v>64492000</v>
      </c>
      <c r="K64" s="20"/>
      <c r="L64" s="412">
        <f t="shared" si="12"/>
        <v>64492000</v>
      </c>
    </row>
    <row r="65" spans="1:12" s="411" customFormat="1" ht="84" customHeight="1">
      <c r="A65" s="24" t="s">
        <v>103</v>
      </c>
      <c r="B65" s="24" t="s">
        <v>80</v>
      </c>
      <c r="C65" s="24" t="s">
        <v>21</v>
      </c>
      <c r="D65" s="24" t="s">
        <v>1276</v>
      </c>
      <c r="E65" s="24" t="s">
        <v>113</v>
      </c>
      <c r="F65" s="24" t="s">
        <v>28</v>
      </c>
      <c r="G65" s="30" t="s">
        <v>1326</v>
      </c>
      <c r="H65" s="30" t="s">
        <v>1445</v>
      </c>
      <c r="I65" s="19" t="s">
        <v>134</v>
      </c>
      <c r="J65" s="20">
        <v>4407000</v>
      </c>
      <c r="K65" s="20"/>
      <c r="L65" s="412">
        <f t="shared" si="12"/>
        <v>4407000</v>
      </c>
    </row>
    <row r="66" spans="1:12" s="411" customFormat="1" ht="51" customHeight="1">
      <c r="A66" s="24" t="s">
        <v>103</v>
      </c>
      <c r="B66" s="24" t="s">
        <v>80</v>
      </c>
      <c r="C66" s="24" t="s">
        <v>21</v>
      </c>
      <c r="D66" s="24" t="s">
        <v>1276</v>
      </c>
      <c r="E66" s="24" t="s">
        <v>113</v>
      </c>
      <c r="F66" s="24" t="s">
        <v>28</v>
      </c>
      <c r="G66" s="30" t="s">
        <v>1323</v>
      </c>
      <c r="H66" s="30" t="s">
        <v>1445</v>
      </c>
      <c r="I66" s="19" t="s">
        <v>131</v>
      </c>
      <c r="J66" s="20">
        <v>367331</v>
      </c>
      <c r="K66" s="20"/>
      <c r="L66" s="412">
        <f t="shared" si="12"/>
        <v>367331</v>
      </c>
    </row>
    <row r="67" spans="1:12" s="411" customFormat="1" ht="67.5" hidden="1" customHeight="1">
      <c r="A67" s="24" t="s">
        <v>103</v>
      </c>
      <c r="B67" s="24" t="s">
        <v>80</v>
      </c>
      <c r="C67" s="24" t="s">
        <v>21</v>
      </c>
      <c r="D67" s="24" t="s">
        <v>1276</v>
      </c>
      <c r="E67" s="24" t="s">
        <v>113</v>
      </c>
      <c r="F67" s="24" t="s">
        <v>28</v>
      </c>
      <c r="G67" s="30" t="s">
        <v>1319</v>
      </c>
      <c r="H67" s="30" t="s">
        <v>1445</v>
      </c>
      <c r="I67" s="19" t="s">
        <v>127</v>
      </c>
      <c r="J67" s="20"/>
      <c r="K67" s="20"/>
      <c r="L67" s="412">
        <f t="shared" si="12"/>
        <v>0</v>
      </c>
    </row>
    <row r="68" spans="1:12" s="411" customFormat="1" ht="83.25" customHeight="1">
      <c r="A68" s="24" t="s">
        <v>103</v>
      </c>
      <c r="B68" s="24" t="s">
        <v>80</v>
      </c>
      <c r="C68" s="24" t="s">
        <v>21</v>
      </c>
      <c r="D68" s="24" t="s">
        <v>1276</v>
      </c>
      <c r="E68" s="24" t="s">
        <v>113</v>
      </c>
      <c r="F68" s="24" t="s">
        <v>28</v>
      </c>
      <c r="G68" s="30" t="s">
        <v>1321</v>
      </c>
      <c r="H68" s="30" t="s">
        <v>1445</v>
      </c>
      <c r="I68" s="19" t="s">
        <v>129</v>
      </c>
      <c r="J68" s="20">
        <v>13049455</v>
      </c>
      <c r="K68" s="20"/>
      <c r="L68" s="412">
        <f t="shared" si="12"/>
        <v>13049455</v>
      </c>
    </row>
    <row r="69" spans="1:12" s="411" customFormat="1" ht="33" customHeight="1">
      <c r="A69" s="24" t="s">
        <v>103</v>
      </c>
      <c r="B69" s="24" t="s">
        <v>80</v>
      </c>
      <c r="C69" s="24" t="s">
        <v>21</v>
      </c>
      <c r="D69" s="24" t="s">
        <v>1276</v>
      </c>
      <c r="E69" s="24" t="s">
        <v>113</v>
      </c>
      <c r="F69" s="24" t="s">
        <v>28</v>
      </c>
      <c r="G69" s="30" t="s">
        <v>1318</v>
      </c>
      <c r="H69" s="30" t="s">
        <v>1445</v>
      </c>
      <c r="I69" s="19" t="s">
        <v>126</v>
      </c>
      <c r="J69" s="20">
        <v>3020199</v>
      </c>
      <c r="K69" s="20"/>
      <c r="L69" s="412">
        <f t="shared" si="12"/>
        <v>3020199</v>
      </c>
    </row>
    <row r="70" spans="1:12" s="411" customFormat="1" ht="51.75" customHeight="1">
      <c r="A70" s="24" t="s">
        <v>103</v>
      </c>
      <c r="B70" s="24" t="s">
        <v>80</v>
      </c>
      <c r="C70" s="24" t="s">
        <v>21</v>
      </c>
      <c r="D70" s="24" t="s">
        <v>1276</v>
      </c>
      <c r="E70" s="24" t="s">
        <v>113</v>
      </c>
      <c r="F70" s="24" t="s">
        <v>28</v>
      </c>
      <c r="G70" s="30" t="s">
        <v>1305</v>
      </c>
      <c r="H70" s="30" t="s">
        <v>1445</v>
      </c>
      <c r="I70" s="19" t="s">
        <v>114</v>
      </c>
      <c r="J70" s="20">
        <v>229264077</v>
      </c>
      <c r="K70" s="20"/>
      <c r="L70" s="412">
        <f t="shared" si="12"/>
        <v>229264077</v>
      </c>
    </row>
    <row r="71" spans="1:12" s="411" customFormat="1" ht="50.25" customHeight="1">
      <c r="A71" s="24" t="s">
        <v>103</v>
      </c>
      <c r="B71" s="24" t="s">
        <v>80</v>
      </c>
      <c r="C71" s="24" t="s">
        <v>21</v>
      </c>
      <c r="D71" s="24" t="s">
        <v>1276</v>
      </c>
      <c r="E71" s="24" t="s">
        <v>113</v>
      </c>
      <c r="F71" s="24" t="s">
        <v>28</v>
      </c>
      <c r="G71" s="30" t="s">
        <v>1320</v>
      </c>
      <c r="H71" s="30" t="s">
        <v>1445</v>
      </c>
      <c r="I71" s="19" t="s">
        <v>128</v>
      </c>
      <c r="J71" s="20">
        <v>368757708</v>
      </c>
      <c r="K71" s="20"/>
      <c r="L71" s="412">
        <f t="shared" si="12"/>
        <v>368757708</v>
      </c>
    </row>
    <row r="72" spans="1:12" s="411" customFormat="1" ht="33" customHeight="1">
      <c r="A72" s="24" t="s">
        <v>103</v>
      </c>
      <c r="B72" s="24" t="s">
        <v>80</v>
      </c>
      <c r="C72" s="24" t="s">
        <v>21</v>
      </c>
      <c r="D72" s="24" t="s">
        <v>1276</v>
      </c>
      <c r="E72" s="24" t="s">
        <v>113</v>
      </c>
      <c r="F72" s="24" t="s">
        <v>28</v>
      </c>
      <c r="G72" s="30" t="s">
        <v>1306</v>
      </c>
      <c r="H72" s="30" t="s">
        <v>1445</v>
      </c>
      <c r="I72" s="19" t="s">
        <v>115</v>
      </c>
      <c r="J72" s="20">
        <v>26158699</v>
      </c>
      <c r="K72" s="20"/>
      <c r="L72" s="412">
        <f t="shared" si="12"/>
        <v>26158699</v>
      </c>
    </row>
    <row r="73" spans="1:12" s="411" customFormat="1" ht="70.5" customHeight="1">
      <c r="A73" s="24" t="s">
        <v>103</v>
      </c>
      <c r="B73" s="24" t="s">
        <v>80</v>
      </c>
      <c r="C73" s="24" t="s">
        <v>21</v>
      </c>
      <c r="D73" s="24" t="s">
        <v>1276</v>
      </c>
      <c r="E73" s="24" t="s">
        <v>113</v>
      </c>
      <c r="F73" s="24" t="s">
        <v>28</v>
      </c>
      <c r="G73" s="30" t="s">
        <v>1324</v>
      </c>
      <c r="H73" s="30" t="s">
        <v>1445</v>
      </c>
      <c r="I73" s="19" t="s">
        <v>133</v>
      </c>
      <c r="J73" s="20">
        <v>24653699</v>
      </c>
      <c r="K73" s="20"/>
      <c r="L73" s="412">
        <f t="shared" si="12"/>
        <v>24653699</v>
      </c>
    </row>
    <row r="74" spans="1:12" s="411" customFormat="1" ht="33" customHeight="1">
      <c r="A74" s="24" t="s">
        <v>107</v>
      </c>
      <c r="B74" s="24" t="s">
        <v>80</v>
      </c>
      <c r="C74" s="24" t="s">
        <v>21</v>
      </c>
      <c r="D74" s="24" t="s">
        <v>1276</v>
      </c>
      <c r="E74" s="24" t="s">
        <v>113</v>
      </c>
      <c r="F74" s="24" t="s">
        <v>28</v>
      </c>
      <c r="G74" s="30" t="s">
        <v>1314</v>
      </c>
      <c r="H74" s="30" t="s">
        <v>1445</v>
      </c>
      <c r="I74" s="19" t="s">
        <v>122</v>
      </c>
      <c r="J74" s="20">
        <v>21266000</v>
      </c>
      <c r="K74" s="20"/>
      <c r="L74" s="412">
        <f t="shared" si="12"/>
        <v>21266000</v>
      </c>
    </row>
    <row r="75" spans="1:12" s="411" customFormat="1" ht="117" customHeight="1">
      <c r="A75" s="24" t="s">
        <v>107</v>
      </c>
      <c r="B75" s="24" t="s">
        <v>80</v>
      </c>
      <c r="C75" s="24" t="s">
        <v>21</v>
      </c>
      <c r="D75" s="24" t="s">
        <v>1276</v>
      </c>
      <c r="E75" s="24" t="s">
        <v>113</v>
      </c>
      <c r="F75" s="24" t="s">
        <v>28</v>
      </c>
      <c r="G75" s="30" t="s">
        <v>1322</v>
      </c>
      <c r="H75" s="30" t="s">
        <v>1445</v>
      </c>
      <c r="I75" s="19" t="s">
        <v>130</v>
      </c>
      <c r="J75" s="20">
        <v>79748040</v>
      </c>
      <c r="K75" s="20"/>
      <c r="L75" s="412">
        <f t="shared" si="12"/>
        <v>79748040</v>
      </c>
    </row>
    <row r="76" spans="1:12" s="411" customFormat="1" ht="36.75" customHeight="1">
      <c r="A76" s="24" t="s">
        <v>107</v>
      </c>
      <c r="B76" s="24" t="s">
        <v>80</v>
      </c>
      <c r="C76" s="24" t="s">
        <v>21</v>
      </c>
      <c r="D76" s="24" t="s">
        <v>1276</v>
      </c>
      <c r="E76" s="24" t="s">
        <v>113</v>
      </c>
      <c r="F76" s="24" t="s">
        <v>28</v>
      </c>
      <c r="G76" s="30" t="s">
        <v>1315</v>
      </c>
      <c r="H76" s="30" t="s">
        <v>1445</v>
      </c>
      <c r="I76" s="19" t="s">
        <v>123</v>
      </c>
      <c r="J76" s="20">
        <v>4559320</v>
      </c>
      <c r="K76" s="20"/>
      <c r="L76" s="412">
        <f t="shared" si="12"/>
        <v>4559320</v>
      </c>
    </row>
    <row r="77" spans="1:12" s="411" customFormat="1" ht="54" customHeight="1">
      <c r="A77" s="24" t="s">
        <v>107</v>
      </c>
      <c r="B77" s="24" t="s">
        <v>80</v>
      </c>
      <c r="C77" s="24" t="s">
        <v>21</v>
      </c>
      <c r="D77" s="24" t="s">
        <v>1276</v>
      </c>
      <c r="E77" s="24" t="s">
        <v>113</v>
      </c>
      <c r="F77" s="24" t="s">
        <v>28</v>
      </c>
      <c r="G77" s="30" t="s">
        <v>1316</v>
      </c>
      <c r="H77" s="30" t="s">
        <v>1445</v>
      </c>
      <c r="I77" s="19" t="s">
        <v>124</v>
      </c>
      <c r="J77" s="20">
        <v>38302000</v>
      </c>
      <c r="K77" s="20"/>
      <c r="L77" s="412">
        <f t="shared" si="12"/>
        <v>38302000</v>
      </c>
    </row>
    <row r="78" spans="1:12" s="411" customFormat="1" ht="81.75" customHeight="1">
      <c r="A78" s="24" t="s">
        <v>107</v>
      </c>
      <c r="B78" s="24" t="s">
        <v>80</v>
      </c>
      <c r="C78" s="24" t="s">
        <v>21</v>
      </c>
      <c r="D78" s="24" t="s">
        <v>1276</v>
      </c>
      <c r="E78" s="24" t="s">
        <v>113</v>
      </c>
      <c r="F78" s="24" t="s">
        <v>28</v>
      </c>
      <c r="G78" s="30" t="s">
        <v>1317</v>
      </c>
      <c r="H78" s="30" t="s">
        <v>1445</v>
      </c>
      <c r="I78" s="19" t="s">
        <v>125</v>
      </c>
      <c r="J78" s="20">
        <v>40144000</v>
      </c>
      <c r="K78" s="20"/>
      <c r="L78" s="412">
        <f t="shared" si="12"/>
        <v>40144000</v>
      </c>
    </row>
    <row r="79" spans="1:12" s="411" customFormat="1" ht="85.5" customHeight="1">
      <c r="A79" s="24" t="s">
        <v>37</v>
      </c>
      <c r="B79" s="24" t="s">
        <v>80</v>
      </c>
      <c r="C79" s="24" t="s">
        <v>21</v>
      </c>
      <c r="D79" s="24" t="s">
        <v>1276</v>
      </c>
      <c r="E79" s="24" t="s">
        <v>113</v>
      </c>
      <c r="F79" s="24" t="s">
        <v>28</v>
      </c>
      <c r="G79" s="30" t="s">
        <v>1328</v>
      </c>
      <c r="H79" s="30" t="s">
        <v>1445</v>
      </c>
      <c r="I79" s="19" t="s">
        <v>136</v>
      </c>
      <c r="J79" s="20">
        <v>4590</v>
      </c>
      <c r="K79" s="20"/>
      <c r="L79" s="412">
        <f t="shared" si="12"/>
        <v>4590</v>
      </c>
    </row>
    <row r="80" spans="1:12" s="411" customFormat="1" ht="39.75" customHeight="1">
      <c r="A80" s="24" t="s">
        <v>37</v>
      </c>
      <c r="B80" s="24" t="s">
        <v>80</v>
      </c>
      <c r="C80" s="24" t="s">
        <v>21</v>
      </c>
      <c r="D80" s="24" t="s">
        <v>1276</v>
      </c>
      <c r="E80" s="24" t="s">
        <v>113</v>
      </c>
      <c r="F80" s="24" t="s">
        <v>28</v>
      </c>
      <c r="G80" s="30" t="s">
        <v>1327</v>
      </c>
      <c r="H80" s="30" t="s">
        <v>1445</v>
      </c>
      <c r="I80" s="19" t="s">
        <v>135</v>
      </c>
      <c r="J80" s="20">
        <v>495630</v>
      </c>
      <c r="K80" s="20"/>
      <c r="L80" s="412">
        <f t="shared" si="12"/>
        <v>495630</v>
      </c>
    </row>
    <row r="81" spans="1:12" s="411" customFormat="1" ht="51" customHeight="1">
      <c r="A81" s="38">
        <v>950</v>
      </c>
      <c r="B81" s="39" t="s">
        <v>80</v>
      </c>
      <c r="C81" s="39" t="s">
        <v>21</v>
      </c>
      <c r="D81" s="39" t="s">
        <v>1276</v>
      </c>
      <c r="E81" s="39" t="s">
        <v>113</v>
      </c>
      <c r="F81" s="39" t="s">
        <v>28</v>
      </c>
      <c r="G81" s="39" t="s">
        <v>1307</v>
      </c>
      <c r="H81" s="39" t="s">
        <v>1445</v>
      </c>
      <c r="I81" s="19" t="s">
        <v>118</v>
      </c>
      <c r="J81" s="20">
        <v>2378141</v>
      </c>
      <c r="K81" s="20"/>
      <c r="L81" s="412">
        <f t="shared" si="12"/>
        <v>2378141</v>
      </c>
    </row>
    <row r="82" spans="1:12" s="411" customFormat="1" ht="55.5" customHeight="1">
      <c r="A82" s="24" t="s">
        <v>107</v>
      </c>
      <c r="B82" s="24" t="s">
        <v>80</v>
      </c>
      <c r="C82" s="24" t="s">
        <v>21</v>
      </c>
      <c r="D82" s="24" t="s">
        <v>1276</v>
      </c>
      <c r="E82" s="24" t="s">
        <v>113</v>
      </c>
      <c r="F82" s="24" t="s">
        <v>28</v>
      </c>
      <c r="G82" s="30" t="s">
        <v>1311</v>
      </c>
      <c r="H82" s="30" t="s">
        <v>1445</v>
      </c>
      <c r="I82" s="19" t="s">
        <v>119</v>
      </c>
      <c r="J82" s="20">
        <v>14624300</v>
      </c>
      <c r="K82" s="20"/>
      <c r="L82" s="412">
        <f t="shared" si="12"/>
        <v>14624300</v>
      </c>
    </row>
    <row r="83" spans="1:12" s="37" customFormat="1" ht="39.75" customHeight="1">
      <c r="A83" s="24" t="s">
        <v>103</v>
      </c>
      <c r="B83" s="24" t="s">
        <v>80</v>
      </c>
      <c r="C83" s="24" t="s">
        <v>21</v>
      </c>
      <c r="D83" s="24" t="s">
        <v>1276</v>
      </c>
      <c r="E83" s="24" t="s">
        <v>113</v>
      </c>
      <c r="F83" s="24" t="s">
        <v>28</v>
      </c>
      <c r="G83" s="30" t="s">
        <v>1312</v>
      </c>
      <c r="H83" s="30" t="s">
        <v>1445</v>
      </c>
      <c r="I83" s="19" t="s">
        <v>120</v>
      </c>
      <c r="J83" s="20">
        <v>3966551</v>
      </c>
      <c r="K83" s="20"/>
      <c r="L83" s="412">
        <f t="shared" si="12"/>
        <v>3966551</v>
      </c>
    </row>
    <row r="84" spans="1:12" s="37" customFormat="1" ht="52.5" customHeight="1">
      <c r="A84" s="24" t="s">
        <v>37</v>
      </c>
      <c r="B84" s="24" t="s">
        <v>80</v>
      </c>
      <c r="C84" s="24" t="s">
        <v>21</v>
      </c>
      <c r="D84" s="24" t="s">
        <v>1276</v>
      </c>
      <c r="E84" s="24" t="s">
        <v>113</v>
      </c>
      <c r="F84" s="24" t="s">
        <v>28</v>
      </c>
      <c r="G84" s="30" t="s">
        <v>1313</v>
      </c>
      <c r="H84" s="30" t="s">
        <v>1445</v>
      </c>
      <c r="I84" s="19" t="s">
        <v>121</v>
      </c>
      <c r="J84" s="20">
        <v>234835</v>
      </c>
      <c r="K84" s="20"/>
      <c r="L84" s="412">
        <f t="shared" si="12"/>
        <v>234835</v>
      </c>
    </row>
    <row r="85" spans="1:12" s="37" customFormat="1" ht="52.5" customHeight="1">
      <c r="A85" s="24" t="s">
        <v>103</v>
      </c>
      <c r="B85" s="24" t="s">
        <v>80</v>
      </c>
      <c r="C85" s="24" t="s">
        <v>21</v>
      </c>
      <c r="D85" s="24" t="s">
        <v>1276</v>
      </c>
      <c r="E85" s="24" t="s">
        <v>113</v>
      </c>
      <c r="F85" s="24" t="s">
        <v>28</v>
      </c>
      <c r="G85" s="30" t="s">
        <v>1325</v>
      </c>
      <c r="H85" s="30" t="s">
        <v>1445</v>
      </c>
      <c r="I85" s="19" t="s">
        <v>132</v>
      </c>
      <c r="J85" s="20">
        <v>20460</v>
      </c>
      <c r="K85" s="20"/>
      <c r="L85" s="412">
        <f t="shared" si="12"/>
        <v>20460</v>
      </c>
    </row>
    <row r="86" spans="1:12" s="37" customFormat="1" ht="0.6" customHeight="1">
      <c r="A86" s="24" t="s">
        <v>107</v>
      </c>
      <c r="B86" s="24" t="s">
        <v>80</v>
      </c>
      <c r="C86" s="24" t="s">
        <v>21</v>
      </c>
      <c r="D86" s="24" t="s">
        <v>1276</v>
      </c>
      <c r="E86" s="24" t="s">
        <v>113</v>
      </c>
      <c r="F86" s="24" t="s">
        <v>28</v>
      </c>
      <c r="G86" s="30" t="s">
        <v>1304</v>
      </c>
      <c r="H86" s="30" t="s">
        <v>1445</v>
      </c>
      <c r="I86" s="19" t="s">
        <v>112</v>
      </c>
      <c r="J86" s="20"/>
      <c r="K86" s="20"/>
      <c r="L86" s="412">
        <f t="shared" si="12"/>
        <v>0</v>
      </c>
    </row>
    <row r="87" spans="1:12" s="453" customFormat="1" ht="96.75" customHeight="1">
      <c r="A87" s="24" t="s">
        <v>107</v>
      </c>
      <c r="B87" s="24" t="s">
        <v>80</v>
      </c>
      <c r="C87" s="24" t="s">
        <v>21</v>
      </c>
      <c r="D87" s="24" t="s">
        <v>1276</v>
      </c>
      <c r="E87" s="24" t="s">
        <v>113</v>
      </c>
      <c r="F87" s="24" t="s">
        <v>28</v>
      </c>
      <c r="G87" s="30" t="s">
        <v>1380</v>
      </c>
      <c r="H87" s="30" t="s">
        <v>1445</v>
      </c>
      <c r="I87" s="19" t="s">
        <v>1454</v>
      </c>
      <c r="J87" s="20">
        <v>782000</v>
      </c>
      <c r="K87" s="20"/>
      <c r="L87" s="412">
        <f t="shared" si="12"/>
        <v>782000</v>
      </c>
    </row>
    <row r="88" spans="1:12" s="453" customFormat="1" ht="80.45" customHeight="1">
      <c r="A88" s="24" t="s">
        <v>107</v>
      </c>
      <c r="B88" s="24" t="s">
        <v>80</v>
      </c>
      <c r="C88" s="24" t="s">
        <v>21</v>
      </c>
      <c r="D88" s="24" t="s">
        <v>1276</v>
      </c>
      <c r="E88" s="24" t="s">
        <v>113</v>
      </c>
      <c r="F88" s="24" t="s">
        <v>28</v>
      </c>
      <c r="G88" s="30" t="s">
        <v>1381</v>
      </c>
      <c r="H88" s="30" t="s">
        <v>1445</v>
      </c>
      <c r="I88" s="19" t="s">
        <v>1455</v>
      </c>
      <c r="J88" s="20">
        <v>22380</v>
      </c>
      <c r="K88" s="20"/>
      <c r="L88" s="412">
        <f t="shared" si="12"/>
        <v>22380</v>
      </c>
    </row>
    <row r="89" spans="1:12" s="453" customFormat="1" ht="85.5" customHeight="1">
      <c r="A89" s="24" t="s">
        <v>107</v>
      </c>
      <c r="B89" s="24" t="s">
        <v>80</v>
      </c>
      <c r="C89" s="24" t="s">
        <v>21</v>
      </c>
      <c r="D89" s="24" t="s">
        <v>1271</v>
      </c>
      <c r="E89" s="24" t="s">
        <v>1379</v>
      </c>
      <c r="F89" s="24" t="s">
        <v>28</v>
      </c>
      <c r="G89" s="30" t="s">
        <v>17</v>
      </c>
      <c r="H89" s="30" t="s">
        <v>1445</v>
      </c>
      <c r="I89" s="19" t="s">
        <v>1378</v>
      </c>
      <c r="J89" s="20">
        <v>44829000</v>
      </c>
      <c r="K89" s="20"/>
      <c r="L89" s="412">
        <f t="shared" si="12"/>
        <v>44829000</v>
      </c>
    </row>
    <row r="90" spans="1:12" s="411" customFormat="1" ht="54" hidden="1" customHeight="1">
      <c r="A90" s="24" t="s">
        <v>85</v>
      </c>
      <c r="B90" s="24" t="s">
        <v>80</v>
      </c>
      <c r="C90" s="24" t="s">
        <v>21</v>
      </c>
      <c r="D90" s="24" t="s">
        <v>1271</v>
      </c>
      <c r="E90" s="24" t="s">
        <v>1274</v>
      </c>
      <c r="F90" s="24" t="s">
        <v>28</v>
      </c>
      <c r="G90" s="30" t="s">
        <v>17</v>
      </c>
      <c r="H90" s="30" t="s">
        <v>1445</v>
      </c>
      <c r="I90" s="19" t="s">
        <v>110</v>
      </c>
      <c r="J90" s="20">
        <v>0</v>
      </c>
      <c r="K90" s="20"/>
      <c r="L90" s="412">
        <f t="shared" si="12"/>
        <v>0</v>
      </c>
    </row>
    <row r="91" spans="1:12" s="453" customFormat="1" ht="83.25" customHeight="1">
      <c r="A91" s="24" t="s">
        <v>37</v>
      </c>
      <c r="B91" s="24" t="s">
        <v>80</v>
      </c>
      <c r="C91" s="24" t="s">
        <v>21</v>
      </c>
      <c r="D91" s="24" t="s">
        <v>1271</v>
      </c>
      <c r="E91" s="24" t="s">
        <v>46</v>
      </c>
      <c r="F91" s="24" t="s">
        <v>28</v>
      </c>
      <c r="G91" s="30" t="s">
        <v>17</v>
      </c>
      <c r="H91" s="30" t="s">
        <v>1445</v>
      </c>
      <c r="I91" s="19" t="s">
        <v>1283</v>
      </c>
      <c r="J91" s="20">
        <v>6143</v>
      </c>
      <c r="K91" s="20"/>
      <c r="L91" s="412">
        <f t="shared" si="12"/>
        <v>6143</v>
      </c>
    </row>
    <row r="92" spans="1:12" s="411" customFormat="1" ht="94.5" customHeight="1">
      <c r="A92" s="24" t="s">
        <v>107</v>
      </c>
      <c r="B92" s="24" t="s">
        <v>80</v>
      </c>
      <c r="C92" s="24" t="s">
        <v>21</v>
      </c>
      <c r="D92" s="24" t="s">
        <v>1271</v>
      </c>
      <c r="E92" s="24" t="s">
        <v>1280</v>
      </c>
      <c r="F92" s="24" t="s">
        <v>28</v>
      </c>
      <c r="G92" s="30" t="s">
        <v>17</v>
      </c>
      <c r="H92" s="30" t="s">
        <v>1445</v>
      </c>
      <c r="I92" s="19" t="s">
        <v>141</v>
      </c>
      <c r="J92" s="20">
        <v>1541200</v>
      </c>
      <c r="K92" s="20"/>
      <c r="L92" s="412">
        <f t="shared" si="12"/>
        <v>1541200</v>
      </c>
    </row>
    <row r="93" spans="1:12" s="411" customFormat="1" ht="94.5" customHeight="1">
      <c r="A93" s="24" t="s">
        <v>107</v>
      </c>
      <c r="B93" s="24" t="s">
        <v>80</v>
      </c>
      <c r="C93" s="24" t="s">
        <v>21</v>
      </c>
      <c r="D93" s="24" t="s">
        <v>1271</v>
      </c>
      <c r="E93" s="24" t="s">
        <v>1273</v>
      </c>
      <c r="F93" s="24" t="s">
        <v>28</v>
      </c>
      <c r="G93" s="30" t="s">
        <v>17</v>
      </c>
      <c r="H93" s="30" t="s">
        <v>1445</v>
      </c>
      <c r="I93" s="19" t="s">
        <v>109</v>
      </c>
      <c r="J93" s="20">
        <v>5616700</v>
      </c>
      <c r="K93" s="20">
        <v>182753</v>
      </c>
      <c r="L93" s="412">
        <f t="shared" si="12"/>
        <v>5799453</v>
      </c>
    </row>
    <row r="94" spans="1:12" s="411" customFormat="1" ht="55.5" customHeight="1">
      <c r="A94" s="24" t="s">
        <v>107</v>
      </c>
      <c r="B94" s="24" t="s">
        <v>80</v>
      </c>
      <c r="C94" s="24" t="s">
        <v>21</v>
      </c>
      <c r="D94" s="24" t="s">
        <v>1271</v>
      </c>
      <c r="E94" s="24" t="s">
        <v>1272</v>
      </c>
      <c r="F94" s="24" t="s">
        <v>28</v>
      </c>
      <c r="G94" s="30" t="s">
        <v>17</v>
      </c>
      <c r="H94" s="30" t="s">
        <v>1445</v>
      </c>
      <c r="I94" s="19" t="s">
        <v>108</v>
      </c>
      <c r="J94" s="20">
        <v>38761000</v>
      </c>
      <c r="K94" s="20"/>
      <c r="L94" s="412">
        <f t="shared" si="12"/>
        <v>38761000</v>
      </c>
    </row>
    <row r="95" spans="1:12" s="37" customFormat="1" ht="67.5" customHeight="1">
      <c r="A95" s="24" t="s">
        <v>103</v>
      </c>
      <c r="B95" s="24" t="s">
        <v>80</v>
      </c>
      <c r="C95" s="24" t="s">
        <v>21</v>
      </c>
      <c r="D95" s="24" t="s">
        <v>1271</v>
      </c>
      <c r="E95" s="24" t="s">
        <v>1275</v>
      </c>
      <c r="F95" s="24" t="s">
        <v>28</v>
      </c>
      <c r="G95" s="30" t="s">
        <v>17</v>
      </c>
      <c r="H95" s="30" t="s">
        <v>1445</v>
      </c>
      <c r="I95" s="19" t="s">
        <v>111</v>
      </c>
      <c r="J95" s="20">
        <v>522880</v>
      </c>
      <c r="K95" s="20"/>
      <c r="L95" s="412">
        <f t="shared" si="1"/>
        <v>522880</v>
      </c>
    </row>
    <row r="96" spans="1:12" s="37" customFormat="1" ht="115.5" customHeight="1">
      <c r="A96" s="24" t="s">
        <v>107</v>
      </c>
      <c r="B96" s="24" t="s">
        <v>80</v>
      </c>
      <c r="C96" s="24" t="s">
        <v>21</v>
      </c>
      <c r="D96" s="24" t="s">
        <v>1271</v>
      </c>
      <c r="E96" s="24" t="s">
        <v>1277</v>
      </c>
      <c r="F96" s="24" t="s">
        <v>28</v>
      </c>
      <c r="G96" s="30" t="s">
        <v>17</v>
      </c>
      <c r="H96" s="30" t="s">
        <v>1445</v>
      </c>
      <c r="I96" s="19" t="s">
        <v>137</v>
      </c>
      <c r="J96" s="20">
        <v>310600</v>
      </c>
      <c r="K96" s="20"/>
      <c r="L96" s="412">
        <f t="shared" ref="L96:L137" si="13">SUM(J96:K96)</f>
        <v>310600</v>
      </c>
    </row>
    <row r="97" spans="1:12" s="37" customFormat="1" ht="112.5" customHeight="1">
      <c r="A97" s="24" t="s">
        <v>107</v>
      </c>
      <c r="B97" s="24" t="s">
        <v>80</v>
      </c>
      <c r="C97" s="24" t="s">
        <v>21</v>
      </c>
      <c r="D97" s="24" t="s">
        <v>1271</v>
      </c>
      <c r="E97" s="24" t="s">
        <v>1279</v>
      </c>
      <c r="F97" s="24" t="s">
        <v>28</v>
      </c>
      <c r="G97" s="30" t="s">
        <v>17</v>
      </c>
      <c r="H97" s="30" t="s">
        <v>1445</v>
      </c>
      <c r="I97" s="19" t="s">
        <v>139</v>
      </c>
      <c r="J97" s="20">
        <v>17513000</v>
      </c>
      <c r="K97" s="20"/>
      <c r="L97" s="412">
        <f t="shared" si="13"/>
        <v>17513000</v>
      </c>
    </row>
    <row r="98" spans="1:12" s="37" customFormat="1" ht="97.9" customHeight="1">
      <c r="A98" s="24" t="s">
        <v>107</v>
      </c>
      <c r="B98" s="24" t="s">
        <v>80</v>
      </c>
      <c r="C98" s="24" t="s">
        <v>21</v>
      </c>
      <c r="D98" s="24" t="s">
        <v>1271</v>
      </c>
      <c r="E98" s="24" t="s">
        <v>1279</v>
      </c>
      <c r="F98" s="24" t="s">
        <v>28</v>
      </c>
      <c r="G98" s="30" t="s">
        <v>17</v>
      </c>
      <c r="H98" s="30" t="s">
        <v>1445</v>
      </c>
      <c r="I98" s="19" t="s">
        <v>140</v>
      </c>
      <c r="J98" s="20">
        <v>2162000</v>
      </c>
      <c r="K98" s="20"/>
      <c r="L98" s="412">
        <f t="shared" si="13"/>
        <v>2162000</v>
      </c>
    </row>
    <row r="99" spans="1:12" s="37" customFormat="1" ht="66" customHeight="1">
      <c r="A99" s="32" t="s">
        <v>107</v>
      </c>
      <c r="B99" s="32" t="s">
        <v>80</v>
      </c>
      <c r="C99" s="32" t="s">
        <v>21</v>
      </c>
      <c r="D99" s="32" t="s">
        <v>1271</v>
      </c>
      <c r="E99" s="32" t="s">
        <v>1278</v>
      </c>
      <c r="F99" s="32" t="s">
        <v>28</v>
      </c>
      <c r="G99" s="40" t="s">
        <v>17</v>
      </c>
      <c r="H99" s="40" t="s">
        <v>1445</v>
      </c>
      <c r="I99" s="34" t="s">
        <v>138</v>
      </c>
      <c r="J99" s="20">
        <v>1267245</v>
      </c>
      <c r="K99" s="20"/>
      <c r="L99" s="412">
        <f>SUM(J99:K99)</f>
        <v>1267245</v>
      </c>
    </row>
    <row r="100" spans="1:12" s="472" customFormat="1" ht="79.150000000000006" customHeight="1">
      <c r="A100" s="32" t="s">
        <v>107</v>
      </c>
      <c r="B100" s="32" t="s">
        <v>80</v>
      </c>
      <c r="C100" s="32" t="s">
        <v>21</v>
      </c>
      <c r="D100" s="32" t="s">
        <v>1271</v>
      </c>
      <c r="E100" s="32" t="s">
        <v>1451</v>
      </c>
      <c r="F100" s="32" t="s">
        <v>28</v>
      </c>
      <c r="G100" s="40" t="s">
        <v>17</v>
      </c>
      <c r="H100" s="40" t="s">
        <v>1445</v>
      </c>
      <c r="I100" s="34" t="s">
        <v>1452</v>
      </c>
      <c r="J100" s="20">
        <v>36386500</v>
      </c>
      <c r="K100" s="20"/>
      <c r="L100" s="412">
        <f t="shared" ref="L100:L101" si="14">SUM(J100:K100)</f>
        <v>36386500</v>
      </c>
    </row>
    <row r="101" spans="1:12" s="453" customFormat="1" ht="49.5" customHeight="1">
      <c r="A101" s="32" t="s">
        <v>37</v>
      </c>
      <c r="B101" s="32" t="s">
        <v>80</v>
      </c>
      <c r="C101" s="32" t="s">
        <v>21</v>
      </c>
      <c r="D101" s="32" t="s">
        <v>1271</v>
      </c>
      <c r="E101" s="32" t="s">
        <v>1382</v>
      </c>
      <c r="F101" s="32" t="s">
        <v>28</v>
      </c>
      <c r="G101" s="40" t="s">
        <v>17</v>
      </c>
      <c r="H101" s="40" t="s">
        <v>1445</v>
      </c>
      <c r="I101" s="34" t="s">
        <v>1282</v>
      </c>
      <c r="J101" s="20">
        <v>3949394</v>
      </c>
      <c r="K101" s="20"/>
      <c r="L101" s="412">
        <f t="shared" si="14"/>
        <v>3949394</v>
      </c>
    </row>
    <row r="102" spans="1:12" s="37" customFormat="1" ht="15.75">
      <c r="A102" s="21" t="s">
        <v>14</v>
      </c>
      <c r="B102" s="21" t="s">
        <v>80</v>
      </c>
      <c r="C102" s="21" t="s">
        <v>21</v>
      </c>
      <c r="D102" s="21" t="s">
        <v>1281</v>
      </c>
      <c r="E102" s="21" t="s">
        <v>14</v>
      </c>
      <c r="F102" s="21" t="s">
        <v>16</v>
      </c>
      <c r="G102" s="28" t="s">
        <v>17</v>
      </c>
      <c r="H102" s="28" t="s">
        <v>1445</v>
      </c>
      <c r="I102" s="29" t="s">
        <v>142</v>
      </c>
      <c r="J102" s="23">
        <f>SUM(J103:J135)</f>
        <v>225308648</v>
      </c>
      <c r="K102" s="23">
        <f>SUM(K103:K136)</f>
        <v>24790189</v>
      </c>
      <c r="L102" s="16">
        <f t="shared" si="13"/>
        <v>250098837</v>
      </c>
    </row>
    <row r="103" spans="1:12" s="37" customFormat="1" ht="83.25" customHeight="1">
      <c r="A103" s="24" t="s">
        <v>85</v>
      </c>
      <c r="B103" s="24" t="s">
        <v>95</v>
      </c>
      <c r="C103" s="24" t="s">
        <v>21</v>
      </c>
      <c r="D103" s="24" t="s">
        <v>1281</v>
      </c>
      <c r="E103" s="24" t="s">
        <v>144</v>
      </c>
      <c r="F103" s="24" t="s">
        <v>28</v>
      </c>
      <c r="G103" s="30" t="s">
        <v>145</v>
      </c>
      <c r="H103" s="30" t="s">
        <v>1445</v>
      </c>
      <c r="I103" s="19" t="s">
        <v>1598</v>
      </c>
      <c r="J103" s="41">
        <v>16851486</v>
      </c>
      <c r="K103" s="41">
        <v>66670</v>
      </c>
      <c r="L103" s="412">
        <f t="shared" si="13"/>
        <v>16918156</v>
      </c>
    </row>
    <row r="104" spans="1:12" s="37" customFormat="1" ht="84" customHeight="1">
      <c r="A104" s="24" t="s">
        <v>45</v>
      </c>
      <c r="B104" s="24" t="s">
        <v>80</v>
      </c>
      <c r="C104" s="24" t="s">
        <v>21</v>
      </c>
      <c r="D104" s="24" t="s">
        <v>1281</v>
      </c>
      <c r="E104" s="24" t="s">
        <v>144</v>
      </c>
      <c r="F104" s="24" t="s">
        <v>28</v>
      </c>
      <c r="G104" s="30" t="s">
        <v>146</v>
      </c>
      <c r="H104" s="30" t="s">
        <v>1445</v>
      </c>
      <c r="I104" s="19" t="s">
        <v>147</v>
      </c>
      <c r="J104" s="412">
        <v>500000</v>
      </c>
      <c r="K104" s="41">
        <v>20000</v>
      </c>
      <c r="L104" s="412">
        <f t="shared" si="13"/>
        <v>520000</v>
      </c>
    </row>
    <row r="105" spans="1:12" s="472" customFormat="1" ht="63">
      <c r="A105" s="24" t="s">
        <v>37</v>
      </c>
      <c r="B105" s="24" t="s">
        <v>80</v>
      </c>
      <c r="C105" s="24" t="s">
        <v>21</v>
      </c>
      <c r="D105" s="24" t="s">
        <v>1281</v>
      </c>
      <c r="E105" s="24" t="s">
        <v>144</v>
      </c>
      <c r="F105" s="24" t="s">
        <v>28</v>
      </c>
      <c r="G105" s="30" t="s">
        <v>1749</v>
      </c>
      <c r="H105" s="30" t="s">
        <v>1445</v>
      </c>
      <c r="I105" s="19" t="s">
        <v>1750</v>
      </c>
      <c r="J105" s="412">
        <v>240000</v>
      </c>
      <c r="K105" s="41"/>
      <c r="L105" s="412">
        <f t="shared" si="13"/>
        <v>240000</v>
      </c>
    </row>
    <row r="106" spans="1:12" s="37" customFormat="1" ht="58.5" customHeight="1">
      <c r="A106" s="24" t="s">
        <v>37</v>
      </c>
      <c r="B106" s="24" t="s">
        <v>80</v>
      </c>
      <c r="C106" s="24" t="s">
        <v>21</v>
      </c>
      <c r="D106" s="24" t="s">
        <v>1281</v>
      </c>
      <c r="E106" s="24" t="s">
        <v>144</v>
      </c>
      <c r="F106" s="24" t="s">
        <v>28</v>
      </c>
      <c r="G106" s="30" t="s">
        <v>148</v>
      </c>
      <c r="H106" s="30" t="s">
        <v>1445</v>
      </c>
      <c r="I106" s="19" t="s">
        <v>149</v>
      </c>
      <c r="J106" s="412">
        <v>230000</v>
      </c>
      <c r="K106" s="41"/>
      <c r="L106" s="412">
        <f t="shared" si="13"/>
        <v>230000</v>
      </c>
    </row>
    <row r="107" spans="1:12" s="472" customFormat="1" ht="69.75" hidden="1" customHeight="1">
      <c r="A107" s="24" t="s">
        <v>37</v>
      </c>
      <c r="B107" s="24" t="s">
        <v>80</v>
      </c>
      <c r="C107" s="24" t="s">
        <v>21</v>
      </c>
      <c r="D107" s="24" t="s">
        <v>1281</v>
      </c>
      <c r="E107" s="24" t="s">
        <v>144</v>
      </c>
      <c r="F107" s="24" t="s">
        <v>28</v>
      </c>
      <c r="G107" s="30" t="s">
        <v>1803</v>
      </c>
      <c r="H107" s="30" t="s">
        <v>1445</v>
      </c>
      <c r="I107" s="19" t="s">
        <v>1804</v>
      </c>
      <c r="J107" s="412">
        <v>2850000</v>
      </c>
      <c r="K107" s="41">
        <v>-2850000</v>
      </c>
      <c r="L107" s="412">
        <f t="shared" si="13"/>
        <v>0</v>
      </c>
    </row>
    <row r="108" spans="1:12" s="37" customFormat="1" ht="54.75" customHeight="1">
      <c r="A108" s="24" t="s">
        <v>37</v>
      </c>
      <c r="B108" s="24" t="s">
        <v>80</v>
      </c>
      <c r="C108" s="24" t="s">
        <v>21</v>
      </c>
      <c r="D108" s="24" t="s">
        <v>1281</v>
      </c>
      <c r="E108" s="24" t="s">
        <v>144</v>
      </c>
      <c r="F108" s="24" t="s">
        <v>28</v>
      </c>
      <c r="G108" s="30" t="s">
        <v>150</v>
      </c>
      <c r="H108" s="30" t="s">
        <v>1445</v>
      </c>
      <c r="I108" s="19" t="s">
        <v>151</v>
      </c>
      <c r="J108" s="412">
        <v>17427712</v>
      </c>
      <c r="K108" s="41">
        <f>(-453281+250000+8053263)</f>
        <v>7849982</v>
      </c>
      <c r="L108" s="412">
        <f t="shared" si="13"/>
        <v>25277694</v>
      </c>
    </row>
    <row r="109" spans="1:12" s="37" customFormat="1" ht="53.25" customHeight="1">
      <c r="A109" s="24" t="s">
        <v>37</v>
      </c>
      <c r="B109" s="24" t="s">
        <v>80</v>
      </c>
      <c r="C109" s="24" t="s">
        <v>21</v>
      </c>
      <c r="D109" s="24" t="s">
        <v>1281</v>
      </c>
      <c r="E109" s="24" t="s">
        <v>144</v>
      </c>
      <c r="F109" s="24" t="s">
        <v>28</v>
      </c>
      <c r="G109" s="30" t="s">
        <v>152</v>
      </c>
      <c r="H109" s="30" t="s">
        <v>1445</v>
      </c>
      <c r="I109" s="42" t="s">
        <v>153</v>
      </c>
      <c r="J109" s="412">
        <v>3465000</v>
      </c>
      <c r="K109" s="41"/>
      <c r="L109" s="412">
        <f t="shared" si="13"/>
        <v>3465000</v>
      </c>
    </row>
    <row r="110" spans="1:12" s="37" customFormat="1" ht="63">
      <c r="A110" s="24" t="s">
        <v>37</v>
      </c>
      <c r="B110" s="24" t="s">
        <v>80</v>
      </c>
      <c r="C110" s="24" t="s">
        <v>21</v>
      </c>
      <c r="D110" s="24" t="s">
        <v>1281</v>
      </c>
      <c r="E110" s="24" t="s">
        <v>144</v>
      </c>
      <c r="F110" s="24" t="s">
        <v>28</v>
      </c>
      <c r="G110" s="30" t="s">
        <v>154</v>
      </c>
      <c r="H110" s="30" t="s">
        <v>1445</v>
      </c>
      <c r="I110" s="19" t="s">
        <v>1751</v>
      </c>
      <c r="J110" s="412">
        <v>5500000</v>
      </c>
      <c r="K110" s="41">
        <v>565200</v>
      </c>
      <c r="L110" s="412">
        <f t="shared" si="13"/>
        <v>6065200</v>
      </c>
    </row>
    <row r="111" spans="1:12" s="37" customFormat="1" ht="54" customHeight="1">
      <c r="A111" s="24" t="s">
        <v>37</v>
      </c>
      <c r="B111" s="24" t="s">
        <v>80</v>
      </c>
      <c r="C111" s="24" t="s">
        <v>21</v>
      </c>
      <c r="D111" s="24" t="s">
        <v>1281</v>
      </c>
      <c r="E111" s="24" t="s">
        <v>144</v>
      </c>
      <c r="F111" s="24" t="s">
        <v>28</v>
      </c>
      <c r="G111" s="30" t="s">
        <v>155</v>
      </c>
      <c r="H111" s="30" t="s">
        <v>1445</v>
      </c>
      <c r="I111" s="19" t="s">
        <v>1752</v>
      </c>
      <c r="J111" s="412">
        <v>500000</v>
      </c>
      <c r="K111" s="41"/>
      <c r="L111" s="412">
        <f t="shared" si="13"/>
        <v>500000</v>
      </c>
    </row>
    <row r="112" spans="1:12" s="472" customFormat="1" ht="41.25" customHeight="1">
      <c r="A112" s="24" t="s">
        <v>100</v>
      </c>
      <c r="B112" s="24" t="s">
        <v>80</v>
      </c>
      <c r="C112" s="24" t="s">
        <v>21</v>
      </c>
      <c r="D112" s="24" t="s">
        <v>1281</v>
      </c>
      <c r="E112" s="24" t="s">
        <v>144</v>
      </c>
      <c r="F112" s="24" t="s">
        <v>28</v>
      </c>
      <c r="G112" s="30" t="s">
        <v>1779</v>
      </c>
      <c r="H112" s="30" t="s">
        <v>1445</v>
      </c>
      <c r="I112" s="19" t="s">
        <v>1780</v>
      </c>
      <c r="J112" s="412">
        <v>1060000</v>
      </c>
      <c r="K112" s="41">
        <v>400000</v>
      </c>
      <c r="L112" s="412">
        <f t="shared" si="13"/>
        <v>1460000</v>
      </c>
    </row>
    <row r="113" spans="1:12" s="37" customFormat="1" ht="39.75" customHeight="1">
      <c r="A113" s="24" t="s">
        <v>37</v>
      </c>
      <c r="B113" s="24" t="s">
        <v>80</v>
      </c>
      <c r="C113" s="24" t="s">
        <v>21</v>
      </c>
      <c r="D113" s="24" t="s">
        <v>1281</v>
      </c>
      <c r="E113" s="24" t="s">
        <v>144</v>
      </c>
      <c r="F113" s="24" t="s">
        <v>28</v>
      </c>
      <c r="G113" s="30" t="s">
        <v>156</v>
      </c>
      <c r="H113" s="30" t="s">
        <v>1445</v>
      </c>
      <c r="I113" s="19" t="s">
        <v>157</v>
      </c>
      <c r="J113" s="412">
        <v>11196614</v>
      </c>
      <c r="K113" s="41">
        <v>303386</v>
      </c>
      <c r="L113" s="412">
        <f>SUM(J113:K113)</f>
        <v>11500000</v>
      </c>
    </row>
    <row r="114" spans="1:12" s="37" customFormat="1" ht="63">
      <c r="A114" s="24" t="s">
        <v>37</v>
      </c>
      <c r="B114" s="24" t="s">
        <v>80</v>
      </c>
      <c r="C114" s="24" t="s">
        <v>21</v>
      </c>
      <c r="D114" s="24" t="s">
        <v>1281</v>
      </c>
      <c r="E114" s="24" t="s">
        <v>144</v>
      </c>
      <c r="F114" s="24" t="s">
        <v>28</v>
      </c>
      <c r="G114" s="30" t="s">
        <v>158</v>
      </c>
      <c r="H114" s="30" t="s">
        <v>1445</v>
      </c>
      <c r="I114" s="42" t="s">
        <v>159</v>
      </c>
      <c r="J114" s="412">
        <v>2803386</v>
      </c>
      <c r="K114" s="41">
        <v>154450</v>
      </c>
      <c r="L114" s="412">
        <f t="shared" si="13"/>
        <v>2957836</v>
      </c>
    </row>
    <row r="115" spans="1:12" s="37" customFormat="1" ht="51.75" customHeight="1">
      <c r="A115" s="24" t="s">
        <v>37</v>
      </c>
      <c r="B115" s="24" t="s">
        <v>80</v>
      </c>
      <c r="C115" s="24" t="s">
        <v>21</v>
      </c>
      <c r="D115" s="24" t="s">
        <v>1281</v>
      </c>
      <c r="E115" s="24" t="s">
        <v>144</v>
      </c>
      <c r="F115" s="24" t="s">
        <v>28</v>
      </c>
      <c r="G115" s="30" t="s">
        <v>160</v>
      </c>
      <c r="H115" s="30" t="s">
        <v>1445</v>
      </c>
      <c r="I115" s="19" t="s">
        <v>1753</v>
      </c>
      <c r="J115" s="412">
        <v>8424965</v>
      </c>
      <c r="K115" s="41">
        <v>4298801</v>
      </c>
      <c r="L115" s="412">
        <f t="shared" si="13"/>
        <v>12723766</v>
      </c>
    </row>
    <row r="116" spans="1:12" s="37" customFormat="1" ht="45.75" customHeight="1">
      <c r="A116" s="24" t="s">
        <v>37</v>
      </c>
      <c r="B116" s="24" t="s">
        <v>80</v>
      </c>
      <c r="C116" s="24" t="s">
        <v>21</v>
      </c>
      <c r="D116" s="24" t="s">
        <v>1281</v>
      </c>
      <c r="E116" s="24" t="s">
        <v>144</v>
      </c>
      <c r="F116" s="24" t="s">
        <v>28</v>
      </c>
      <c r="G116" s="30" t="s">
        <v>161</v>
      </c>
      <c r="H116" s="30" t="s">
        <v>1445</v>
      </c>
      <c r="I116" s="19" t="s">
        <v>1754</v>
      </c>
      <c r="J116" s="412">
        <v>8077472</v>
      </c>
      <c r="K116" s="41">
        <v>-1100273</v>
      </c>
      <c r="L116" s="412">
        <f t="shared" si="13"/>
        <v>6977199</v>
      </c>
    </row>
    <row r="117" spans="1:12" s="37" customFormat="1" ht="82.5" customHeight="1">
      <c r="A117" s="24" t="s">
        <v>45</v>
      </c>
      <c r="B117" s="24" t="s">
        <v>80</v>
      </c>
      <c r="C117" s="24" t="s">
        <v>21</v>
      </c>
      <c r="D117" s="24" t="s">
        <v>1281</v>
      </c>
      <c r="E117" s="24" t="s">
        <v>144</v>
      </c>
      <c r="F117" s="24" t="s">
        <v>28</v>
      </c>
      <c r="G117" s="30" t="s">
        <v>162</v>
      </c>
      <c r="H117" s="30" t="s">
        <v>1445</v>
      </c>
      <c r="I117" s="19" t="s">
        <v>163</v>
      </c>
      <c r="J117" s="412">
        <v>900000</v>
      </c>
      <c r="K117" s="41"/>
      <c r="L117" s="412">
        <f t="shared" si="13"/>
        <v>900000</v>
      </c>
    </row>
    <row r="118" spans="1:12" s="37" customFormat="1" ht="47.25">
      <c r="A118" s="24" t="s">
        <v>37</v>
      </c>
      <c r="B118" s="24" t="s">
        <v>95</v>
      </c>
      <c r="C118" s="24" t="s">
        <v>21</v>
      </c>
      <c r="D118" s="24" t="s">
        <v>1281</v>
      </c>
      <c r="E118" s="24" t="s">
        <v>144</v>
      </c>
      <c r="F118" s="24" t="s">
        <v>28</v>
      </c>
      <c r="G118" s="30" t="s">
        <v>164</v>
      </c>
      <c r="H118" s="30" t="s">
        <v>1445</v>
      </c>
      <c r="I118" s="19" t="s">
        <v>1755</v>
      </c>
      <c r="J118" s="412">
        <v>1000000</v>
      </c>
      <c r="K118" s="41"/>
      <c r="L118" s="412">
        <f t="shared" si="13"/>
        <v>1000000</v>
      </c>
    </row>
    <row r="119" spans="1:12" s="37" customFormat="1" ht="55.5" customHeight="1">
      <c r="A119" s="24" t="s">
        <v>37</v>
      </c>
      <c r="B119" s="24" t="s">
        <v>80</v>
      </c>
      <c r="C119" s="24" t="s">
        <v>21</v>
      </c>
      <c r="D119" s="24" t="s">
        <v>1281</v>
      </c>
      <c r="E119" s="24" t="s">
        <v>144</v>
      </c>
      <c r="F119" s="24" t="s">
        <v>28</v>
      </c>
      <c r="G119" s="30" t="s">
        <v>1756</v>
      </c>
      <c r="H119" s="30" t="s">
        <v>1445</v>
      </c>
      <c r="I119" s="19" t="s">
        <v>1757</v>
      </c>
      <c r="J119" s="412">
        <v>2260048</v>
      </c>
      <c r="K119" s="41"/>
      <c r="L119" s="412">
        <f t="shared" si="13"/>
        <v>2260048</v>
      </c>
    </row>
    <row r="120" spans="1:12" s="472" customFormat="1" ht="55.5" customHeight="1">
      <c r="A120" s="24" t="s">
        <v>85</v>
      </c>
      <c r="B120" s="24" t="s">
        <v>80</v>
      </c>
      <c r="C120" s="24" t="s">
        <v>21</v>
      </c>
      <c r="D120" s="24" t="s">
        <v>1281</v>
      </c>
      <c r="E120" s="24" t="s">
        <v>144</v>
      </c>
      <c r="F120" s="24" t="s">
        <v>28</v>
      </c>
      <c r="G120" s="30" t="s">
        <v>1599</v>
      </c>
      <c r="H120" s="30" t="s">
        <v>1445</v>
      </c>
      <c r="I120" s="19" t="s">
        <v>1603</v>
      </c>
      <c r="J120" s="412">
        <v>53095</v>
      </c>
      <c r="K120" s="41"/>
      <c r="L120" s="412">
        <f>SUM(J120:K120)</f>
        <v>53095</v>
      </c>
    </row>
    <row r="121" spans="1:12" s="472" customFormat="1" ht="55.5" customHeight="1">
      <c r="A121" s="24" t="s">
        <v>45</v>
      </c>
      <c r="B121" s="24" t="s">
        <v>80</v>
      </c>
      <c r="C121" s="24" t="s">
        <v>21</v>
      </c>
      <c r="D121" s="24" t="s">
        <v>1281</v>
      </c>
      <c r="E121" s="24" t="s">
        <v>144</v>
      </c>
      <c r="F121" s="24" t="s">
        <v>28</v>
      </c>
      <c r="G121" s="30" t="s">
        <v>1789</v>
      </c>
      <c r="H121" s="30" t="s">
        <v>1445</v>
      </c>
      <c r="I121" s="19" t="s">
        <v>1790</v>
      </c>
      <c r="J121" s="412">
        <v>100000</v>
      </c>
      <c r="K121" s="41"/>
      <c r="L121" s="412">
        <f>SUM(J121:K121)</f>
        <v>100000</v>
      </c>
    </row>
    <row r="122" spans="1:12" s="472" customFormat="1" ht="78.75">
      <c r="A122" s="24" t="s">
        <v>45</v>
      </c>
      <c r="B122" s="24" t="s">
        <v>80</v>
      </c>
      <c r="C122" s="24" t="s">
        <v>21</v>
      </c>
      <c r="D122" s="24" t="s">
        <v>1281</v>
      </c>
      <c r="E122" s="24" t="s">
        <v>144</v>
      </c>
      <c r="F122" s="24" t="s">
        <v>28</v>
      </c>
      <c r="G122" s="30" t="s">
        <v>1844</v>
      </c>
      <c r="H122" s="30" t="s">
        <v>1445</v>
      </c>
      <c r="I122" s="19" t="s">
        <v>1845</v>
      </c>
      <c r="J122" s="412"/>
      <c r="K122" s="41">
        <v>57636</v>
      </c>
      <c r="L122" s="412">
        <f>SUM(J122:K122)</f>
        <v>57636</v>
      </c>
    </row>
    <row r="123" spans="1:12" s="37" customFormat="1" ht="55.5" customHeight="1">
      <c r="A123" s="24" t="s">
        <v>37</v>
      </c>
      <c r="B123" s="24" t="s">
        <v>80</v>
      </c>
      <c r="C123" s="24" t="s">
        <v>21</v>
      </c>
      <c r="D123" s="24" t="s">
        <v>1281</v>
      </c>
      <c r="E123" s="24" t="s">
        <v>144</v>
      </c>
      <c r="F123" s="24" t="s">
        <v>28</v>
      </c>
      <c r="G123" s="30" t="s">
        <v>1758</v>
      </c>
      <c r="H123" s="30" t="s">
        <v>1445</v>
      </c>
      <c r="I123" s="19" t="s">
        <v>1759</v>
      </c>
      <c r="J123" s="412">
        <v>70025559</v>
      </c>
      <c r="K123" s="41">
        <v>667957</v>
      </c>
      <c r="L123" s="412">
        <f t="shared" si="13"/>
        <v>70693516</v>
      </c>
    </row>
    <row r="124" spans="1:12" s="472" customFormat="1" ht="36" customHeight="1">
      <c r="A124" s="24" t="s">
        <v>100</v>
      </c>
      <c r="B124" s="24" t="s">
        <v>80</v>
      </c>
      <c r="C124" s="24" t="s">
        <v>21</v>
      </c>
      <c r="D124" s="24" t="s">
        <v>1281</v>
      </c>
      <c r="E124" s="24" t="s">
        <v>144</v>
      </c>
      <c r="F124" s="24" t="s">
        <v>28</v>
      </c>
      <c r="G124" s="30" t="s">
        <v>1781</v>
      </c>
      <c r="H124" s="30" t="s">
        <v>1445</v>
      </c>
      <c r="I124" s="19" t="s">
        <v>1782</v>
      </c>
      <c r="J124" s="412">
        <v>150000</v>
      </c>
      <c r="K124" s="41"/>
      <c r="L124" s="412">
        <f t="shared" si="13"/>
        <v>150000</v>
      </c>
    </row>
    <row r="125" spans="1:12" s="472" customFormat="1" ht="62.25" customHeight="1">
      <c r="A125" s="24" t="s">
        <v>37</v>
      </c>
      <c r="B125" s="24" t="s">
        <v>80</v>
      </c>
      <c r="C125" s="24" t="s">
        <v>21</v>
      </c>
      <c r="D125" s="24" t="s">
        <v>1281</v>
      </c>
      <c r="E125" s="24" t="s">
        <v>144</v>
      </c>
      <c r="F125" s="24" t="s">
        <v>28</v>
      </c>
      <c r="G125" s="30" t="s">
        <v>1791</v>
      </c>
      <c r="H125" s="30" t="s">
        <v>1445</v>
      </c>
      <c r="I125" s="19" t="s">
        <v>1792</v>
      </c>
      <c r="J125" s="412">
        <v>500000</v>
      </c>
      <c r="K125" s="41">
        <v>100000</v>
      </c>
      <c r="L125" s="412">
        <f t="shared" si="13"/>
        <v>600000</v>
      </c>
    </row>
    <row r="126" spans="1:12" s="37" customFormat="1" ht="47.25">
      <c r="A126" s="24" t="s">
        <v>37</v>
      </c>
      <c r="B126" s="24" t="s">
        <v>80</v>
      </c>
      <c r="C126" s="24" t="s">
        <v>21</v>
      </c>
      <c r="D126" s="24" t="s">
        <v>1281</v>
      </c>
      <c r="E126" s="24" t="s">
        <v>144</v>
      </c>
      <c r="F126" s="24" t="s">
        <v>28</v>
      </c>
      <c r="G126" s="30" t="s">
        <v>1760</v>
      </c>
      <c r="H126" s="30" t="s">
        <v>1445</v>
      </c>
      <c r="I126" s="19" t="s">
        <v>1761</v>
      </c>
      <c r="J126" s="412">
        <v>120278</v>
      </c>
      <c r="K126" s="41"/>
      <c r="L126" s="412">
        <f t="shared" si="13"/>
        <v>120278</v>
      </c>
    </row>
    <row r="127" spans="1:12" s="472" customFormat="1" ht="54.75" customHeight="1">
      <c r="A127" s="24" t="s">
        <v>45</v>
      </c>
      <c r="B127" s="24" t="s">
        <v>80</v>
      </c>
      <c r="C127" s="24" t="s">
        <v>21</v>
      </c>
      <c r="D127" s="24" t="s">
        <v>1281</v>
      </c>
      <c r="E127" s="24" t="s">
        <v>144</v>
      </c>
      <c r="F127" s="24" t="s">
        <v>28</v>
      </c>
      <c r="G127" s="30" t="s">
        <v>1794</v>
      </c>
      <c r="H127" s="30" t="s">
        <v>1445</v>
      </c>
      <c r="I127" s="19" t="s">
        <v>1793</v>
      </c>
      <c r="J127" s="412">
        <v>1200750</v>
      </c>
      <c r="K127" s="41">
        <v>200000</v>
      </c>
      <c r="L127" s="412">
        <f t="shared" si="13"/>
        <v>1400750</v>
      </c>
    </row>
    <row r="128" spans="1:12" s="37" customFormat="1" ht="78.75">
      <c r="A128" s="24" t="s">
        <v>37</v>
      </c>
      <c r="B128" s="24" t="s">
        <v>80</v>
      </c>
      <c r="C128" s="24" t="s">
        <v>21</v>
      </c>
      <c r="D128" s="24" t="s">
        <v>1281</v>
      </c>
      <c r="E128" s="24" t="s">
        <v>144</v>
      </c>
      <c r="F128" s="24" t="s">
        <v>28</v>
      </c>
      <c r="G128" s="30" t="s">
        <v>1762</v>
      </c>
      <c r="H128" s="30" t="s">
        <v>1445</v>
      </c>
      <c r="I128" s="19" t="s">
        <v>1763</v>
      </c>
      <c r="J128" s="412">
        <v>2000000</v>
      </c>
      <c r="K128" s="41">
        <v>551980</v>
      </c>
      <c r="L128" s="412">
        <f t="shared" si="13"/>
        <v>2551980</v>
      </c>
    </row>
    <row r="129" spans="1:12" s="472" customFormat="1" ht="50.25" customHeight="1">
      <c r="A129" s="24" t="s">
        <v>37</v>
      </c>
      <c r="B129" s="24" t="s">
        <v>80</v>
      </c>
      <c r="C129" s="24" t="s">
        <v>21</v>
      </c>
      <c r="D129" s="24" t="s">
        <v>1281</v>
      </c>
      <c r="E129" s="24" t="s">
        <v>144</v>
      </c>
      <c r="F129" s="24" t="s">
        <v>28</v>
      </c>
      <c r="G129" s="30" t="s">
        <v>1764</v>
      </c>
      <c r="H129" s="30" t="s">
        <v>1445</v>
      </c>
      <c r="I129" s="19" t="s">
        <v>1765</v>
      </c>
      <c r="J129" s="412">
        <v>2913817</v>
      </c>
      <c r="K129" s="41"/>
      <c r="L129" s="412">
        <f t="shared" si="13"/>
        <v>2913817</v>
      </c>
    </row>
    <row r="130" spans="1:12" s="472" customFormat="1" ht="50.25" customHeight="1">
      <c r="A130" s="24" t="s">
        <v>100</v>
      </c>
      <c r="B130" s="24" t="s">
        <v>80</v>
      </c>
      <c r="C130" s="24" t="s">
        <v>21</v>
      </c>
      <c r="D130" s="24" t="s">
        <v>1281</v>
      </c>
      <c r="E130" s="24" t="s">
        <v>144</v>
      </c>
      <c r="F130" s="24" t="s">
        <v>28</v>
      </c>
      <c r="G130" s="30" t="s">
        <v>1783</v>
      </c>
      <c r="H130" s="30" t="s">
        <v>1445</v>
      </c>
      <c r="I130" s="19" t="s">
        <v>1784</v>
      </c>
      <c r="J130" s="412">
        <v>300000</v>
      </c>
      <c r="K130" s="41"/>
      <c r="L130" s="412">
        <f t="shared" si="13"/>
        <v>300000</v>
      </c>
    </row>
    <row r="131" spans="1:12" s="472" customFormat="1" ht="48" customHeight="1">
      <c r="A131" s="24" t="s">
        <v>37</v>
      </c>
      <c r="B131" s="24" t="s">
        <v>80</v>
      </c>
      <c r="C131" s="24" t="s">
        <v>21</v>
      </c>
      <c r="D131" s="24" t="s">
        <v>1281</v>
      </c>
      <c r="E131" s="24" t="s">
        <v>144</v>
      </c>
      <c r="F131" s="24" t="s">
        <v>28</v>
      </c>
      <c r="G131" s="30" t="s">
        <v>1766</v>
      </c>
      <c r="H131" s="30" t="s">
        <v>1445</v>
      </c>
      <c r="I131" s="19" t="s">
        <v>1767</v>
      </c>
      <c r="J131" s="412">
        <v>11065666</v>
      </c>
      <c r="K131" s="41">
        <v>7750000</v>
      </c>
      <c r="L131" s="412">
        <f t="shared" si="13"/>
        <v>18815666</v>
      </c>
    </row>
    <row r="132" spans="1:12" s="472" customFormat="1" ht="63" customHeight="1">
      <c r="A132" s="24" t="s">
        <v>37</v>
      </c>
      <c r="B132" s="24" t="s">
        <v>80</v>
      </c>
      <c r="C132" s="24" t="s">
        <v>21</v>
      </c>
      <c r="D132" s="24" t="s">
        <v>1281</v>
      </c>
      <c r="E132" s="24" t="s">
        <v>144</v>
      </c>
      <c r="F132" s="24" t="s">
        <v>28</v>
      </c>
      <c r="G132" s="30" t="s">
        <v>1768</v>
      </c>
      <c r="H132" s="30" t="s">
        <v>1445</v>
      </c>
      <c r="I132" s="19" t="s">
        <v>1769</v>
      </c>
      <c r="J132" s="412">
        <v>41112000</v>
      </c>
      <c r="K132" s="594"/>
      <c r="L132" s="412">
        <f t="shared" si="13"/>
        <v>41112000</v>
      </c>
    </row>
    <row r="133" spans="1:12" s="472" customFormat="1" ht="64.5" customHeight="1">
      <c r="A133" s="24" t="s">
        <v>107</v>
      </c>
      <c r="B133" s="24" t="s">
        <v>80</v>
      </c>
      <c r="C133" s="24" t="s">
        <v>21</v>
      </c>
      <c r="D133" s="24" t="s">
        <v>1281</v>
      </c>
      <c r="E133" s="24" t="s">
        <v>144</v>
      </c>
      <c r="F133" s="24" t="s">
        <v>28</v>
      </c>
      <c r="G133" s="30" t="s">
        <v>1774</v>
      </c>
      <c r="H133" s="30" t="s">
        <v>1445</v>
      </c>
      <c r="I133" s="19" t="s">
        <v>1775</v>
      </c>
      <c r="J133" s="412">
        <v>730800</v>
      </c>
      <c r="K133" s="593"/>
      <c r="L133" s="412">
        <f t="shared" si="13"/>
        <v>730800</v>
      </c>
    </row>
    <row r="134" spans="1:12" s="472" customFormat="1" ht="53.25" customHeight="1">
      <c r="A134" s="24" t="s">
        <v>107</v>
      </c>
      <c r="B134" s="24" t="s">
        <v>80</v>
      </c>
      <c r="C134" s="24" t="s">
        <v>21</v>
      </c>
      <c r="D134" s="24" t="s">
        <v>1776</v>
      </c>
      <c r="E134" s="24" t="s">
        <v>1777</v>
      </c>
      <c r="F134" s="24" t="s">
        <v>28</v>
      </c>
      <c r="G134" s="30" t="s">
        <v>17</v>
      </c>
      <c r="H134" s="30" t="s">
        <v>1445</v>
      </c>
      <c r="I134" s="19" t="s">
        <v>1778</v>
      </c>
      <c r="J134" s="412">
        <v>750000</v>
      </c>
      <c r="K134" s="593">
        <v>754400</v>
      </c>
      <c r="L134" s="412">
        <f t="shared" si="13"/>
        <v>1504400</v>
      </c>
    </row>
    <row r="135" spans="1:12" s="472" customFormat="1" ht="96.75" customHeight="1">
      <c r="A135" s="24" t="s">
        <v>37</v>
      </c>
      <c r="B135" s="24" t="s">
        <v>80</v>
      </c>
      <c r="C135" s="24" t="s">
        <v>21</v>
      </c>
      <c r="D135" s="24" t="s">
        <v>1776</v>
      </c>
      <c r="E135" s="24" t="s">
        <v>1786</v>
      </c>
      <c r="F135" s="24" t="s">
        <v>28</v>
      </c>
      <c r="G135" s="30" t="s">
        <v>17</v>
      </c>
      <c r="H135" s="30" t="s">
        <v>1445</v>
      </c>
      <c r="I135" s="19" t="s">
        <v>1785</v>
      </c>
      <c r="J135" s="412">
        <v>11000000</v>
      </c>
      <c r="K135" s="593"/>
      <c r="L135" s="412">
        <f t="shared" si="13"/>
        <v>11000000</v>
      </c>
    </row>
    <row r="136" spans="1:12" s="472" customFormat="1" ht="96.75" customHeight="1">
      <c r="A136" s="24" t="s">
        <v>37</v>
      </c>
      <c r="B136" s="24" t="s">
        <v>80</v>
      </c>
      <c r="C136" s="24" t="s">
        <v>21</v>
      </c>
      <c r="D136" s="24" t="s">
        <v>1833</v>
      </c>
      <c r="E136" s="24" t="s">
        <v>101</v>
      </c>
      <c r="F136" s="24" t="s">
        <v>28</v>
      </c>
      <c r="G136" s="30" t="s">
        <v>1834</v>
      </c>
      <c r="H136" s="30" t="s">
        <v>1445</v>
      </c>
      <c r="I136" s="19" t="s">
        <v>1835</v>
      </c>
      <c r="J136" s="412"/>
      <c r="K136" s="593">
        <v>5000000</v>
      </c>
      <c r="L136" s="412">
        <f t="shared" si="13"/>
        <v>5000000</v>
      </c>
    </row>
    <row r="137" spans="1:12" s="37" customFormat="1" ht="15.75">
      <c r="A137" s="24"/>
      <c r="B137" s="24"/>
      <c r="C137" s="24"/>
      <c r="D137" s="24"/>
      <c r="E137" s="24"/>
      <c r="F137" s="24"/>
      <c r="G137" s="30"/>
      <c r="H137" s="30"/>
      <c r="I137" s="15" t="s">
        <v>165</v>
      </c>
      <c r="J137" s="23">
        <f>J11+J44</f>
        <v>2125452745</v>
      </c>
      <c r="K137" s="23">
        <f>K11+K44</f>
        <v>26116985</v>
      </c>
      <c r="L137" s="16">
        <f t="shared" si="13"/>
        <v>2151569730</v>
      </c>
    </row>
    <row r="138" spans="1:12">
      <c r="A138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showGridLines="0" view="pageBreakPreview" topLeftCell="A25" zoomScaleSheetLayoutView="100" workbookViewId="0">
      <selection activeCell="C11" sqref="C11"/>
    </sheetView>
  </sheetViews>
  <sheetFormatPr defaultColWidth="9.140625" defaultRowHeight="12.75"/>
  <cols>
    <col min="1" max="1" width="36.5703125" style="121" customWidth="1"/>
    <col min="2" max="2" width="16.85546875" style="121" customWidth="1"/>
    <col min="3" max="3" width="16.42578125" style="121" customWidth="1"/>
    <col min="4" max="4" width="15" style="121" customWidth="1"/>
    <col min="5" max="5" width="0" style="121" hidden="1" customWidth="1"/>
    <col min="6" max="16384" width="9.140625" style="121"/>
  </cols>
  <sheetData>
    <row r="1" spans="1:5" ht="15.75">
      <c r="A1" s="774" t="s">
        <v>418</v>
      </c>
      <c r="B1" s="774"/>
      <c r="C1" s="774"/>
      <c r="D1" s="775"/>
      <c r="E1" s="775"/>
    </row>
    <row r="2" spans="1:5" ht="15.75">
      <c r="A2" s="774" t="s">
        <v>1</v>
      </c>
      <c r="B2" s="774"/>
      <c r="C2" s="774"/>
      <c r="D2" s="775"/>
      <c r="E2" s="775"/>
    </row>
    <row r="3" spans="1:5" ht="15.75">
      <c r="A3" s="774" t="s">
        <v>2</v>
      </c>
      <c r="B3" s="774"/>
      <c r="C3" s="774"/>
      <c r="D3" s="775"/>
      <c r="E3" s="775"/>
    </row>
    <row r="4" spans="1:5" ht="15.75">
      <c r="A4" s="774" t="s">
        <v>1423</v>
      </c>
      <c r="B4" s="774"/>
      <c r="C4" s="774"/>
      <c r="D4" s="775"/>
      <c r="E4" s="775"/>
    </row>
    <row r="5" spans="1:5" ht="9" customHeight="1">
      <c r="A5" s="774"/>
      <c r="B5" s="775"/>
      <c r="C5" s="775"/>
      <c r="D5" s="775"/>
      <c r="E5" s="775"/>
    </row>
    <row r="6" spans="1:5" ht="0.75" customHeight="1">
      <c r="A6" s="122"/>
      <c r="B6" s="122"/>
      <c r="C6" s="122"/>
      <c r="D6" s="122"/>
    </row>
    <row r="7" spans="1:5" ht="84.75" customHeight="1">
      <c r="A7" s="773" t="s">
        <v>1432</v>
      </c>
      <c r="B7" s="773"/>
      <c r="C7" s="773"/>
      <c r="D7" s="773"/>
    </row>
    <row r="8" spans="1:5" ht="47.25">
      <c r="A8" s="123" t="s">
        <v>444</v>
      </c>
      <c r="B8" s="124" t="s">
        <v>445</v>
      </c>
      <c r="C8" s="124" t="s">
        <v>446</v>
      </c>
      <c r="D8" s="124" t="s">
        <v>447</v>
      </c>
    </row>
    <row r="9" spans="1:5" ht="63">
      <c r="A9" s="406" t="s">
        <v>448</v>
      </c>
      <c r="B9" s="123"/>
      <c r="C9" s="123"/>
      <c r="D9" s="123"/>
    </row>
    <row r="10" spans="1:5" ht="47.25">
      <c r="A10" s="115" t="s">
        <v>449</v>
      </c>
      <c r="B10" s="123">
        <v>100</v>
      </c>
      <c r="C10" s="123"/>
      <c r="D10" s="123"/>
    </row>
    <row r="11" spans="1:5" ht="126">
      <c r="A11" s="115" t="s">
        <v>450</v>
      </c>
      <c r="B11" s="123">
        <v>100</v>
      </c>
      <c r="C11" s="123"/>
      <c r="D11" s="123"/>
    </row>
    <row r="12" spans="1:5" ht="47.25">
      <c r="A12" s="115" t="s">
        <v>451</v>
      </c>
      <c r="B12" s="123">
        <v>100</v>
      </c>
      <c r="C12" s="123"/>
      <c r="D12" s="123"/>
    </row>
    <row r="13" spans="1:5" ht="47.25">
      <c r="A13" s="125" t="s">
        <v>452</v>
      </c>
      <c r="B13" s="123"/>
      <c r="C13" s="123"/>
      <c r="D13" s="123"/>
    </row>
    <row r="14" spans="1:5" ht="53.25" customHeight="1">
      <c r="A14" s="113" t="s">
        <v>453</v>
      </c>
      <c r="B14" s="123">
        <v>100</v>
      </c>
      <c r="C14" s="123"/>
      <c r="D14" s="123"/>
    </row>
    <row r="15" spans="1:5" ht="47.25">
      <c r="A15" s="407" t="s">
        <v>454</v>
      </c>
      <c r="B15" s="123">
        <v>100</v>
      </c>
      <c r="C15" s="123"/>
      <c r="D15" s="123"/>
    </row>
    <row r="16" spans="1:5" ht="48" customHeight="1">
      <c r="A16" s="115" t="s">
        <v>455</v>
      </c>
      <c r="B16" s="123"/>
      <c r="C16" s="123">
        <v>100</v>
      </c>
      <c r="D16" s="123"/>
    </row>
    <row r="17" spans="1:4" ht="47.25">
      <c r="A17" s="115" t="s">
        <v>456</v>
      </c>
      <c r="B17" s="123"/>
      <c r="C17" s="123">
        <v>100</v>
      </c>
      <c r="D17" s="123"/>
    </row>
    <row r="18" spans="1:4" ht="51.75" customHeight="1">
      <c r="A18" s="113" t="s">
        <v>457</v>
      </c>
      <c r="B18" s="123"/>
      <c r="C18" s="123"/>
      <c r="D18" s="123">
        <v>100</v>
      </c>
    </row>
    <row r="19" spans="1:4" ht="47.25">
      <c r="A19" s="113" t="s">
        <v>458</v>
      </c>
      <c r="B19" s="123"/>
      <c r="C19" s="123"/>
      <c r="D19" s="123">
        <v>100</v>
      </c>
    </row>
    <row r="20" spans="1:4" ht="63">
      <c r="A20" s="115" t="s">
        <v>459</v>
      </c>
      <c r="B20" s="123">
        <v>100</v>
      </c>
      <c r="C20" s="123"/>
      <c r="D20" s="123"/>
    </row>
    <row r="21" spans="1:4" ht="31.5">
      <c r="A21" s="125" t="s">
        <v>460</v>
      </c>
      <c r="B21" s="123"/>
      <c r="C21" s="123"/>
      <c r="D21" s="123"/>
    </row>
    <row r="22" spans="1:4" ht="109.5" customHeight="1">
      <c r="A22" s="408" t="s">
        <v>461</v>
      </c>
      <c r="B22" s="123">
        <v>100</v>
      </c>
      <c r="C22" s="123"/>
      <c r="D22" s="123"/>
    </row>
    <row r="23" spans="1:4" ht="93.75" customHeight="1">
      <c r="A23" s="113" t="s">
        <v>462</v>
      </c>
      <c r="B23" s="123">
        <v>100</v>
      </c>
      <c r="C23" s="123"/>
      <c r="D23" s="123"/>
    </row>
    <row r="24" spans="1:4" ht="111.75" customHeight="1">
      <c r="A24" s="113" t="s">
        <v>463</v>
      </c>
      <c r="B24" s="123"/>
      <c r="C24" s="123">
        <v>100</v>
      </c>
      <c r="D24" s="123"/>
    </row>
    <row r="25" spans="1:4" ht="94.5">
      <c r="A25" s="113" t="s">
        <v>464</v>
      </c>
      <c r="B25" s="123"/>
      <c r="C25" s="123">
        <v>100</v>
      </c>
      <c r="D25" s="123"/>
    </row>
    <row r="26" spans="1:4" ht="110.25" customHeight="1">
      <c r="A26" s="113" t="s">
        <v>465</v>
      </c>
      <c r="B26" s="123"/>
      <c r="C26" s="123"/>
      <c r="D26" s="123">
        <v>100</v>
      </c>
    </row>
    <row r="27" spans="1:4" ht="94.5">
      <c r="A27" s="113" t="s">
        <v>1303</v>
      </c>
      <c r="B27" s="126"/>
      <c r="C27" s="126"/>
      <c r="D27" s="126">
        <v>100</v>
      </c>
    </row>
    <row r="28" spans="1:4" ht="141.75">
      <c r="A28" s="113" t="s">
        <v>1352</v>
      </c>
      <c r="B28" s="126">
        <v>100</v>
      </c>
      <c r="C28" s="126"/>
      <c r="D28" s="126"/>
    </row>
    <row r="29" spans="1:4" ht="141.75">
      <c r="A29" s="113" t="s">
        <v>1353</v>
      </c>
      <c r="B29" s="126"/>
      <c r="C29" s="126">
        <v>100</v>
      </c>
      <c r="D29" s="126"/>
    </row>
    <row r="30" spans="1:4" ht="141.75">
      <c r="A30" s="113" t="s">
        <v>1354</v>
      </c>
      <c r="B30" s="126"/>
      <c r="C30" s="126"/>
      <c r="D30" s="126">
        <v>100</v>
      </c>
    </row>
    <row r="31" spans="1:4" ht="31.5">
      <c r="A31" s="406" t="s">
        <v>466</v>
      </c>
      <c r="B31" s="127"/>
      <c r="C31" s="127"/>
      <c r="D31" s="127"/>
    </row>
    <row r="32" spans="1:4" ht="47.25">
      <c r="A32" s="115" t="s">
        <v>375</v>
      </c>
      <c r="B32" s="123">
        <v>100</v>
      </c>
      <c r="C32" s="123"/>
      <c r="D32" s="123"/>
    </row>
    <row r="33" spans="1:4" ht="47.25">
      <c r="A33" s="115" t="s">
        <v>442</v>
      </c>
      <c r="B33" s="123"/>
      <c r="C33" s="123">
        <v>100</v>
      </c>
      <c r="D33" s="123"/>
    </row>
    <row r="34" spans="1:4" ht="47.25">
      <c r="A34" s="115" t="s">
        <v>467</v>
      </c>
      <c r="B34" s="123"/>
      <c r="C34" s="123"/>
      <c r="D34" s="123">
        <v>100</v>
      </c>
    </row>
    <row r="35" spans="1:4" ht="33" customHeight="1">
      <c r="A35" s="113" t="s">
        <v>377</v>
      </c>
      <c r="B35" s="123">
        <v>100</v>
      </c>
      <c r="C35" s="123"/>
      <c r="D35" s="123"/>
    </row>
    <row r="36" spans="1:4" ht="31.5">
      <c r="A36" s="113" t="s">
        <v>468</v>
      </c>
      <c r="B36" s="127"/>
      <c r="C36" s="123">
        <v>100</v>
      </c>
      <c r="D36" s="123"/>
    </row>
    <row r="37" spans="1:4" ht="31.5">
      <c r="A37" s="113" t="s">
        <v>469</v>
      </c>
      <c r="B37" s="127"/>
      <c r="C37" s="123"/>
      <c r="D37" s="123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/>
  <cols>
    <col min="1" max="1" width="9.140625" style="120"/>
    <col min="2" max="2" width="28.5703125" style="120" customWidth="1"/>
    <col min="3" max="3" width="47.5703125" style="120" customWidth="1"/>
    <col min="4" max="16384" width="9.140625" style="120"/>
  </cols>
  <sheetData>
    <row r="1" spans="1:3" ht="15.75">
      <c r="A1" s="682" t="s">
        <v>470</v>
      </c>
      <c r="B1" s="682"/>
      <c r="C1" s="682"/>
    </row>
    <row r="2" spans="1:3" ht="15.75">
      <c r="A2" s="682" t="s">
        <v>1</v>
      </c>
      <c r="B2" s="682"/>
      <c r="C2" s="682"/>
    </row>
    <row r="3" spans="1:3" ht="15.75">
      <c r="A3" s="682" t="s">
        <v>2</v>
      </c>
      <c r="B3" s="682"/>
      <c r="C3" s="682"/>
    </row>
    <row r="4" spans="1:3" ht="15.75">
      <c r="A4" s="682" t="s">
        <v>1433</v>
      </c>
      <c r="B4" s="682"/>
      <c r="C4" s="682"/>
    </row>
    <row r="5" spans="1:3" ht="15.75">
      <c r="A5" s="37"/>
      <c r="B5" s="1"/>
      <c r="C5" s="1"/>
    </row>
    <row r="6" spans="1:3" ht="48" customHeight="1">
      <c r="A6" s="683" t="s">
        <v>1601</v>
      </c>
      <c r="B6" s="683"/>
      <c r="C6" s="683"/>
    </row>
    <row r="7" spans="1:3" ht="18.75">
      <c r="A7" s="776"/>
      <c r="B7" s="776"/>
      <c r="C7" s="776"/>
    </row>
    <row r="8" spans="1:3" ht="15.75">
      <c r="A8" s="777" t="s">
        <v>406</v>
      </c>
      <c r="B8" s="777"/>
      <c r="C8" s="777"/>
    </row>
    <row r="9" spans="1:3" ht="47.25">
      <c r="A9" s="112">
        <v>955</v>
      </c>
      <c r="B9" s="112" t="s">
        <v>419</v>
      </c>
      <c r="C9" s="113" t="s">
        <v>329</v>
      </c>
    </row>
    <row r="10" spans="1:3" ht="47.25">
      <c r="A10" s="112">
        <v>955</v>
      </c>
      <c r="B10" s="112" t="s">
        <v>420</v>
      </c>
      <c r="C10" s="113" t="s">
        <v>330</v>
      </c>
    </row>
    <row r="11" spans="1:3" ht="63">
      <c r="A11" s="112">
        <v>955</v>
      </c>
      <c r="B11" s="112" t="s">
        <v>421</v>
      </c>
      <c r="C11" s="113" t="s">
        <v>422</v>
      </c>
    </row>
    <row r="12" spans="1:3" ht="63">
      <c r="A12" s="112">
        <v>955</v>
      </c>
      <c r="B12" s="112" t="s">
        <v>423</v>
      </c>
      <c r="C12" s="113" t="s">
        <v>424</v>
      </c>
    </row>
    <row r="13" spans="1:3" ht="31.5">
      <c r="A13" s="112">
        <v>955</v>
      </c>
      <c r="B13" s="112" t="s">
        <v>425</v>
      </c>
      <c r="C13" s="113" t="s">
        <v>334</v>
      </c>
    </row>
    <row r="14" spans="1:3" ht="31.5">
      <c r="A14" s="112">
        <v>955</v>
      </c>
      <c r="B14" s="112" t="s">
        <v>426</v>
      </c>
      <c r="C14" s="113" t="s">
        <v>335</v>
      </c>
    </row>
    <row r="15" spans="1:3" ht="63">
      <c r="A15" s="112">
        <v>955</v>
      </c>
      <c r="B15" s="112" t="s">
        <v>427</v>
      </c>
      <c r="C15" s="113" t="s">
        <v>428</v>
      </c>
    </row>
    <row r="16" spans="1:3" ht="78.75">
      <c r="A16" s="112">
        <v>955</v>
      </c>
      <c r="B16" s="112" t="s">
        <v>429</v>
      </c>
      <c r="C16" s="113" t="s">
        <v>430</v>
      </c>
    </row>
    <row r="17" spans="1:3" ht="63">
      <c r="A17" s="114">
        <v>955</v>
      </c>
      <c r="B17" s="114" t="s">
        <v>431</v>
      </c>
      <c r="C17" s="115" t="s">
        <v>432</v>
      </c>
    </row>
    <row r="18" spans="1:3" ht="63">
      <c r="A18" s="114">
        <v>955</v>
      </c>
      <c r="B18" s="114" t="s">
        <v>433</v>
      </c>
      <c r="C18" s="115" t="s">
        <v>434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71"/>
  <sheetViews>
    <sheetView showGridLines="0" tabSelected="1" view="pageBreakPreview" topLeftCell="A68" zoomScaleSheetLayoutView="100" workbookViewId="0">
      <selection activeCell="H297" sqref="G1:H1048576"/>
    </sheetView>
  </sheetViews>
  <sheetFormatPr defaultColWidth="9.140625" defaultRowHeight="15.75"/>
  <cols>
    <col min="1" max="1" width="42.140625" style="129" customWidth="1"/>
    <col min="2" max="2" width="9.5703125" style="130" customWidth="1"/>
    <col min="3" max="3" width="7.28515625" style="130" customWidth="1"/>
    <col min="4" max="4" width="10.140625" style="131" customWidth="1"/>
    <col min="5" max="5" width="10.28515625" style="132" customWidth="1"/>
    <col min="6" max="6" width="10.42578125" style="130" customWidth="1"/>
    <col min="7" max="7" width="17.5703125" style="128" hidden="1" customWidth="1"/>
    <col min="8" max="8" width="14.28515625" style="128" hidden="1" customWidth="1"/>
    <col min="9" max="9" width="14.28515625" style="128" customWidth="1"/>
    <col min="10" max="10" width="11.5703125" style="128" customWidth="1"/>
    <col min="11" max="11" width="12.140625" style="128" bestFit="1" customWidth="1"/>
    <col min="12" max="16384" width="9.140625" style="128"/>
  </cols>
  <sheetData>
    <row r="1" spans="1:9">
      <c r="A1" s="682" t="s">
        <v>290</v>
      </c>
      <c r="B1" s="682"/>
      <c r="C1" s="682"/>
      <c r="D1" s="682"/>
      <c r="E1" s="682"/>
      <c r="F1" s="682"/>
      <c r="G1" s="682"/>
      <c r="H1" s="682"/>
      <c r="I1" s="682"/>
    </row>
    <row r="2" spans="1:9">
      <c r="A2" s="682" t="s">
        <v>1</v>
      </c>
      <c r="B2" s="682"/>
      <c r="C2" s="682"/>
      <c r="D2" s="682"/>
      <c r="E2" s="682"/>
      <c r="F2" s="682"/>
      <c r="G2" s="682"/>
      <c r="H2" s="682"/>
      <c r="I2" s="682"/>
    </row>
    <row r="3" spans="1:9">
      <c r="A3" s="682" t="s">
        <v>2</v>
      </c>
      <c r="B3" s="682"/>
      <c r="C3" s="682"/>
      <c r="D3" s="682"/>
      <c r="E3" s="682"/>
      <c r="F3" s="682"/>
      <c r="G3" s="682"/>
      <c r="H3" s="682"/>
      <c r="I3" s="682"/>
    </row>
    <row r="4" spans="1:9">
      <c r="A4" s="682" t="s">
        <v>1821</v>
      </c>
      <c r="B4" s="682"/>
      <c r="C4" s="682"/>
      <c r="D4" s="682"/>
      <c r="E4" s="682"/>
      <c r="F4" s="682"/>
      <c r="G4" s="682"/>
      <c r="H4" s="682"/>
      <c r="I4" s="682"/>
    </row>
    <row r="5" spans="1:9">
      <c r="A5" s="133"/>
      <c r="B5" s="134"/>
      <c r="C5" s="134"/>
      <c r="D5" s="135"/>
      <c r="E5" s="136"/>
      <c r="F5" s="134"/>
    </row>
    <row r="6" spans="1:9">
      <c r="A6" s="780" t="s">
        <v>1434</v>
      </c>
      <c r="B6" s="780"/>
      <c r="C6" s="780"/>
      <c r="D6" s="780"/>
      <c r="E6" s="780"/>
      <c r="F6" s="780"/>
      <c r="G6" s="780"/>
      <c r="H6" s="780"/>
      <c r="I6" s="780"/>
    </row>
    <row r="7" spans="1:9" ht="18.75">
      <c r="A7" s="137"/>
      <c r="B7" s="137"/>
      <c r="C7" s="137"/>
      <c r="D7" s="137"/>
      <c r="E7" s="137"/>
      <c r="F7" s="137"/>
    </row>
    <row r="8" spans="1:9">
      <c r="A8" s="778" t="s">
        <v>177</v>
      </c>
      <c r="B8" s="781" t="s">
        <v>472</v>
      </c>
      <c r="C8" s="781" t="s">
        <v>473</v>
      </c>
      <c r="D8" s="782" t="s">
        <v>474</v>
      </c>
      <c r="E8" s="782"/>
      <c r="F8" s="781" t="s">
        <v>475</v>
      </c>
      <c r="G8" s="779" t="s">
        <v>178</v>
      </c>
      <c r="H8" s="778" t="s">
        <v>843</v>
      </c>
      <c r="I8" s="779" t="s">
        <v>178</v>
      </c>
    </row>
    <row r="9" spans="1:9" s="138" customFormat="1">
      <c r="A9" s="778"/>
      <c r="B9" s="781"/>
      <c r="C9" s="781"/>
      <c r="D9" s="139" t="s">
        <v>476</v>
      </c>
      <c r="E9" s="140" t="s">
        <v>477</v>
      </c>
      <c r="F9" s="781"/>
      <c r="G9" s="779"/>
      <c r="H9" s="779"/>
      <c r="I9" s="779"/>
    </row>
    <row r="10" spans="1:9" s="141" customFormat="1" ht="31.5">
      <c r="A10" s="142" t="str">
        <f>IF(B10&gt;0,VLOOKUP(B10,КВСР!A1:B1166,2),IF(C10&gt;0,VLOOKUP(C10,КФСР!A1:B1513,2),IF(D10&gt;0,VLOOKUP(D10,Программа!A$1:B$5091,2),IF(F10&gt;0,VLOOKUP(F10,КВР!A$1:B$5001,2),IF(E10&gt;0,VLOOKUP(E10,Направление!A$1:B$4750,2))))))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55">
        <f>G11+G15+G31+G35+G39+G125+G146+G203+G238+G309+G297+G111+G158+G119+G302+G226+G269</f>
        <v>368540679</v>
      </c>
      <c r="H10" s="555">
        <f>H11+H15+H31+H35+H39+H125+H146+H203+H238+H309+H297+H111+H158+H119+H302+H226+H269</f>
        <v>12825735</v>
      </c>
      <c r="I10" s="555">
        <f>I11+I15+I31+I35+I39+I125+I146+I203+I238+I309+I297+I111+I158+I119+I302+I226+I269</f>
        <v>381366414</v>
      </c>
    </row>
    <row r="11" spans="1:9" s="141" customFormat="1" ht="63">
      <c r="A11" s="148" t="str">
        <f>IF(B11&gt;0,VLOOKUP(B11,КВСР!A2:B1167,2),IF(C11&gt;0,VLOOKUP(C11,КФСР!A2:B1514,2),IF(D11&gt;0,VLOOKUP(D11,Программа!A$1:B$5091,2),IF(F11&gt;0,VLOOKUP(F11,КВР!A$1:B$5001,2),IF(E11&gt;0,VLOOKUP(E11,Направление!A$1:B$4750,2))))))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379">
        <f>G12</f>
        <v>1569248</v>
      </c>
      <c r="H11" s="150">
        <f t="shared" ref="H11:H13" si="0">H12</f>
        <v>0</v>
      </c>
      <c r="I11" s="152">
        <f t="shared" ref="I11:I13" si="1">SUM(G11:H11)</f>
        <v>1569248</v>
      </c>
    </row>
    <row r="12" spans="1:9" s="141" customFormat="1">
      <c r="A12" s="148" t="str">
        <f>IF(B12&gt;0,VLOOKUP(B12,КВСР!A3:B1168,2),IF(C12&gt;0,VLOOKUP(C12,КФСР!A3:B1515,2),IF(D12&gt;0,VLOOKUP(D12,Программа!A$1:B$5091,2),IF(F12&gt;0,VLOOKUP(F12,КВР!A$1:B$5001,2),IF(E12&gt;0,VLOOKUP(E12,Направление!A$1:B$4750,2))))))</f>
        <v>Непрограммные расходы бюджета</v>
      </c>
      <c r="B12" s="149"/>
      <c r="C12" s="144"/>
      <c r="D12" s="145" t="s">
        <v>480</v>
      </c>
      <c r="E12" s="144"/>
      <c r="F12" s="146"/>
      <c r="G12" s="379">
        <f>G13</f>
        <v>1569248</v>
      </c>
      <c r="H12" s="150">
        <f t="shared" si="0"/>
        <v>0</v>
      </c>
      <c r="I12" s="152">
        <f t="shared" si="1"/>
        <v>1569248</v>
      </c>
    </row>
    <row r="13" spans="1:9" s="141" customFormat="1" ht="31.5">
      <c r="A13" s="148" t="str">
        <f>IF(B13&gt;0,VLOOKUP(B13,КВСР!A4:B1169,2),IF(C13&gt;0,VLOOKUP(C13,КФСР!A4:B1516,2),IF(D13&gt;0,VLOOKUP(D13,Программа!A$1:B$5091,2),IF(F13&gt;0,VLOOKUP(F13,КВР!A$1:B$5001,2),IF(E13&gt;0,VLOOKUP(E13,Направление!A$1:B$4750,2))))))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379">
        <f>G14</f>
        <v>1569248</v>
      </c>
      <c r="H13" s="150">
        <f t="shared" si="0"/>
        <v>0</v>
      </c>
      <c r="I13" s="152">
        <f t="shared" si="1"/>
        <v>1569248</v>
      </c>
    </row>
    <row r="14" spans="1:9" s="141" customFormat="1" ht="126">
      <c r="A14" s="148" t="str">
        <f>IF(B14&gt;0,VLOOKUP(B14,КВСР!A5:B1170,2),IF(C14&gt;0,VLOOKUP(C14,КФСР!A5:B1517,2),IF(D14&gt;0,VLOOKUP(D14,Программа!A$1:B$5091,2),IF(F14&gt;0,VLOOKUP(F14,КВР!A$1:B$5001,2),IF(E14&gt;0,VLOOKUP(E14,Направление!A$1:B$4750,2))))))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6"/>
      <c r="E14" s="144"/>
      <c r="F14" s="146">
        <v>100</v>
      </c>
      <c r="G14" s="379">
        <v>1569248</v>
      </c>
      <c r="H14" s="151"/>
      <c r="I14" s="152">
        <f t="shared" ref="I14:I100" si="2">SUM(G14:H14)</f>
        <v>1569248</v>
      </c>
    </row>
    <row r="15" spans="1:9" s="141" customFormat="1" ht="94.5">
      <c r="A15" s="148" t="str">
        <f>IF(B15&gt;0,VLOOKUP(B15,КВСР!A7:B1172,2),IF(C15&gt;0,VLOOKUP(C15,КФСР!A7:B1519,2),IF(D15&gt;0,VLOOKUP(D15,Программа!A$1:B$5091,2),IF(F15&gt;0,VLOOKUP(F15,КВР!A$1:B$5001,2),IF(E15&gt;0,VLOOKUP(E15,Направление!A$1:B$4750,2))))))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337">
        <f>G20+G16</f>
        <v>46646731</v>
      </c>
      <c r="H15" s="337">
        <f t="shared" ref="H15:I15" si="3">H20+H16</f>
        <v>-1364337</v>
      </c>
      <c r="I15" s="337">
        <f t="shared" si="3"/>
        <v>45282394</v>
      </c>
    </row>
    <row r="16" spans="1:9" s="141" customFormat="1" ht="63">
      <c r="A16" s="148" t="str">
        <f>IF(B16&gt;0,VLOOKUP(B16,КВСР!A8:B1173,2),IF(C16&gt;0,VLOOKUP(C16,КФСР!A8:B1520,2),IF(D16&gt;0,VLOOKUP(D16,Программа!A$1:B$5091,2),IF(F16&gt;0,VLOOKUP(F16,КВР!A$1:B$5001,2),IF(E16&gt;0,VLOOKUP(E16,Направление!A$1:B$4750,2))))))</f>
        <v>Муниципальная программа "Обеспечение муниципальных закупок в Тутаевском муниципальном районе"</v>
      </c>
      <c r="B16" s="149"/>
      <c r="C16" s="144"/>
      <c r="D16" s="145" t="s">
        <v>1236</v>
      </c>
      <c r="E16" s="144"/>
      <c r="F16" s="146"/>
      <c r="G16" s="337">
        <f>G17</f>
        <v>125000</v>
      </c>
      <c r="H16" s="337">
        <f t="shared" ref="H16:I18" si="4">H17</f>
        <v>60000</v>
      </c>
      <c r="I16" s="337">
        <f t="shared" si="4"/>
        <v>185000</v>
      </c>
    </row>
    <row r="17" spans="1:9" s="141" customFormat="1" ht="63">
      <c r="A17" s="148" t="str">
        <f>IF(B17&gt;0,VLOOKUP(B17,КВСР!A9:B1174,2),IF(C17&gt;0,VLOOKUP(C17,КФСР!A9:B1521,2),IF(D17&gt;0,VLOOKUP(D17,Программа!A$1:B$5091,2),IF(F17&gt;0,VLOOKUP(F17,КВР!A$1:B$5001,2),IF(E17&gt;0,VLOOKUP(E17,Направление!A$1:B$4750,2))))))</f>
        <v>Организация системы подготовки, планирования, информационного сопровождения и осуществления муниципальных закупок</v>
      </c>
      <c r="B17" s="149"/>
      <c r="C17" s="144"/>
      <c r="D17" s="145" t="s">
        <v>1238</v>
      </c>
      <c r="E17" s="144"/>
      <c r="F17" s="146"/>
      <c r="G17" s="337">
        <f>G18</f>
        <v>125000</v>
      </c>
      <c r="H17" s="337">
        <f t="shared" si="4"/>
        <v>60000</v>
      </c>
      <c r="I17" s="337">
        <f t="shared" si="4"/>
        <v>185000</v>
      </c>
    </row>
    <row r="18" spans="1:9" s="141" customFormat="1" ht="25.5" customHeight="1">
      <c r="A18" s="148" t="str">
        <f>IF(B18&gt;0,VLOOKUP(B18,КВСР!A10:B1175,2),IF(C18&gt;0,VLOOKUP(C18,КФСР!A10:B1522,2),IF(D18&gt;0,VLOOKUP(D18,Программа!A$1:B$5091,2),IF(F18&gt;0,VLOOKUP(F18,КВР!A$1:B$5001,2),IF(E18&gt;0,VLOOKUP(E18,Направление!A$1:B$4750,2))))))</f>
        <v>Содержание центрального аппарата</v>
      </c>
      <c r="B18" s="149"/>
      <c r="C18" s="144"/>
      <c r="D18" s="145"/>
      <c r="E18" s="144">
        <v>12010</v>
      </c>
      <c r="F18" s="146"/>
      <c r="G18" s="337">
        <f>G19</f>
        <v>125000</v>
      </c>
      <c r="H18" s="337">
        <f t="shared" si="4"/>
        <v>60000</v>
      </c>
      <c r="I18" s="337">
        <f t="shared" si="4"/>
        <v>185000</v>
      </c>
    </row>
    <row r="19" spans="1:9" s="141" customFormat="1" ht="63">
      <c r="A19" s="148" t="str">
        <f>IF(B19&gt;0,VLOOKUP(B19,КВСР!A10:B1175,2),IF(C19&gt;0,VLOOKUP(C19,КФСР!A10:B1522,2),IF(D19&gt;0,VLOOKUP(D19,Программа!A$1:B$5091,2),IF(F19&gt;0,VLOOKUP(F19,КВР!A$1:B$5001,2),IF(E19&gt;0,VLOOKUP(E19,Направление!A$1:B$4750,2))))))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337">
        <v>125000</v>
      </c>
      <c r="H19" s="152">
        <v>60000</v>
      </c>
      <c r="I19" s="152">
        <f>G19+H19</f>
        <v>185000</v>
      </c>
    </row>
    <row r="20" spans="1:9" s="141" customFormat="1">
      <c r="A20" s="148" t="str">
        <f>IF(B20&gt;0,VLOOKUP(B20,КВСР!A8:B1173,2),IF(C20&gt;0,VLOOKUP(C20,КФСР!A8:B1520,2),IF(D20&gt;0,VLOOKUP(D20,Программа!A$1:B$5091,2),IF(F20&gt;0,VLOOKUP(F20,КВР!A$1:B$5001,2),IF(E20&gt;0,VLOOKUP(E20,Направление!A$1:B$4750,2))))))</f>
        <v>Непрограммные расходы бюджета</v>
      </c>
      <c r="B20" s="149"/>
      <c r="C20" s="144"/>
      <c r="D20" s="145" t="s">
        <v>480</v>
      </c>
      <c r="E20" s="144"/>
      <c r="F20" s="146"/>
      <c r="G20" s="337">
        <f>G21+G28+G26</f>
        <v>46521731</v>
      </c>
      <c r="H20" s="152">
        <f>H21+H28+H26</f>
        <v>-1424337</v>
      </c>
      <c r="I20" s="152">
        <f t="shared" si="2"/>
        <v>45097394</v>
      </c>
    </row>
    <row r="21" spans="1:9" s="141" customFormat="1">
      <c r="A21" s="148" t="str">
        <f>IF(B21&gt;0,VLOOKUP(B21,КВСР!A9:B1174,2),IF(C21&gt;0,VLOOKUP(C21,КФСР!A9:B1521,2),IF(D21&gt;0,VLOOKUP(D21,Программа!A$1:B$5091,2),IF(F21&gt;0,VLOOKUP(F21,КВР!A$1:B$5001,2),IF(E21&gt;0,VLOOKUP(E21,Направление!A$1:B$4750,2))))))</f>
        <v>Содержание центрального аппарата</v>
      </c>
      <c r="B21" s="149"/>
      <c r="C21" s="144"/>
      <c r="D21" s="145"/>
      <c r="E21" s="144">
        <v>12010</v>
      </c>
      <c r="F21" s="146"/>
      <c r="G21" s="337">
        <f>G22+G23+G25+G24</f>
        <v>29795245</v>
      </c>
      <c r="H21" s="337">
        <f t="shared" ref="H21:I21" si="5">H22+H23+H25+H24</f>
        <v>-1431007</v>
      </c>
      <c r="I21" s="337">
        <f t="shared" si="5"/>
        <v>28364238</v>
      </c>
    </row>
    <row r="22" spans="1:9" s="141" customFormat="1" ht="126">
      <c r="A22" s="148" t="str">
        <f>IF(B22&gt;0,VLOOKUP(B22,КВСР!A10:B1175,2),IF(C22&gt;0,VLOOKUP(C22,КФСР!A10:B1522,2),IF(D22&gt;0,VLOOKUP(D22,Программа!A$1:B$5091,2),IF(F22&gt;0,VLOOKUP(F22,КВР!A$1:B$5001,2),IF(E22&gt;0,VLOOKUP(E22,Направление!A$1:B$4750,2))))))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6"/>
      <c r="E22" s="144"/>
      <c r="F22" s="146">
        <v>100</v>
      </c>
      <c r="G22" s="379">
        <v>25654359</v>
      </c>
      <c r="H22" s="151">
        <v>-1431007</v>
      </c>
      <c r="I22" s="152">
        <f t="shared" si="2"/>
        <v>24223352</v>
      </c>
    </row>
    <row r="23" spans="1:9" s="141" customFormat="1" ht="63">
      <c r="A23" s="148" t="str">
        <f>IF(B23&gt;0,VLOOKUP(B23,КВСР!A11:B1176,2),IF(C23&gt;0,VLOOKUP(C23,КФСР!A11:B1523,2),IF(D23&gt;0,VLOOKUP(D23,Программа!A$1:B$5091,2),IF(F23&gt;0,VLOOKUP(F23,КВР!A$1:B$5001,2),IF(E23&gt;0,VLOOKUP(E23,Направление!A$1:B$4750,2))))))</f>
        <v xml:space="preserve">Закупка товаров, работ и услуг для обеспечения государственных (муниципальных) нужд
</v>
      </c>
      <c r="B23" s="149"/>
      <c r="C23" s="144"/>
      <c r="D23" s="146"/>
      <c r="E23" s="144"/>
      <c r="F23" s="146">
        <v>200</v>
      </c>
      <c r="G23" s="379">
        <v>3616552</v>
      </c>
      <c r="H23" s="151">
        <v>-17835</v>
      </c>
      <c r="I23" s="152">
        <f t="shared" si="2"/>
        <v>3598717</v>
      </c>
    </row>
    <row r="24" spans="1:9" s="141" customFormat="1" ht="33.75" customHeight="1">
      <c r="A24" s="148" t="str">
        <f>IF(B24&gt;0,VLOOKUP(B24,КВСР!A12:B1177,2),IF(C24&gt;0,VLOOKUP(C24,КФСР!A12:B1524,2),IF(D24&gt;0,VLOOKUP(D24,Программа!A$1:B$5091,2),IF(F24&gt;0,VLOOKUP(F24,КВР!A$1:B$5001,2),IF(E24&gt;0,VLOOKUP(E24,Направление!A$1:B$4750,2))))))</f>
        <v>Социальное обеспечение и иные выплаты населению</v>
      </c>
      <c r="B24" s="149"/>
      <c r="C24" s="144"/>
      <c r="D24" s="146"/>
      <c r="E24" s="144"/>
      <c r="F24" s="146">
        <v>300</v>
      </c>
      <c r="G24" s="379">
        <v>65994</v>
      </c>
      <c r="H24" s="151"/>
      <c r="I24" s="152">
        <f t="shared" si="2"/>
        <v>65994</v>
      </c>
    </row>
    <row r="25" spans="1:9" s="141" customFormat="1">
      <c r="A25" s="148" t="str">
        <f>IF(B25&gt;0,VLOOKUP(B25,КВСР!A12:B1177,2),IF(C25&gt;0,VLOOKUP(C25,КФСР!A12:B1524,2),IF(D25&gt;0,VLOOKUP(D25,Программа!A$1:B$5091,2),IF(F25&gt;0,VLOOKUP(F25,КВР!A$1:B$5001,2),IF(E25&gt;0,VLOOKUP(E25,Направление!A$1:B$4750,2))))))</f>
        <v>Иные бюджетные ассигнования</v>
      </c>
      <c r="B25" s="149"/>
      <c r="C25" s="144"/>
      <c r="D25" s="146"/>
      <c r="E25" s="144"/>
      <c r="F25" s="146">
        <v>800</v>
      </c>
      <c r="G25" s="379">
        <v>458340</v>
      </c>
      <c r="H25" s="151">
        <v>17835</v>
      </c>
      <c r="I25" s="152">
        <f t="shared" si="2"/>
        <v>476175</v>
      </c>
    </row>
    <row r="26" spans="1:9" s="141" customFormat="1" ht="31.5" hidden="1">
      <c r="A26" s="148" t="str">
        <f>IF(B26&gt;0,VLOOKUP(B26,КВСР!A13:B1178,2),IF(C26&gt;0,VLOOKUP(C26,КФСР!A13:B1525,2),IF(D26&gt;0,VLOOKUP(D26,Программа!A$1:B$5091,2),IF(F26&gt;0,VLOOKUP(F26,КВР!A$1:B$5001,2),IF(E26&gt;0,VLOOKUP(E26,Направление!A$1:B$4750,2))))))</f>
        <v>Содержание Главы местной администрации</v>
      </c>
      <c r="B26" s="149"/>
      <c r="C26" s="144"/>
      <c r="D26" s="146"/>
      <c r="E26" s="144">
        <v>12040</v>
      </c>
      <c r="F26" s="146"/>
      <c r="G26" s="379">
        <f>G27</f>
        <v>0</v>
      </c>
      <c r="H26" s="379">
        <f>H27</f>
        <v>0</v>
      </c>
      <c r="I26" s="152">
        <f t="shared" si="2"/>
        <v>0</v>
      </c>
    </row>
    <row r="27" spans="1:9" s="141" customFormat="1" ht="126" hidden="1">
      <c r="A27" s="148" t="str">
        <f>IF(B27&gt;0,VLOOKUP(B27,КВСР!A14:B1179,2),IF(C27&gt;0,VLOOKUP(C27,КФСР!A14:B1526,2),IF(D27&gt;0,VLOOKUP(D27,Программа!A$1:B$5091,2),IF(F27&gt;0,VLOOKUP(F27,КВР!A$1:B$5001,2),IF(E27&gt;0,VLOOKUP(E27,Направление!A$1:B$4750,2))))))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49"/>
      <c r="C27" s="144"/>
      <c r="D27" s="146"/>
      <c r="E27" s="144"/>
      <c r="F27" s="146">
        <v>100</v>
      </c>
      <c r="G27" s="379"/>
      <c r="H27" s="151"/>
      <c r="I27" s="152">
        <f t="shared" si="2"/>
        <v>0</v>
      </c>
    </row>
    <row r="28" spans="1:9" s="141" customFormat="1" ht="47.25">
      <c r="A28" s="148" t="str">
        <f>IF(B28&gt;0,VLOOKUP(B28,КВСР!A13:B1178,2),IF(C28&gt;0,VLOOKUP(C28,КФСР!A13:B1525,2),IF(D28&gt;0,VLOOKUP(D28,Программа!A$1:B$5091,2),IF(F28&gt;0,VLOOKUP(F28,КВР!A$1:B$5001,2),IF(E28&gt;0,VLOOKUP(E28,Направление!A$1:B$4750,2))))))</f>
        <v>Содержание органов местного самоуправления за счет средств поселений</v>
      </c>
      <c r="B28" s="149"/>
      <c r="C28" s="144"/>
      <c r="D28" s="145"/>
      <c r="E28" s="144">
        <v>29016</v>
      </c>
      <c r="F28" s="146"/>
      <c r="G28" s="379">
        <f>G29+G30</f>
        <v>16726486</v>
      </c>
      <c r="H28" s="150">
        <f>H29+H30</f>
        <v>6670</v>
      </c>
      <c r="I28" s="152">
        <f t="shared" si="2"/>
        <v>16733156</v>
      </c>
    </row>
    <row r="29" spans="1:9" s="141" customFormat="1" ht="126">
      <c r="A29" s="148" t="str">
        <f>IF(B29&gt;0,VLOOKUP(B29,КВСР!A14:B1179,2),IF(C29&gt;0,VLOOKUP(C29,КФСР!A14:B1526,2),IF(D29&gt;0,VLOOKUP(D29,Программа!A$1:B$5091,2),IF(F29&gt;0,VLOOKUP(F29,КВР!A$1:B$5001,2),IF(E29&gt;0,VLOOKUP(E29,Направление!A$1:B$4750,2))))))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" s="149"/>
      <c r="C29" s="144"/>
      <c r="D29" s="146"/>
      <c r="E29" s="144"/>
      <c r="F29" s="146">
        <v>100</v>
      </c>
      <c r="G29" s="379">
        <v>16726486</v>
      </c>
      <c r="H29" s="151">
        <v>6670</v>
      </c>
      <c r="I29" s="152">
        <f t="shared" si="2"/>
        <v>16733156</v>
      </c>
    </row>
    <row r="30" spans="1:9" s="141" customFormat="1" ht="63" hidden="1">
      <c r="A30" s="148" t="str">
        <f>IF(B30&gt;0,VLOOKUP(B30,КВСР!A15:B1180,2),IF(C30&gt;0,VLOOKUP(C30,КФСР!A15:B1527,2),IF(D30&gt;0,VLOOKUP(D30,Программа!A$1:B$5091,2),IF(F30&gt;0,VLOOKUP(F30,КВР!A$1:B$5001,2),IF(E30&gt;0,VLOOKUP(E30,Направление!A$1:B$4750,2))))))</f>
        <v xml:space="preserve">Закупка товаров, работ и услуг для обеспечения государственных (муниципальных) нужд
</v>
      </c>
      <c r="B30" s="149"/>
      <c r="C30" s="144"/>
      <c r="D30" s="146"/>
      <c r="E30" s="144"/>
      <c r="F30" s="146">
        <v>200</v>
      </c>
      <c r="G30" s="379"/>
      <c r="H30" s="151"/>
      <c r="I30" s="152">
        <f t="shared" si="2"/>
        <v>0</v>
      </c>
    </row>
    <row r="31" spans="1:9" s="141" customFormat="1">
      <c r="A31" s="148" t="str">
        <f>IF(B31&gt;0,VLOOKUP(B31,КВСР!A16:B1181,2),IF(C31&gt;0,VLOOKUP(C31,КФСР!A16:B1528,2),IF(D31&gt;0,VLOOKUP(D31,Программа!A$1:B$5091,2),IF(F31&gt;0,VLOOKUP(F31,КВР!A$1:B$5001,2),IF(E31&gt;0,VLOOKUP(E31,Направление!A$1:B$4750,2))))))</f>
        <v>Судебная система</v>
      </c>
      <c r="B31" s="149"/>
      <c r="C31" s="144">
        <v>105</v>
      </c>
      <c r="D31" s="146"/>
      <c r="E31" s="144"/>
      <c r="F31" s="146"/>
      <c r="G31" s="379">
        <f t="shared" ref="G31:H33" si="6">G32</f>
        <v>6143</v>
      </c>
      <c r="H31" s="150">
        <f t="shared" si="6"/>
        <v>0</v>
      </c>
      <c r="I31" s="152">
        <f t="shared" si="2"/>
        <v>6143</v>
      </c>
    </row>
    <row r="32" spans="1:9" s="141" customFormat="1">
      <c r="A32" s="148" t="str">
        <f>IF(B32&gt;0,VLOOKUP(B32,КВСР!A17:B1182,2),IF(C32&gt;0,VLOOKUP(C32,КФСР!A17:B1529,2),IF(D32&gt;0,VLOOKUP(D32,Программа!A$1:B$5091,2),IF(F32&gt;0,VLOOKUP(F32,КВР!A$1:B$5001,2),IF(E32&gt;0,VLOOKUP(E32,Направление!A$1:B$4750,2))))))</f>
        <v>Непрограммные расходы бюджета</v>
      </c>
      <c r="B32" s="149"/>
      <c r="C32" s="144"/>
      <c r="D32" s="146" t="s">
        <v>480</v>
      </c>
      <c r="E32" s="144"/>
      <c r="F32" s="146"/>
      <c r="G32" s="379">
        <f t="shared" si="6"/>
        <v>6143</v>
      </c>
      <c r="H32" s="150">
        <f t="shared" si="6"/>
        <v>0</v>
      </c>
      <c r="I32" s="152">
        <f t="shared" si="2"/>
        <v>6143</v>
      </c>
    </row>
    <row r="33" spans="1:9" s="141" customFormat="1" ht="94.5">
      <c r="A33" s="148" t="str">
        <f>IF(B33&gt;0,VLOOKUP(B33,КВСР!A18:B1183,2),IF(C33&gt;0,VLOOKUP(C33,КФСР!A18:B1530,2),IF(D33&gt;0,VLOOKUP(D33,Программа!A$1:B$5091,2),IF(F33&gt;0,VLOOKUP(F33,КВР!A$1:B$5001,2),IF(E33&gt;0,VLOOKUP(E33,Направление!A$1:B$4750,2))))))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3" s="149"/>
      <c r="C33" s="144"/>
      <c r="D33" s="146"/>
      <c r="E33" s="144">
        <v>51200</v>
      </c>
      <c r="F33" s="146"/>
      <c r="G33" s="379">
        <f t="shared" si="6"/>
        <v>6143</v>
      </c>
      <c r="H33" s="150">
        <f t="shared" si="6"/>
        <v>0</v>
      </c>
      <c r="I33" s="152">
        <f t="shared" si="2"/>
        <v>6143</v>
      </c>
    </row>
    <row r="34" spans="1:9" s="141" customFormat="1" ht="63">
      <c r="A34" s="148" t="str">
        <f>IF(B34&gt;0,VLOOKUP(B34,КВСР!A19:B1184,2),IF(C34&gt;0,VLOOKUP(C34,КФСР!A19:B1531,2),IF(D34&gt;0,VLOOKUP(D34,Программа!A$1:B$5091,2),IF(F34&gt;0,VLOOKUP(F34,КВР!A$1:B$5001,2),IF(E34&gt;0,VLOOKUP(E34,Направление!A$1:B$4750,2))))))</f>
        <v xml:space="preserve">Закупка товаров, работ и услуг для обеспечения государственных (муниципальных) нужд
</v>
      </c>
      <c r="B34" s="149"/>
      <c r="C34" s="144"/>
      <c r="D34" s="146"/>
      <c r="E34" s="144"/>
      <c r="F34" s="146">
        <v>200</v>
      </c>
      <c r="G34" s="379">
        <v>6143</v>
      </c>
      <c r="H34" s="151"/>
      <c r="I34" s="152">
        <f t="shared" si="2"/>
        <v>6143</v>
      </c>
    </row>
    <row r="35" spans="1:9" s="141" customFormat="1">
      <c r="A35" s="148" t="str">
        <f>IF(B35&gt;0,VLOOKUP(B35,КВСР!A21:B1186,2),IF(C35&gt;0,VLOOKUP(C35,КФСР!A21:B1533,2),IF(D35&gt;0,VLOOKUP(D35,Программа!A$1:B$5091,2),IF(F35&gt;0,VLOOKUP(F35,КВР!A$1:B$5001,2),IF(E35&gt;0,VLOOKUP(E35,Направление!A$1:B$4750,2))))))</f>
        <v>Резервные фонды</v>
      </c>
      <c r="B35" s="149"/>
      <c r="C35" s="144">
        <v>111</v>
      </c>
      <c r="D35" s="145"/>
      <c r="E35" s="144"/>
      <c r="F35" s="146"/>
      <c r="G35" s="337">
        <f t="shared" ref="G35:H37" si="7">G36</f>
        <v>2975000</v>
      </c>
      <c r="H35" s="152">
        <f t="shared" si="7"/>
        <v>0</v>
      </c>
      <c r="I35" s="152">
        <f t="shared" si="2"/>
        <v>2975000</v>
      </c>
    </row>
    <row r="36" spans="1:9" s="141" customFormat="1">
      <c r="A36" s="148" t="str">
        <f>IF(B36&gt;0,VLOOKUP(B36,КВСР!A22:B1187,2),IF(C36&gt;0,VLOOKUP(C36,КФСР!A22:B1534,2),IF(D36&gt;0,VLOOKUP(D36,Программа!A$1:B$5091,2),IF(F36&gt;0,VLOOKUP(F36,КВР!A$1:B$5001,2),IF(E36&gt;0,VLOOKUP(E36,Направление!A$1:B$4750,2))))))</f>
        <v>Непрограммные расходы бюджета</v>
      </c>
      <c r="B36" s="149"/>
      <c r="C36" s="144"/>
      <c r="D36" s="145" t="s">
        <v>480</v>
      </c>
      <c r="E36" s="144"/>
      <c r="F36" s="146"/>
      <c r="G36" s="337">
        <f t="shared" si="7"/>
        <v>2975000</v>
      </c>
      <c r="H36" s="152">
        <f t="shared" si="7"/>
        <v>0</v>
      </c>
      <c r="I36" s="152">
        <f t="shared" si="2"/>
        <v>2975000</v>
      </c>
    </row>
    <row r="37" spans="1:9" s="141" customFormat="1" ht="31.5">
      <c r="A37" s="148" t="str">
        <f>IF(B37&gt;0,VLOOKUP(B37,КВСР!A23:B1188,2),IF(C37&gt;0,VLOOKUP(C37,КФСР!A23:B1535,2),IF(D37&gt;0,VLOOKUP(D37,Программа!A$1:B$5091,2),IF(F37&gt;0,VLOOKUP(F37,КВР!A$1:B$5001,2),IF(E37&gt;0,VLOOKUP(E37,Направление!A$1:B$4750,2))))))</f>
        <v>Резервные фонды местных администраций</v>
      </c>
      <c r="B37" s="149"/>
      <c r="C37" s="144"/>
      <c r="D37" s="145"/>
      <c r="E37" s="144">
        <v>12900</v>
      </c>
      <c r="F37" s="146"/>
      <c r="G37" s="337">
        <f t="shared" si="7"/>
        <v>2975000</v>
      </c>
      <c r="H37" s="152">
        <f t="shared" si="7"/>
        <v>0</v>
      </c>
      <c r="I37" s="152">
        <f t="shared" si="2"/>
        <v>2975000</v>
      </c>
    </row>
    <row r="38" spans="1:9" s="141" customFormat="1">
      <c r="A38" s="148" t="str">
        <f>IF(B38&gt;0,VLOOKUP(B38,КВСР!A24:B1189,2),IF(C38&gt;0,VLOOKUP(C38,КФСР!A24:B1536,2),IF(D38&gt;0,VLOOKUP(D38,Программа!A$1:B$5091,2),IF(F38&gt;0,VLOOKUP(F38,КВР!A$1:B$5001,2),IF(E38&gt;0,VLOOKUP(E38,Направление!A$1:B$4750,2))))))</f>
        <v>Иные бюджетные ассигнования</v>
      </c>
      <c r="B38" s="149"/>
      <c r="C38" s="144"/>
      <c r="D38" s="146"/>
      <c r="E38" s="144"/>
      <c r="F38" s="146">
        <v>800</v>
      </c>
      <c r="G38" s="379">
        <v>2975000</v>
      </c>
      <c r="H38" s="151"/>
      <c r="I38" s="152">
        <f t="shared" si="2"/>
        <v>2975000</v>
      </c>
    </row>
    <row r="39" spans="1:9" s="141" customFormat="1" ht="31.5">
      <c r="A39" s="148" t="str">
        <f>IF(B39&gt;0,VLOOKUP(B39,КВСР!A25:B1190,2),IF(C39&gt;0,VLOOKUP(C39,КФСР!A25:B1537,2),IF(D39&gt;0,VLOOKUP(D39,Программа!A$1:B$5091,2),IF(F39&gt;0,VLOOKUP(F39,КВР!A$1:B$5001,2),IF(E39&gt;0,VLOOKUP(E39,Направление!A$1:B$4750,2))))))</f>
        <v>Другие общегосударственные вопросы</v>
      </c>
      <c r="B39" s="149"/>
      <c r="C39" s="144">
        <v>113</v>
      </c>
      <c r="D39" s="145"/>
      <c r="E39" s="144"/>
      <c r="F39" s="146"/>
      <c r="G39" s="337">
        <f>G40+G45+G49+G82+G56+G74+G65+G70+G78+G106</f>
        <v>45644984</v>
      </c>
      <c r="H39" s="337">
        <f t="shared" ref="H39:I39" si="8">H40+H45+H49+H82+H56+H74+H65+H70+H78+H106</f>
        <v>1986207</v>
      </c>
      <c r="I39" s="337">
        <f t="shared" si="8"/>
        <v>47631191</v>
      </c>
    </row>
    <row r="40" spans="1:9" s="141" customFormat="1" ht="63" hidden="1">
      <c r="A40" s="148" t="str">
        <f>IF(B40&gt;0,VLOOKUP(B40,КВСР!A26:B1191,2),IF(C40&gt;0,VLOOKUP(C40,КФСР!A26:B1538,2),IF(D40&gt;0,VLOOKUP(D40,Программа!A$1:B$5091,2),IF(F40&gt;0,VLOOKUP(F40,КВР!A$1:B$5001,2),IF(E40&gt;0,VLOOKUP(E40,Направление!A$1:B$4750,2))))))</f>
        <v>Муниципальная программа "Повышение эффективности управления муниципальными финансами"</v>
      </c>
      <c r="B40" s="149"/>
      <c r="C40" s="144"/>
      <c r="D40" s="145" t="s">
        <v>488</v>
      </c>
      <c r="E40" s="144"/>
      <c r="F40" s="146"/>
      <c r="G40" s="337">
        <f>G41</f>
        <v>0</v>
      </c>
      <c r="H40" s="152">
        <f>H41</f>
        <v>0</v>
      </c>
      <c r="I40" s="152">
        <f t="shared" si="2"/>
        <v>0</v>
      </c>
    </row>
    <row r="41" spans="1:9" s="141" customFormat="1" ht="31.5" hidden="1">
      <c r="A41" s="148" t="str">
        <f>IF(B41&gt;0,VLOOKUP(B41,КВСР!A27:B1192,2),IF(C41&gt;0,VLOOKUP(C41,КФСР!A27:B1539,2),IF(D41&gt;0,VLOOKUP(D41,Программа!A$1:B$5091,2),IF(F41&gt;0,VLOOKUP(F41,КВР!A$1:B$5001,2),IF(E41&gt;0,VLOOKUP(E41,Направление!A$1:B$4750,2))))))</f>
        <v>Обеспечение деятельности финансового органа</v>
      </c>
      <c r="B41" s="149"/>
      <c r="C41" s="144"/>
      <c r="D41" s="145" t="s">
        <v>489</v>
      </c>
      <c r="E41" s="144"/>
      <c r="F41" s="146"/>
      <c r="G41" s="337">
        <f>G43</f>
        <v>0</v>
      </c>
      <c r="H41" s="152">
        <f>H43</f>
        <v>0</v>
      </c>
      <c r="I41" s="152">
        <f t="shared" si="2"/>
        <v>0</v>
      </c>
    </row>
    <row r="42" spans="1:9" s="141" customFormat="1" ht="31.5" hidden="1">
      <c r="A42" s="148" t="str">
        <f>IF(B42&gt;0,VLOOKUP(B42,КВСР!A28:B1193,2),IF(C42&gt;0,VLOOKUP(C42,КФСР!A28:B1540,2),IF(D42&gt;0,VLOOKUP(D42,Программа!A$1:B$5091,2),IF(F42&gt;0,VLOOKUP(F42,КВР!A$1:B$5001,2),IF(E42&gt;0,VLOOKUP(E42,Направление!A$1:B$4750,2))))))</f>
        <v>Обеспечение деятельности финансового органа</v>
      </c>
      <c r="B42" s="149"/>
      <c r="C42" s="144"/>
      <c r="D42" s="145" t="s">
        <v>490</v>
      </c>
      <c r="E42" s="144"/>
      <c r="F42" s="146"/>
      <c r="G42" s="337">
        <f>G41</f>
        <v>0</v>
      </c>
      <c r="H42" s="152">
        <f>H41</f>
        <v>0</v>
      </c>
      <c r="I42" s="152">
        <f t="shared" si="2"/>
        <v>0</v>
      </c>
    </row>
    <row r="43" spans="1:9" s="141" customFormat="1" ht="31.5" hidden="1">
      <c r="A43" s="148" t="str">
        <f>IF(B43&gt;0,VLOOKUP(B43,КВСР!A28:B1193,2),IF(C43&gt;0,VLOOKUP(C43,КФСР!A28:B1540,2),IF(D43&gt;0,VLOOKUP(D43,Программа!A$1:B$5091,2),IF(F43&gt;0,VLOOKUP(F43,КВР!A$1:B$5001,2),IF(E43&gt;0,VLOOKUP(E43,Направление!A$1:B$4750,2))))))</f>
        <v>Расходы на развитие системы муниципального заказа</v>
      </c>
      <c r="B43" s="149"/>
      <c r="C43" s="144"/>
      <c r="D43" s="145"/>
      <c r="E43" s="144">
        <v>12220</v>
      </c>
      <c r="F43" s="146"/>
      <c r="G43" s="337">
        <f>G44</f>
        <v>0</v>
      </c>
      <c r="H43" s="152">
        <f>H44</f>
        <v>0</v>
      </c>
      <c r="I43" s="152">
        <f t="shared" si="2"/>
        <v>0</v>
      </c>
    </row>
    <row r="44" spans="1:9" s="141" customFormat="1" ht="63" hidden="1">
      <c r="A44" s="148" t="str">
        <f>IF(B44&gt;0,VLOOKUP(B44,КВСР!A29:B1194,2),IF(C44&gt;0,VLOOKUP(C44,КФСР!A29:B1541,2),IF(D44&gt;0,VLOOKUP(D44,Программа!A$1:B$5091,2),IF(F44&gt;0,VLOOKUP(F44,КВР!A$1:B$5001,2),IF(E44&gt;0,VLOOKUP(E44,Направление!A$1:B$4750,2))))))</f>
        <v xml:space="preserve">Закупка товаров, работ и услуг для обеспечения государственных (муниципальных) нужд
</v>
      </c>
      <c r="B44" s="149"/>
      <c r="C44" s="144"/>
      <c r="D44" s="146"/>
      <c r="E44" s="144"/>
      <c r="F44" s="146">
        <v>200</v>
      </c>
      <c r="G44" s="337"/>
      <c r="H44" s="153"/>
      <c r="I44" s="152">
        <f t="shared" si="2"/>
        <v>0</v>
      </c>
    </row>
    <row r="45" spans="1:9" s="141" customFormat="1" ht="94.5">
      <c r="A45" s="148" t="str">
        <f>IF(B45&gt;0,VLOOKUP(B45,КВСР!A26:B1191,2),IF(C45&gt;0,VLOOKUP(C45,КФСР!A26:B1538,2),IF(D45&gt;0,VLOOKUP(D45,Программа!A$1:B$5091,2),IF(F45&gt;0,VLOOKUP(F45,КВР!A$1:B$5001,2),IF(E45&gt;0,VLOOKUP(E45,Направление!A$1:B$4750,2))))))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45" s="149"/>
      <c r="C45" s="144"/>
      <c r="D45" s="145" t="s">
        <v>492</v>
      </c>
      <c r="E45" s="144"/>
      <c r="F45" s="146"/>
      <c r="G45" s="337">
        <f t="shared" ref="G45:H47" si="9">G46</f>
        <v>150000</v>
      </c>
      <c r="H45" s="152">
        <f t="shared" si="9"/>
        <v>0</v>
      </c>
      <c r="I45" s="152">
        <f t="shared" si="2"/>
        <v>150000</v>
      </c>
    </row>
    <row r="46" spans="1:9" s="141" customFormat="1" ht="78.75">
      <c r="A46" s="148" t="str">
        <f>IF(B46&gt;0,VLOOKUP(B46,КВСР!A27:B1192,2),IF(C46&gt;0,VLOOKUP(C46,КФСР!A27:B1539,2),IF(D46&gt;0,VLOOKUP(D46,Программа!A$1:B$5091,2),IF(F46&gt;0,VLOOKUP(F46,КВР!A$1:B$5001,2),IF(E46&gt;0,VLOOKUP(E46,Направление!A$1:B$4750,2))))))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6" s="149"/>
      <c r="C46" s="144"/>
      <c r="D46" s="145" t="s">
        <v>493</v>
      </c>
      <c r="E46" s="144"/>
      <c r="F46" s="146"/>
      <c r="G46" s="337">
        <f t="shared" si="9"/>
        <v>150000</v>
      </c>
      <c r="H46" s="152">
        <f t="shared" si="9"/>
        <v>0</v>
      </c>
      <c r="I46" s="152">
        <f t="shared" si="2"/>
        <v>150000</v>
      </c>
    </row>
    <row r="47" spans="1:9" s="141" customFormat="1" ht="31.5">
      <c r="A47" s="148" t="str">
        <f>IF(B47&gt;0,VLOOKUP(B47,КВСР!A28:B1193,2),IF(C47&gt;0,VLOOKUP(C47,КФСР!A28:B1540,2),IF(D47&gt;0,VLOOKUP(D47,Программа!A$1:B$5091,2),IF(F47&gt;0,VLOOKUP(F47,КВР!A$1:B$5001,2),IF(E47&gt;0,VLOOKUP(E47,Направление!A$1:B$4750,2))))))</f>
        <v>Расходы на развитие муниципальной службы</v>
      </c>
      <c r="B47" s="149"/>
      <c r="C47" s="144"/>
      <c r="D47" s="145"/>
      <c r="E47" s="144">
        <v>12200</v>
      </c>
      <c r="F47" s="146"/>
      <c r="G47" s="337">
        <f t="shared" si="9"/>
        <v>150000</v>
      </c>
      <c r="H47" s="152">
        <f t="shared" si="9"/>
        <v>0</v>
      </c>
      <c r="I47" s="152">
        <f t="shared" si="2"/>
        <v>150000</v>
      </c>
    </row>
    <row r="48" spans="1:9" s="141" customFormat="1" ht="63">
      <c r="A48" s="148" t="str">
        <f>IF(B48&gt;0,VLOOKUP(B48,КВСР!A29:B1194,2),IF(C48&gt;0,VLOOKUP(C48,КФСР!A29:B1541,2),IF(D48&gt;0,VLOOKUP(D48,Программа!A$1:B$5091,2),IF(F48&gt;0,VLOOKUP(F48,КВР!A$1:B$5001,2),IF(E48&gt;0,VLOOKUP(E48,Направление!A$1:B$4750,2))))))</f>
        <v xml:space="preserve">Закупка товаров, работ и услуг для обеспечения государственных (муниципальных) нужд
</v>
      </c>
      <c r="B48" s="149"/>
      <c r="C48" s="144"/>
      <c r="D48" s="146"/>
      <c r="E48" s="144"/>
      <c r="F48" s="146">
        <v>200</v>
      </c>
      <c r="G48" s="337">
        <v>150000</v>
      </c>
      <c r="H48" s="153"/>
      <c r="I48" s="152">
        <f t="shared" si="2"/>
        <v>150000</v>
      </c>
    </row>
    <row r="49" spans="1:9" s="141" customFormat="1" ht="63">
      <c r="A49" s="148" t="str">
        <f>IF(B49&gt;0,VLOOKUP(B49,КВСР!A30:B1195,2),IF(C49&gt;0,VLOOKUP(C49,КФСР!A30:B1542,2),IF(D49&gt;0,VLOOKUP(D49,Программа!A$1:B$5091,2),IF(F49&gt;0,VLOOKUP(F49,КВР!A$1:B$5001,2),IF(E49&gt;0,VLOOKUP(E49,Направление!A$1:B$4750,2))))))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49" s="149"/>
      <c r="C49" s="144"/>
      <c r="D49" s="146" t="s">
        <v>496</v>
      </c>
      <c r="E49" s="144"/>
      <c r="F49" s="146"/>
      <c r="G49" s="337">
        <f>G53+G50</f>
        <v>900000</v>
      </c>
      <c r="H49" s="152">
        <f>H53</f>
        <v>0</v>
      </c>
      <c r="I49" s="152">
        <f t="shared" si="2"/>
        <v>900000</v>
      </c>
    </row>
    <row r="50" spans="1:9" s="141" customFormat="1" ht="31.5">
      <c r="A50" s="148" t="str">
        <f>IF(B50&gt;0,VLOOKUP(B50,КВСР!A31:B1196,2),IF(C50&gt;0,VLOOKUP(C50,КФСР!A31:B1543,2),IF(D50&gt;0,VLOOKUP(D50,Программа!A$1:B$5091,2),IF(F50&gt;0,VLOOKUP(F50,КВР!A$1:B$5001,2),IF(E50&gt;0,VLOOKUP(E50,Направление!A$1:B$4750,2))))))</f>
        <v>Бесперебойное функционирование информационных систем</v>
      </c>
      <c r="B50" s="149"/>
      <c r="C50" s="144"/>
      <c r="D50" s="146" t="s">
        <v>532</v>
      </c>
      <c r="E50" s="144"/>
      <c r="F50" s="146"/>
      <c r="G50" s="337">
        <f>G51</f>
        <v>300000</v>
      </c>
      <c r="H50" s="152"/>
      <c r="I50" s="152">
        <f t="shared" si="2"/>
        <v>300000</v>
      </c>
    </row>
    <row r="51" spans="1:9" s="141" customFormat="1" ht="31.5">
      <c r="A51" s="148" t="str">
        <f>IF(B51&gt;0,VLOOKUP(B51,КВСР!A32:B1197,2),IF(C51&gt;0,VLOOKUP(C51,КФСР!A32:B1544,2),IF(D51&gt;0,VLOOKUP(D51,Программа!A$1:B$5091,2),IF(F51&gt;0,VLOOKUP(F51,КВР!A$1:B$5001,2),IF(E51&gt;0,VLOOKUP(E51,Направление!A$1:B$4750,2))))))</f>
        <v>Расходы на проведение мероприятий по информатизации</v>
      </c>
      <c r="B51" s="149"/>
      <c r="C51" s="144"/>
      <c r="D51" s="146"/>
      <c r="E51" s="144">
        <v>12210</v>
      </c>
      <c r="F51" s="146"/>
      <c r="G51" s="337">
        <f>G52</f>
        <v>300000</v>
      </c>
      <c r="H51" s="152"/>
      <c r="I51" s="152">
        <f t="shared" si="2"/>
        <v>300000</v>
      </c>
    </row>
    <row r="52" spans="1:9" s="141" customFormat="1" ht="63">
      <c r="A52" s="148" t="str">
        <f>IF(B52&gt;0,VLOOKUP(B52,КВСР!A33:B1198,2),IF(C52&gt;0,VLOOKUP(C52,КФСР!A33:B1545,2),IF(D52&gt;0,VLOOKUP(D52,Программа!A$1:B$5091,2),IF(F52&gt;0,VLOOKUP(F52,КВР!A$1:B$5001,2),IF(E52&gt;0,VLOOKUP(E52,Направление!A$1:B$4750,2))))))</f>
        <v xml:space="preserve">Закупка товаров, работ и услуг для обеспечения государственных (муниципальных) нужд
</v>
      </c>
      <c r="B52" s="149"/>
      <c r="C52" s="144"/>
      <c r="D52" s="146"/>
      <c r="E52" s="144"/>
      <c r="F52" s="146">
        <v>200</v>
      </c>
      <c r="G52" s="337">
        <v>300000</v>
      </c>
      <c r="H52" s="152"/>
      <c r="I52" s="152">
        <f t="shared" si="2"/>
        <v>300000</v>
      </c>
    </row>
    <row r="53" spans="1:9" s="141" customFormat="1" ht="78.75">
      <c r="A53" s="148" t="str">
        <f>IF(B53&gt;0,VLOOKUP(B53,КВСР!A31:B1196,2),IF(C53&gt;0,VLOOKUP(C53,КФСР!A31:B1543,2),IF(D53&gt;0,VLOOKUP(D53,Программа!A$1:B$5091,2),IF(F53&gt;0,VLOOKUP(F53,КВР!A$1:B$5001,2),IF(E53&gt;0,VLOOKUP(E53,Направление!A$1:B$4750,2))))))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3" s="149"/>
      <c r="C53" s="144"/>
      <c r="D53" s="146" t="s">
        <v>498</v>
      </c>
      <c r="E53" s="144"/>
      <c r="F53" s="146"/>
      <c r="G53" s="337">
        <f t="shared" ref="G53:H54" si="10">G54</f>
        <v>600000</v>
      </c>
      <c r="H53" s="152">
        <f t="shared" si="10"/>
        <v>0</v>
      </c>
      <c r="I53" s="152">
        <f t="shared" si="2"/>
        <v>600000</v>
      </c>
    </row>
    <row r="54" spans="1:9" s="141" customFormat="1" ht="31.5">
      <c r="A54" s="148" t="str">
        <f>IF(B54&gt;0,VLOOKUP(B54,КВСР!A32:B1197,2),IF(C54&gt;0,VLOOKUP(C54,КФСР!A32:B1544,2),IF(D54&gt;0,VLOOKUP(D54,Программа!A$1:B$5091,2),IF(F54&gt;0,VLOOKUP(F54,КВР!A$1:B$5001,2),IF(E54&gt;0,VLOOKUP(E54,Направление!A$1:B$4750,2))))))</f>
        <v>Расходы на проведение мероприятий по информатизации</v>
      </c>
      <c r="B54" s="149"/>
      <c r="C54" s="144"/>
      <c r="D54" s="146"/>
      <c r="E54" s="144">
        <v>12210</v>
      </c>
      <c r="F54" s="146"/>
      <c r="G54" s="337">
        <f t="shared" si="10"/>
        <v>600000</v>
      </c>
      <c r="H54" s="152">
        <f t="shared" si="10"/>
        <v>0</v>
      </c>
      <c r="I54" s="152">
        <f t="shared" si="2"/>
        <v>600000</v>
      </c>
    </row>
    <row r="55" spans="1:9" s="141" customFormat="1" ht="63">
      <c r="A55" s="148" t="str">
        <f>IF(B55&gt;0,VLOOKUP(B55,КВСР!A33:B1198,2),IF(C55&gt;0,VLOOKUP(C55,КФСР!A33:B1545,2),IF(D55&gt;0,VLOOKUP(D55,Программа!A$1:B$5091,2),IF(F55&gt;0,VLOOKUP(F55,КВР!A$1:B$5001,2),IF(E55&gt;0,VLOOKUP(E55,Направление!A$1:B$4750,2))))))</f>
        <v xml:space="preserve">Закупка товаров, работ и услуг для обеспечения государственных (муниципальных) нужд
</v>
      </c>
      <c r="B55" s="149"/>
      <c r="C55" s="144"/>
      <c r="D55" s="146"/>
      <c r="E55" s="144"/>
      <c r="F55" s="146">
        <v>200</v>
      </c>
      <c r="G55" s="337">
        <v>600000</v>
      </c>
      <c r="H55" s="153"/>
      <c r="I55" s="152">
        <f t="shared" si="2"/>
        <v>600000</v>
      </c>
    </row>
    <row r="56" spans="1:9" s="141" customFormat="1" ht="110.25">
      <c r="A56" s="148" t="str">
        <f>IF(B56&gt;0,VLOOKUP(B56,КВСР!A38:B1203,2),IF(C56&gt;0,VLOOKUP(C56,КФСР!A38:B1550,2),IF(D56&gt;0,VLOOKUP(D56,Программа!A$1:B$5091,2),IF(F56&gt;0,VLOOKUP(F56,КВР!A$1:B$5001,2),IF(E56&gt;0,VLOOKUP(E56,Направление!A$1:B$4750,2))))))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6" s="149"/>
      <c r="C56" s="144"/>
      <c r="D56" s="145" t="s">
        <v>500</v>
      </c>
      <c r="E56" s="144"/>
      <c r="F56" s="146"/>
      <c r="G56" s="337">
        <f>G57+G62</f>
        <v>700000</v>
      </c>
      <c r="H56" s="152">
        <f>H57+H62</f>
        <v>100000</v>
      </c>
      <c r="I56" s="152">
        <f>I57+I62</f>
        <v>800000</v>
      </c>
    </row>
    <row r="57" spans="1:9" s="141" customFormat="1" ht="94.5">
      <c r="A57" s="148" t="str">
        <f>IF(B57&gt;0,VLOOKUP(B57,КВСР!A31:B1196,2),IF(C57&gt;0,VLOOKUP(C57,КФСР!A31:B1543,2),IF(D57&gt;0,VLOOKUP(D57,Программа!A$1:B$5091,2),IF(F57&gt;0,VLOOKUP(F57,КВР!A$1:B$5001,2),IF(E57&gt;0,VLOOKUP(E57,Направление!A$1:B$4750,2))))))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7" s="149"/>
      <c r="C57" s="144"/>
      <c r="D57" s="145" t="s">
        <v>501</v>
      </c>
      <c r="E57" s="144"/>
      <c r="F57" s="146"/>
      <c r="G57" s="337">
        <f>G58+G60</f>
        <v>700000</v>
      </c>
      <c r="H57" s="442">
        <f>H58+H60</f>
        <v>100000</v>
      </c>
      <c r="I57" s="152">
        <f t="shared" si="2"/>
        <v>800000</v>
      </c>
    </row>
    <row r="58" spans="1:9" s="141" customFormat="1" ht="47.25">
      <c r="A58" s="148" t="str">
        <f>IF(B58&gt;0,VLOOKUP(B58,КВСР!A32:B1197,2),IF(C58&gt;0,VLOOKUP(C58,КФСР!A32:B1544,2),IF(D58&gt;0,VLOOKUP(D58,Программа!A$1:B$5091,2),IF(F58&gt;0,VLOOKUP(F58,КВР!A$1:B$5001,2),IF(E58&gt;0,VLOOKUP(E58,Направление!A$1:B$4750,2))))))</f>
        <v>Предоставление субсидий социально ориентированным некоммерческим организациям на конкурсной основе</v>
      </c>
      <c r="B58" s="149"/>
      <c r="C58" s="144"/>
      <c r="D58" s="145"/>
      <c r="E58" s="144">
        <v>13140</v>
      </c>
      <c r="F58" s="146"/>
      <c r="G58" s="337">
        <f>G59</f>
        <v>200000</v>
      </c>
      <c r="H58" s="152">
        <f>H59</f>
        <v>0</v>
      </c>
      <c r="I58" s="152">
        <f t="shared" si="2"/>
        <v>200000</v>
      </c>
    </row>
    <row r="59" spans="1:9" s="141" customFormat="1" ht="63">
      <c r="A59" s="148" t="str">
        <f>IF(B59&gt;0,VLOOKUP(B59,КВСР!A33:B1198,2),IF(C59&gt;0,VLOOKUP(C59,КФСР!A33:B1545,2),IF(D59&gt;0,VLOOKUP(D59,Программа!A$1:B$5091,2),IF(F59&gt;0,VLOOKUP(F59,КВР!A$1:B$5001,2),IF(E59&gt;0,VLOOKUP(E59,Направление!A$1:B$4750,2))))))</f>
        <v>Предоставление субсидий бюджетным, автономным учреждениям и иным некоммерческим организациям</v>
      </c>
      <c r="B59" s="149"/>
      <c r="C59" s="144"/>
      <c r="D59" s="146"/>
      <c r="E59" s="144"/>
      <c r="F59" s="146">
        <v>600</v>
      </c>
      <c r="G59" s="337">
        <v>200000</v>
      </c>
      <c r="H59" s="153"/>
      <c r="I59" s="152">
        <f t="shared" si="2"/>
        <v>200000</v>
      </c>
    </row>
    <row r="60" spans="1:9" s="141" customFormat="1" ht="47.25">
      <c r="A60" s="148" t="str">
        <f>IF(B60&gt;0,VLOOKUP(B60,КВСР!A34:B1199,2),IF(C60&gt;0,VLOOKUP(C60,КФСР!A34:B1546,2),IF(D60&gt;0,VLOOKUP(D60,Программа!A$1:B$5091,2),IF(F60&gt;0,VLOOKUP(F60,КВР!A$1:B$5001,2),IF(E60&gt;0,VLOOKUP(E60,Направление!A$1:B$4750,2))))))</f>
        <v>Поддержки деятельности социально-ориентированных некоммерческих организаций</v>
      </c>
      <c r="B60" s="149"/>
      <c r="C60" s="144"/>
      <c r="D60" s="146"/>
      <c r="E60" s="144">
        <v>29516</v>
      </c>
      <c r="F60" s="146"/>
      <c r="G60" s="337">
        <f>G61</f>
        <v>500000</v>
      </c>
      <c r="H60" s="371">
        <f t="shared" ref="H60:I60" si="11">H61</f>
        <v>100000</v>
      </c>
      <c r="I60" s="371">
        <f t="shared" si="11"/>
        <v>600000</v>
      </c>
    </row>
    <row r="61" spans="1:9" s="141" customFormat="1" ht="63">
      <c r="A61" s="148" t="str">
        <f>IF(B61&gt;0,VLOOKUP(B61,КВСР!A35:B1200,2),IF(C61&gt;0,VLOOKUP(C61,КФСР!A35:B1547,2),IF(D61&gt;0,VLOOKUP(D61,Программа!A$1:B$5091,2),IF(F61&gt;0,VLOOKUP(F61,КВР!A$1:B$5001,2),IF(E61&gt;0,VLOOKUP(E61,Направление!A$1:B$4750,2))))))</f>
        <v>Предоставление субсидий бюджетным, автономным учреждениям и иным некоммерческим организациям</v>
      </c>
      <c r="B61" s="149"/>
      <c r="C61" s="144"/>
      <c r="D61" s="146"/>
      <c r="E61" s="144"/>
      <c r="F61" s="146">
        <v>600</v>
      </c>
      <c r="G61" s="337">
        <v>500000</v>
      </c>
      <c r="H61" s="153">
        <v>100000</v>
      </c>
      <c r="I61" s="152">
        <f t="shared" si="2"/>
        <v>600000</v>
      </c>
    </row>
    <row r="62" spans="1:9" s="141" customFormat="1" ht="63" hidden="1">
      <c r="A62" s="148" t="str">
        <f>IF(B62&gt;0,VLOOKUP(B62,КВСР!A34:B1199,2),IF(C62&gt;0,VLOOKUP(C62,КФСР!A34:B1546,2),IF(D62&gt;0,VLOOKUP(D62,Программа!A$1:B$5091,2),IF(F62&gt;0,VLOOKUP(F62,КВР!A$1:B$5001,2),IF(E62&gt;0,VLOOKUP(E62,Направление!A$1:B$4750,2))))))</f>
        <v>Развитие взаимодействия органов местного самоуправления Тутаевского муниципального района, СОНКО и ТОС</v>
      </c>
      <c r="B62" s="149"/>
      <c r="C62" s="144"/>
      <c r="D62" s="146" t="s">
        <v>797</v>
      </c>
      <c r="E62" s="144"/>
      <c r="F62" s="146"/>
      <c r="G62" s="337">
        <f>G63</f>
        <v>0</v>
      </c>
      <c r="H62" s="371">
        <f t="shared" ref="H62:I62" si="12">H63</f>
        <v>0</v>
      </c>
      <c r="I62" s="371">
        <f t="shared" si="12"/>
        <v>0</v>
      </c>
    </row>
    <row r="63" spans="1:9" s="141" customFormat="1" ht="47.25" hidden="1">
      <c r="A63" s="148" t="str">
        <f>IF(B63&gt;0,VLOOKUP(B63,КВСР!A34:B1199,2),IF(C63&gt;0,VLOOKUP(C63,КФСР!A34:B1546,2),IF(D63&gt;0,VLOOKUP(D63,Программа!A$1:B$5091,2),IF(F63&gt;0,VLOOKUP(F63,КВР!A$1:B$5001,2),IF(E63&gt;0,VLOOKUP(E63,Направление!A$1:B$4750,2))))))</f>
        <v>Расходы на поддержку общественного самоуправления и некоммерческих организаций</v>
      </c>
      <c r="B63" s="149"/>
      <c r="C63" s="144"/>
      <c r="D63" s="146"/>
      <c r="E63" s="144">
        <v>12240</v>
      </c>
      <c r="F63" s="146"/>
      <c r="G63" s="337">
        <f>G64</f>
        <v>0</v>
      </c>
      <c r="H63" s="371">
        <f t="shared" ref="H63:I63" si="13">H64</f>
        <v>0</v>
      </c>
      <c r="I63" s="371">
        <f t="shared" si="13"/>
        <v>0</v>
      </c>
    </row>
    <row r="64" spans="1:9" s="141" customFormat="1" ht="63" hidden="1">
      <c r="A64" s="148" t="str">
        <f>IF(B64&gt;0,VLOOKUP(B64,КВСР!A35:B1200,2),IF(C64&gt;0,VLOOKUP(C64,КФСР!A35:B1547,2),IF(D64&gt;0,VLOOKUP(D64,Программа!A$1:B$5091,2),IF(F64&gt;0,VLOOKUP(F64,КВР!A$1:B$5001,2),IF(E64&gt;0,VLOOKUP(E64,Направление!A$1:B$4750,2))))))</f>
        <v xml:space="preserve">Закупка товаров, работ и услуг для обеспечения государственных (муниципальных) нужд
</v>
      </c>
      <c r="B64" s="149"/>
      <c r="C64" s="144"/>
      <c r="D64" s="146"/>
      <c r="E64" s="144"/>
      <c r="F64" s="146">
        <v>200</v>
      </c>
      <c r="G64" s="337"/>
      <c r="H64" s="153"/>
      <c r="I64" s="152">
        <f>G64+H64</f>
        <v>0</v>
      </c>
    </row>
    <row r="65" spans="1:9" s="141" customFormat="1" ht="63">
      <c r="A65" s="148" t="str">
        <f>IF(B65&gt;0,VLOOKUP(B65,КВСР!A34:B1199,2),IF(C65&gt;0,VLOOKUP(C65,КФСР!A34:B1546,2),IF(D65&gt;0,VLOOKUP(D65,Программа!A$1:B$5091,2),IF(F65&gt;0,VLOOKUP(F65,КВР!A$1:B$5001,2),IF(E65&gt;0,VLOOKUP(E65,Направление!A$1:B$4750,2))))))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49"/>
      <c r="C65" s="144"/>
      <c r="D65" s="146" t="s">
        <v>600</v>
      </c>
      <c r="E65" s="144"/>
      <c r="F65" s="146"/>
      <c r="G65" s="337">
        <f>G66</f>
        <v>15000</v>
      </c>
      <c r="H65" s="337">
        <f>H66</f>
        <v>0</v>
      </c>
      <c r="I65" s="152">
        <f t="shared" si="2"/>
        <v>15000</v>
      </c>
    </row>
    <row r="66" spans="1:9" s="141" customFormat="1" ht="31.5">
      <c r="A66" s="148" t="str">
        <f>IF(B66&gt;0,VLOOKUP(B66,КВСР!A35:B1200,2),IF(C66&gt;0,VLOOKUP(C66,КФСР!A35:B1547,2),IF(D66&gt;0,VLOOKUP(D66,Программа!A$1:B$5091,2),IF(F66&gt;0,VLOOKUP(F66,КВР!A$1:B$5001,2),IF(E66&gt;0,VLOOKUP(E66,Направление!A$1:B$4750,2))))))</f>
        <v>Реализация мероприятий по профилактике правонарушений</v>
      </c>
      <c r="B66" s="149"/>
      <c r="C66" s="144"/>
      <c r="D66" s="146" t="s">
        <v>602</v>
      </c>
      <c r="E66" s="144"/>
      <c r="F66" s="146"/>
      <c r="G66" s="337">
        <f>G67</f>
        <v>15000</v>
      </c>
      <c r="H66" s="337">
        <f>H67</f>
        <v>0</v>
      </c>
      <c r="I66" s="152">
        <f t="shared" si="2"/>
        <v>15000</v>
      </c>
    </row>
    <row r="67" spans="1:9" s="141" customFormat="1" ht="47.25">
      <c r="A67" s="148" t="str">
        <f>IF(B67&gt;0,VLOOKUP(B67,КВСР!A36:B1201,2),IF(C67&gt;0,VLOOKUP(C67,КФСР!A36:B1548,2),IF(D67&gt;0,VLOOKUP(D67,Программа!A$1:B$5091,2),IF(F67&gt;0,VLOOKUP(F67,КВР!A$1:B$5001,2),IF(E67&gt;0,VLOOKUP(E67,Направление!A$1:B$4750,2))))))</f>
        <v>Расходы на профилактику правонарушений и усиления борьбы с преступностью</v>
      </c>
      <c r="B67" s="149"/>
      <c r="C67" s="144"/>
      <c r="D67" s="146"/>
      <c r="E67" s="144">
        <v>12250</v>
      </c>
      <c r="F67" s="146"/>
      <c r="G67" s="337">
        <f>G68+G69</f>
        <v>15000</v>
      </c>
      <c r="H67" s="337">
        <f>H68+H69</f>
        <v>0</v>
      </c>
      <c r="I67" s="152">
        <f t="shared" si="2"/>
        <v>15000</v>
      </c>
    </row>
    <row r="68" spans="1:9" s="141" customFormat="1" ht="63">
      <c r="A68" s="148" t="str">
        <f>IF(B68&gt;0,VLOOKUP(B68,КВСР!A37:B1202,2),IF(C68&gt;0,VLOOKUP(C68,КФСР!A37:B1549,2),IF(D68&gt;0,VLOOKUP(D68,Программа!A$1:B$5091,2),IF(F68&gt;0,VLOOKUP(F68,КВР!A$1:B$5001,2),IF(E68&gt;0,VLOOKUP(E68,Направление!A$1:B$4750,2))))))</f>
        <v xml:space="preserve">Закупка товаров, работ и услуг для обеспечения государственных (муниципальных) нужд
</v>
      </c>
      <c r="B68" s="149"/>
      <c r="C68" s="144"/>
      <c r="D68" s="146"/>
      <c r="E68" s="144"/>
      <c r="F68" s="146">
        <v>200</v>
      </c>
      <c r="G68" s="337">
        <v>15000</v>
      </c>
      <c r="H68" s="153"/>
      <c r="I68" s="152">
        <f t="shared" si="2"/>
        <v>15000</v>
      </c>
    </row>
    <row r="69" spans="1:9" s="141" customFormat="1" hidden="1">
      <c r="A69" s="148" t="str">
        <f>IF(B69&gt;0,VLOOKUP(B69,КВСР!A37:B1202,2),IF(C69&gt;0,VLOOKUP(C69,КФСР!A37:B1549,2),IF(D69&gt;0,VLOOKUP(D69,Программа!A$1:B$5091,2),IF(F69&gt;0,VLOOKUP(F69,КВР!A$1:B$5001,2),IF(E69&gt;0,VLOOKUP(E69,Направление!A$1:B$4750,2))))))</f>
        <v>Иные бюджетные ассигнования</v>
      </c>
      <c r="B69" s="149"/>
      <c r="C69" s="144"/>
      <c r="D69" s="146"/>
      <c r="E69" s="144"/>
      <c r="F69" s="146">
        <v>800</v>
      </c>
      <c r="G69" s="337"/>
      <c r="H69" s="153"/>
      <c r="I69" s="152">
        <f t="shared" si="2"/>
        <v>0</v>
      </c>
    </row>
    <row r="70" spans="1:9" s="141" customFormat="1" ht="63" hidden="1">
      <c r="A70" s="148" t="str">
        <f>IF(B70&gt;0,VLOOKUP(B70,КВСР!A38:B1203,2),IF(C70&gt;0,VLOOKUP(C70,КФСР!A38:B1550,2),IF(D70&gt;0,VLOOKUP(D70,Программа!A$1:B$5091,2),IF(F70&gt;0,VLOOKUP(F70,КВР!A$1:B$5001,2),IF(E70&gt;0,VLOOKUP(E70,Направление!A$1:B$4750,2))))))</f>
        <v>Муниципальная программа "Обеспечение муниципальных закупок в Тутаевском муниципальном районе"</v>
      </c>
      <c r="B70" s="149"/>
      <c r="C70" s="144"/>
      <c r="D70" s="146" t="s">
        <v>1236</v>
      </c>
      <c r="E70" s="144"/>
      <c r="F70" s="146"/>
      <c r="G70" s="337">
        <f t="shared" ref="G70:H72" si="14">G71</f>
        <v>0</v>
      </c>
      <c r="H70" s="152">
        <f t="shared" si="14"/>
        <v>0</v>
      </c>
      <c r="I70" s="152">
        <f>I71</f>
        <v>0</v>
      </c>
    </row>
    <row r="71" spans="1:9" s="141" customFormat="1" ht="63" hidden="1">
      <c r="A71" s="148" t="str">
        <f>IF(B71&gt;0,VLOOKUP(B71,КВСР!A39:B1204,2),IF(C71&gt;0,VLOOKUP(C71,КФСР!A39:B1551,2),IF(D71&gt;0,VLOOKUP(D71,Программа!A$1:B$5091,2),IF(F71&gt;0,VLOOKUP(F71,КВР!A$1:B$5001,2),IF(E71&gt;0,VLOOKUP(E71,Направление!A$1:B$4750,2))))))</f>
        <v>Организация системы подготовки, планирования, информационного сопровождения и осуществления муниципальных закупок</v>
      </c>
      <c r="B71" s="149"/>
      <c r="C71" s="144"/>
      <c r="D71" s="146" t="s">
        <v>1238</v>
      </c>
      <c r="E71" s="144"/>
      <c r="F71" s="146"/>
      <c r="G71" s="337">
        <f t="shared" si="14"/>
        <v>0</v>
      </c>
      <c r="H71" s="152">
        <f t="shared" si="14"/>
        <v>0</v>
      </c>
      <c r="I71" s="152">
        <f>I72</f>
        <v>0</v>
      </c>
    </row>
    <row r="72" spans="1:9" s="141" customFormat="1" ht="63" hidden="1">
      <c r="A72" s="148" t="str">
        <f>IF(B72&gt;0,VLOOKUP(B72,КВСР!A40:B1205,2),IF(C72&gt;0,VLOOKUP(C72,КФСР!A40:B1552,2),IF(D72&gt;0,VLOOKUP(D72,Программа!A$1:B$5091,2),IF(F72&gt;0,VLOOKUP(F72,КВР!A$1:B$5001,2),IF(E72&gt;0,VLOOKUP(E72,Направление!A$1:B$4750,2))))))</f>
        <v>Субсидия на реализацию мероприятий по информационному обеспечению муниципальных закупок</v>
      </c>
      <c r="B72" s="149"/>
      <c r="C72" s="144"/>
      <c r="D72" s="146"/>
      <c r="E72" s="144" t="s">
        <v>1399</v>
      </c>
      <c r="F72" s="146"/>
      <c r="G72" s="337">
        <f t="shared" si="14"/>
        <v>0</v>
      </c>
      <c r="H72" s="152">
        <f t="shared" si="14"/>
        <v>0</v>
      </c>
      <c r="I72" s="152">
        <f>I73</f>
        <v>0</v>
      </c>
    </row>
    <row r="73" spans="1:9" s="141" customFormat="1" ht="63" hidden="1">
      <c r="A73" s="148" t="str">
        <f>IF(B73&gt;0,VLOOKUP(B73,КВСР!A41:B1206,2),IF(C73&gt;0,VLOOKUP(C73,КФСР!A41:B1553,2),IF(D73&gt;0,VLOOKUP(D73,Программа!A$1:B$5091,2),IF(F73&gt;0,VLOOKUP(F73,КВР!A$1:B$5001,2),IF(E73&gt;0,VLOOKUP(E73,Направление!A$1:B$4750,2))))))</f>
        <v xml:space="preserve">Закупка товаров, работ и услуг для обеспечения государственных (муниципальных) нужд
</v>
      </c>
      <c r="B73" s="149"/>
      <c r="C73" s="144"/>
      <c r="D73" s="146"/>
      <c r="E73" s="144"/>
      <c r="F73" s="146">
        <v>200</v>
      </c>
      <c r="G73" s="337"/>
      <c r="H73" s="153"/>
      <c r="I73" s="152">
        <f>G73+H73</f>
        <v>0</v>
      </c>
    </row>
    <row r="74" spans="1:9" s="141" customFormat="1" ht="94.5">
      <c r="A74" s="148" t="str">
        <f>IF(B74&gt;0,VLOOKUP(B74,КВСР!A34:B1199,2),IF(C74&gt;0,VLOOKUP(C74,КФСР!A34:B1546,2),IF(D74&gt;0,VLOOKUP(D74,Программа!A$1:B$5091,2),IF(F74&gt;0,VLOOKUP(F74,КВР!A$1:B$5001,2),IF(E74&gt;0,VLOOKUP(E74,Направление!A$1:B$4750,2))))))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49"/>
      <c r="C74" s="144"/>
      <c r="D74" s="146" t="s">
        <v>1373</v>
      </c>
      <c r="E74" s="144"/>
      <c r="F74" s="146"/>
      <c r="G74" s="337">
        <f>G75</f>
        <v>900000</v>
      </c>
      <c r="H74" s="442">
        <f t="shared" ref="H74:I74" si="15">H75</f>
        <v>0</v>
      </c>
      <c r="I74" s="442">
        <f t="shared" si="15"/>
        <v>900000</v>
      </c>
    </row>
    <row r="75" spans="1:9" s="141" customFormat="1" ht="31.5">
      <c r="A75" s="148" t="str">
        <f>IF(B75&gt;0,VLOOKUP(B75,КВСР!A35:B1200,2),IF(C75&gt;0,VLOOKUP(C75,КФСР!A35:B1547,2),IF(D75&gt;0,VLOOKUP(D75,Программа!A$1:B$5091,2),IF(F75&gt;0,VLOOKUP(F75,КВР!A$1:B$5001,2),IF(E75&gt;0,VLOOKUP(E75,Направление!A$1:B$4750,2))))))</f>
        <v>Мероприятия по обеспечению безопасности жителей района</v>
      </c>
      <c r="B75" s="149"/>
      <c r="C75" s="144"/>
      <c r="D75" s="146" t="s">
        <v>1374</v>
      </c>
      <c r="E75" s="144"/>
      <c r="F75" s="146"/>
      <c r="G75" s="337">
        <f>G76</f>
        <v>900000</v>
      </c>
      <c r="H75" s="337">
        <f>H76</f>
        <v>0</v>
      </c>
      <c r="I75" s="152">
        <f t="shared" si="2"/>
        <v>900000</v>
      </c>
    </row>
    <row r="76" spans="1:9" s="141" customFormat="1" ht="31.5">
      <c r="A76" s="148" t="str">
        <f>IF(B76&gt;0,VLOOKUP(B76,КВСР!A36:B1201,2),IF(C76&gt;0,VLOOKUP(C76,КФСР!A36:B1548,2),IF(D76&gt;0,VLOOKUP(D76,Программа!A$1:B$5091,2),IF(F76&gt;0,VLOOKUP(F76,КВР!A$1:B$5001,2),IF(E76&gt;0,VLOOKUP(E76,Направление!A$1:B$4750,2))))))</f>
        <v>Расходы на обеспечение безопасности жителей района</v>
      </c>
      <c r="B76" s="149"/>
      <c r="C76" s="144"/>
      <c r="D76" s="146"/>
      <c r="E76" s="144">
        <v>12270</v>
      </c>
      <c r="F76" s="146"/>
      <c r="G76" s="337">
        <f>G77</f>
        <v>900000</v>
      </c>
      <c r="H76" s="337">
        <f>H77</f>
        <v>0</v>
      </c>
      <c r="I76" s="152">
        <f t="shared" si="2"/>
        <v>900000</v>
      </c>
    </row>
    <row r="77" spans="1:9" s="141" customFormat="1" ht="63">
      <c r="A77" s="148" t="str">
        <f>IF(B77&gt;0,VLOOKUP(B77,КВСР!A37:B1202,2),IF(C77&gt;0,VLOOKUP(C77,КФСР!A37:B1549,2),IF(D77&gt;0,VLOOKUP(D77,Программа!A$1:B$5091,2),IF(F77&gt;0,VLOOKUP(F77,КВР!A$1:B$5001,2),IF(E77&gt;0,VLOOKUP(E77,Направление!A$1:B$4750,2))))))</f>
        <v xml:space="preserve">Закупка товаров, работ и услуг для обеспечения государственных (муниципальных) нужд
</v>
      </c>
      <c r="B77" s="149"/>
      <c r="C77" s="144"/>
      <c r="D77" s="146"/>
      <c r="E77" s="144"/>
      <c r="F77" s="146">
        <v>200</v>
      </c>
      <c r="G77" s="337">
        <v>900000</v>
      </c>
      <c r="H77" s="153"/>
      <c r="I77" s="152">
        <f t="shared" si="2"/>
        <v>900000</v>
      </c>
    </row>
    <row r="78" spans="1:9" s="141" customFormat="1" ht="78.75">
      <c r="A78" s="148" t="str">
        <f>IF(B78&gt;0,VLOOKUP(B78,КВСР!A38:B1203,2),IF(C78&gt;0,VLOOKUP(C78,КФСР!A38:B1550,2),IF(D78&gt;0,VLOOKUP(D78,Программа!A$1:B$5091,2),IF(F78&gt;0,VLOOKUP(F78,КВР!A$1:B$5001,2),IF(E78&gt;0,VLOOKUP(E78,Направление!A$1:B$4750,2))))))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8" s="149"/>
      <c r="C78" s="144"/>
      <c r="D78" s="146" t="s">
        <v>1608</v>
      </c>
      <c r="E78" s="144"/>
      <c r="F78" s="146"/>
      <c r="G78" s="337">
        <f>G79</f>
        <v>450000</v>
      </c>
      <c r="H78" s="337">
        <f t="shared" ref="H78:I80" si="16">H79</f>
        <v>-300000</v>
      </c>
      <c r="I78" s="337">
        <f t="shared" si="16"/>
        <v>150000</v>
      </c>
    </row>
    <row r="79" spans="1:9" s="141" customFormat="1" ht="47.25">
      <c r="A79" s="148" t="str">
        <f>IF(B79&gt;0,VLOOKUP(B79,КВСР!A39:B1204,2),IF(C79&gt;0,VLOOKUP(C79,КФСР!A39:B1551,2),IF(D79&gt;0,VLOOKUP(D79,Программа!A$1:B$5091,2),IF(F79&gt;0,VLOOKUP(F79,КВР!A$1:B$5001,2),IF(E79&gt;0,VLOOKUP(E79,Направление!A$1:B$4750,2))))))</f>
        <v>Проведение историко-культурной экспертизы объектов культурного наследия</v>
      </c>
      <c r="B79" s="149"/>
      <c r="C79" s="144"/>
      <c r="D79" s="146" t="s">
        <v>1612</v>
      </c>
      <c r="E79" s="144"/>
      <c r="F79" s="146"/>
      <c r="G79" s="337">
        <f>G80</f>
        <v>450000</v>
      </c>
      <c r="H79" s="337">
        <f t="shared" si="16"/>
        <v>-300000</v>
      </c>
      <c r="I79" s="337">
        <f t="shared" si="16"/>
        <v>150000</v>
      </c>
    </row>
    <row r="80" spans="1:9" s="141" customFormat="1" ht="31.5">
      <c r="A80" s="148" t="str">
        <f>IF(B80&gt;0,VLOOKUP(B80,КВСР!A40:B1205,2),IF(C80&gt;0,VLOOKUP(C80,КФСР!A40:B1552,2),IF(D80&gt;0,VLOOKUP(D80,Программа!A$1:B$5091,2),IF(F80&gt;0,VLOOKUP(F80,КВР!A$1:B$5001,2),IF(E80&gt;0,VLOOKUP(E80,Направление!A$1:B$4750,2))))))</f>
        <v>Выполнение других обязательств органов местного самоуправления</v>
      </c>
      <c r="B80" s="149"/>
      <c r="C80" s="144"/>
      <c r="D80" s="146"/>
      <c r="E80" s="144">
        <v>12080</v>
      </c>
      <c r="F80" s="146"/>
      <c r="G80" s="337">
        <f>G81</f>
        <v>450000</v>
      </c>
      <c r="H80" s="337">
        <f t="shared" si="16"/>
        <v>-300000</v>
      </c>
      <c r="I80" s="337">
        <f t="shared" si="16"/>
        <v>150000</v>
      </c>
    </row>
    <row r="81" spans="1:9" s="141" customFormat="1" ht="63">
      <c r="A81" s="148" t="str">
        <f>IF(B81&gt;0,VLOOKUP(B81,КВСР!A41:B1206,2),IF(C81&gt;0,VLOOKUP(C81,КФСР!A41:B1553,2),IF(D81&gt;0,VLOOKUP(D81,Программа!A$1:B$5091,2),IF(F81&gt;0,VLOOKUP(F81,КВР!A$1:B$5001,2),IF(E81&gt;0,VLOOKUP(E81,Направление!A$1:B$4750,2))))))</f>
        <v xml:space="preserve">Закупка товаров, работ и услуг для обеспечения государственных (муниципальных) нужд
</v>
      </c>
      <c r="B81" s="149"/>
      <c r="C81" s="144"/>
      <c r="D81" s="146"/>
      <c r="E81" s="144"/>
      <c r="F81" s="146">
        <v>200</v>
      </c>
      <c r="G81" s="337">
        <v>450000</v>
      </c>
      <c r="H81" s="153">
        <v>-300000</v>
      </c>
      <c r="I81" s="152">
        <f>G81+H81</f>
        <v>150000</v>
      </c>
    </row>
    <row r="82" spans="1:9" s="141" customFormat="1">
      <c r="A82" s="148" t="str">
        <f>IF(B82&gt;0,VLOOKUP(B82,КВСР!A26:B1191,2),IF(C82&gt;0,VLOOKUP(C82,КФСР!A26:B1538,2),IF(D82&gt;0,VLOOKUP(D82,Программа!A$1:B$5091,2),IF(F82&gt;0,VLOOKUP(F82,КВР!A$1:B$5001,2),IF(E82&gt;0,VLOOKUP(E82,Направление!A$1:B$4750,2))))))</f>
        <v>Непрограммные расходы бюджета</v>
      </c>
      <c r="B82" s="149"/>
      <c r="C82" s="144"/>
      <c r="D82" s="145" t="s">
        <v>480</v>
      </c>
      <c r="E82" s="144"/>
      <c r="F82" s="146"/>
      <c r="G82" s="442">
        <f>G100+G103+G97+G83+G85+G93+G90+G95</f>
        <v>42361147</v>
      </c>
      <c r="H82" s="442">
        <f t="shared" ref="H82:I82" si="17">H100+H103+H97+H83+H85+H93+H90+H95</f>
        <v>1436207</v>
      </c>
      <c r="I82" s="442">
        <f t="shared" si="17"/>
        <v>43797354</v>
      </c>
    </row>
    <row r="83" spans="1:9" s="141" customFormat="1" ht="31.5">
      <c r="A83" s="148" t="str">
        <f>IF(B83&gt;0,VLOOKUP(B83,КВСР!A27:B1192,2),IF(C83&gt;0,VLOOKUP(C83,КФСР!A27:B1539,2),IF(D83&gt;0,VLOOKUP(D83,Программа!A$1:B$5091,2),IF(F83&gt;0,VLOOKUP(F83,КВР!A$1:B$5001,2),IF(E83&gt;0,VLOOKUP(E83,Направление!A$1:B$4750,2))))))</f>
        <v>Выполнение других обязательств органов местного самоуправления</v>
      </c>
      <c r="B83" s="149"/>
      <c r="C83" s="144"/>
      <c r="D83" s="145"/>
      <c r="E83" s="144">
        <v>12080</v>
      </c>
      <c r="F83" s="146"/>
      <c r="G83" s="337">
        <f>G84</f>
        <v>2000000</v>
      </c>
      <c r="H83" s="152">
        <f>H84</f>
        <v>-100000</v>
      </c>
      <c r="I83" s="152">
        <f t="shared" si="2"/>
        <v>1900000</v>
      </c>
    </row>
    <row r="84" spans="1:9" s="141" customFormat="1" ht="63">
      <c r="A84" s="148" t="str">
        <f>IF(B84&gt;0,VLOOKUP(B84,КВСР!A28:B1193,2),IF(C84&gt;0,VLOOKUP(C84,КФСР!A28:B1540,2),IF(D84&gt;0,VLOOKUP(D84,Программа!A$1:B$5091,2),IF(F84&gt;0,VLOOKUP(F84,КВР!A$1:B$5001,2),IF(E84&gt;0,VLOOKUP(E84,Направление!A$1:B$4750,2))))))</f>
        <v xml:space="preserve">Закупка товаров, работ и услуг для обеспечения государственных (муниципальных) нужд
</v>
      </c>
      <c r="B84" s="149"/>
      <c r="C84" s="144"/>
      <c r="D84" s="145"/>
      <c r="E84" s="144"/>
      <c r="F84" s="146">
        <v>200</v>
      </c>
      <c r="G84" s="337">
        <v>2000000</v>
      </c>
      <c r="H84" s="154">
        <v>-100000</v>
      </c>
      <c r="I84" s="152">
        <f t="shared" si="2"/>
        <v>1900000</v>
      </c>
    </row>
    <row r="85" spans="1:9" s="141" customFormat="1" ht="47.25">
      <c r="A85" s="148" t="str">
        <f>IF(B85&gt;0,VLOOKUP(B85,КВСР!A29:B1194,2),IF(C85&gt;0,VLOOKUP(C85,КФСР!A29:B1541,2),IF(D85&gt;0,VLOOKUP(D85,Программа!A$1:B$5091,2),IF(F85&gt;0,VLOOKUP(F85,КВР!A$1:B$5001,2),IF(E85&gt;0,VLOOKUP(E85,Направление!A$1:B$4750,2))))))</f>
        <v>Обеспечение деятельности подведомственных учреждений органов местного самоуправления</v>
      </c>
      <c r="B85" s="149"/>
      <c r="C85" s="144"/>
      <c r="D85" s="145"/>
      <c r="E85" s="144">
        <v>12100</v>
      </c>
      <c r="F85" s="146"/>
      <c r="G85" s="337">
        <f>G86+G87+G89+G88</f>
        <v>32595314</v>
      </c>
      <c r="H85" s="442">
        <f t="shared" ref="H85:I85" si="18">H86+H87+H89+H88</f>
        <v>1541007</v>
      </c>
      <c r="I85" s="442">
        <f t="shared" si="18"/>
        <v>34136321</v>
      </c>
    </row>
    <row r="86" spans="1:9" s="141" customFormat="1" ht="126">
      <c r="A86" s="148" t="str">
        <f>IF(B86&gt;0,VLOOKUP(B86,КВСР!A28:B1193,2),IF(C86&gt;0,VLOOKUP(C86,КФСР!A28:B1540,2),IF(D86&gt;0,VLOOKUP(D86,Программа!A$1:B$5091,2),IF(F86&gt;0,VLOOKUP(F86,КВР!A$1:B$5001,2),IF(E86&gt;0,VLOOKUP(E86,Направление!A$1:B$4750,2))))))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" s="149"/>
      <c r="C86" s="144"/>
      <c r="D86" s="145"/>
      <c r="E86" s="144"/>
      <c r="F86" s="146">
        <v>100</v>
      </c>
      <c r="G86" s="337">
        <v>9786231</v>
      </c>
      <c r="H86" s="155">
        <v>3617375</v>
      </c>
      <c r="I86" s="152">
        <f t="shared" si="2"/>
        <v>13403606</v>
      </c>
    </row>
    <row r="87" spans="1:9" s="141" customFormat="1" ht="63">
      <c r="A87" s="148" t="str">
        <f>IF(B87&gt;0,VLOOKUP(B87,КВСР!A29:B1194,2),IF(C87&gt;0,VLOOKUP(C87,КФСР!A29:B1541,2),IF(D87&gt;0,VLOOKUP(D87,Программа!A$1:B$5091,2),IF(F87&gt;0,VLOOKUP(F87,КВР!A$1:B$5001,2),IF(E87&gt;0,VLOOKUP(E87,Направление!A$1:B$4750,2))))))</f>
        <v xml:space="preserve">Закупка товаров, работ и услуг для обеспечения государственных (муниципальных) нужд
</v>
      </c>
      <c r="B87" s="149"/>
      <c r="C87" s="144"/>
      <c r="D87" s="145"/>
      <c r="E87" s="144"/>
      <c r="F87" s="146">
        <v>200</v>
      </c>
      <c r="G87" s="337">
        <f>13795314-71000-9786231</f>
        <v>3938083</v>
      </c>
      <c r="H87" s="155">
        <f>45000+100000</f>
        <v>145000</v>
      </c>
      <c r="I87" s="152">
        <f t="shared" si="2"/>
        <v>4083083</v>
      </c>
    </row>
    <row r="88" spans="1:9" s="141" customFormat="1" ht="63">
      <c r="A88" s="148" t="str">
        <f>IF(B88&gt;0,VLOOKUP(B88,КВСР!A30:B1195,2),IF(C88&gt;0,VLOOKUP(C88,КФСР!A30:B1542,2),IF(D88&gt;0,VLOOKUP(D88,Программа!A$1:B$5091,2),IF(F88&gt;0,VLOOKUP(F88,КВР!A$1:B$5001,2),IF(E88&gt;0,VLOOKUP(E88,Направление!A$1:B$4750,2))))))</f>
        <v>Предоставление субсидий бюджетным, автономным учреждениям и иным некоммерческим организациям</v>
      </c>
      <c r="B88" s="149"/>
      <c r="C88" s="144"/>
      <c r="D88" s="145"/>
      <c r="E88" s="144"/>
      <c r="F88" s="146">
        <v>600</v>
      </c>
      <c r="G88" s="337">
        <f>12000000+6800000</f>
        <v>18800000</v>
      </c>
      <c r="H88" s="155">
        <v>-2221368</v>
      </c>
      <c r="I88" s="152">
        <f t="shared" si="2"/>
        <v>16578632</v>
      </c>
    </row>
    <row r="89" spans="1:9" s="141" customFormat="1">
      <c r="A89" s="148" t="str">
        <f>IF(B89&gt;0,VLOOKUP(B89,КВСР!A30:B1195,2),IF(C89&gt;0,VLOOKUP(C89,КФСР!A30:B1542,2),IF(D89&gt;0,VLOOKUP(D89,Программа!A$1:B$5091,2),IF(F89&gt;0,VLOOKUP(F89,КВР!A$1:B$5001,2),IF(E89&gt;0,VLOOKUP(E89,Направление!A$1:B$4750,2))))))</f>
        <v>Иные бюджетные ассигнования</v>
      </c>
      <c r="B89" s="149"/>
      <c r="C89" s="144"/>
      <c r="D89" s="145"/>
      <c r="E89" s="144"/>
      <c r="F89" s="146">
        <v>800</v>
      </c>
      <c r="G89" s="337">
        <v>71000</v>
      </c>
      <c r="H89" s="155"/>
      <c r="I89" s="152">
        <f t="shared" si="2"/>
        <v>71000</v>
      </c>
    </row>
    <row r="90" spans="1:9" s="141" customFormat="1" ht="47.25">
      <c r="A90" s="148" t="str">
        <f>IF(B90&gt;0,VLOOKUP(B90,КВСР!A31:B1196,2),IF(C90&gt;0,VLOOKUP(C90,КФСР!A31:B1543,2),IF(D90&gt;0,VLOOKUP(D90,Программа!A$1:B$5091,2),IF(F90&gt;0,VLOOKUP(F90,КВР!A$1:B$5001,2),IF(E90&gt;0,VLOOKUP(E90,Направление!A$1:B$4750,2))))))</f>
        <v>Исполнение судебных актов, актов других органов и должностных лиц, иных документов</v>
      </c>
      <c r="B90" s="149"/>
      <c r="C90" s="144"/>
      <c r="D90" s="145"/>
      <c r="E90" s="144">
        <v>12130</v>
      </c>
      <c r="F90" s="146"/>
      <c r="G90" s="337">
        <f>G92+G91</f>
        <v>703463</v>
      </c>
      <c r="H90" s="337">
        <f t="shared" ref="H90:I90" si="19">H92+H91</f>
        <v>95200</v>
      </c>
      <c r="I90" s="337">
        <f t="shared" si="19"/>
        <v>798663</v>
      </c>
    </row>
    <row r="91" spans="1:9" s="141" customFormat="1" ht="63">
      <c r="A91" s="148" t="str">
        <f>IF(B91&gt;0,VLOOKUP(B91,КВСР!A32:B1197,2),IF(C91&gt;0,VLOOKUP(C91,КФСР!A32:B1544,2),IF(D91&gt;0,VLOOKUP(D91,Программа!A$1:B$5091,2),IF(F91&gt;0,VLOOKUP(F91,КВР!A$1:B$5001,2),IF(E91&gt;0,VLOOKUP(E91,Направление!A$1:B$4750,2))))))</f>
        <v>Предоставление субсидий бюджетным, автономным учреждениям и иным некоммерческим организациям</v>
      </c>
      <c r="B91" s="149"/>
      <c r="C91" s="144"/>
      <c r="D91" s="145"/>
      <c r="E91" s="144"/>
      <c r="F91" s="146">
        <v>600</v>
      </c>
      <c r="G91" s="337">
        <v>25150</v>
      </c>
      <c r="H91" s="443"/>
      <c r="I91" s="152">
        <f t="shared" si="2"/>
        <v>25150</v>
      </c>
    </row>
    <row r="92" spans="1:9" s="141" customFormat="1">
      <c r="A92" s="148" t="str">
        <f>IF(B92&gt;0,VLOOKUP(B92,КВСР!A32:B1197,2),IF(C92&gt;0,VLOOKUP(C92,КФСР!A32:B1544,2),IF(D92&gt;0,VLOOKUP(D92,Программа!A$1:B$5091,2),IF(F92&gt;0,VLOOKUP(F92,КВР!A$1:B$5001,2),IF(E92&gt;0,VLOOKUP(E92,Направление!A$1:B$4750,2))))))</f>
        <v>Иные бюджетные ассигнования</v>
      </c>
      <c r="B92" s="149"/>
      <c r="C92" s="144"/>
      <c r="D92" s="145"/>
      <c r="E92" s="144"/>
      <c r="F92" s="146">
        <v>800</v>
      </c>
      <c r="G92" s="337">
        <v>678313</v>
      </c>
      <c r="H92" s="155">
        <v>95200</v>
      </c>
      <c r="I92" s="152">
        <f t="shared" si="2"/>
        <v>773513</v>
      </c>
    </row>
    <row r="93" spans="1:9" s="141" customFormat="1" ht="31.5">
      <c r="A93" s="148" t="str">
        <f>IF(B93&gt;0,VLOOKUP(B93,КВСР!A30:B1195,2),IF(C93&gt;0,VLOOKUP(C93,КФСР!A30:B1542,2),IF(D93&gt;0,VLOOKUP(D93,Программа!A$1:B$5091,2),IF(F93&gt;0,VLOOKUP(F93,КВР!A$1:B$5001,2),IF(E93&gt;0,VLOOKUP(E93,Направление!A$1:B$4750,2))))))</f>
        <v>Представительские расходы органов местного самоуправления</v>
      </c>
      <c r="B93" s="149"/>
      <c r="C93" s="144"/>
      <c r="D93" s="145"/>
      <c r="E93" s="144">
        <v>12600</v>
      </c>
      <c r="F93" s="146"/>
      <c r="G93" s="337">
        <f>G94</f>
        <v>500000</v>
      </c>
      <c r="H93" s="156">
        <f>H94</f>
        <v>-200000</v>
      </c>
      <c r="I93" s="152">
        <f t="shared" si="2"/>
        <v>300000</v>
      </c>
    </row>
    <row r="94" spans="1:9" s="141" customFormat="1" ht="63">
      <c r="A94" s="148" t="str">
        <f>IF(B94&gt;0,VLOOKUP(B94,КВСР!A32:B1197,2),IF(C94&gt;0,VLOOKUP(C94,КФСР!A32:B1544,2),IF(D94&gt;0,VLOOKUP(D94,Программа!A$1:B$5091,2),IF(F94&gt;0,VLOOKUP(F94,КВР!A$1:B$5001,2),IF(E94&gt;0,VLOOKUP(E94,Направление!A$1:B$4750,2))))))</f>
        <v xml:space="preserve">Закупка товаров, работ и услуг для обеспечения государственных (муниципальных) нужд
</v>
      </c>
      <c r="B94" s="149"/>
      <c r="C94" s="144"/>
      <c r="D94" s="145"/>
      <c r="E94" s="144"/>
      <c r="F94" s="146">
        <v>200</v>
      </c>
      <c r="G94" s="337">
        <v>500000</v>
      </c>
      <c r="H94" s="155">
        <v>-200000</v>
      </c>
      <c r="I94" s="152">
        <f t="shared" si="2"/>
        <v>300000</v>
      </c>
    </row>
    <row r="95" spans="1:9" s="141" customFormat="1" ht="63">
      <c r="A95" s="148" t="str">
        <f>IF(B95&gt;0,VLOOKUP(B95,КВСР!A33:B1198,2),IF(C95&gt;0,VLOOKUP(C95,КФСР!A33:B1545,2),IF(D95&gt;0,VLOOKUP(D95,Программа!A$1:B$5091,2),IF(F95&gt;0,VLOOKUP(F95,КВР!A$1:B$5001,2),IF(E95&gt;0,VLOOKUP(E95,Направление!A$1:B$4750,2))))))</f>
        <v>Вложения в уставной фонд муниципальных унитарных предприятий Тутаевского муниципального района</v>
      </c>
      <c r="B95" s="149"/>
      <c r="C95" s="144"/>
      <c r="D95" s="145"/>
      <c r="E95" s="144">
        <v>12950</v>
      </c>
      <c r="F95" s="146"/>
      <c r="G95" s="337">
        <f>G96</f>
        <v>0</v>
      </c>
      <c r="H95" s="337">
        <f t="shared" ref="H95" si="20">H96</f>
        <v>100000</v>
      </c>
      <c r="I95" s="152">
        <f t="shared" si="2"/>
        <v>100000</v>
      </c>
    </row>
    <row r="96" spans="1:9" s="141" customFormat="1">
      <c r="A96" s="148" t="str">
        <f>IF(B96&gt;0,VLOOKUP(B96,КВСР!A34:B1199,2),IF(C96&gt;0,VLOOKUP(C96,КФСР!A34:B1546,2),IF(D96&gt;0,VLOOKUP(D96,Программа!A$1:B$5091,2),IF(F96&gt;0,VLOOKUP(F96,КВР!A$1:B$5001,2),IF(E96&gt;0,VLOOKUP(E96,Направление!A$1:B$4750,2))))))</f>
        <v>Иные бюджетные ассигнования</v>
      </c>
      <c r="B96" s="149"/>
      <c r="C96" s="144"/>
      <c r="D96" s="145"/>
      <c r="E96" s="144"/>
      <c r="F96" s="146">
        <v>800</v>
      </c>
      <c r="G96" s="337"/>
      <c r="H96" s="155">
        <v>100000</v>
      </c>
      <c r="I96" s="152">
        <f t="shared" si="2"/>
        <v>100000</v>
      </c>
    </row>
    <row r="97" spans="1:9" s="141" customFormat="1" ht="63">
      <c r="A97" s="148" t="str">
        <f>IF(B97&gt;0,VLOOKUP(B97,КВСР!A30:B1195,2),IF(C97&gt;0,VLOOKUP(C97,КФСР!A30:B1542,2),IF(D97&gt;0,VLOOKUP(D97,Программа!A$1:B$5091,2),IF(F97&gt;0,VLOOKUP(F97,КВР!A$1:B$5001,2),IF(E97&gt;0,VLOOKUP(E97,Направление!A$1:B$4750,2))))))</f>
        <v>Расходы на осуществление полномочий на государственную регистрацию актов гражданского состояния</v>
      </c>
      <c r="B97" s="149"/>
      <c r="C97" s="144"/>
      <c r="D97" s="145"/>
      <c r="E97" s="144">
        <v>59300</v>
      </c>
      <c r="F97" s="146"/>
      <c r="G97" s="337">
        <f>G98+G99</f>
        <v>3949394</v>
      </c>
      <c r="H97" s="152">
        <f>H98+H99</f>
        <v>0</v>
      </c>
      <c r="I97" s="152">
        <f t="shared" si="2"/>
        <v>3949394</v>
      </c>
    </row>
    <row r="98" spans="1:9" s="141" customFormat="1" ht="126">
      <c r="A98" s="148" t="str">
        <f>IF(B98&gt;0,VLOOKUP(B98,КВСР!A30:B1195,2),IF(C98&gt;0,VLOOKUP(C98,КФСР!A30:B1542,2),IF(D98&gt;0,VLOOKUP(D98,Программа!A$1:B$5091,2),IF(F98&gt;0,VLOOKUP(F98,КВР!A$1:B$5001,2),IF(E98&gt;0,VLOOKUP(E98,Направление!A$1:B$4750,2))))))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" s="149"/>
      <c r="C98" s="144"/>
      <c r="D98" s="146"/>
      <c r="E98" s="144"/>
      <c r="F98" s="146">
        <v>100</v>
      </c>
      <c r="G98" s="337">
        <v>3112121</v>
      </c>
      <c r="H98" s="157"/>
      <c r="I98" s="152">
        <f t="shared" si="2"/>
        <v>3112121</v>
      </c>
    </row>
    <row r="99" spans="1:9" s="141" customFormat="1" ht="63">
      <c r="A99" s="148" t="str">
        <f>IF(B99&gt;0,VLOOKUP(B99,КВСР!A31:B1196,2),IF(C99&gt;0,VLOOKUP(C99,КФСР!A31:B1543,2),IF(D99&gt;0,VLOOKUP(D99,Программа!A$1:B$5091,2),IF(F99&gt;0,VLOOKUP(F99,КВР!A$1:B$5001,2),IF(E99&gt;0,VLOOKUP(E99,Направление!A$1:B$4750,2))))))</f>
        <v xml:space="preserve">Закупка товаров, работ и услуг для обеспечения государственных (муниципальных) нужд
</v>
      </c>
      <c r="B99" s="149"/>
      <c r="C99" s="144"/>
      <c r="D99" s="146"/>
      <c r="E99" s="144"/>
      <c r="F99" s="146">
        <v>200</v>
      </c>
      <c r="G99" s="337">
        <v>837273</v>
      </c>
      <c r="H99" s="157"/>
      <c r="I99" s="152">
        <f t="shared" si="2"/>
        <v>837273</v>
      </c>
    </row>
    <row r="100" spans="1:9" s="141" customFormat="1" ht="94.5">
      <c r="A100" s="148" t="str">
        <f>IF(B100&gt;0,VLOOKUP(B100,КВСР!A27:B1192,2),IF(C100&gt;0,VLOOKUP(C100,КФСР!A27:B1539,2),IF(D100&gt;0,VLOOKUP(D100,Программа!A$1:B$5091,2),IF(F100&gt;0,VLOOKUP(F100,КВР!A$1:B$5001,2),IF(E100&gt;0,VLOOKUP(E100,Направление!A$1:B$4750,2))))))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0" s="149"/>
      <c r="C100" s="144"/>
      <c r="D100" s="145"/>
      <c r="E100" s="144">
        <v>80190</v>
      </c>
      <c r="F100" s="146"/>
      <c r="G100" s="337">
        <f>G101+G102</f>
        <v>2378141</v>
      </c>
      <c r="H100" s="152">
        <f>H101+H102</f>
        <v>0</v>
      </c>
      <c r="I100" s="152">
        <f t="shared" si="2"/>
        <v>2378141</v>
      </c>
    </row>
    <row r="101" spans="1:9" s="141" customFormat="1" ht="126">
      <c r="A101" s="148" t="str">
        <f>IF(B101&gt;0,VLOOKUP(B101,КВСР!A28:B1193,2),IF(C101&gt;0,VLOOKUP(C101,КФСР!A28:B1540,2),IF(D101&gt;0,VLOOKUP(D101,Программа!A$1:B$5091,2),IF(F101&gt;0,VLOOKUP(F101,КВР!A$1:B$5001,2),IF(E101&gt;0,VLOOKUP(E101,Направление!A$1:B$4750,2))))))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" s="149"/>
      <c r="C101" s="144"/>
      <c r="D101" s="146"/>
      <c r="E101" s="144"/>
      <c r="F101" s="146">
        <v>100</v>
      </c>
      <c r="G101" s="379">
        <v>2267850</v>
      </c>
      <c r="H101" s="151"/>
      <c r="I101" s="152">
        <f t="shared" ref="I101:I334" si="21">SUM(G101:H101)</f>
        <v>2267850</v>
      </c>
    </row>
    <row r="102" spans="1:9" s="141" customFormat="1" ht="63">
      <c r="A102" s="148" t="str">
        <f>IF(B102&gt;0,VLOOKUP(B102,КВСР!A29:B1194,2),IF(C102&gt;0,VLOOKUP(C102,КФСР!A29:B1541,2),IF(D102&gt;0,VLOOKUP(D102,Программа!A$1:B$5091,2),IF(F102&gt;0,VLOOKUP(F102,КВР!A$1:B$5001,2),IF(E102&gt;0,VLOOKUP(E102,Направление!A$1:B$4750,2))))))</f>
        <v xml:space="preserve">Закупка товаров, работ и услуг для обеспечения государственных (муниципальных) нужд
</v>
      </c>
      <c r="B102" s="149"/>
      <c r="C102" s="144"/>
      <c r="D102" s="146"/>
      <c r="E102" s="144"/>
      <c r="F102" s="146">
        <v>200</v>
      </c>
      <c r="G102" s="379">
        <v>110291</v>
      </c>
      <c r="H102" s="151"/>
      <c r="I102" s="152">
        <f t="shared" si="21"/>
        <v>110291</v>
      </c>
    </row>
    <row r="103" spans="1:9" s="141" customFormat="1" ht="78.75">
      <c r="A103" s="148" t="str">
        <f>IF(B103&gt;0,VLOOKUP(B103,КВСР!A30:B1195,2),IF(C103&gt;0,VLOOKUP(C103,КФСР!A30:B1542,2),IF(D103&gt;0,VLOOKUP(D103,Программа!A$1:B$5091,2),IF(F103&gt;0,VLOOKUP(F103,КВР!A$1:B$5001,2),IF(E103&gt;0,VLOOKUP(E103,Направление!A$1:B$4750,2))))))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3" s="149"/>
      <c r="C103" s="144"/>
      <c r="D103" s="145"/>
      <c r="E103" s="144">
        <v>80200</v>
      </c>
      <c r="F103" s="146"/>
      <c r="G103" s="379">
        <f>G104+G105</f>
        <v>234835</v>
      </c>
      <c r="H103" s="150">
        <f>H104+H105</f>
        <v>0</v>
      </c>
      <c r="I103" s="152">
        <f t="shared" si="21"/>
        <v>234835</v>
      </c>
    </row>
    <row r="104" spans="1:9" s="141" customFormat="1" ht="126">
      <c r="A104" s="148" t="str">
        <f>IF(B104&gt;0,VLOOKUP(B104,КВСР!A31:B1196,2),IF(C104&gt;0,VLOOKUP(C104,КФСР!A31:B1543,2),IF(D104&gt;0,VLOOKUP(D104,Программа!A$1:B$5091,2),IF(F104&gt;0,VLOOKUP(F104,КВР!A$1:B$5001,2),IF(E104&gt;0,VLOOKUP(E104,Направление!A$1:B$4750,2))))))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4" s="149"/>
      <c r="C104" s="144"/>
      <c r="D104" s="146"/>
      <c r="E104" s="144"/>
      <c r="F104" s="146">
        <v>100</v>
      </c>
      <c r="G104" s="379">
        <v>164835</v>
      </c>
      <c r="H104" s="151">
        <v>-298</v>
      </c>
      <c r="I104" s="152">
        <f t="shared" si="21"/>
        <v>164537</v>
      </c>
    </row>
    <row r="105" spans="1:9" s="141" customFormat="1" ht="63">
      <c r="A105" s="148" t="str">
        <f>IF(B105&gt;0,VLOOKUP(B105,КВСР!A32:B1197,2),IF(C105&gt;0,VLOOKUP(C105,КФСР!A32:B1544,2),IF(D105&gt;0,VLOOKUP(D105,Программа!A$1:B$5091,2),IF(F105&gt;0,VLOOKUP(F105,КВР!A$1:B$5001,2),IF(E105&gt;0,VLOOKUP(E105,Направление!A$1:B$4750,2))))))</f>
        <v xml:space="preserve">Закупка товаров, работ и услуг для обеспечения государственных (муниципальных) нужд
</v>
      </c>
      <c r="B105" s="149"/>
      <c r="C105" s="144"/>
      <c r="D105" s="146"/>
      <c r="E105" s="144"/>
      <c r="F105" s="146">
        <v>200</v>
      </c>
      <c r="G105" s="337">
        <v>70000</v>
      </c>
      <c r="H105" s="153">
        <v>298</v>
      </c>
      <c r="I105" s="152">
        <f t="shared" si="21"/>
        <v>70298</v>
      </c>
    </row>
    <row r="106" spans="1:9" s="141" customFormat="1" ht="31.5">
      <c r="A106" s="148" t="str">
        <f>IF(B106&gt;0,VLOOKUP(B106,КВСР!A33:B1198,2),IF(C106&gt;0,VLOOKUP(C106,КФСР!A33:B1545,2),IF(D106&gt;0,VLOOKUP(D106,Программа!A$1:B$5091,2),IF(F106&gt;0,VLOOKUP(F106,КВР!A$1:B$5001,2),IF(E106&gt;0,VLOOKUP(E106,Направление!A$1:B$4750,2))))))</f>
        <v>Межбюджетные трансферты  поселениям района</v>
      </c>
      <c r="B106" s="149"/>
      <c r="C106" s="144"/>
      <c r="D106" s="146" t="s">
        <v>653</v>
      </c>
      <c r="E106" s="144"/>
      <c r="F106" s="146"/>
      <c r="G106" s="337">
        <f>G107+G109</f>
        <v>168837</v>
      </c>
      <c r="H106" s="337">
        <f t="shared" ref="H106:I106" si="22">H107+H109</f>
        <v>750000</v>
      </c>
      <c r="I106" s="337">
        <f t="shared" si="22"/>
        <v>918837</v>
      </c>
    </row>
    <row r="107" spans="1:9" s="141" customFormat="1">
      <c r="A107" s="148" t="str">
        <f>IF(B107&gt;0,VLOOKUP(B107,КВСР!A34:B1199,2),IF(C107&gt;0,VLOOKUP(C107,КФСР!A34:B1546,2),IF(D107&gt;0,VLOOKUP(D107,Программа!A$1:B$5091,2),IF(F107&gt;0,VLOOKUP(F107,КВР!A$1:B$5001,2),IF(E107&gt;0,VLOOKUP(E107,Направление!A$1:B$4750,2))))))</f>
        <v>Содержание центрального аппарата</v>
      </c>
      <c r="B107" s="149"/>
      <c r="C107" s="144"/>
      <c r="D107" s="146"/>
      <c r="E107" s="144">
        <v>12010</v>
      </c>
      <c r="F107" s="146"/>
      <c r="G107" s="337">
        <f>G108</f>
        <v>168837</v>
      </c>
      <c r="H107" s="337">
        <f t="shared" ref="H107:I107" si="23">H108</f>
        <v>0</v>
      </c>
      <c r="I107" s="337">
        <f t="shared" si="23"/>
        <v>168837</v>
      </c>
    </row>
    <row r="108" spans="1:9" s="141" customFormat="1">
      <c r="A108" s="148" t="str">
        <f>IF(B108&gt;0,VLOOKUP(B108,КВСР!A35:B1200,2),IF(C108&gt;0,VLOOKUP(C108,КФСР!A35:B1547,2),IF(D108&gt;0,VLOOKUP(D108,Программа!A$1:B$5091,2),IF(F108&gt;0,VLOOKUP(F108,КВР!A$1:B$5001,2),IF(E108&gt;0,VLOOKUP(E108,Направление!A$1:B$4750,2))))))</f>
        <v xml:space="preserve"> Межбюджетные трансферты</v>
      </c>
      <c r="B108" s="149"/>
      <c r="C108" s="144"/>
      <c r="D108" s="146"/>
      <c r="E108" s="144"/>
      <c r="F108" s="146">
        <v>500</v>
      </c>
      <c r="G108" s="337">
        <v>168837</v>
      </c>
      <c r="H108" s="153"/>
      <c r="I108" s="152">
        <f>G108+H108</f>
        <v>168837</v>
      </c>
    </row>
    <row r="109" spans="1:9" s="141" customFormat="1" ht="94.5">
      <c r="A109" s="148" t="str">
        <f>IF(B109&gt;0,VLOOKUP(B109,КВСР!A36:B1201,2),IF(C109&gt;0,VLOOKUP(C109,КФСР!A36:B1548,2),IF(D109&gt;0,VLOOKUP(D109,Программа!A$1:B$5091,2),IF(F109&gt;0,VLOOKUP(F109,КВР!A$1:B$5001,2),IF(E109&gt;0,VLOOKUP(E109,Направление!A$1:B$4750,2))))))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09" s="149"/>
      <c r="C109" s="144"/>
      <c r="D109" s="146"/>
      <c r="E109" s="144">
        <v>75870</v>
      </c>
      <c r="F109" s="146"/>
      <c r="G109" s="337">
        <f>G110</f>
        <v>0</v>
      </c>
      <c r="H109" s="337">
        <f t="shared" ref="H109:I109" si="24">H110</f>
        <v>750000</v>
      </c>
      <c r="I109" s="337">
        <f t="shared" si="24"/>
        <v>750000</v>
      </c>
    </row>
    <row r="110" spans="1:9" s="141" customFormat="1" ht="24" customHeight="1">
      <c r="A110" s="148" t="str">
        <f>IF(B110&gt;0,VLOOKUP(B110,КВСР!A37:B1202,2),IF(C110&gt;0,VLOOKUP(C110,КФСР!A37:B1549,2),IF(D110&gt;0,VLOOKUP(D110,Программа!A$1:B$5091,2),IF(F110&gt;0,VLOOKUP(F110,КВР!A$1:B$5001,2),IF(E110&gt;0,VLOOKUP(E110,Направление!A$1:B$4750,2))))))</f>
        <v xml:space="preserve"> Межбюджетные трансферты</v>
      </c>
      <c r="B110" s="149"/>
      <c r="C110" s="144"/>
      <c r="D110" s="146"/>
      <c r="E110" s="144"/>
      <c r="F110" s="146">
        <v>500</v>
      </c>
      <c r="G110" s="337"/>
      <c r="H110" s="153">
        <v>750000</v>
      </c>
      <c r="I110" s="152">
        <f>G110+H110</f>
        <v>750000</v>
      </c>
    </row>
    <row r="111" spans="1:9" s="141" customFormat="1" ht="63">
      <c r="A111" s="148" t="str">
        <f>IF(B111&gt;0,VLOOKUP(B111,КВСР!A33:B1198,2),IF(C111&gt;0,VLOOKUP(C111,КФСР!A33:B1545,2),IF(D111&gt;0,VLOOKUP(D111,Программа!A$1:B$5091,2),IF(F111&gt;0,VLOOKUP(F111,КВР!A$1:B$5001,2),IF(E111&gt;0,VLOOKUP(E111,Направление!A$1:B$4750,2))))))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11" s="149"/>
      <c r="C111" s="144">
        <v>309</v>
      </c>
      <c r="D111" s="146"/>
      <c r="E111" s="144"/>
      <c r="F111" s="146"/>
      <c r="G111" s="337">
        <f>G112+G116</f>
        <v>2000000</v>
      </c>
      <c r="H111" s="371">
        <f t="shared" ref="H111:I111" si="25">H112+H116</f>
        <v>551980</v>
      </c>
      <c r="I111" s="371">
        <f t="shared" si="25"/>
        <v>2551980</v>
      </c>
    </row>
    <row r="112" spans="1:9" s="141" customFormat="1">
      <c r="A112" s="148" t="str">
        <f>IF(B112&gt;0,VLOOKUP(B112,КВСР!A34:B1199,2),IF(C112&gt;0,VLOOKUP(C112,КФСР!A34:B1546,2),IF(D112&gt;0,VLOOKUP(D112,Программа!A$1:B$5091,2),IF(F112&gt;0,VLOOKUP(F112,КВР!A$1:B$5001,2),IF(E112&gt;0,VLOOKUP(E112,Направление!A$1:B$4750,2))))))</f>
        <v>Непрограммные расходы бюджета</v>
      </c>
      <c r="B112" s="149"/>
      <c r="C112" s="144"/>
      <c r="D112" s="146" t="s">
        <v>480</v>
      </c>
      <c r="E112" s="144"/>
      <c r="F112" s="146"/>
      <c r="G112" s="337">
        <f>G113</f>
        <v>2000000</v>
      </c>
      <c r="H112" s="371">
        <f>H113</f>
        <v>551980</v>
      </c>
      <c r="I112" s="152">
        <f t="shared" si="21"/>
        <v>2551980</v>
      </c>
    </row>
    <row r="113" spans="1:9" s="141" customFormat="1" ht="47.25">
      <c r="A113" s="148" t="str">
        <f>IF(B113&gt;0,VLOOKUP(B113,КВСР!A35:B1200,2),IF(C113&gt;0,VLOOKUP(C113,КФСР!A35:B1547,2),IF(D113&gt;0,VLOOKUP(D113,Программа!A$1:B$5091,2),IF(F113&gt;0,VLOOKUP(F113,КВР!A$1:B$5001,2),IF(E113&gt;0,VLOOKUP(E113,Направление!A$1:B$4750,2))))))</f>
        <v>Содержание и организация деятельности аварийно-спасательных служб</v>
      </c>
      <c r="B113" s="149"/>
      <c r="C113" s="144"/>
      <c r="D113" s="146"/>
      <c r="E113" s="144">
        <v>29566</v>
      </c>
      <c r="F113" s="146"/>
      <c r="G113" s="337">
        <f>G114+G115</f>
        <v>2000000</v>
      </c>
      <c r="H113" s="371">
        <f>H114+H115</f>
        <v>551980</v>
      </c>
      <c r="I113" s="152">
        <f t="shared" si="21"/>
        <v>2551980</v>
      </c>
    </row>
    <row r="114" spans="1:9" s="141" customFormat="1" ht="126">
      <c r="A114" s="148" t="str">
        <f>IF(B114&gt;0,VLOOKUP(B114,КВСР!A36:B1201,2),IF(C114&gt;0,VLOOKUP(C114,КФСР!A36:B1548,2),IF(D114&gt;0,VLOOKUP(D114,Программа!A$1:B$5091,2),IF(F114&gt;0,VLOOKUP(F114,КВР!A$1:B$5001,2),IF(E114&gt;0,VLOOKUP(E114,Направление!A$1:B$4750,2))))))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49"/>
      <c r="C114" s="144"/>
      <c r="D114" s="146"/>
      <c r="E114" s="144"/>
      <c r="F114" s="146">
        <v>100</v>
      </c>
      <c r="G114" s="337">
        <v>1741813</v>
      </c>
      <c r="H114" s="153">
        <v>443980</v>
      </c>
      <c r="I114" s="152">
        <f t="shared" si="21"/>
        <v>2185793</v>
      </c>
    </row>
    <row r="115" spans="1:9" s="141" customFormat="1" ht="63">
      <c r="A115" s="148" t="str">
        <f>IF(B115&gt;0,VLOOKUP(B115,КВСР!A37:B1202,2),IF(C115&gt;0,VLOOKUP(C115,КФСР!A37:B1549,2),IF(D115&gt;0,VLOOKUP(D115,Программа!A$1:B$5091,2),IF(F115&gt;0,VLOOKUP(F115,КВР!A$1:B$5001,2),IF(E115&gt;0,VLOOKUP(E115,Направление!A$1:B$4750,2))))))</f>
        <v xml:space="preserve">Закупка товаров, работ и услуг для обеспечения государственных (муниципальных) нужд
</v>
      </c>
      <c r="B115" s="149"/>
      <c r="C115" s="144"/>
      <c r="D115" s="146"/>
      <c r="E115" s="144"/>
      <c r="F115" s="146">
        <v>200</v>
      </c>
      <c r="G115" s="337">
        <v>258187</v>
      </c>
      <c r="H115" s="153">
        <v>108000</v>
      </c>
      <c r="I115" s="152">
        <f t="shared" si="21"/>
        <v>366187</v>
      </c>
    </row>
    <row r="116" spans="1:9" s="141" customFormat="1" ht="31.5" hidden="1">
      <c r="A116" s="148" t="str">
        <f>IF(B116&gt;0,VLOOKUP(B116,КВСР!A38:B1203,2),IF(C116&gt;0,VLOOKUP(C116,КФСР!A38:B1550,2),IF(D116&gt;0,VLOOKUP(D116,Программа!A$1:B$5091,2),IF(F116&gt;0,VLOOKUP(F116,КВР!A$1:B$5001,2),IF(E116&gt;0,VLOOKUP(E116,Направление!A$1:B$4750,2))))))</f>
        <v>Межбюджетные трансферты  поселениям района</v>
      </c>
      <c r="B116" s="149"/>
      <c r="C116" s="144"/>
      <c r="D116" s="146" t="s">
        <v>653</v>
      </c>
      <c r="E116" s="144"/>
      <c r="F116" s="146"/>
      <c r="G116" s="337">
        <f>G117</f>
        <v>0</v>
      </c>
      <c r="H116" s="337">
        <f>H117</f>
        <v>0</v>
      </c>
      <c r="I116" s="337">
        <f t="shared" ref="I116:I117" si="26">I117</f>
        <v>0</v>
      </c>
    </row>
    <row r="117" spans="1:9" s="141" customFormat="1" ht="63" hidden="1">
      <c r="A117" s="148" t="str">
        <f>IF(B117&gt;0,VLOOKUP(B117,КВСР!A39:B1204,2),IF(C117&gt;0,VLOOKUP(C117,КФСР!A39:B1551,2),IF(D117&gt;0,VLOOKUP(D117,Программа!A$1:B$5091,2),IF(F117&gt;0,VLOOKUP(F117,КВР!A$1:B$5001,2),IF(E117&gt;0,VLOOKUP(E117,Направление!A$1:B$4750,2))))))</f>
        <v>Субсидия на реализацию мероприятий по обеспечению безопасности граждан на водных объектах</v>
      </c>
      <c r="B117" s="149"/>
      <c r="C117" s="144"/>
      <c r="D117" s="146"/>
      <c r="E117" s="144">
        <v>71450</v>
      </c>
      <c r="F117" s="146"/>
      <c r="G117" s="337">
        <f>G118</f>
        <v>0</v>
      </c>
      <c r="H117" s="337">
        <f t="shared" ref="H117" si="27">H118</f>
        <v>0</v>
      </c>
      <c r="I117" s="337">
        <f t="shared" si="26"/>
        <v>0</v>
      </c>
    </row>
    <row r="118" spans="1:9" s="141" customFormat="1" hidden="1">
      <c r="A118" s="148" t="str">
        <f>IF(B118&gt;0,VLOOKUP(B118,КВСР!A40:B1205,2),IF(C118&gt;0,VLOOKUP(C118,КФСР!A40:B1552,2),IF(D118&gt;0,VLOOKUP(D118,Программа!A$1:B$5091,2),IF(F118&gt;0,VLOOKUP(F118,КВР!A$1:B$5001,2),IF(E118&gt;0,VLOOKUP(E118,Направление!A$1:B$4750,2))))))</f>
        <v xml:space="preserve"> Межбюджетные трансферты</v>
      </c>
      <c r="B118" s="149"/>
      <c r="C118" s="144"/>
      <c r="D118" s="146"/>
      <c r="E118" s="144"/>
      <c r="F118" s="146">
        <v>500</v>
      </c>
      <c r="G118" s="337"/>
      <c r="H118" s="153"/>
      <c r="I118" s="152">
        <f>G118+H118</f>
        <v>0</v>
      </c>
    </row>
    <row r="119" spans="1:9" s="141" customFormat="1">
      <c r="A119" s="148" t="str">
        <f>IF(B119&gt;0,VLOOKUP(B119,КВСР!A41:B1206,2),IF(C119&gt;0,VLOOKUP(C119,КФСР!A41:B1553,2),IF(D119&gt;0,VLOOKUP(D119,Программа!A$1:B$5091,2),IF(F119&gt;0,VLOOKUP(F119,КВР!A$1:B$5001,2),IF(E119&gt;0,VLOOKUP(E119,Направление!A$1:B$4750,2))))))</f>
        <v>Топливно-энергетический комплекс</v>
      </c>
      <c r="B119" s="149"/>
      <c r="C119" s="144">
        <v>402</v>
      </c>
      <c r="D119" s="145"/>
      <c r="E119" s="144"/>
      <c r="F119" s="146"/>
      <c r="G119" s="379">
        <f>G120</f>
        <v>532620</v>
      </c>
      <c r="H119" s="347">
        <f t="shared" ref="H119:I123" si="28">H120</f>
        <v>0</v>
      </c>
      <c r="I119" s="347">
        <f t="shared" si="28"/>
        <v>532620</v>
      </c>
    </row>
    <row r="120" spans="1:9" s="141" customFormat="1" ht="63">
      <c r="A120" s="148" t="str">
        <f>IF(B120&gt;0,VLOOKUP(B120,КВСР!A42:B1207,2),IF(C120&gt;0,VLOOKUP(C120,КФСР!A42:B1554,2),IF(D120&gt;0,VLOOKUP(D120,Программа!A$1:B$5091,2),IF(F120&gt;0,VLOOKUP(F120,КВР!A$1:B$5001,2),IF(E120&gt;0,VLOOKUP(E120,Направление!A$1:B$4750,2))))))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20" s="149"/>
      <c r="C120" s="144"/>
      <c r="D120" s="145" t="s">
        <v>703</v>
      </c>
      <c r="E120" s="144"/>
      <c r="F120" s="146"/>
      <c r="G120" s="337">
        <f>G122</f>
        <v>532620</v>
      </c>
      <c r="H120" s="371">
        <f>H122</f>
        <v>0</v>
      </c>
      <c r="I120" s="371">
        <f>I122</f>
        <v>532620</v>
      </c>
    </row>
    <row r="121" spans="1:9" s="141" customFormat="1" ht="94.5">
      <c r="A121" s="148" t="str">
        <f>IF(B121&gt;0,VLOOKUP(B121,КВСР!A43:B1208,2),IF(C121&gt;0,VLOOKUP(C121,КФСР!A43:B1555,2),IF(D121&gt;0,VLOOKUP(D121,Программа!A$1:B$5091,2),IF(F121&gt;0,VLOOKUP(F121,КВР!A$1:B$5001,2),IF(E121&gt;0,VLOOKUP(E121,Направление!A$1:B$4750,2))))))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21" s="149"/>
      <c r="C121" s="144"/>
      <c r="D121" s="145" t="s">
        <v>705</v>
      </c>
      <c r="E121" s="144"/>
      <c r="F121" s="146"/>
      <c r="G121" s="337">
        <f>G122</f>
        <v>532620</v>
      </c>
      <c r="H121" s="337">
        <f t="shared" ref="H121:I121" si="29">H122</f>
        <v>0</v>
      </c>
      <c r="I121" s="337">
        <f t="shared" si="29"/>
        <v>532620</v>
      </c>
    </row>
    <row r="122" spans="1:9" s="141" customFormat="1" ht="63">
      <c r="A122" s="148" t="str">
        <f>IF(B122&gt;0,VLOOKUP(B122,КВСР!A43:B1208,2),IF(C122&gt;0,VLOOKUP(C122,КФСР!A43:B1555,2),IF(D122&gt;0,VLOOKUP(D122,Программа!A$1:B$5091,2),IF(F122&gt;0,VLOOKUP(F122,КВР!A$1:B$5001,2),IF(E122&gt;0,VLOOKUP(E122,Направление!A$1:B$4750,2))))))</f>
        <v>Обеспечение надежного снабжения  твердым топливом  сельского населения, путем частичного возмещения расходов</v>
      </c>
      <c r="B122" s="149"/>
      <c r="C122" s="144"/>
      <c r="D122" s="145" t="s">
        <v>706</v>
      </c>
      <c r="E122" s="144"/>
      <c r="F122" s="146"/>
      <c r="G122" s="379">
        <f>G123</f>
        <v>532620</v>
      </c>
      <c r="H122" s="347">
        <f t="shared" si="28"/>
        <v>0</v>
      </c>
      <c r="I122" s="347">
        <f t="shared" si="28"/>
        <v>532620</v>
      </c>
    </row>
    <row r="123" spans="1:9" s="141" customFormat="1" ht="47.25">
      <c r="A123" s="148" t="str">
        <f>IF(B123&gt;0,VLOOKUP(B123,КВСР!A44:B1209,2),IF(C123&gt;0,VLOOKUP(C123,КФСР!A44:B1556,2),IF(D123&gt;0,VLOOKUP(D123,Программа!A$1:B$5091,2),IF(F123&gt;0,VLOOKUP(F123,КВР!A$1:B$5001,2),IF(E123&gt;0,VLOOKUP(E123,Направление!A$1:B$4750,2))))))</f>
        <v>Субсидия  на возмещение части затрат по обеспечению населения твердым топливом</v>
      </c>
      <c r="B123" s="149"/>
      <c r="C123" s="144"/>
      <c r="D123" s="145"/>
      <c r="E123" s="144">
        <v>10110</v>
      </c>
      <c r="F123" s="146"/>
      <c r="G123" s="379">
        <f>G124</f>
        <v>532620</v>
      </c>
      <c r="H123" s="347">
        <f t="shared" si="28"/>
        <v>0</v>
      </c>
      <c r="I123" s="347">
        <f t="shared" si="28"/>
        <v>532620</v>
      </c>
    </row>
    <row r="124" spans="1:9" s="141" customFormat="1" ht="63">
      <c r="A124" s="148" t="str">
        <f>IF(B124&gt;0,VLOOKUP(B124,КВСР!A45:B1210,2),IF(C124&gt;0,VLOOKUP(C124,КФСР!A45:B1557,2),IF(D124&gt;0,VLOOKUP(D124,Программа!A$1:B$5091,2),IF(F124&gt;0,VLOOKUP(F124,КВР!A$1:B$5001,2),IF(E124&gt;0,VLOOKUP(E124,Направление!A$1:B$4750,2))))))</f>
        <v>Предоставление субсидий бюджетным, автономным учреждениям и иным некоммерческим организациям</v>
      </c>
      <c r="B124" s="149"/>
      <c r="C124" s="144"/>
      <c r="D124" s="145"/>
      <c r="E124" s="144"/>
      <c r="F124" s="146">
        <v>600</v>
      </c>
      <c r="G124" s="379">
        <v>532620</v>
      </c>
      <c r="H124" s="153"/>
      <c r="I124" s="152">
        <f>SUM(G124:H124)</f>
        <v>532620</v>
      </c>
    </row>
    <row r="125" spans="1:9" s="141" customFormat="1">
      <c r="A125" s="148" t="str">
        <f>IF(B125&gt;0,VLOOKUP(B125,КВСР!A37:B1202,2),IF(C125&gt;0,VLOOKUP(C125,КФСР!A37:B1549,2),IF(D125&gt;0,VLOOKUP(D125,Программа!A$1:B$5091,2),IF(F125&gt;0,VLOOKUP(F125,КВР!A$1:B$5001,2),IF(E125&gt;0,VLOOKUP(E125,Направление!A$1:B$4750,2))))))</f>
        <v>Сельское хозяйство и рыболовство</v>
      </c>
      <c r="B125" s="149"/>
      <c r="C125" s="144">
        <v>405</v>
      </c>
      <c r="D125" s="145"/>
      <c r="E125" s="144"/>
      <c r="F125" s="146"/>
      <c r="G125" s="379">
        <f>G126+G143</f>
        <v>1916220</v>
      </c>
      <c r="H125" s="150">
        <f>H126</f>
        <v>0</v>
      </c>
      <c r="I125" s="152">
        <f t="shared" si="21"/>
        <v>1916220</v>
      </c>
    </row>
    <row r="126" spans="1:9" s="141" customFormat="1" ht="94.5">
      <c r="A126" s="148" t="str">
        <f>IF(B126&gt;0,VLOOKUP(B126,КВСР!A49:B1214,2),IF(C126&gt;0,VLOOKUP(C126,КФСР!A49:B1561,2),IF(D126&gt;0,VLOOKUP(D126,Программа!A$1:B$5091,2),IF(F126&gt;0,VLOOKUP(F126,КВР!A$1:B$5001,2),IF(E126&gt;0,VLOOKUP(E126,Направление!A$1:B$4750,2))))))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6" s="149"/>
      <c r="C126" s="144"/>
      <c r="D126" s="145" t="s">
        <v>509</v>
      </c>
      <c r="E126" s="144"/>
      <c r="F126" s="146"/>
      <c r="G126" s="379">
        <f>G127</f>
        <v>1420590</v>
      </c>
      <c r="H126" s="348">
        <f t="shared" ref="H126:I126" si="30">H127</f>
        <v>0</v>
      </c>
      <c r="I126" s="348">
        <f t="shared" si="30"/>
        <v>1420590</v>
      </c>
    </row>
    <row r="127" spans="1:9" s="141" customFormat="1" ht="63">
      <c r="A127" s="148" t="str">
        <f>IF(B127&gt;0,VLOOKUP(B127,КВСР!A50:B1215,2),IF(C127&gt;0,VLOOKUP(C127,КФСР!A50:B1562,2),IF(D127&gt;0,VLOOKUP(D127,Программа!A$1:B$5091,2),IF(F127&gt;0,VLOOKUP(F127,КВР!A$1:B$5001,2),IF(E127&gt;0,VLOOKUP(E127,Направление!A$1:B$4750,2))))))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127" s="149"/>
      <c r="C127" s="144"/>
      <c r="D127" s="145" t="s">
        <v>510</v>
      </c>
      <c r="E127" s="144"/>
      <c r="F127" s="146"/>
      <c r="G127" s="379">
        <f>G128+G135+G138</f>
        <v>1420590</v>
      </c>
      <c r="H127" s="150">
        <f>H128+H135+H138</f>
        <v>0</v>
      </c>
      <c r="I127" s="152">
        <f t="shared" si="21"/>
        <v>1420590</v>
      </c>
    </row>
    <row r="128" spans="1:9" s="141" customFormat="1" ht="78.75">
      <c r="A128" s="148" t="str">
        <f>IF(B128&gt;0,VLOOKUP(B128,КВСР!A50:B1215,2),IF(C128&gt;0,VLOOKUP(C128,КФСР!A50:B1562,2),IF(D128&gt;0,VLOOKUP(D128,Программа!A$1:B$5091,2),IF(F128&gt;0,VLOOKUP(F128,КВР!A$1:B$5001,2),IF(E128&gt;0,VLOOKUP(E128,Направление!A$1:B$4750,2))))))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8" s="149"/>
      <c r="C128" s="144"/>
      <c r="D128" s="145" t="s">
        <v>512</v>
      </c>
      <c r="E128" s="144"/>
      <c r="F128" s="146"/>
      <c r="G128" s="379">
        <f>G129+G131+G133</f>
        <v>1154590</v>
      </c>
      <c r="H128" s="348">
        <f t="shared" ref="H128:I128" si="31">H129+H131+H133</f>
        <v>0</v>
      </c>
      <c r="I128" s="348">
        <f t="shared" si="31"/>
        <v>1154590</v>
      </c>
    </row>
    <row r="129" spans="1:9" s="141" customFormat="1" ht="63">
      <c r="A129" s="148" t="str">
        <f>IF(B129&gt;0,VLOOKUP(B129,КВСР!A55:B1220,2),IF(C129&gt;0,VLOOKUP(C129,КФСР!A55:B1567,2),IF(D129&gt;0,VLOOKUP(D129,Программа!A$1:B$5091,2),IF(F129&gt;0,VLOOKUP(F129,КВР!A$1:B$5001,2),IF(E129&gt;0,VLOOKUP(E129,Направление!A$1:B$4750,2))))))</f>
        <v>Субсидия на возмещение части затрат сельхозтоваропроиизводителям на реализованное молоко</v>
      </c>
      <c r="B129" s="149"/>
      <c r="C129" s="144"/>
      <c r="D129" s="146"/>
      <c r="E129" s="144">
        <v>10701</v>
      </c>
      <c r="F129" s="146"/>
      <c r="G129" s="379">
        <f>G130</f>
        <v>1000000</v>
      </c>
      <c r="H129" s="347">
        <f t="shared" ref="H129:I129" si="32">H130</f>
        <v>0</v>
      </c>
      <c r="I129" s="347">
        <f t="shared" si="32"/>
        <v>1000000</v>
      </c>
    </row>
    <row r="130" spans="1:9" s="141" customFormat="1">
      <c r="A130" s="148" t="str">
        <f>IF(B130&gt;0,VLOOKUP(B130,КВСР!A56:B1221,2),IF(C130&gt;0,VLOOKUP(C130,КФСР!A56:B1568,2),IF(D130&gt;0,VLOOKUP(D130,Программа!A$1:B$5091,2),IF(F130&gt;0,VLOOKUP(F130,КВР!A$1:B$5001,2),IF(E130&gt;0,VLOOKUP(E130,Направление!A$1:B$4750,2))))))</f>
        <v>Иные бюджетные ассигнования</v>
      </c>
      <c r="B130" s="149"/>
      <c r="C130" s="144"/>
      <c r="D130" s="146"/>
      <c r="E130" s="144"/>
      <c r="F130" s="146">
        <v>800</v>
      </c>
      <c r="G130" s="379">
        <v>1000000</v>
      </c>
      <c r="H130" s="151"/>
      <c r="I130" s="152">
        <f>SUM(G130:H130)</f>
        <v>1000000</v>
      </c>
    </row>
    <row r="131" spans="1:9" s="141" customFormat="1" ht="78.75">
      <c r="A131" s="148" t="str">
        <f>IF(B131&gt;0,VLOOKUP(B131,КВСР!A57:B1222,2),IF(C131&gt;0,VLOOKUP(C131,КФСР!A57:B1569,2),IF(D131&gt;0,VLOOKUP(D131,Программа!A$1:B$5091,2),IF(F131&gt;0,VLOOKUP(F131,КВР!A$1:B$5001,2),IF(E131&gt;0,VLOOKUP(E131,Направление!A$1:B$4750,2))))))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1" s="149"/>
      <c r="C131" s="144"/>
      <c r="D131" s="146"/>
      <c r="E131" s="144">
        <v>10702</v>
      </c>
      <c r="F131" s="146"/>
      <c r="G131" s="379">
        <f>G132</f>
        <v>150000</v>
      </c>
      <c r="H131" s="347">
        <f t="shared" ref="H131:I131" si="33">H132</f>
        <v>0</v>
      </c>
      <c r="I131" s="347">
        <f t="shared" si="33"/>
        <v>150000</v>
      </c>
    </row>
    <row r="132" spans="1:9" s="141" customFormat="1">
      <c r="A132" s="148" t="str">
        <f>IF(B132&gt;0,VLOOKUP(B132,КВСР!A58:B1223,2),IF(C132&gt;0,VLOOKUP(C132,КФСР!A58:B1570,2),IF(D132&gt;0,VLOOKUP(D132,Программа!A$1:B$5091,2),IF(F132&gt;0,VLOOKUP(F132,КВР!A$1:B$5001,2),IF(E132&gt;0,VLOOKUP(E132,Направление!A$1:B$4750,2))))))</f>
        <v>Иные бюджетные ассигнования</v>
      </c>
      <c r="B132" s="149"/>
      <c r="C132" s="144"/>
      <c r="D132" s="146"/>
      <c r="E132" s="144"/>
      <c r="F132" s="146">
        <v>800</v>
      </c>
      <c r="G132" s="379">
        <v>150000</v>
      </c>
      <c r="H132" s="151"/>
      <c r="I132" s="152">
        <f>SUM(G132:H132)</f>
        <v>150000</v>
      </c>
    </row>
    <row r="133" spans="1:9" s="141" customFormat="1" ht="110.25">
      <c r="A133" s="148" t="str">
        <f>IF(B133&gt;0,VLOOKUP(B133,КВСР!A55:B1220,2),IF(C133&gt;0,VLOOKUP(C133,КФСР!A55:B1567,2),IF(D133&gt;0,VLOOKUP(D133,Программа!A$1:B$5091,2),IF(F133&gt;0,VLOOKUP(F133,КВР!A$1:B$5001,2),IF(E133&gt;0,VLOOKUP(E133,Направление!A$1:B$4750,2))))))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3" s="149"/>
      <c r="C133" s="144"/>
      <c r="D133" s="146"/>
      <c r="E133" s="144">
        <v>74450</v>
      </c>
      <c r="F133" s="146"/>
      <c r="G133" s="379">
        <f>G134</f>
        <v>4590</v>
      </c>
      <c r="H133" s="158">
        <f>H134</f>
        <v>0</v>
      </c>
      <c r="I133" s="152">
        <f t="shared" si="21"/>
        <v>4590</v>
      </c>
    </row>
    <row r="134" spans="1:9" s="141" customFormat="1" ht="63">
      <c r="A134" s="148" t="str">
        <f>IF(B134&gt;0,VLOOKUP(B134,КВСР!A56:B1221,2),IF(C134&gt;0,VLOOKUP(C134,КФСР!A56:B1568,2),IF(D134&gt;0,VLOOKUP(D134,Программа!A$1:B$5091,2),IF(F134&gt;0,VLOOKUP(F134,КВР!A$1:B$5001,2),IF(E134&gt;0,VLOOKUP(E134,Направление!A$1:B$4750,2))))))</f>
        <v xml:space="preserve">Закупка товаров, работ и услуг для обеспечения государственных (муниципальных) нужд
</v>
      </c>
      <c r="B134" s="149"/>
      <c r="C134" s="144"/>
      <c r="D134" s="146"/>
      <c r="E134" s="144"/>
      <c r="F134" s="146">
        <v>200</v>
      </c>
      <c r="G134" s="379">
        <v>4590</v>
      </c>
      <c r="H134" s="151"/>
      <c r="I134" s="152">
        <f t="shared" si="21"/>
        <v>4590</v>
      </c>
    </row>
    <row r="135" spans="1:9" s="141" customFormat="1" ht="31.5">
      <c r="A135" s="148" t="str">
        <f>IF(B135&gt;0,VLOOKUP(B135,КВСР!A57:B1222,2),IF(C135&gt;0,VLOOKUP(C135,КФСР!A57:B1569,2),IF(D135&gt;0,VLOOKUP(D135,Программа!A$1:B$5091,2),IF(F135&gt;0,VLOOKUP(F135,КВР!A$1:B$5001,2),IF(E135&gt;0,VLOOKUP(E135,Направление!A$1:B$4750,2))))))</f>
        <v xml:space="preserve">Кадровое обеспечение агропромышленного комплекса </v>
      </c>
      <c r="B135" s="149"/>
      <c r="C135" s="144"/>
      <c r="D135" s="145" t="s">
        <v>514</v>
      </c>
      <c r="E135" s="144"/>
      <c r="F135" s="146"/>
      <c r="G135" s="379">
        <f>G136</f>
        <v>36000</v>
      </c>
      <c r="H135" s="158">
        <f>H136</f>
        <v>0</v>
      </c>
      <c r="I135" s="152">
        <f t="shared" si="21"/>
        <v>36000</v>
      </c>
    </row>
    <row r="136" spans="1:9" s="141" customFormat="1" ht="47.25">
      <c r="A136" s="148" t="str">
        <f>IF(B136&gt;0,VLOOKUP(B136,КВСР!A58:B1223,2),IF(C136&gt;0,VLOOKUP(C136,КФСР!A58:B1570,2),IF(D136&gt;0,VLOOKUP(D136,Программа!A$1:B$5091,2),IF(F136&gt;0,VLOOKUP(F136,КВР!A$1:B$5001,2),IF(E136&gt;0,VLOOKUP(E136,Направление!A$1:B$4750,2))))))</f>
        <v>Мероприятия  направленные на развитие агропромышленного комплекса</v>
      </c>
      <c r="B136" s="149"/>
      <c r="C136" s="144"/>
      <c r="D136" s="145"/>
      <c r="E136" s="144">
        <v>10700</v>
      </c>
      <c r="F136" s="146"/>
      <c r="G136" s="379">
        <f>G137</f>
        <v>36000</v>
      </c>
      <c r="H136" s="158">
        <f>H137</f>
        <v>0</v>
      </c>
      <c r="I136" s="152">
        <f t="shared" si="21"/>
        <v>36000</v>
      </c>
    </row>
    <row r="137" spans="1:9" s="141" customFormat="1" ht="31.5">
      <c r="A137" s="148" t="str">
        <f>IF(B137&gt;0,VLOOKUP(B137,КВСР!A59:B1224,2),IF(C137&gt;0,VLOOKUP(C137,КФСР!A59:B1571,2),IF(D137&gt;0,VLOOKUP(D137,Программа!A$1:B$5091,2),IF(F137&gt;0,VLOOKUP(F137,КВР!A$1:B$5001,2),IF(E137&gt;0,VLOOKUP(E137,Направление!A$1:B$4750,2))))))</f>
        <v>Социальное обеспечение и иные выплаты населению</v>
      </c>
      <c r="B137" s="149"/>
      <c r="C137" s="144"/>
      <c r="D137" s="145"/>
      <c r="E137" s="144"/>
      <c r="F137" s="146">
        <v>300</v>
      </c>
      <c r="G137" s="379">
        <v>36000</v>
      </c>
      <c r="H137" s="151"/>
      <c r="I137" s="152">
        <f t="shared" si="21"/>
        <v>36000</v>
      </c>
    </row>
    <row r="138" spans="1:9" s="141" customFormat="1" ht="110.25">
      <c r="A138" s="148" t="str">
        <f>IF(B138&gt;0,VLOOKUP(B138,КВСР!A60:B1225,2),IF(C138&gt;0,VLOOKUP(C138,КФСР!A60:B1572,2),IF(D138&gt;0,VLOOKUP(D138,Программа!A$1:B$5091,2),IF(F138&gt;0,VLOOKUP(F138,КВР!A$1:B$5001,2),IF(E138&gt;0,VLOOKUP(E138,Направление!A$1:B$4750,2))))))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8" s="149"/>
      <c r="C138" s="144"/>
      <c r="D138" s="145" t="s">
        <v>517</v>
      </c>
      <c r="E138" s="144"/>
      <c r="F138" s="146"/>
      <c r="G138" s="379">
        <f>G139+G141</f>
        <v>230000</v>
      </c>
      <c r="H138" s="158">
        <f>H139</f>
        <v>0</v>
      </c>
      <c r="I138" s="152">
        <f t="shared" si="21"/>
        <v>230000</v>
      </c>
    </row>
    <row r="139" spans="1:9" s="141" customFormat="1" ht="47.25">
      <c r="A139" s="148" t="str">
        <f>IF(B139&gt;0,VLOOKUP(B139,КВСР!A61:B1226,2),IF(C139&gt;0,VLOOKUP(C139,КФСР!A61:B1573,2),IF(D139&gt;0,VLOOKUP(D139,Программа!A$1:B$5091,2),IF(F139&gt;0,VLOOKUP(F139,КВР!A$1:B$5001,2),IF(E139&gt;0,VLOOKUP(E139,Направление!A$1:B$4750,2))))))</f>
        <v>Мероприятия  направленные на развитие агропромышленного комплекса</v>
      </c>
      <c r="B139" s="149"/>
      <c r="C139" s="144"/>
      <c r="D139" s="145"/>
      <c r="E139" s="144">
        <v>10700</v>
      </c>
      <c r="F139" s="146"/>
      <c r="G139" s="379">
        <f>G140</f>
        <v>50000</v>
      </c>
      <c r="H139" s="158">
        <f t="shared" ref="H139:I139" si="34">H140</f>
        <v>0</v>
      </c>
      <c r="I139" s="158">
        <f t="shared" si="34"/>
        <v>50000</v>
      </c>
    </row>
    <row r="140" spans="1:9" s="141" customFormat="1" ht="63">
      <c r="A140" s="148" t="str">
        <f>IF(B140&gt;0,VLOOKUP(B140,КВСР!A62:B1227,2),IF(C140&gt;0,VLOOKUP(C140,КФСР!A62:B1574,2),IF(D140&gt;0,VLOOKUP(D140,Программа!A$1:B$5091,2),IF(F140&gt;0,VLOOKUP(F140,КВР!A$1:B$5001,2),IF(E140&gt;0,VLOOKUP(E140,Направление!A$1:B$4750,2))))))</f>
        <v xml:space="preserve">Закупка товаров, работ и услуг для обеспечения государственных (муниципальных) нужд
</v>
      </c>
      <c r="B140" s="149"/>
      <c r="C140" s="144"/>
      <c r="D140" s="145"/>
      <c r="E140" s="144"/>
      <c r="F140" s="146">
        <v>200</v>
      </c>
      <c r="G140" s="379">
        <v>50000</v>
      </c>
      <c r="H140" s="151"/>
      <c r="I140" s="152">
        <f t="shared" si="21"/>
        <v>50000</v>
      </c>
    </row>
    <row r="141" spans="1:9" s="141" customFormat="1" ht="63">
      <c r="A141" s="148" t="str">
        <f>IF(B141&gt;0,VLOOKUP(B141,КВСР!A64:B1229,2),IF(C141&gt;0,VLOOKUP(C141,КФСР!A64:B1576,2),IF(D141&gt;0,VLOOKUP(D141,Программа!A$1:B$5091,2),IF(F141&gt;0,VLOOKUP(F141,КВР!A$1:B$5001,2),IF(E141&gt;0,VLOOKUP(E141,Направление!A$1:B$4750,2))))))</f>
        <v>Гранты, в форме субсидий, на выплату  вознаграждения сельхозтоваропроизхводителям - победителям конкурса</v>
      </c>
      <c r="B141" s="149"/>
      <c r="C141" s="144"/>
      <c r="D141" s="145"/>
      <c r="E141" s="469">
        <v>10703</v>
      </c>
      <c r="F141" s="470"/>
      <c r="G141" s="556">
        <f>G142</f>
        <v>180000</v>
      </c>
      <c r="H141" s="446">
        <f t="shared" ref="H141:I141" si="35">H142</f>
        <v>0</v>
      </c>
      <c r="I141" s="446">
        <f t="shared" si="35"/>
        <v>180000</v>
      </c>
    </row>
    <row r="142" spans="1:9" s="141" customFormat="1">
      <c r="A142" s="148" t="str">
        <f>IF(B142&gt;0,VLOOKUP(B142,КВСР!A65:B1230,2),IF(C142&gt;0,VLOOKUP(C142,КФСР!A65:B1577,2),IF(D142&gt;0,VLOOKUP(D142,Программа!A$1:B$5091,2),IF(F142&gt;0,VLOOKUP(F142,КВР!A$1:B$5001,2),IF(E142&gt;0,VLOOKUP(E142,Направление!A$1:B$4750,2))))))</f>
        <v>Иные бюджетные ассигнования</v>
      </c>
      <c r="B142" s="149"/>
      <c r="C142" s="144"/>
      <c r="D142" s="145"/>
      <c r="E142" s="144"/>
      <c r="F142" s="146">
        <v>800</v>
      </c>
      <c r="G142" s="379">
        <v>180000</v>
      </c>
      <c r="H142" s="151"/>
      <c r="I142" s="152">
        <f>SUM(G142:H142)</f>
        <v>180000</v>
      </c>
    </row>
    <row r="143" spans="1:9" s="141" customFormat="1">
      <c r="A143" s="148" t="str">
        <f>IF(B143&gt;0,VLOOKUP(B143,КВСР!A66:B1231,2),IF(C143&gt;0,VLOOKUP(C143,КФСР!A66:B1578,2),IF(D143&gt;0,VLOOKUP(D143,Программа!A$1:B$5091,2),IF(F143&gt;0,VLOOKUP(F143,КВР!A$1:B$5001,2),IF(E143&gt;0,VLOOKUP(E143,Направление!A$1:B$4750,2))))))</f>
        <v>Непрограммные расходы бюджета</v>
      </c>
      <c r="B143" s="149"/>
      <c r="C143" s="144"/>
      <c r="D143" s="145" t="s">
        <v>480</v>
      </c>
      <c r="E143" s="144"/>
      <c r="F143" s="146"/>
      <c r="G143" s="379">
        <f>G144</f>
        <v>495630</v>
      </c>
      <c r="H143" s="347">
        <f t="shared" ref="H143:I144" si="36">H144</f>
        <v>0</v>
      </c>
      <c r="I143" s="347">
        <f t="shared" si="36"/>
        <v>495630</v>
      </c>
    </row>
    <row r="144" spans="1:9" s="141" customFormat="1" ht="31.5">
      <c r="A144" s="148" t="str">
        <f>IF(B144&gt;0,VLOOKUP(B144,КВСР!A67:B1232,2),IF(C144&gt;0,VLOOKUP(C144,КФСР!A67:B1579,2),IF(D144&gt;0,VLOOKUP(D144,Программа!A$1:B$5091,2),IF(F144&gt;0,VLOOKUP(F144,КВР!A$1:B$5001,2),IF(E144&gt;0,VLOOKUP(E144,Направление!A$1:B$4750,2))))))</f>
        <v>Субвенция на отлов и содержание безнадзорных животных</v>
      </c>
      <c r="B144" s="149"/>
      <c r="C144" s="144"/>
      <c r="D144" s="145"/>
      <c r="E144" s="144">
        <v>74420</v>
      </c>
      <c r="F144" s="146"/>
      <c r="G144" s="379">
        <f>G145</f>
        <v>495630</v>
      </c>
      <c r="H144" s="347">
        <f t="shared" si="36"/>
        <v>0</v>
      </c>
      <c r="I144" s="347">
        <f t="shared" si="36"/>
        <v>495630</v>
      </c>
    </row>
    <row r="145" spans="1:9" s="141" customFormat="1" ht="63">
      <c r="A145" s="148" t="str">
        <f>IF(B145&gt;0,VLOOKUP(B145,КВСР!A68:B1233,2),IF(C145&gt;0,VLOOKUP(C145,КФСР!A68:B1580,2),IF(D145&gt;0,VLOOKUP(D145,Программа!A$1:B$5091,2),IF(F145&gt;0,VLOOKUP(F145,КВР!A$1:B$5001,2),IF(E145&gt;0,VLOOKUP(E145,Направление!A$1:B$4750,2))))))</f>
        <v>Предоставление субсидий бюджетным, автономным учреждениям и иным некоммерческим организациям</v>
      </c>
      <c r="B145" s="149"/>
      <c r="C145" s="144"/>
      <c r="D145" s="145"/>
      <c r="E145" s="144"/>
      <c r="F145" s="146">
        <v>600</v>
      </c>
      <c r="G145" s="379">
        <v>495630</v>
      </c>
      <c r="H145" s="151"/>
      <c r="I145" s="152">
        <f t="shared" ref="I145" si="37">SUM(G145:H145)</f>
        <v>495630</v>
      </c>
    </row>
    <row r="146" spans="1:9" s="141" customFormat="1">
      <c r="A146" s="148" t="str">
        <f>IF(B146&gt;0,VLOOKUP(B146,КВСР!A66:B1231,2),IF(C146&gt;0,VLOOKUP(C146,КФСР!A66:B1578,2),IF(D146&gt;0,VLOOKUP(D146,Программа!A$1:B$5091,2),IF(F146&gt;0,VLOOKUP(F146,КВР!A$1:B$5001,2),IF(E146&gt;0,VLOOKUP(E146,Направление!A$1:B$4750,2))))))</f>
        <v>Транспорт</v>
      </c>
      <c r="B146" s="149"/>
      <c r="C146" s="144">
        <v>408</v>
      </c>
      <c r="D146" s="145"/>
      <c r="E146" s="144"/>
      <c r="F146" s="146"/>
      <c r="G146" s="347">
        <f t="shared" ref="G146:H146" si="38">G147</f>
        <v>27100000</v>
      </c>
      <c r="H146" s="347">
        <f t="shared" si="38"/>
        <v>565200</v>
      </c>
      <c r="I146" s="347">
        <f>SUM(G146:H146)</f>
        <v>27665200</v>
      </c>
    </row>
    <row r="147" spans="1:9" s="141" customFormat="1" ht="78.75">
      <c r="A147" s="148" t="str">
        <f>IF(B147&gt;0,VLOOKUP(B147,КВСР!A67:B1232,2),IF(C147&gt;0,VLOOKUP(C147,КФСР!A67:B1579,2),IF(D147&gt;0,VLOOKUP(D147,Программа!A$1:B$5091,2),IF(F147&gt;0,VLOOKUP(F147,КВР!A$1:B$5001,2),IF(E147&gt;0,VLOOKUP(E147,Направление!A$1:B$4750,2))))))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7" s="149"/>
      <c r="C147" s="144"/>
      <c r="D147" s="145" t="s">
        <v>713</v>
      </c>
      <c r="E147" s="144"/>
      <c r="F147" s="146"/>
      <c r="G147" s="347">
        <f>G148+G154</f>
        <v>27100000</v>
      </c>
      <c r="H147" s="347">
        <f>H148+H154</f>
        <v>565200</v>
      </c>
      <c r="I147" s="347">
        <f t="shared" ref="I147:I269" si="39">SUM(G147:H147)</f>
        <v>27665200</v>
      </c>
    </row>
    <row r="148" spans="1:9" s="141" customFormat="1" ht="78.75">
      <c r="A148" s="148" t="str">
        <f>IF(B148&gt;0,VLOOKUP(B148,КВСР!A68:B1233,2),IF(C148&gt;0,VLOOKUP(C148,КФСР!A68:B1580,2),IF(D148&gt;0,VLOOKUP(D148,Программа!A$1:B$5091,2),IF(F148&gt;0,VLOOKUP(F148,КВР!A$1:B$5001,2),IF(E148&gt;0,VLOOKUP(E148,Направление!A$1:B$4750,2))))))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8" s="149"/>
      <c r="C148" s="144"/>
      <c r="D148" s="145" t="s">
        <v>719</v>
      </c>
      <c r="E148" s="144"/>
      <c r="F148" s="146"/>
      <c r="G148" s="347">
        <f>G149+G152</f>
        <v>21600000</v>
      </c>
      <c r="H148" s="347">
        <f>H149+H152</f>
        <v>0</v>
      </c>
      <c r="I148" s="347">
        <f t="shared" si="39"/>
        <v>21600000</v>
      </c>
    </row>
    <row r="149" spans="1:9" s="141" customFormat="1" ht="63">
      <c r="A149" s="148" t="str">
        <f>IF(B149&gt;0,VLOOKUP(B149,КВСР!A69:B1234,2),IF(C149&gt;0,VLOOKUP(C149,КФСР!A69:B1581,2),IF(D149&gt;0,VLOOKUP(D149,Программа!A$1:B$5091,2),IF(F149&gt;0,VLOOKUP(F149,КВР!A$1:B$5001,2),IF(E149&gt;0,VLOOKUP(E149,Направление!A$1:B$4750,2))))))</f>
        <v>Субсидия на возмещение затрат по пассажирским перевозкам внутримуниципальным транспортом общего пользования</v>
      </c>
      <c r="B149" s="149"/>
      <c r="C149" s="144"/>
      <c r="D149" s="145"/>
      <c r="E149" s="144">
        <v>10100</v>
      </c>
      <c r="F149" s="146"/>
      <c r="G149" s="379">
        <f>G150+G151</f>
        <v>21100000</v>
      </c>
      <c r="H149" s="379">
        <f>H150+H151</f>
        <v>0</v>
      </c>
      <c r="I149" s="347">
        <f t="shared" si="39"/>
        <v>21100000</v>
      </c>
    </row>
    <row r="150" spans="1:9" s="141" customFormat="1" ht="63">
      <c r="A150" s="148" t="str">
        <f>IF(B150&gt;0,VLOOKUP(B150,КВСР!A70:B1235,2),IF(C150&gt;0,VLOOKUP(C150,КФСР!A70:B1582,2),IF(D150&gt;0,VLOOKUP(D150,Программа!A$1:B$5091,2),IF(F150&gt;0,VLOOKUP(F150,КВР!A$1:B$5001,2),IF(E150&gt;0,VLOOKUP(E150,Направление!A$1:B$4750,2))))))</f>
        <v>Предоставление субсидий бюджетным, автономным учреждениям и иным некоммерческим организациям</v>
      </c>
      <c r="B150" s="149"/>
      <c r="C150" s="144"/>
      <c r="D150" s="145"/>
      <c r="E150" s="144"/>
      <c r="F150" s="146">
        <v>600</v>
      </c>
      <c r="G150" s="379">
        <v>12415000</v>
      </c>
      <c r="H150" s="151"/>
      <c r="I150" s="347">
        <f t="shared" si="39"/>
        <v>12415000</v>
      </c>
    </row>
    <row r="151" spans="1:9" s="141" customFormat="1">
      <c r="A151" s="148" t="str">
        <f>IF(B151&gt;0,VLOOKUP(B151,КВСР!A71:B1236,2),IF(C151&gt;0,VLOOKUP(C151,КФСР!A71:B1583,2),IF(D151&gt;0,VLOOKUP(D151,Программа!A$1:B$5091,2),IF(F151&gt;0,VLOOKUP(F151,КВР!A$1:B$5001,2),IF(E151&gt;0,VLOOKUP(E151,Направление!A$1:B$4750,2))))))</f>
        <v>Иные бюджетные ассигнования</v>
      </c>
      <c r="B151" s="149"/>
      <c r="C151" s="144"/>
      <c r="D151" s="145"/>
      <c r="E151" s="144"/>
      <c r="F151" s="146">
        <v>800</v>
      </c>
      <c r="G151" s="379">
        <v>8685000</v>
      </c>
      <c r="H151" s="151"/>
      <c r="I151" s="347">
        <f t="shared" si="39"/>
        <v>8685000</v>
      </c>
    </row>
    <row r="152" spans="1:9" s="141" customFormat="1" ht="63">
      <c r="A152" s="148" t="str">
        <f>IF(B152&gt;0,VLOOKUP(B152,КВСР!A72:B1237,2),IF(C152&gt;0,VLOOKUP(C152,КФСР!A72:B1584,2),IF(D152&gt;0,VLOOKUP(D152,Программа!A$1:B$5091,2),IF(F152&gt;0,VLOOKUP(F152,КВР!A$1:B$5001,2),IF(E152&gt;0,VLOOKUP(E152,Направление!A$1:B$4750,2))))))</f>
        <v>Обеспечение мероприятий по осуществлению межсезонных пассажирских  перевозок на автомобильном  транспорте</v>
      </c>
      <c r="B152" s="149"/>
      <c r="C152" s="144"/>
      <c r="D152" s="145"/>
      <c r="E152" s="144">
        <v>29176</v>
      </c>
      <c r="F152" s="146"/>
      <c r="G152" s="347">
        <f>G153</f>
        <v>500000</v>
      </c>
      <c r="H152" s="347">
        <f>H153</f>
        <v>0</v>
      </c>
      <c r="I152" s="347">
        <f t="shared" si="39"/>
        <v>500000</v>
      </c>
    </row>
    <row r="153" spans="1:9" s="141" customFormat="1" ht="63">
      <c r="A153" s="148" t="str">
        <f>IF(B153&gt;0,VLOOKUP(B153,КВСР!A73:B1238,2),IF(C153&gt;0,VLOOKUP(C153,КФСР!A73:B1585,2),IF(D153&gt;0,VLOOKUP(D153,Программа!A$1:B$5091,2),IF(F153&gt;0,VLOOKUP(F153,КВР!A$1:B$5001,2),IF(E153&gt;0,VLOOKUP(E153,Направление!A$1:B$4750,2))))))</f>
        <v>Предоставление субсидий бюджетным, автономным учреждениям и иным некоммерческим организациям</v>
      </c>
      <c r="B153" s="149"/>
      <c r="C153" s="144"/>
      <c r="D153" s="145"/>
      <c r="E153" s="144"/>
      <c r="F153" s="146">
        <v>600</v>
      </c>
      <c r="G153" s="379">
        <v>500000</v>
      </c>
      <c r="H153" s="151"/>
      <c r="I153" s="347">
        <f t="shared" si="39"/>
        <v>500000</v>
      </c>
    </row>
    <row r="154" spans="1:9" s="141" customFormat="1" ht="47.25">
      <c r="A154" s="148" t="str">
        <f>IF(B154&gt;0,VLOOKUP(B154,КВСР!A74:B1239,2),IF(C154&gt;0,VLOOKUP(C154,КФСР!A74:B1586,2),IF(D154&gt;0,VLOOKUP(D154,Программа!A$1:B$5091,2),IF(F154&gt;0,VLOOKUP(F154,КВР!A$1:B$5001,2),IF(E154&gt;0,VLOOKUP(E154,Направление!A$1:B$4750,2))))))</f>
        <v>Организация предоставления транспортных услуг по перевозке пассажиров речным транспортом</v>
      </c>
      <c r="B154" s="149"/>
      <c r="C154" s="144"/>
      <c r="D154" s="145" t="s">
        <v>1619</v>
      </c>
      <c r="E154" s="144"/>
      <c r="F154" s="146"/>
      <c r="G154" s="347">
        <f>G155</f>
        <v>5500000</v>
      </c>
      <c r="H154" s="347">
        <f>H155</f>
        <v>565200</v>
      </c>
      <c r="I154" s="347">
        <f t="shared" si="39"/>
        <v>6065200</v>
      </c>
    </row>
    <row r="155" spans="1:9" s="141" customFormat="1" ht="47.25">
      <c r="A155" s="148" t="str">
        <f>IF(B155&gt;0,VLOOKUP(B155,КВСР!A75:B1240,2),IF(C155&gt;0,VLOOKUP(C155,КФСР!A75:B1587,2),IF(D155&gt;0,VLOOKUP(D155,Программа!A$1:B$5091,2),IF(F155&gt;0,VLOOKUP(F155,КВР!A$1:B$5001,2),IF(E155&gt;0,VLOOKUP(E155,Направление!A$1:B$4750,2))))))</f>
        <v>Обеспечение мероприятий по осуществлению грузопассажирских  перевозок на речном транспорте</v>
      </c>
      <c r="B155" s="149"/>
      <c r="C155" s="144"/>
      <c r="D155" s="145"/>
      <c r="E155" s="144">
        <v>29166</v>
      </c>
      <c r="F155" s="146"/>
      <c r="G155" s="347">
        <f>G156+G157</f>
        <v>5500000</v>
      </c>
      <c r="H155" s="347">
        <f>H156+H157</f>
        <v>565200</v>
      </c>
      <c r="I155" s="347">
        <f t="shared" si="39"/>
        <v>6065200</v>
      </c>
    </row>
    <row r="156" spans="1:9" s="141" customFormat="1" ht="63">
      <c r="A156" s="148" t="str">
        <f>IF(B156&gt;0,VLOOKUP(B156,КВСР!A76:B1241,2),IF(C156&gt;0,VLOOKUP(C156,КФСР!A76:B1588,2),IF(D156&gt;0,VLOOKUP(D156,Программа!A$1:B$5091,2),IF(F156&gt;0,VLOOKUP(F156,КВР!A$1:B$5001,2),IF(E156&gt;0,VLOOKUP(E156,Направление!A$1:B$4750,2))))))</f>
        <v>Предоставление субсидий бюджетным, автономным учреждениям и иным некоммерческим организациям</v>
      </c>
      <c r="B156" s="149"/>
      <c r="C156" s="144"/>
      <c r="D156" s="145"/>
      <c r="E156" s="144"/>
      <c r="F156" s="146">
        <v>600</v>
      </c>
      <c r="G156" s="151">
        <f>5500000-565200</f>
        <v>4934800</v>
      </c>
      <c r="H156" s="151">
        <v>565200</v>
      </c>
      <c r="I156" s="347">
        <f t="shared" si="39"/>
        <v>5500000</v>
      </c>
    </row>
    <row r="157" spans="1:9" s="141" customFormat="1" ht="22.5" customHeight="1">
      <c r="A157" s="148" t="str">
        <f>IF(B157&gt;0,VLOOKUP(B157,КВСР!A77:B1242,2),IF(C157&gt;0,VLOOKUP(C157,КФСР!A77:B1589,2),IF(D157&gt;0,VLOOKUP(D157,Программа!A$1:B$5091,2),IF(F157&gt;0,VLOOKUP(F157,КВР!A$1:B$5001,2),IF(E157&gt;0,VLOOKUP(E157,Направление!A$1:B$4750,2))))))</f>
        <v>Иные бюджетные ассигнования</v>
      </c>
      <c r="B157" s="149"/>
      <c r="C157" s="144"/>
      <c r="D157" s="145"/>
      <c r="E157" s="144"/>
      <c r="F157" s="146">
        <v>800</v>
      </c>
      <c r="G157" s="151">
        <v>565200</v>
      </c>
      <c r="H157" s="151"/>
      <c r="I157" s="347">
        <f t="shared" si="39"/>
        <v>565200</v>
      </c>
    </row>
    <row r="158" spans="1:9" s="141" customFormat="1">
      <c r="A158" s="148" t="str">
        <f>IF(B158&gt;0,VLOOKUP(B158,КВСР!A64:B1229,2),IF(C158&gt;0,VLOOKUP(C158,КФСР!A64:B1576,2),IF(D158&gt;0,VLOOKUP(D158,Программа!A$1:B$5091,2),IF(F158&gt;0,VLOOKUP(F158,КВР!A$1:B$5001,2),IF(E158&gt;0,VLOOKUP(E158,Направление!A$1:B$4750,2))))))</f>
        <v>Дорожное хозяйство</v>
      </c>
      <c r="B158" s="149"/>
      <c r="C158" s="144">
        <v>409</v>
      </c>
      <c r="D158" s="145"/>
      <c r="E158" s="144"/>
      <c r="F158" s="146"/>
      <c r="G158" s="347">
        <f>G159+G200+G194</f>
        <v>131531153</v>
      </c>
      <c r="H158" s="347">
        <f>H159+H200+H194</f>
        <v>7096271</v>
      </c>
      <c r="I158" s="347">
        <f>SUM(G158:H158)</f>
        <v>138627424</v>
      </c>
    </row>
    <row r="159" spans="1:9" s="141" customFormat="1" ht="63">
      <c r="A159" s="175" t="str">
        <f>IF(B159&gt;0,VLOOKUP(B159,КВСР!#REF!,2),IF(C159&gt;0,VLOOKUP(C159,КФСР!#REF!,2),IF(D159&gt;0,VLOOKUP(D159,Программа!A$1:B$5091,2),IF(F159&gt;0,VLOOKUP(F159,КВР!A$1:B$5001,2),IF(E159&gt;0,VLOOKUP(E159,Направление!A$1:B$4750,2))))))</f>
        <v>Муниципальная программа "Развитие дорожного хозяйства и транспорта в Тутаевском муниципальном районе"</v>
      </c>
      <c r="B159" s="143"/>
      <c r="C159" s="144"/>
      <c r="D159" s="145" t="s">
        <v>720</v>
      </c>
      <c r="E159" s="144"/>
      <c r="F159" s="146"/>
      <c r="G159" s="150">
        <f>G160+G166</f>
        <v>116595560</v>
      </c>
      <c r="H159" s="150">
        <f>H160+H166</f>
        <v>6802364</v>
      </c>
      <c r="I159" s="347">
        <f t="shared" ref="I159:I202" si="40">SUM(G159:H159)</f>
        <v>123397924</v>
      </c>
    </row>
    <row r="160" spans="1:9" s="141" customFormat="1" ht="65.25" customHeight="1">
      <c r="A160" s="148" t="str">
        <f>IF(B160&gt;0,VLOOKUP(B160,КВСР!#REF!,2),IF(C160&gt;0,VLOOKUP(C160,КФСР!#REF!,2),IF(D160&gt;0,VLOOKUP(D160,Программа!A$1:B$5091,2),IF(F160&gt;0,VLOOKUP(F160,КВР!A$1:B$5001,2),IF(E160&gt;0,VLOOKUP(E160,Направление!A$1:B$4750,2))))))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60" s="143"/>
      <c r="C160" s="144"/>
      <c r="D160" s="145" t="s">
        <v>722</v>
      </c>
      <c r="E160" s="144"/>
      <c r="F160" s="146"/>
      <c r="G160" s="563">
        <f>G161</f>
        <v>3465000</v>
      </c>
      <c r="H160" s="563">
        <f>H161</f>
        <v>313000</v>
      </c>
      <c r="I160" s="347">
        <f t="shared" si="40"/>
        <v>3778000</v>
      </c>
    </row>
    <row r="161" spans="1:11" s="141" customFormat="1" ht="31.5">
      <c r="A161" s="148" t="str">
        <f>IF(B161&gt;0,VLOOKUP(B161,КВСР!#REF!,2),IF(C161&gt;0,VLOOKUP(C161,КФСР!#REF!,2),IF(D161&gt;0,VLOOKUP(D161,Программа!A$1:B$5091,2),IF(F161&gt;0,VLOOKUP(F161,КВР!A$1:B$5001,2),IF(E161&gt;0,VLOOKUP(E161,Направление!A$1:B$4750,2))))))</f>
        <v>Повышение безопасности дорожного движения на автомобильных дорогах</v>
      </c>
      <c r="B161" s="143"/>
      <c r="C161" s="144"/>
      <c r="D161" s="145" t="s">
        <v>724</v>
      </c>
      <c r="E161" s="144"/>
      <c r="F161" s="146"/>
      <c r="G161" s="563">
        <f>G162+G164</f>
        <v>3465000</v>
      </c>
      <c r="H161" s="563">
        <f>H162+H164</f>
        <v>313000</v>
      </c>
      <c r="I161" s="347">
        <f t="shared" si="40"/>
        <v>3778000</v>
      </c>
    </row>
    <row r="162" spans="1:11" s="141" customFormat="1" ht="36" customHeight="1">
      <c r="A162" s="148" t="str">
        <f>IF(B162&gt;0,VLOOKUP(B162,КВСР!#REF!,2),IF(C162&gt;0,VLOOKUP(C162,КФСР!#REF!,2),IF(D162&gt;0,VLOOKUP(D162,Программа!A$1:B$5091,2),IF(F162&gt;0,VLOOKUP(F162,КВР!A$1:B$5001,2),IF(E162&gt;0,VLOOKUP(E162,Направление!A$1:B$4750,2))))))</f>
        <v>Содержание и ремонт  автомобильных дорог общего пользования</v>
      </c>
      <c r="B162" s="143"/>
      <c r="C162" s="144"/>
      <c r="D162" s="145"/>
      <c r="E162" s="144">
        <v>10200</v>
      </c>
      <c r="F162" s="146"/>
      <c r="G162" s="379">
        <f t="shared" ref="G162:H162" si="41">G163</f>
        <v>0</v>
      </c>
      <c r="H162" s="563">
        <f t="shared" si="41"/>
        <v>313000</v>
      </c>
      <c r="I162" s="347">
        <f t="shared" si="40"/>
        <v>313000</v>
      </c>
    </row>
    <row r="163" spans="1:11" s="141" customFormat="1" ht="63">
      <c r="A163" s="175" t="str">
        <f>IF(B163&gt;0,VLOOKUP(B163,КВСР!#REF!,2),IF(C163&gt;0,VLOOKUP(C163,КФСР!#REF!,2),IF(D163&gt;0,VLOOKUP(D163,Программа!A$1:B$5091,2),IF(F163&gt;0,VLOOKUP(F163,КВР!A$1:B$5001,2),IF(E163&gt;0,VLOOKUP(E163,Направление!A$1:B$4750,2))))))</f>
        <v>Предоставление субсидий бюджетным, автономным учреждениям и иным некоммерческим организациям</v>
      </c>
      <c r="B163" s="143"/>
      <c r="C163" s="144"/>
      <c r="D163" s="146"/>
      <c r="E163" s="144"/>
      <c r="F163" s="146">
        <v>600</v>
      </c>
      <c r="G163" s="379">
        <v>0</v>
      </c>
      <c r="H163" s="596">
        <v>313000</v>
      </c>
      <c r="I163" s="347">
        <f t="shared" si="40"/>
        <v>313000</v>
      </c>
    </row>
    <row r="164" spans="1:11" s="141" customFormat="1" ht="63">
      <c r="A164" s="175" t="str">
        <f>IF(B164&gt;0,VLOOKUP(B164,КВСР!#REF!,2),IF(C164&gt;0,VLOOKUP(C164,КФСР!#REF!,2),IF(D164&gt;0,VLOOKUP(D164,Программа!A$1:B$5091,2),IF(F164&gt;0,VLOOKUP(F164,КВР!A$1:B$5001,2),IF(E164&gt;0,VLOOKUP(E164,Направление!A$1:B$4750,2))))))</f>
        <v>Обеспечение   мероприятий в области  дорожного хозяйства  по повышению безопасности дорожного движения</v>
      </c>
      <c r="B164" s="143"/>
      <c r="C164" s="144"/>
      <c r="D164" s="146"/>
      <c r="E164" s="144">
        <v>29096</v>
      </c>
      <c r="F164" s="146"/>
      <c r="G164" s="446">
        <f>G165</f>
        <v>3465000</v>
      </c>
      <c r="H164" s="446">
        <f>H165</f>
        <v>0</v>
      </c>
      <c r="I164" s="347">
        <f t="shared" si="40"/>
        <v>3465000</v>
      </c>
    </row>
    <row r="165" spans="1:11" s="141" customFormat="1" ht="63">
      <c r="A165" s="175" t="str">
        <f>IF(B165&gt;0,VLOOKUP(B165,КВСР!#REF!,2),IF(C165&gt;0,VLOOKUP(C165,КФСР!#REF!,2),IF(D165&gt;0,VLOOKUP(D165,Программа!A$1:B$5091,2),IF(F165&gt;0,VLOOKUP(F165,КВР!A$1:B$5001,2),IF(E165&gt;0,VLOOKUP(E165,Направление!A$1:B$4750,2))))))</f>
        <v>Предоставление субсидий бюджетным, автономным учреждениям и иным некоммерческим организациям</v>
      </c>
      <c r="B165" s="143"/>
      <c r="C165" s="144"/>
      <c r="D165" s="146"/>
      <c r="E165" s="144"/>
      <c r="F165" s="146">
        <v>600</v>
      </c>
      <c r="G165" s="379">
        <v>3465000</v>
      </c>
      <c r="H165" s="596"/>
      <c r="I165" s="347">
        <f t="shared" si="40"/>
        <v>3465000</v>
      </c>
    </row>
    <row r="166" spans="1:11" s="141" customFormat="1" ht="63">
      <c r="A166" s="175" t="str">
        <f>IF(B166&gt;0,VLOOKUP(B166,КВСР!#REF!,2),IF(C166&gt;0,VLOOKUP(C166,КФСР!#REF!,2),IF(D166&gt;0,VLOOKUP(D166,Программа!A$1:B$5091,2),IF(F166&gt;0,VLOOKUP(F166,КВР!A$1:B$5001,2),IF(E166&gt;0,VLOOKUP(E166,Направление!A$1:B$4750,2))))))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66" s="143"/>
      <c r="C166" s="144"/>
      <c r="D166" s="145" t="s">
        <v>727</v>
      </c>
      <c r="E166" s="144"/>
      <c r="F166" s="146"/>
      <c r="G166" s="563">
        <f>G167</f>
        <v>113130560</v>
      </c>
      <c r="H166" s="563">
        <f>H167</f>
        <v>6489364</v>
      </c>
      <c r="I166" s="347">
        <f t="shared" si="40"/>
        <v>119619924</v>
      </c>
    </row>
    <row r="167" spans="1:11" s="141" customFormat="1" ht="47.25">
      <c r="A167" s="175" t="str">
        <f>IF(B167&gt;0,VLOOKUP(B167,КВСР!#REF!,2),IF(C167&gt;0,VLOOKUP(C167,КФСР!#REF!,2),IF(D167&gt;0,VLOOKUP(D167,Программа!A$1:B$5091,2),IF(F167&gt;0,VLOOKUP(F167,КВР!A$1:B$5001,2),IF(E167&gt;0,VLOOKUP(E167,Направление!A$1:B$4750,2))))))</f>
        <v>Приведение  в нормативное состояние автомобильных дорог общего пользования</v>
      </c>
      <c r="B167" s="143"/>
      <c r="C167" s="144"/>
      <c r="D167" s="145" t="s">
        <v>729</v>
      </c>
      <c r="E167" s="144"/>
      <c r="F167" s="146"/>
      <c r="G167" s="563">
        <f>G168+G172+G176+G178+G180+G182+G184+G186+G188+G190+G192+G170+G174</f>
        <v>113130560</v>
      </c>
      <c r="H167" s="563">
        <f>H168+H172+H176+H178+H180+H182+H184+H186+H188+H190+H192+H170+H174</f>
        <v>6489364</v>
      </c>
      <c r="I167" s="347">
        <f t="shared" si="40"/>
        <v>119619924</v>
      </c>
    </row>
    <row r="168" spans="1:11" s="141" customFormat="1" ht="35.25" customHeight="1">
      <c r="A168" s="175" t="str">
        <f>IF(B168&gt;0,VLOOKUP(B168,КВСР!#REF!,2),IF(C168&gt;0,VLOOKUP(C168,КФСР!#REF!,2),IF(D168&gt;0,VLOOKUP(D168,Программа!A$1:B$5091,2),IF(F168&gt;0,VLOOKUP(F168,КВР!A$1:B$5001,2),IF(E168&gt;0,VLOOKUP(E168,Направление!A$1:B$4750,2))))))</f>
        <v>Содержание и ремонт  автомобильных дорог общего пользования</v>
      </c>
      <c r="B168" s="143"/>
      <c r="C168" s="144"/>
      <c r="D168" s="145"/>
      <c r="E168" s="144">
        <v>10200</v>
      </c>
      <c r="F168" s="146"/>
      <c r="G168" s="379">
        <f>G169</f>
        <v>15836233</v>
      </c>
      <c r="H168" s="568">
        <f>H169</f>
        <v>300000</v>
      </c>
      <c r="I168" s="347">
        <f>SUM(G168:H168)</f>
        <v>16136233</v>
      </c>
    </row>
    <row r="169" spans="1:11" s="141" customFormat="1" ht="63">
      <c r="A169" s="175" t="str">
        <f>IF(B169&gt;0,VLOOKUP(B169,КВСР!#REF!,2),IF(C169&gt;0,VLOOKUP(C169,КФСР!#REF!,2),IF(D169&gt;0,VLOOKUP(D169,Программа!A$1:B$5091,2),IF(F169&gt;0,VLOOKUP(F169,КВР!A$1:B$5001,2),IF(E169&gt;0,VLOOKUP(E169,Направление!A$1:B$4750,2))))))</f>
        <v>Предоставление субсидий бюджетным, автономным учреждениям и иным некоммерческим организациям</v>
      </c>
      <c r="B169" s="143"/>
      <c r="C169" s="144"/>
      <c r="D169" s="146"/>
      <c r="E169" s="144"/>
      <c r="F169" s="146">
        <v>600</v>
      </c>
      <c r="G169" s="379">
        <v>15836233</v>
      </c>
      <c r="H169" s="596">
        <v>300000</v>
      </c>
      <c r="I169" s="347">
        <f t="shared" si="40"/>
        <v>16136233</v>
      </c>
      <c r="K169" s="595"/>
    </row>
    <row r="170" spans="1:11" s="141" customFormat="1" ht="63" hidden="1">
      <c r="A170" s="175" t="str">
        <f>IF(B170&gt;0,VLOOKUP(B170,КВСР!#REF!,2),IF(C170&gt;0,VLOOKUP(C170,КФСР!#REF!,2),IF(D170&gt;0,VLOOKUP(D170,Программа!A$1:B$5091,2),IF(F170&gt;0,VLOOKUP(F170,КВР!A$1:B$5001,2),IF(E170&gt;0,VLOOKUP(E170,Направление!A$1:B$4750,2))))))</f>
        <v>Бюджетные инвестиции в объекты капитального строительства и реконструкцию дорожного хозяйства муниципальной собственности</v>
      </c>
      <c r="B170" s="143"/>
      <c r="C170" s="144"/>
      <c r="D170" s="146"/>
      <c r="E170" s="144">
        <v>10210</v>
      </c>
      <c r="F170" s="146"/>
      <c r="G170" s="446">
        <f>G171</f>
        <v>300000</v>
      </c>
      <c r="H170" s="446">
        <f>H171</f>
        <v>-300000</v>
      </c>
      <c r="I170" s="347">
        <f t="shared" si="40"/>
        <v>0</v>
      </c>
      <c r="K170" s="595"/>
    </row>
    <row r="171" spans="1:11" s="141" customFormat="1" ht="48.75" hidden="1" customHeight="1">
      <c r="A171" s="175" t="str">
        <f>IF(B171&gt;0,VLOOKUP(B171,КВСР!#REF!,2),IF(C171&gt;0,VLOOKUP(C171,КФСР!#REF!,2),IF(D171&gt;0,VLOOKUP(D171,Программа!A$1:B$5091,2),IF(F171&gt;0,VLOOKUP(F171,КВР!A$1:B$5001,2),IF(E171&gt;0,VLOOKUP(E171,Направление!A$1:B$4750,2))))))</f>
        <v>Капитальные вложения в объекты государственной (муниципальной) собственности</v>
      </c>
      <c r="B171" s="143"/>
      <c r="C171" s="144"/>
      <c r="D171" s="146"/>
      <c r="E171" s="144"/>
      <c r="F171" s="146">
        <v>400</v>
      </c>
      <c r="G171" s="379">
        <v>300000</v>
      </c>
      <c r="H171" s="596">
        <v>-300000</v>
      </c>
      <c r="I171" s="347">
        <f t="shared" si="40"/>
        <v>0</v>
      </c>
      <c r="K171" s="595"/>
    </row>
    <row r="172" spans="1:11" s="141" customFormat="1" ht="63">
      <c r="A172" s="175" t="str">
        <f>IF(B172&gt;0,VLOOKUP(B172,КВСР!#REF!,2),IF(C172&gt;0,VLOOKUP(C172,КФСР!#REF!,2),IF(D172&gt;0,VLOOKUP(D172,Программа!A$1:B$5091,2),IF(F172&gt;0,VLOOKUP(F172,КВР!A$1:B$5001,2),IF(E172&gt;0,VLOOKUP(E172,Направление!A$1:B$4750,2))))))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2" s="143"/>
      <c r="C172" s="144"/>
      <c r="D172" s="146"/>
      <c r="E172" s="144">
        <v>12440</v>
      </c>
      <c r="F172" s="146"/>
      <c r="G172" s="446">
        <f>G173</f>
        <v>616000</v>
      </c>
      <c r="H172" s="446">
        <f>H173</f>
        <v>-313000</v>
      </c>
      <c r="I172" s="347">
        <f t="shared" si="40"/>
        <v>303000</v>
      </c>
      <c r="K172" s="595"/>
    </row>
    <row r="173" spans="1:11" s="141" customFormat="1" ht="63">
      <c r="A173" s="175" t="str">
        <f>IF(B173&gt;0,VLOOKUP(B173,КВСР!#REF!,2),IF(C173&gt;0,VLOOKUP(C173,КФСР!#REF!,2),IF(D173&gt;0,VLOOKUP(D173,Программа!A$1:B$5091,2),IF(F173&gt;0,VLOOKUP(F173,КВР!A$1:B$5001,2),IF(E173&gt;0,VLOOKUP(E173,Направление!A$1:B$4750,2))))))</f>
        <v>Предоставление субсидий бюджетным, автономным учреждениям и иным некоммерческим организациям</v>
      </c>
      <c r="B173" s="143"/>
      <c r="C173" s="144"/>
      <c r="D173" s="146"/>
      <c r="E173" s="144"/>
      <c r="F173" s="146">
        <v>600</v>
      </c>
      <c r="G173" s="379">
        <v>616000</v>
      </c>
      <c r="H173" s="596">
        <v>-313000</v>
      </c>
      <c r="I173" s="347">
        <f t="shared" si="40"/>
        <v>303000</v>
      </c>
      <c r="K173" s="595"/>
    </row>
    <row r="174" spans="1:11" s="141" customFormat="1" ht="78.75">
      <c r="A174" s="175" t="str">
        <f>IF(B174&gt;0,VLOOKUP(B174,КВСР!#REF!,2),IF(C174&gt;0,VLOOKUP(C174,КФСР!#REF!,2),IF(D174&gt;0,VLOOKUP(D174,Программа!A$1:B$5091,2),IF(F174&gt;0,VLOOKUP(F174,КВР!A$1:B$5001,2),IF(E174&gt;0,VLOOKUP(E174,Направление!A$1:B$4750,2))))))</f>
        <v>Обеспечение софинансирования мероприятий по развитию транспортной инфраструктуры городской  агломерации "Ярославская" (район)</v>
      </c>
      <c r="B174" s="143"/>
      <c r="C174" s="144"/>
      <c r="D174" s="146"/>
      <c r="E174" s="144">
        <v>13900</v>
      </c>
      <c r="F174" s="146"/>
      <c r="G174" s="446">
        <f>G175</f>
        <v>1223000</v>
      </c>
      <c r="H174" s="446">
        <f>H175</f>
        <v>0</v>
      </c>
      <c r="I174" s="347">
        <f t="shared" ref="I174:I175" si="42">SUM(G174:H174)</f>
        <v>1223000</v>
      </c>
      <c r="K174" s="595"/>
    </row>
    <row r="175" spans="1:11" s="141" customFormat="1" ht="63">
      <c r="A175" s="175" t="str">
        <f>IF(B175&gt;0,VLOOKUP(B175,КВСР!#REF!,2),IF(C175&gt;0,VLOOKUP(C175,КФСР!#REF!,2),IF(D175&gt;0,VLOOKUP(D175,Программа!A$1:B$5091,2),IF(F175&gt;0,VLOOKUP(F175,КВР!A$1:B$5001,2),IF(E175&gt;0,VLOOKUP(E175,Направление!A$1:B$4750,2))))))</f>
        <v>Предоставление субсидий бюджетным, автономным учреждениям и иным некоммерческим организациям</v>
      </c>
      <c r="B175" s="143"/>
      <c r="C175" s="144"/>
      <c r="D175" s="146"/>
      <c r="E175" s="144"/>
      <c r="F175" s="146">
        <v>600</v>
      </c>
      <c r="G175" s="379">
        <v>1223000</v>
      </c>
      <c r="H175" s="596"/>
      <c r="I175" s="347">
        <f t="shared" si="42"/>
        <v>1223000</v>
      </c>
      <c r="K175" s="595"/>
    </row>
    <row r="176" spans="1:11" s="141" customFormat="1" ht="63">
      <c r="A176" s="175" t="str">
        <f>IF(B176&gt;0,VLOOKUP(B176,КВСР!#REF!,2),IF(C176&gt;0,VLOOKUP(C176,КФСР!#REF!,2),IF(D176&gt;0,VLOOKUP(D176,Программа!A$1:B$5091,2),IF(F176&gt;0,VLOOKUP(F176,КВР!A$1:B$5001,2),IF(E176&gt;0,VLOOKUP(E176,Направление!A$1:B$4750,2))))))</f>
        <v>Обеспечение   софинансирования мероприятий в области  дорожного хозяйства  на  ремонт и содержание автомобильных дорог (гп Тутаев)</v>
      </c>
      <c r="B176" s="143"/>
      <c r="C176" s="144"/>
      <c r="D176" s="146"/>
      <c r="E176" s="144">
        <v>22446</v>
      </c>
      <c r="F176" s="146"/>
      <c r="G176" s="446">
        <f>G177</f>
        <v>173860</v>
      </c>
      <c r="H176" s="446">
        <f>H177</f>
        <v>250000</v>
      </c>
      <c r="I176" s="347">
        <f t="shared" si="40"/>
        <v>423860</v>
      </c>
    </row>
    <row r="177" spans="1:9" s="141" customFormat="1" ht="63">
      <c r="A177" s="175" t="str">
        <f>IF(B177&gt;0,VLOOKUP(B177,КВСР!#REF!,2),IF(C177&gt;0,VLOOKUP(C177,КФСР!#REF!,2),IF(D177&gt;0,VLOOKUP(D177,Программа!A$1:B$5091,2),IF(F177&gt;0,VLOOKUP(F177,КВР!A$1:B$5001,2),IF(E177&gt;0,VLOOKUP(E177,Направление!A$1:B$4750,2))))))</f>
        <v>Предоставление субсидий бюджетным, автономным учреждениям и иным некоммерческим организациям</v>
      </c>
      <c r="B177" s="143"/>
      <c r="C177" s="144"/>
      <c r="D177" s="146"/>
      <c r="E177" s="144"/>
      <c r="F177" s="146">
        <v>600</v>
      </c>
      <c r="G177" s="379">
        <v>173860</v>
      </c>
      <c r="H177" s="596">
        <v>250000</v>
      </c>
      <c r="I177" s="347">
        <f t="shared" si="40"/>
        <v>423860</v>
      </c>
    </row>
    <row r="178" spans="1:9" s="141" customFormat="1" ht="78.75">
      <c r="A178" s="175" t="str">
        <f>IF(B178&gt;0,VLOOKUP(B178,КВСР!#REF!,2),IF(C178&gt;0,VLOOKUP(C178,КФСР!#REF!,2),IF(D178&gt;0,VLOOKUP(D178,Программа!A$1:B$5091,2),IF(F178&gt;0,VLOOKUP(F178,КВР!A$1:B$5001,2),IF(E178&gt;0,VLOOKUP(E178,Направление!A$1:B$4750,2))))))</f>
        <v>Обеспечение софинансирования мероприятий по развитию транспортной инфраструктуры городской  агломерации "Ярославская" (гп Тутаев)</v>
      </c>
      <c r="B178" s="143"/>
      <c r="C178" s="144"/>
      <c r="D178" s="146"/>
      <c r="E178" s="144">
        <v>23906</v>
      </c>
      <c r="F178" s="146"/>
      <c r="G178" s="446">
        <f>G179</f>
        <v>4112000</v>
      </c>
      <c r="H178" s="446">
        <f>H179</f>
        <v>0</v>
      </c>
      <c r="I178" s="347">
        <f t="shared" si="40"/>
        <v>4112000</v>
      </c>
    </row>
    <row r="179" spans="1:9" s="141" customFormat="1" ht="63">
      <c r="A179" s="175" t="str">
        <f>IF(B179&gt;0,VLOOKUP(B179,КВСР!#REF!,2),IF(C179&gt;0,VLOOKUP(C179,КФСР!#REF!,2),IF(D179&gt;0,VLOOKUP(D179,Программа!A$1:B$5091,2),IF(F179&gt;0,VLOOKUP(F179,КВР!A$1:B$5001,2),IF(E179&gt;0,VLOOKUP(E179,Направление!A$1:B$4750,2))))))</f>
        <v>Предоставление субсидий бюджетным, автономным учреждениям и иным некоммерческим организациям</v>
      </c>
      <c r="B179" s="143"/>
      <c r="C179" s="144"/>
      <c r="D179" s="146"/>
      <c r="E179" s="144"/>
      <c r="F179" s="146">
        <v>600</v>
      </c>
      <c r="G179" s="379">
        <v>4112000</v>
      </c>
      <c r="H179" s="596"/>
      <c r="I179" s="347">
        <f t="shared" si="40"/>
        <v>4112000</v>
      </c>
    </row>
    <row r="180" spans="1:9" s="141" customFormat="1" ht="63" hidden="1">
      <c r="A180" s="175" t="str">
        <f>IF(B180&gt;0,VLOOKUP(B180,КВСР!#REF!,2),IF(C180&gt;0,VLOOKUP(C180,КФСР!#REF!,2),IF(D180&gt;0,VLOOKUP(D180,Программа!A$1:B$5091,2),IF(F180&gt;0,VLOOKUP(F180,КВР!A$1:B$5001,2),IF(E180&gt;0,VLOOKUP(E180,Направление!A$1:B$4750,2))))))</f>
        <v>Обеспечение   мероприятий в области  дорожного хозяйства  на строительство и  модернизацию автомобильных дорог</v>
      </c>
      <c r="B180" s="143"/>
      <c r="C180" s="144"/>
      <c r="D180" s="146"/>
      <c r="E180" s="144">
        <v>29076</v>
      </c>
      <c r="F180" s="146"/>
      <c r="G180" s="446">
        <f>G181</f>
        <v>2850000</v>
      </c>
      <c r="H180" s="446">
        <f>H181</f>
        <v>-2850000</v>
      </c>
      <c r="I180" s="347">
        <f t="shared" si="40"/>
        <v>0</v>
      </c>
    </row>
    <row r="181" spans="1:9" s="141" customFormat="1" ht="54" hidden="1" customHeight="1">
      <c r="A181" s="175" t="str">
        <f>IF(B181&gt;0,VLOOKUP(B181,КВСР!#REF!,2),IF(C181&gt;0,VLOOKUP(C181,КФСР!#REF!,2),IF(D181&gt;0,VLOOKUP(D181,Программа!A$1:B$5091,2),IF(F181&gt;0,VLOOKUP(F181,КВР!A$1:B$5001,2),IF(E181&gt;0,VLOOKUP(E181,Направление!A$1:B$4750,2))))))</f>
        <v>Капитальные вложения в объекты государственной (муниципальной) собственности</v>
      </c>
      <c r="B181" s="143"/>
      <c r="C181" s="144"/>
      <c r="D181" s="146"/>
      <c r="E181" s="144"/>
      <c r="F181" s="146">
        <v>400</v>
      </c>
      <c r="G181" s="379">
        <v>2850000</v>
      </c>
      <c r="H181" s="596">
        <v>-2850000</v>
      </c>
      <c r="I181" s="347">
        <f t="shared" si="40"/>
        <v>0</v>
      </c>
    </row>
    <row r="182" spans="1:9" s="141" customFormat="1" ht="51" customHeight="1">
      <c r="A182" s="175" t="str">
        <f>IF(B182&gt;0,VLOOKUP(B182,КВСР!#REF!,2),IF(C182&gt;0,VLOOKUP(C182,КФСР!#REF!,2),IF(D182&gt;0,VLOOKUP(D182,Программа!A$1:B$5091,2),IF(F182&gt;0,VLOOKUP(F182,КВР!A$1:B$5001,2),IF(E182&gt;0,VLOOKUP(E182,Направление!A$1:B$4750,2))))))</f>
        <v>Обеспечение   мероприятий в области  дорожного хозяйства  на  ремонт и содержание автомобильных дорог</v>
      </c>
      <c r="B182" s="143"/>
      <c r="C182" s="144"/>
      <c r="D182" s="146"/>
      <c r="E182" s="144">
        <v>29086</v>
      </c>
      <c r="F182" s="146"/>
      <c r="G182" s="446">
        <f>G183</f>
        <v>13950571</v>
      </c>
      <c r="H182" s="446">
        <f>H183</f>
        <v>2850000</v>
      </c>
      <c r="I182" s="347">
        <f t="shared" si="40"/>
        <v>16800571</v>
      </c>
    </row>
    <row r="183" spans="1:9" s="141" customFormat="1" ht="63">
      <c r="A183" s="175" t="str">
        <f>IF(B183&gt;0,VLOOKUP(B183,КВСР!#REF!,2),IF(C183&gt;0,VLOOKUP(C183,КФСР!#REF!,2),IF(D183&gt;0,VLOOKUP(D183,Программа!A$1:B$5091,2),IF(F183&gt;0,VLOOKUP(F183,КВР!A$1:B$5001,2),IF(E183&gt;0,VLOOKUP(E183,Направление!A$1:B$4750,2))))))</f>
        <v>Предоставление субсидий бюджетным, автономным учреждениям и иным некоммерческим организациям</v>
      </c>
      <c r="B183" s="143"/>
      <c r="C183" s="144"/>
      <c r="D183" s="146"/>
      <c r="E183" s="144"/>
      <c r="F183" s="146">
        <v>600</v>
      </c>
      <c r="G183" s="379">
        <v>13950571</v>
      </c>
      <c r="H183" s="596">
        <v>2850000</v>
      </c>
      <c r="I183" s="347">
        <f t="shared" si="40"/>
        <v>16800571</v>
      </c>
    </row>
    <row r="184" spans="1:9" s="141" customFormat="1" ht="31.5">
      <c r="A184" s="175" t="str">
        <f>IF(B184&gt;0,VLOOKUP(B184,КВСР!#REF!,2),IF(C184&gt;0,VLOOKUP(C184,КФСР!#REF!,2),IF(D184&gt;0,VLOOKUP(D184,Программа!A$1:B$5091,2),IF(F184&gt;0,VLOOKUP(F184,КВР!A$1:B$5001,2),IF(E184&gt;0,VLOOKUP(E184,Направление!A$1:B$4750,2))))))</f>
        <v>Содержание и организация деятельности дорожного хозяйства</v>
      </c>
      <c r="B184" s="143"/>
      <c r="C184" s="144"/>
      <c r="D184" s="146"/>
      <c r="E184" s="144">
        <v>29696</v>
      </c>
      <c r="F184" s="146"/>
      <c r="G184" s="446">
        <f>G185</f>
        <v>11065666</v>
      </c>
      <c r="H184" s="446">
        <f>H185</f>
        <v>7750000</v>
      </c>
      <c r="I184" s="347">
        <f t="shared" si="40"/>
        <v>18815666</v>
      </c>
    </row>
    <row r="185" spans="1:9" s="141" customFormat="1" ht="63">
      <c r="A185" s="175" t="str">
        <f>IF(B185&gt;0,VLOOKUP(B185,КВСР!#REF!,2),IF(C185&gt;0,VLOOKUP(C185,КФСР!#REF!,2),IF(D185&gt;0,VLOOKUP(D185,Программа!A$1:B$5091,2),IF(F185&gt;0,VLOOKUP(F185,КВР!A$1:B$5001,2),IF(E185&gt;0,VLOOKUP(E185,Направление!A$1:B$4750,2))))))</f>
        <v>Предоставление субсидий бюджетным, автономным учреждениям и иным некоммерческим организациям</v>
      </c>
      <c r="B185" s="143"/>
      <c r="C185" s="144"/>
      <c r="D185" s="146"/>
      <c r="E185" s="144"/>
      <c r="F185" s="146">
        <v>600</v>
      </c>
      <c r="G185" s="379">
        <v>11065666</v>
      </c>
      <c r="H185" s="596">
        <v>7750000</v>
      </c>
      <c r="I185" s="347">
        <f t="shared" si="40"/>
        <v>18815666</v>
      </c>
    </row>
    <row r="186" spans="1:9" s="141" customFormat="1" ht="47.25">
      <c r="A186" s="148" t="str">
        <f>IF(B186&gt;0,VLOOKUP(B186,КВСР!#REF!,2),IF(C186&gt;0,VLOOKUP(C186,КФСР!#REF!,2),IF(D186&gt;0,VLOOKUP(D186,Программа!A$1:B$5091,2),IF(F186&gt;0,VLOOKUP(F186,КВР!A$1:B$5001,2),IF(E186&gt;0,VLOOKUP(E186,Направление!A$1:B$4750,2))))))</f>
        <v>Расходы на финансирование дорожного хозяйства за счет средств областного бюджета</v>
      </c>
      <c r="B186" s="143"/>
      <c r="C186" s="144"/>
      <c r="D186" s="145"/>
      <c r="E186" s="144">
        <v>72440</v>
      </c>
      <c r="F186" s="146"/>
      <c r="G186" s="379">
        <f>G187</f>
        <v>11699949</v>
      </c>
      <c r="H186" s="563">
        <f>H187</f>
        <v>-5947618</v>
      </c>
      <c r="I186" s="347">
        <f t="shared" si="40"/>
        <v>5752331</v>
      </c>
    </row>
    <row r="187" spans="1:9" s="141" customFormat="1" ht="54" customHeight="1">
      <c r="A187" s="148" t="str">
        <f>IF(B187&gt;0,VLOOKUP(B187,КВСР!#REF!,2),IF(C187&gt;0,VLOOKUP(C187,КФСР!#REF!,2),IF(D187&gt;0,VLOOKUP(D187,Программа!A$1:B$5091,2),IF(F187&gt;0,VLOOKUP(F187,КВР!A$1:B$5001,2),IF(E187&gt;0,VLOOKUP(E187,Направление!A$1:B$4750,2))))))</f>
        <v>Предоставление субсидий бюджетным, автономным учреждениям и иным некоммерческим организациям</v>
      </c>
      <c r="B187" s="143"/>
      <c r="C187" s="144"/>
      <c r="D187" s="146"/>
      <c r="E187" s="144"/>
      <c r="F187" s="146">
        <v>600</v>
      </c>
      <c r="G187" s="379">
        <v>11699949</v>
      </c>
      <c r="H187" s="596">
        <v>-5947618</v>
      </c>
      <c r="I187" s="347">
        <f t="shared" si="40"/>
        <v>5752331</v>
      </c>
    </row>
    <row r="188" spans="1:9" s="141" customFormat="1" ht="54" customHeight="1">
      <c r="A188" s="148" t="str">
        <f>IF(B188&gt;0,VLOOKUP(B188,КВСР!#REF!,2),IF(C188&gt;0,VLOOKUP(C188,КФСР!#REF!,2),IF(D188&gt;0,VLOOKUP(D188,Программа!A$1:B$5091,2),IF(F188&gt;0,VLOOKUP(F188,КВР!A$1:B$5001,2),IF(E188&gt;0,VLOOKUP(E188,Направление!A$1:B$4750,2))))))</f>
        <v>Расходы на финансирование дорожного хозяйства за счет средств областного бюджета</v>
      </c>
      <c r="B188" s="143"/>
      <c r="C188" s="144"/>
      <c r="D188" s="146"/>
      <c r="E188" s="144">
        <v>72446</v>
      </c>
      <c r="F188" s="146"/>
      <c r="G188" s="446">
        <f>G189</f>
        <v>3303281</v>
      </c>
      <c r="H188" s="446">
        <f>H189</f>
        <v>4749982</v>
      </c>
      <c r="I188" s="347">
        <f t="shared" si="40"/>
        <v>8053263</v>
      </c>
    </row>
    <row r="189" spans="1:9" s="141" customFormat="1" ht="54" customHeight="1">
      <c r="A189" s="148" t="str">
        <f>IF(B189&gt;0,VLOOKUP(B189,КВСР!#REF!,2),IF(C189&gt;0,VLOOKUP(C189,КФСР!#REF!,2),IF(D189&gt;0,VLOOKUP(D189,Программа!A$1:B$5091,2),IF(F189&gt;0,VLOOKUP(F189,КВР!A$1:B$5001,2),IF(E189&gt;0,VLOOKUP(E189,Направление!A$1:B$4750,2))))))</f>
        <v>Предоставление субсидий бюджетным, автономным учреждениям и иным некоммерческим организациям</v>
      </c>
      <c r="B189" s="143"/>
      <c r="C189" s="144"/>
      <c r="D189" s="146"/>
      <c r="E189" s="144"/>
      <c r="F189" s="146">
        <v>600</v>
      </c>
      <c r="G189" s="379">
        <v>3303281</v>
      </c>
      <c r="H189" s="596">
        <v>4749982</v>
      </c>
      <c r="I189" s="347">
        <f t="shared" si="40"/>
        <v>8053263</v>
      </c>
    </row>
    <row r="190" spans="1:9" s="141" customFormat="1" ht="78.75">
      <c r="A190" s="148" t="str">
        <f>IF(B190&gt;0,VLOOKUP(B190,КВСР!#REF!,2),IF(C190&gt;0,VLOOKUP(C190,КФСР!#REF!,2),IF(D190&gt;0,VLOOKUP(D190,Программа!A$1:B$5091,2),IF(F190&gt;0,VLOOKUP(F190,КВР!A$1:B$5001,2),IF(E190&gt;0,VLOOKUP(E190,Направление!A$1:B$4750,2))))))</f>
        <v>Субсидия на комплексное развитие транспортной инфраструктуры городской агломерации "Ярославская" за счет средств областного бюджета</v>
      </c>
      <c r="B190" s="143"/>
      <c r="C190" s="144"/>
      <c r="D190" s="146"/>
      <c r="E190" s="144">
        <v>73900</v>
      </c>
      <c r="F190" s="146"/>
      <c r="G190" s="446">
        <f>G191</f>
        <v>11000000</v>
      </c>
      <c r="H190" s="446">
        <f>H191</f>
        <v>0</v>
      </c>
      <c r="I190" s="347">
        <f t="shared" si="40"/>
        <v>11000000</v>
      </c>
    </row>
    <row r="191" spans="1:9" s="141" customFormat="1" ht="63">
      <c r="A191" s="148" t="str">
        <f>IF(B191&gt;0,VLOOKUP(B191,КВСР!#REF!,2),IF(C191&gt;0,VLOOKUP(C191,КФСР!#REF!,2),IF(D191&gt;0,VLOOKUP(D191,Программа!A$1:B$5091,2),IF(F191&gt;0,VLOOKUP(F191,КВР!A$1:B$5001,2),IF(E191&gt;0,VLOOKUP(E191,Направление!A$1:B$4750,2))))))</f>
        <v>Предоставление субсидий бюджетным, автономным учреждениям и иным некоммерческим организациям</v>
      </c>
      <c r="B191" s="143"/>
      <c r="C191" s="144"/>
      <c r="D191" s="146"/>
      <c r="E191" s="144"/>
      <c r="F191" s="146">
        <v>600</v>
      </c>
      <c r="G191" s="379">
        <v>11000000</v>
      </c>
      <c r="H191" s="596"/>
      <c r="I191" s="347">
        <f t="shared" si="40"/>
        <v>11000000</v>
      </c>
    </row>
    <row r="192" spans="1:9" s="141" customFormat="1" ht="63">
      <c r="A192" s="148" t="str">
        <f>IF(B192&gt;0,VLOOKUP(B192,КВСР!#REF!,2),IF(C192&gt;0,VLOOKUP(C192,КФСР!#REF!,2),IF(D192&gt;0,VLOOKUP(D192,Программа!A$1:B$5091,2),IF(F192&gt;0,VLOOKUP(F192,КВР!A$1:B$5001,2),IF(E192&gt;0,VLOOKUP(E192,Направление!A$1:B$4750,2))))))</f>
        <v>Расходы на комплексное развитие транспортной инфраструктуры городской агломерации "Ярославская"</v>
      </c>
      <c r="B192" s="143"/>
      <c r="C192" s="144"/>
      <c r="D192" s="146"/>
      <c r="E192" s="144">
        <v>73906</v>
      </c>
      <c r="F192" s="146"/>
      <c r="G192" s="446">
        <f>G193</f>
        <v>37000000</v>
      </c>
      <c r="H192" s="446">
        <f>H193</f>
        <v>0</v>
      </c>
      <c r="I192" s="347">
        <f t="shared" si="40"/>
        <v>37000000</v>
      </c>
    </row>
    <row r="193" spans="1:9" s="141" customFormat="1" ht="63">
      <c r="A193" s="148" t="str">
        <f>IF(B193&gt;0,VLOOKUP(B193,КВСР!#REF!,2),IF(C193&gt;0,VLOOKUP(C193,КФСР!#REF!,2),IF(D193&gt;0,VLOOKUP(D193,Программа!A$1:B$5091,2),IF(F193&gt;0,VLOOKUP(F193,КВР!A$1:B$5001,2),IF(E193&gt;0,VLOOKUP(E193,Направление!A$1:B$4750,2))))))</f>
        <v>Предоставление субсидий бюджетным, автономным учреждениям и иным некоммерческим организациям</v>
      </c>
      <c r="B193" s="143"/>
      <c r="C193" s="144"/>
      <c r="D193" s="146"/>
      <c r="E193" s="144"/>
      <c r="F193" s="146">
        <v>600</v>
      </c>
      <c r="G193" s="379">
        <v>37000000</v>
      </c>
      <c r="H193" s="596"/>
      <c r="I193" s="347">
        <f t="shared" si="40"/>
        <v>37000000</v>
      </c>
    </row>
    <row r="194" spans="1:9" s="141" customFormat="1" ht="63">
      <c r="A194" s="148" t="str">
        <f>IF(B194&gt;0,VLOOKUP(B194,КВСР!#REF!,2),IF(C194&gt;0,VLOOKUP(C194,КФСР!#REF!,2),IF(D194&gt;0,VLOOKUP(D194,Программа!A$1:B$5091,2),IF(F194&gt;0,VLOOKUP(F194,КВР!A$1:B$5001,2),IF(E194&gt;0,VLOOKUP(E194,Направление!A$1:B$4750,2))))))</f>
        <v>Муниципальная программа "Формирование  современной городской среды"  Тутаевского муниципального района</v>
      </c>
      <c r="B194" s="143"/>
      <c r="C194" s="144"/>
      <c r="D194" s="146" t="s">
        <v>1369</v>
      </c>
      <c r="E194" s="144"/>
      <c r="F194" s="146"/>
      <c r="G194" s="446">
        <f t="shared" ref="G194:H196" si="43">G195</f>
        <v>9935593</v>
      </c>
      <c r="H194" s="446">
        <f t="shared" si="43"/>
        <v>293907</v>
      </c>
      <c r="I194" s="347">
        <f t="shared" si="40"/>
        <v>10229500</v>
      </c>
    </row>
    <row r="195" spans="1:9" s="141" customFormat="1" ht="36" customHeight="1">
      <c r="A195" s="148" t="str">
        <f>IF(B195&gt;0,VLOOKUP(B195,КВСР!#REF!,2),IF(C195&gt;0,VLOOKUP(C195,КФСР!#REF!,2),IF(D195&gt;0,VLOOKUP(D195,Программа!A$1:B$5091,2),IF(F195&gt;0,VLOOKUP(F195,КВР!A$1:B$5001,2),IF(E195&gt;0,VLOOKUP(E195,Направление!A$1:B$4750,2))))))</f>
        <v>Повышение уровня благоустройства дворовых территорий</v>
      </c>
      <c r="B195" s="143"/>
      <c r="C195" s="144"/>
      <c r="D195" s="146" t="s">
        <v>1391</v>
      </c>
      <c r="E195" s="144"/>
      <c r="F195" s="146"/>
      <c r="G195" s="347">
        <f>G196+G198</f>
        <v>9935593</v>
      </c>
      <c r="H195" s="347">
        <f>H196+H198</f>
        <v>293907</v>
      </c>
      <c r="I195" s="347">
        <f t="shared" si="40"/>
        <v>10229500</v>
      </c>
    </row>
    <row r="196" spans="1:9" s="141" customFormat="1" ht="50.25" customHeight="1">
      <c r="A196" s="148" t="str">
        <f>IF(B196&gt;0,VLOOKUP(B196,КВСР!#REF!,2),IF(C196&gt;0,VLOOKUP(C196,КФСР!#REF!,2),IF(D196&gt;0,VLOOKUP(D196,Программа!A$1:B$5091,2),IF(F196&gt;0,VLOOKUP(F196,КВР!A$1:B$5001,2),IF(E196&gt;0,VLOOKUP(E196,Направление!A$1:B$4750,2))))))</f>
        <v>Обеспечение мероприятий по формированию современной городской среды</v>
      </c>
      <c r="B196" s="143"/>
      <c r="C196" s="144"/>
      <c r="D196" s="146"/>
      <c r="E196" s="144">
        <v>29456</v>
      </c>
      <c r="F196" s="146"/>
      <c r="G196" s="347">
        <f t="shared" si="43"/>
        <v>9935593</v>
      </c>
      <c r="H196" s="347">
        <f t="shared" si="43"/>
        <v>-9261965</v>
      </c>
      <c r="I196" s="347">
        <f t="shared" si="40"/>
        <v>673628</v>
      </c>
    </row>
    <row r="197" spans="1:9" s="141" customFormat="1" ht="63">
      <c r="A197" s="148" t="str">
        <f>IF(B197&gt;0,VLOOKUP(B197,КВСР!#REF!,2),IF(C197&gt;0,VLOOKUP(C197,КФСР!#REF!,2),IF(D197&gt;0,VLOOKUP(D197,Программа!A$1:B$5091,2),IF(F197&gt;0,VLOOKUP(F197,КВР!A$1:B$5001,2),IF(E197&gt;0,VLOOKUP(E197,Направление!A$1:B$4750,2))))))</f>
        <v>Предоставление субсидий бюджетным, автономным учреждениям и иным некоммерческим организациям</v>
      </c>
      <c r="B197" s="143"/>
      <c r="C197" s="144"/>
      <c r="D197" s="146"/>
      <c r="E197" s="144"/>
      <c r="F197" s="146">
        <v>600</v>
      </c>
      <c r="G197" s="379">
        <v>9935593</v>
      </c>
      <c r="H197" s="151">
        <v>-9261965</v>
      </c>
      <c r="I197" s="347">
        <f t="shared" si="40"/>
        <v>673628</v>
      </c>
    </row>
    <row r="198" spans="1:9" s="141" customFormat="1" ht="51.75" customHeight="1">
      <c r="A198" s="148" t="str">
        <f>IF(B198&gt;0,VLOOKUP(B198,КВСР!#REF!,2),IF(C198&gt;0,VLOOKUP(C198,КФСР!#REF!,2),IF(D198&gt;0,VLOOKUP(D198,Программа!A$1:B$5091,2),IF(F198&gt;0,VLOOKUP(F198,КВР!A$1:B$5001,2),IF(E198&gt;0,VLOOKUP(E198,Направление!A$1:B$4750,2))))))</f>
        <v xml:space="preserve">Субсидия на реализацию программ формирования современной городской среды </v>
      </c>
      <c r="B198" s="143"/>
      <c r="C198" s="144"/>
      <c r="D198" s="146"/>
      <c r="E198" s="144">
        <v>55556</v>
      </c>
      <c r="F198" s="146"/>
      <c r="G198" s="379">
        <f>G199</f>
        <v>0</v>
      </c>
      <c r="H198" s="379">
        <f t="shared" ref="H198:I198" si="44">H199</f>
        <v>9555872</v>
      </c>
      <c r="I198" s="379">
        <f t="shared" si="44"/>
        <v>9555872</v>
      </c>
    </row>
    <row r="199" spans="1:9" s="141" customFormat="1" ht="63">
      <c r="A199" s="148" t="str">
        <f>IF(B199&gt;0,VLOOKUP(B199,КВСР!#REF!,2),IF(C199&gt;0,VLOOKUP(C199,КФСР!#REF!,2),IF(D199&gt;0,VLOOKUP(D199,Программа!A$1:B$5091,2),IF(F199&gt;0,VLOOKUP(F199,КВР!A$1:B$5001,2),IF(E199&gt;0,VLOOKUP(E199,Направление!A$1:B$4750,2))))))</f>
        <v>Предоставление субсидий бюджетным, автономным учреждениям и иным некоммерческим организациям</v>
      </c>
      <c r="B199" s="143"/>
      <c r="C199" s="144"/>
      <c r="D199" s="146"/>
      <c r="E199" s="144"/>
      <c r="F199" s="146">
        <v>600</v>
      </c>
      <c r="G199" s="379"/>
      <c r="H199" s="151">
        <v>9555872</v>
      </c>
      <c r="I199" s="347">
        <f>SUM(G199:H199)</f>
        <v>9555872</v>
      </c>
    </row>
    <row r="200" spans="1:9" s="141" customFormat="1" ht="31.5">
      <c r="A200" s="148" t="str">
        <f>IF(B200&gt;0,VLOOKUP(B200,КВСР!#REF!,2),IF(C200&gt;0,VLOOKUP(C200,КФСР!#REF!,2),IF(D200&gt;0,VLOOKUP(D200,Программа!A$1:B$5091,2),IF(F200&gt;0,VLOOKUP(F200,КВР!A$1:B$5001,2),IF(E200&gt;0,VLOOKUP(E200,Направление!A$1:B$4750,2))))))</f>
        <v>Межбюджетные трансферты  поселениям района</v>
      </c>
      <c r="B200" s="143"/>
      <c r="C200" s="144"/>
      <c r="D200" s="146" t="s">
        <v>653</v>
      </c>
      <c r="E200" s="144"/>
      <c r="F200" s="146"/>
      <c r="G200" s="347">
        <f>G201</f>
        <v>5000000</v>
      </c>
      <c r="H200" s="347">
        <f>H201</f>
        <v>0</v>
      </c>
      <c r="I200" s="347">
        <f t="shared" si="40"/>
        <v>5000000</v>
      </c>
    </row>
    <row r="201" spans="1:9" s="141" customFormat="1" ht="33.75" customHeight="1">
      <c r="A201" s="148" t="str">
        <f>IF(B201&gt;0,VLOOKUP(B201,КВСР!#REF!,2),IF(C201&gt;0,VLOOKUP(C201,КФСР!#REF!,2),IF(D201&gt;0,VLOOKUP(D201,Программа!A$1:B$5091,2),IF(F201&gt;0,VLOOKUP(F201,КВР!A$1:B$5001,2),IF(E201&gt;0,VLOOKUP(E201,Направление!A$1:B$4750,2))))))</f>
        <v>Содержание и ремонт  автомобильных дорог общего пользования</v>
      </c>
      <c r="B201" s="143"/>
      <c r="C201" s="144"/>
      <c r="D201" s="146"/>
      <c r="E201" s="144">
        <v>10200</v>
      </c>
      <c r="F201" s="146"/>
      <c r="G201" s="379">
        <f>G202</f>
        <v>5000000</v>
      </c>
      <c r="H201" s="347">
        <f t="shared" ref="H201" si="45">H202</f>
        <v>0</v>
      </c>
      <c r="I201" s="347">
        <f t="shared" si="40"/>
        <v>5000000</v>
      </c>
    </row>
    <row r="202" spans="1:9" s="141" customFormat="1" ht="19.5" customHeight="1">
      <c r="A202" s="148" t="str">
        <f>IF(B202&gt;0,VLOOKUP(B202,КВСР!#REF!,2),IF(C202&gt;0,VLOOKUP(C202,КФСР!#REF!,2),IF(D202&gt;0,VLOOKUP(D202,Программа!A$1:B$5091,2),IF(F202&gt;0,VLOOKUP(F202,КВР!A$1:B$5001,2),IF(E202&gt;0,VLOOKUP(E202,Направление!A$1:B$4750,2))))))</f>
        <v xml:space="preserve"> Межбюджетные трансферты</v>
      </c>
      <c r="B202" s="143"/>
      <c r="C202" s="144"/>
      <c r="D202" s="146"/>
      <c r="E202" s="144"/>
      <c r="F202" s="146">
        <v>500</v>
      </c>
      <c r="G202" s="379">
        <v>5000000</v>
      </c>
      <c r="H202" s="151"/>
      <c r="I202" s="347">
        <f t="shared" si="40"/>
        <v>5000000</v>
      </c>
    </row>
    <row r="203" spans="1:9" s="141" customFormat="1" ht="31.5">
      <c r="A203" s="148" t="str">
        <f>IF(B203&gt;0,VLOOKUP(B203,КВСР!A48:B1213,2),IF(C203&gt;0,VLOOKUP(C203,КФСР!A48:B1560,2),IF(D203&gt;0,VLOOKUP(D203,Программа!A$1:B$5091,2),IF(F203&gt;0,VLOOKUP(F203,КВР!A$1:B$5001,2),IF(E203&gt;0,VLOOKUP(E203,Направление!A$1:B$4750,2))))))</f>
        <v>Другие вопросы в области национальной экономики</v>
      </c>
      <c r="B203" s="149"/>
      <c r="C203" s="144">
        <v>412</v>
      </c>
      <c r="D203" s="145"/>
      <c r="E203" s="144"/>
      <c r="F203" s="146"/>
      <c r="G203" s="348">
        <f>G223+G204+G212+G216</f>
        <v>1000278</v>
      </c>
      <c r="H203" s="348">
        <f>H223+H204+H212+H216</f>
        <v>270000</v>
      </c>
      <c r="I203" s="347">
        <f>SUM(G203:H203)</f>
        <v>1270278</v>
      </c>
    </row>
    <row r="204" spans="1:9" s="141" customFormat="1" ht="94.5">
      <c r="A204" s="148" t="str">
        <f>IF(B204&gt;0,VLOOKUP(B204,КВСР!A49:B1214,2),IF(C204&gt;0,VLOOKUP(C204,КФСР!A49:B1561,2),IF(D204&gt;0,VLOOKUP(D204,Программа!A$1:B$5091,2),IF(F204&gt;0,VLOOKUP(F204,КВР!A$1:B$5001,2),IF(E204&gt;0,VLOOKUP(E204,Направление!A$1:B$4750,2))))))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4" s="149"/>
      <c r="C204" s="144"/>
      <c r="D204" s="145" t="s">
        <v>509</v>
      </c>
      <c r="E204" s="144"/>
      <c r="F204" s="146"/>
      <c r="G204" s="348">
        <f t="shared" ref="G204:H204" si="46">G205</f>
        <v>200278</v>
      </c>
      <c r="H204" s="348">
        <f t="shared" si="46"/>
        <v>-30000</v>
      </c>
      <c r="I204" s="347">
        <f t="shared" si="39"/>
        <v>170278</v>
      </c>
    </row>
    <row r="205" spans="1:9" s="141" customFormat="1" ht="52.5" customHeight="1">
      <c r="A205" s="148" t="str">
        <f>IF(B205&gt;0,VLOOKUP(B205,КВСР!A49:B1214,2),IF(C205&gt;0,VLOOKUP(C205,КФСР!A49:B1561,2),IF(D205&gt;0,VLOOKUP(D205,Программа!A$1:B$5091,2),IF(F205&gt;0,VLOOKUP(F205,КВР!A$1:B$5001,2),IF(E205&gt;0,VLOOKUP(E205,Направление!A$1:B$4750,2))))))</f>
        <v>Муниципальная целевая программа "Развитие потребительского рынка Тутаевского муниципального района "</v>
      </c>
      <c r="B205" s="149"/>
      <c r="C205" s="144"/>
      <c r="D205" s="145" t="s">
        <v>525</v>
      </c>
      <c r="E205" s="144"/>
      <c r="F205" s="146"/>
      <c r="G205" s="150">
        <f t="shared" ref="G205:H205" si="47">G206</f>
        <v>200278</v>
      </c>
      <c r="H205" s="150">
        <f t="shared" si="47"/>
        <v>-30000</v>
      </c>
      <c r="I205" s="347">
        <f t="shared" si="39"/>
        <v>170278</v>
      </c>
    </row>
    <row r="206" spans="1:9" s="141" customFormat="1" ht="46.5" customHeight="1">
      <c r="A206" s="148" t="str">
        <f>IF(B206&gt;0,VLOOKUP(B206,КВСР!A50:B1215,2),IF(C206&gt;0,VLOOKUP(C206,КФСР!A50:B1562,2),IF(D206&gt;0,VLOOKUP(D206,Программа!A$1:B$5091,2),IF(F206&gt;0,VLOOKUP(F206,КВР!A$1:B$5001,2),IF(E206&gt;0,VLOOKUP(E206,Направление!A$1:B$4750,2))))))</f>
        <v>Обеспечение доступности товаров для сельского населения путем оказания государственной поддержки</v>
      </c>
      <c r="B206" s="149"/>
      <c r="C206" s="144"/>
      <c r="D206" s="145" t="s">
        <v>527</v>
      </c>
      <c r="E206" s="144"/>
      <c r="F206" s="146"/>
      <c r="G206" s="150">
        <f>G207+G210</f>
        <v>200278</v>
      </c>
      <c r="H206" s="150">
        <f>H207+H210</f>
        <v>-30000</v>
      </c>
      <c r="I206" s="347">
        <f t="shared" si="39"/>
        <v>170278</v>
      </c>
    </row>
    <row r="207" spans="1:9" s="141" customFormat="1" ht="114.75" customHeight="1">
      <c r="A207" s="148" t="str">
        <f>IF(B207&gt;0,VLOOKUP(B207,КВСР!A51:B1216,2),IF(C207&gt;0,VLOOKUP(C207,КФСР!A51:B1563,2),IF(D207&gt;0,VLOOKUP(D207,Программа!A$1:B$5091,2),IF(F207&gt;0,VLOOKUP(F207,КВР!A$1:B$5001,2),IF(E207&gt;0,VLOOKUP(E207,Направление!A$1:B$4750,2))))))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07" s="149"/>
      <c r="C207" s="144"/>
      <c r="D207" s="145"/>
      <c r="E207" s="144">
        <v>12880</v>
      </c>
      <c r="F207" s="146"/>
      <c r="G207" s="379">
        <f>G208+G209</f>
        <v>80000</v>
      </c>
      <c r="H207" s="348">
        <f t="shared" ref="H207" si="48">H208+H209</f>
        <v>-30000</v>
      </c>
      <c r="I207" s="347">
        <f t="shared" si="39"/>
        <v>50000</v>
      </c>
    </row>
    <row r="208" spans="1:9" s="141" customFormat="1" ht="53.25" hidden="1" customHeight="1">
      <c r="A208" s="148" t="str">
        <f>IF(B208&gt;0,VLOOKUP(B208,КВСР!A52:B1217,2),IF(C208&gt;0,VLOOKUP(C208,КФСР!A52:B1564,2),IF(D208&gt;0,VLOOKUP(D208,Программа!A$1:B$5091,2),IF(F208&gt;0,VLOOKUP(F208,КВР!A$1:B$5001,2),IF(E208&gt;0,VLOOKUP(E208,Направление!A$1:B$4750,2))))))</f>
        <v xml:space="preserve">Закупка товаров, работ и услуг для обеспечения государственных (муниципальных) нужд
</v>
      </c>
      <c r="B208" s="149"/>
      <c r="C208" s="144"/>
      <c r="D208" s="145"/>
      <c r="E208" s="144"/>
      <c r="F208" s="146">
        <v>200</v>
      </c>
      <c r="G208" s="379">
        <v>30000</v>
      </c>
      <c r="H208" s="348">
        <v>-30000</v>
      </c>
      <c r="I208" s="347">
        <f t="shared" si="39"/>
        <v>0</v>
      </c>
    </row>
    <row r="209" spans="1:9" s="141" customFormat="1">
      <c r="A209" s="148" t="str">
        <f>IF(B209&gt;0,VLOOKUP(B209,КВСР!A52:B1217,2),IF(C209&gt;0,VLOOKUP(C209,КФСР!A52:B1564,2),IF(D209&gt;0,VLOOKUP(D209,Программа!A$1:B$5091,2),IF(F209&gt;0,VLOOKUP(F209,КВР!A$1:B$5001,2),IF(E209&gt;0,VLOOKUP(E209,Направление!A$1:B$4750,2))))))</f>
        <v>Иные бюджетные ассигнования</v>
      </c>
      <c r="B209" s="149"/>
      <c r="C209" s="144"/>
      <c r="D209" s="145"/>
      <c r="E209" s="144"/>
      <c r="F209" s="146">
        <v>800</v>
      </c>
      <c r="G209" s="379">
        <v>50000</v>
      </c>
      <c r="H209" s="150"/>
      <c r="I209" s="347">
        <f t="shared" si="39"/>
        <v>50000</v>
      </c>
    </row>
    <row r="210" spans="1:9" s="141" customFormat="1" ht="47.25">
      <c r="A210" s="148" t="str">
        <f>IF(B210&gt;0,VLOOKUP(B210,КВСР!A53:B1218,2),IF(C210&gt;0,VLOOKUP(C210,КФСР!A53:B1565,2),IF(D210&gt;0,VLOOKUP(D210,Программа!A$1:B$5091,2),IF(F210&gt;0,VLOOKUP(F210,КВР!A$1:B$5001,2),IF(E210&gt;0,VLOOKUP(E210,Направление!A$1:B$4750,2))))))</f>
        <v>Обеспечение мероприятий по организации населению услуг торговли на селе</v>
      </c>
      <c r="B210" s="149"/>
      <c r="C210" s="144"/>
      <c r="D210" s="145"/>
      <c r="E210" s="144">
        <v>29526</v>
      </c>
      <c r="F210" s="146"/>
      <c r="G210" s="150">
        <f>G211</f>
        <v>120278</v>
      </c>
      <c r="H210" s="150">
        <f>H211</f>
        <v>0</v>
      </c>
      <c r="I210" s="347">
        <f>SUM(G210:H210)</f>
        <v>120278</v>
      </c>
    </row>
    <row r="211" spans="1:9" s="141" customFormat="1">
      <c r="A211" s="148" t="str">
        <f>IF(B211&gt;0,VLOOKUP(B211,КВСР!A54:B1219,2),IF(C211&gt;0,VLOOKUP(C211,КФСР!A54:B1566,2),IF(D211&gt;0,VLOOKUP(D211,Программа!A$1:B$5091,2),IF(F211&gt;0,VLOOKUP(F211,КВР!A$1:B$5001,2),IF(E211&gt;0,VLOOKUP(E211,Направление!A$1:B$4750,2))))))</f>
        <v>Иные бюджетные ассигнования</v>
      </c>
      <c r="B211" s="149"/>
      <c r="C211" s="144"/>
      <c r="D211" s="145"/>
      <c r="E211" s="144"/>
      <c r="F211" s="146">
        <v>800</v>
      </c>
      <c r="G211" s="379">
        <v>120278</v>
      </c>
      <c r="H211" s="336"/>
      <c r="I211" s="347">
        <f>SUM(G211:H211)</f>
        <v>120278</v>
      </c>
    </row>
    <row r="212" spans="1:9" s="141" customFormat="1" ht="78.75" hidden="1">
      <c r="A212" s="148" t="str">
        <f>IF(B212&gt;0,VLOOKUP(B212,КВСР!A53:B1218,2),IF(C212&gt;0,VLOOKUP(C212,КФСР!A53:B1565,2),IF(D212&gt;0,VLOOKUP(D212,Программа!A$1:B$5091,2),IF(F212&gt;0,VLOOKUP(F212,КВР!A$1:B$5001,2),IF(E212&gt;0,VLOOKUP(E212,Направление!A$1:B$4750,2))))))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212" s="149"/>
      <c r="C212" s="144"/>
      <c r="D212" s="145" t="s">
        <v>1608</v>
      </c>
      <c r="E212" s="144"/>
      <c r="F212" s="146"/>
      <c r="G212" s="379">
        <f>G213</f>
        <v>700000</v>
      </c>
      <c r="H212" s="379">
        <f t="shared" ref="H212:H214" si="49">H213</f>
        <v>-700000</v>
      </c>
      <c r="I212" s="347">
        <f t="shared" si="39"/>
        <v>0</v>
      </c>
    </row>
    <row r="213" spans="1:9" s="141" customFormat="1" ht="47.25" hidden="1">
      <c r="A213" s="148" t="str">
        <f>IF(B213&gt;0,VLOOKUP(B213,КВСР!A54:B1219,2),IF(C213&gt;0,VLOOKUP(C213,КФСР!A54:B1566,2),IF(D213&gt;0,VLOOKUP(D213,Программа!A$1:B$5091,2),IF(F213&gt;0,VLOOKUP(F213,КВР!A$1:B$5001,2),IF(E213&gt;0,VLOOKUP(E213,Направление!A$1:B$4750,2))))))</f>
        <v>Разработка, согласование, утверждение проекта зон охраны объектов культурного наследия</v>
      </c>
      <c r="B213" s="149"/>
      <c r="C213" s="144"/>
      <c r="D213" s="145" t="s">
        <v>1609</v>
      </c>
      <c r="E213" s="144"/>
      <c r="F213" s="146"/>
      <c r="G213" s="379">
        <f>G214</f>
        <v>700000</v>
      </c>
      <c r="H213" s="379">
        <f>H214</f>
        <v>-700000</v>
      </c>
      <c r="I213" s="347">
        <f t="shared" si="39"/>
        <v>0</v>
      </c>
    </row>
    <row r="214" spans="1:9" s="141" customFormat="1" ht="47.25" hidden="1">
      <c r="A214" s="148" t="str">
        <f>IF(B214&gt;0,VLOOKUP(B214,КВСР!A55:B1220,2),IF(C214&gt;0,VLOOKUP(C214,КФСР!A55:B1567,2),IF(D214&gt;0,VLOOKUP(D214,Программа!A$1:B$5091,2),IF(F214&gt;0,VLOOKUP(F214,КВР!A$1:B$5001,2),IF(E214&gt;0,VLOOKUP(E214,Направление!A$1:B$4750,2))))))</f>
        <v xml:space="preserve">Мероприятия по разработке проекта зон охраны объектов культурного наследия </v>
      </c>
      <c r="B214" s="149"/>
      <c r="C214" s="144"/>
      <c r="D214" s="145"/>
      <c r="E214" s="144">
        <v>10420</v>
      </c>
      <c r="F214" s="146"/>
      <c r="G214" s="379">
        <f>G215</f>
        <v>700000</v>
      </c>
      <c r="H214" s="379">
        <f t="shared" si="49"/>
        <v>-700000</v>
      </c>
      <c r="I214" s="347">
        <f t="shared" si="39"/>
        <v>0</v>
      </c>
    </row>
    <row r="215" spans="1:9" s="141" customFormat="1" ht="51.75" hidden="1" customHeight="1">
      <c r="A215" s="148" t="str">
        <f>IF(B215&gt;0,VLOOKUP(B215,КВСР!A55:B1220,2),IF(C215&gt;0,VLOOKUP(C215,КФСР!A55:B1567,2),IF(D215&gt;0,VLOOKUP(D215,Программа!A$1:B$5091,2),IF(F215&gt;0,VLOOKUP(F215,КВР!A$1:B$5001,2),IF(E215&gt;0,VLOOKUP(E215,Направление!A$1:B$4750,2))))))</f>
        <v xml:space="preserve">Закупка товаров, работ и услуг для обеспечения государственных (муниципальных) нужд
</v>
      </c>
      <c r="B215" s="149"/>
      <c r="C215" s="144"/>
      <c r="D215" s="145"/>
      <c r="E215" s="144"/>
      <c r="F215" s="146">
        <v>200</v>
      </c>
      <c r="G215" s="379">
        <v>700000</v>
      </c>
      <c r="H215" s="336">
        <v>-700000</v>
      </c>
      <c r="I215" s="347">
        <f t="shared" si="39"/>
        <v>0</v>
      </c>
    </row>
    <row r="216" spans="1:9" s="141" customFormat="1" ht="63">
      <c r="A216" s="148" t="str">
        <f>IF(B216&gt;0,VLOOKUP(B216,КВСР!A56:B1221,2),IF(C216&gt;0,VLOOKUP(C216,КФСР!A56:B1568,2),IF(D216&gt;0,VLOOKUP(D216,Программа!A$1:B$5091,2),IF(F216&gt;0,VLOOKUP(F216,КВР!A$1:B$5001,2),IF(E216&gt;0,VLOOKUP(E216,Направление!A$1:B$4750,2))))))</f>
        <v>Муниципальная программа "Градостроительная деятельность на территории Тутаевского муниципального района "</v>
      </c>
      <c r="B216" s="149"/>
      <c r="C216" s="144"/>
      <c r="D216" s="145" t="s">
        <v>1837</v>
      </c>
      <c r="E216" s="144"/>
      <c r="F216" s="146"/>
      <c r="G216" s="379">
        <f>G217+G220</f>
        <v>0</v>
      </c>
      <c r="H216" s="379">
        <f t="shared" ref="H216:I216" si="50">H217+H220</f>
        <v>1100000</v>
      </c>
      <c r="I216" s="379">
        <f t="shared" si="50"/>
        <v>1100000</v>
      </c>
    </row>
    <row r="217" spans="1:9" s="141" customFormat="1" ht="47.25">
      <c r="A217" s="148" t="str">
        <f>IF(B217&gt;0,VLOOKUP(B217,КВСР!A57:B1222,2),IF(C217&gt;0,VLOOKUP(C217,КФСР!A57:B1569,2),IF(D217&gt;0,VLOOKUP(D217,Программа!A$1:B$5091,2),IF(F217&gt;0,VLOOKUP(F217,КВР!A$1:B$5001,2),IF(E217&gt;0,VLOOKUP(E217,Направление!A$1:B$4750,2))))))</f>
        <v xml:space="preserve">Внесение изменений в документы территориального планирования и градостроительного зонирования </v>
      </c>
      <c r="B217" s="149"/>
      <c r="C217" s="144"/>
      <c r="D217" s="145" t="s">
        <v>1838</v>
      </c>
      <c r="E217" s="144"/>
      <c r="F217" s="146"/>
      <c r="G217" s="379">
        <f>G218</f>
        <v>0</v>
      </c>
      <c r="H217" s="379">
        <f t="shared" ref="H217:I218" si="51">H218</f>
        <v>1000000</v>
      </c>
      <c r="I217" s="379">
        <f t="shared" si="51"/>
        <v>1000000</v>
      </c>
    </row>
    <row r="218" spans="1:9" s="141" customFormat="1" ht="61.5" customHeight="1">
      <c r="A218" s="148" t="str">
        <f>IF(B218&gt;0,VLOOKUP(B218,КВСР!A58:B1223,2),IF(C218&gt;0,VLOOKUP(C218,КФСР!A58:B1570,2),IF(D218&gt;0,VLOOKUP(D218,Программа!A$1:B$5091,2),IF(F218&gt;0,VLOOKUP(F218,КВР!A$1:B$5001,2),IF(E218&gt;0,VLOOKUP(E218,Направление!A$1:B$4750,2))))))</f>
        <v>Мероприятия по внесению изменений в документы территориального  планирования и градостроительного зонирования</v>
      </c>
      <c r="B218" s="149"/>
      <c r="C218" s="144"/>
      <c r="D218" s="145"/>
      <c r="E218" s="144">
        <v>10430</v>
      </c>
      <c r="F218" s="146"/>
      <c r="G218" s="379">
        <f>G219</f>
        <v>0</v>
      </c>
      <c r="H218" s="379">
        <f t="shared" si="51"/>
        <v>1000000</v>
      </c>
      <c r="I218" s="379">
        <f t="shared" si="51"/>
        <v>1000000</v>
      </c>
    </row>
    <row r="219" spans="1:9" s="141" customFormat="1" ht="50.25" customHeight="1">
      <c r="A219" s="148" t="str">
        <f>IF(B219&gt;0,VLOOKUP(B219,КВСР!A59:B1224,2),IF(C219&gt;0,VLOOKUP(C219,КФСР!A59:B1571,2),IF(D219&gt;0,VLOOKUP(D219,Программа!A$1:B$5091,2),IF(F219&gt;0,VLOOKUP(F219,КВР!A$1:B$5001,2),IF(E219&gt;0,VLOOKUP(E219,Направление!A$1:B$4750,2))))))</f>
        <v xml:space="preserve">Закупка товаров, работ и услуг для обеспечения государственных (муниципальных) нужд
</v>
      </c>
      <c r="B219" s="149"/>
      <c r="C219" s="144"/>
      <c r="D219" s="145"/>
      <c r="E219" s="144"/>
      <c r="F219" s="146">
        <v>200</v>
      </c>
      <c r="G219" s="379"/>
      <c r="H219" s="336">
        <v>1000000</v>
      </c>
      <c r="I219" s="347">
        <f>SUM(G219:H219)</f>
        <v>1000000</v>
      </c>
    </row>
    <row r="220" spans="1:9" s="141" customFormat="1" ht="30.75" customHeight="1">
      <c r="A220" s="148" t="str">
        <f>IF(B220&gt;0,VLOOKUP(B220,КВСР!A60:B1225,2),IF(C220&gt;0,VLOOKUP(C220,КФСР!A60:B1572,2),IF(D220&gt;0,VLOOKUP(D220,Программа!A$1:B$5091,2),IF(F220&gt;0,VLOOKUP(F220,КВР!A$1:B$5001,2),IF(E220&gt;0,VLOOKUP(E220,Направление!A$1:B$4750,2))))))</f>
        <v xml:space="preserve">Разработка и актуализация схем инженерного обеспечения </v>
      </c>
      <c r="B220" s="149"/>
      <c r="C220" s="144"/>
      <c r="D220" s="145" t="s">
        <v>1839</v>
      </c>
      <c r="E220" s="144"/>
      <c r="F220" s="146"/>
      <c r="G220" s="379">
        <f>G221</f>
        <v>0</v>
      </c>
      <c r="H220" s="379">
        <f t="shared" ref="H220:I220" si="52">H221</f>
        <v>100000</v>
      </c>
      <c r="I220" s="379">
        <f t="shared" si="52"/>
        <v>100000</v>
      </c>
    </row>
    <row r="221" spans="1:9" s="141" customFormat="1" ht="31.5">
      <c r="A221" s="148" t="str">
        <f>IF(B221&gt;0,VLOOKUP(B221,КВСР!A61:B1226,2),IF(C221&gt;0,VLOOKUP(C221,КФСР!A61:B1573,2),IF(D221&gt;0,VLOOKUP(D221,Программа!A$1:B$5091,2),IF(F221&gt;0,VLOOKUP(F221,КВР!A$1:B$5001,2),IF(E221&gt;0,VLOOKUP(E221,Направление!A$1:B$4750,2))))))</f>
        <v>Мероприятия по актуализации схем теплоснабжения и водоснабжения</v>
      </c>
      <c r="B221" s="149"/>
      <c r="C221" s="144"/>
      <c r="D221" s="145"/>
      <c r="E221" s="144">
        <v>10410</v>
      </c>
      <c r="F221" s="146"/>
      <c r="G221" s="337">
        <f>G222</f>
        <v>0</v>
      </c>
      <c r="H221" s="337">
        <f t="shared" ref="H221:I221" si="53">H222</f>
        <v>100000</v>
      </c>
      <c r="I221" s="337">
        <f t="shared" si="53"/>
        <v>100000</v>
      </c>
    </row>
    <row r="222" spans="1:9" s="141" customFormat="1" ht="47.25" customHeight="1">
      <c r="A222" s="148" t="str">
        <f>IF(B222&gt;0,VLOOKUP(B222,КВСР!A62:B1227,2),IF(C222&gt;0,VLOOKUP(C222,КФСР!A62:B1574,2),IF(D222&gt;0,VLOOKUP(D222,Программа!A$1:B$5091,2),IF(F222&gt;0,VLOOKUP(F222,КВР!A$1:B$5001,2),IF(E222&gt;0,VLOOKUP(E222,Направление!A$1:B$4750,2))))))</f>
        <v xml:space="preserve">Закупка товаров, работ и услуг для обеспечения государственных (муниципальных) нужд
</v>
      </c>
      <c r="B222" s="149"/>
      <c r="C222" s="144"/>
      <c r="D222" s="145"/>
      <c r="E222" s="144"/>
      <c r="F222" s="146">
        <v>200</v>
      </c>
      <c r="G222" s="379"/>
      <c r="H222" s="336">
        <v>100000</v>
      </c>
      <c r="I222" s="347">
        <f>SUM(G222:H222)</f>
        <v>100000</v>
      </c>
    </row>
    <row r="223" spans="1:9" s="141" customFormat="1" ht="24.75" hidden="1" customHeight="1">
      <c r="A223" s="148" t="str">
        <f>IF(B223&gt;0,VLOOKUP(B223,КВСР!A52:B1217,2),IF(C223&gt;0,VLOOKUP(C223,КФСР!A52:B1564,2),IF(D223&gt;0,VLOOKUP(D223,Программа!A$1:B$5091,2),IF(F223&gt;0,VLOOKUP(F223,КВР!A$1:B$5001,2),IF(E223&gt;0,VLOOKUP(E223,Направление!A$1:B$4750,2))))))</f>
        <v>Непрограммные расходы бюджета</v>
      </c>
      <c r="B223" s="149"/>
      <c r="C223" s="144"/>
      <c r="D223" s="145" t="s">
        <v>480</v>
      </c>
      <c r="E223" s="144"/>
      <c r="F223" s="146"/>
      <c r="G223" s="379">
        <f>G224</f>
        <v>100000</v>
      </c>
      <c r="H223" s="150">
        <f>H224</f>
        <v>-100000</v>
      </c>
      <c r="I223" s="347">
        <f t="shared" si="39"/>
        <v>0</v>
      </c>
    </row>
    <row r="224" spans="1:9" s="141" customFormat="1" ht="43.5" hidden="1" customHeight="1">
      <c r="A224" s="148" t="str">
        <f>IF(B224&gt;0,VLOOKUP(B224,КВСР!A53:B1218,2),IF(C224&gt;0,VLOOKUP(C224,КФСР!A53:B1565,2),IF(D224&gt;0,VLOOKUP(D224,Программа!A$1:B$5091,2),IF(F224&gt;0,VLOOKUP(F224,КВР!A$1:B$5001,2),IF(E224&gt;0,VLOOKUP(E224,Направление!A$1:B$4750,2))))))</f>
        <v>Мероприятия по актуализации схем теплоснабжения и водоснабжения</v>
      </c>
      <c r="B224" s="149"/>
      <c r="C224" s="144"/>
      <c r="D224" s="145"/>
      <c r="E224" s="144">
        <v>10410</v>
      </c>
      <c r="F224" s="146"/>
      <c r="G224" s="379">
        <f>G225</f>
        <v>100000</v>
      </c>
      <c r="H224" s="348">
        <f t="shared" ref="H224" si="54">H225</f>
        <v>-100000</v>
      </c>
      <c r="I224" s="347">
        <f t="shared" si="39"/>
        <v>0</v>
      </c>
    </row>
    <row r="225" spans="1:9" s="141" customFormat="1" ht="53.25" hidden="1" customHeight="1">
      <c r="A225" s="148" t="str">
        <f>IF(B225&gt;0,VLOOKUP(B225,КВСР!A54:B1219,2),IF(C225&gt;0,VLOOKUP(C225,КФСР!A54:B1566,2),IF(D225&gt;0,VLOOKUP(D225,Программа!A$1:B$5091,2),IF(F225&gt;0,VLOOKUP(F225,КВР!A$1:B$5001,2),IF(E225&gt;0,VLOOKUP(E225,Направление!A$1:B$4750,2))))))</f>
        <v xml:space="preserve">Закупка товаров, работ и услуг для обеспечения государственных (муниципальных) нужд
</v>
      </c>
      <c r="B225" s="149"/>
      <c r="C225" s="144"/>
      <c r="D225" s="145"/>
      <c r="E225" s="144"/>
      <c r="F225" s="146">
        <v>200</v>
      </c>
      <c r="G225" s="379">
        <v>100000</v>
      </c>
      <c r="H225" s="150">
        <v>-100000</v>
      </c>
      <c r="I225" s="347">
        <f t="shared" si="39"/>
        <v>0</v>
      </c>
    </row>
    <row r="226" spans="1:9" s="141" customFormat="1" ht="21.75" customHeight="1">
      <c r="A226" s="148" t="str">
        <f>IF(B226&gt;0,VLOOKUP(B226,КВСР!A57:B1222,2),IF(C226&gt;0,VLOOKUP(C226,КФСР!A57:B1569,2),IF(D226&gt;0,VLOOKUP(D226,Программа!A$1:B$5091,2),IF(F226&gt;0,VLOOKUP(F226,КВР!A$1:B$5001,2),IF(E226&gt;0,VLOOKUP(E226,Направление!A$1:B$4750,2))))))</f>
        <v>Жилищное хозяйство</v>
      </c>
      <c r="B226" s="149"/>
      <c r="C226" s="144">
        <v>501</v>
      </c>
      <c r="D226" s="145"/>
      <c r="E226" s="144"/>
      <c r="F226" s="146"/>
      <c r="G226" s="348">
        <f>G227</f>
        <v>2260048</v>
      </c>
      <c r="H226" s="348">
        <f>H227</f>
        <v>0</v>
      </c>
      <c r="I226" s="347">
        <f t="shared" si="39"/>
        <v>2260048</v>
      </c>
    </row>
    <row r="227" spans="1:9" s="141" customFormat="1" ht="51.75" customHeight="1">
      <c r="A227" s="148" t="str">
        <f>IF(B227&gt;0,VLOOKUP(B227,КВСР!A58:B1223,2),IF(C227&gt;0,VLOOKUP(C227,КФСР!A58:B1570,2),IF(D227&gt;0,VLOOKUP(D227,Программа!A$1:B$5091,2),IF(F227&gt;0,VLOOKUP(F227,КВР!A$1:B$5001,2),IF(E227&gt;0,VLOOKUP(E227,Направление!A$1:B$4750,2))))))</f>
        <v>Муниципальная программа  "Развитие жилищного хозяйства Тутаевского муниципального района"</v>
      </c>
      <c r="B227" s="149"/>
      <c r="C227" s="144"/>
      <c r="D227" s="145" t="s">
        <v>805</v>
      </c>
      <c r="E227" s="144"/>
      <c r="F227" s="146"/>
      <c r="G227" s="348">
        <f>G228</f>
        <v>2260048</v>
      </c>
      <c r="H227" s="348">
        <f>H228</f>
        <v>0</v>
      </c>
      <c r="I227" s="348">
        <f>I228</f>
        <v>2260048</v>
      </c>
    </row>
    <row r="228" spans="1:9" s="141" customFormat="1" ht="68.25" customHeight="1">
      <c r="A228" s="148" t="str">
        <f>IF(B228&gt;0,VLOOKUP(B228,КВСР!A59:B1224,2),IF(C228&gt;0,VLOOKUP(C228,КФСР!A59:B1571,2),IF(D228&gt;0,VLOOKUP(D228,Программа!A$1:B$5091,2),IF(F228&gt;0,VLOOKUP(F228,КВР!A$1:B$5001,2),IF(E228&gt;0,VLOOKUP(E228,Направление!A$1:B$4750,2))))))</f>
        <v>Муниципальная целевая программа "Ремонт и содержание муниципального жилищного фонда   Тутаевского муниципального района"</v>
      </c>
      <c r="B228" s="149"/>
      <c r="C228" s="144"/>
      <c r="D228" s="145" t="s">
        <v>814</v>
      </c>
      <c r="E228" s="144"/>
      <c r="F228" s="146"/>
      <c r="G228" s="348">
        <f>G229+G232+G235</f>
        <v>2260048</v>
      </c>
      <c r="H228" s="348">
        <f>H229+H232+H235</f>
        <v>0</v>
      </c>
      <c r="I228" s="348">
        <f>I229+I232+I235</f>
        <v>2260048</v>
      </c>
    </row>
    <row r="229" spans="1:9" s="141" customFormat="1" ht="51.75" customHeight="1">
      <c r="A229" s="148" t="str">
        <f>IF(B229&gt;0,VLOOKUP(B229,КВСР!A60:B1225,2),IF(C229&gt;0,VLOOKUP(C229,КФСР!A60:B1572,2),IF(D229&gt;0,VLOOKUP(D229,Программа!A$1:B$5091,2),IF(F229&gt;0,VLOOKUP(F229,КВР!A$1:B$5001,2),IF(E229&gt;0,VLOOKUP(E229,Направление!A$1:B$4750,2))))))</f>
        <v>Обеспечение мероприятий по замене приборов учета в муниципальном жилищном фонде</v>
      </c>
      <c r="B229" s="149"/>
      <c r="C229" s="144"/>
      <c r="D229" s="145" t="s">
        <v>816</v>
      </c>
      <c r="E229" s="144"/>
      <c r="F229" s="146"/>
      <c r="G229" s="348">
        <f>G230</f>
        <v>50048</v>
      </c>
      <c r="H229" s="348">
        <f>H230</f>
        <v>0</v>
      </c>
      <c r="I229" s="347">
        <f t="shared" si="39"/>
        <v>50048</v>
      </c>
    </row>
    <row r="230" spans="1:9" s="141" customFormat="1" ht="68.25" customHeight="1">
      <c r="A230" s="148" t="str">
        <f>IF(B230&gt;0,VLOOKUP(B230,КВСР!A61:B1226,2),IF(C230&gt;0,VLOOKUP(C230,КФСР!A61:B1573,2),IF(D230&gt;0,VLOOKUP(D230,Программа!A$1:B$5091,2),IF(F230&gt;0,VLOOKUP(F230,КВР!A$1:B$5001,2),IF(E230&gt;0,VLOOKUP(E230,Направление!A$1:B$4750,2))))))</f>
        <v>Обеспечение мероприятий по содержанию,  реконструкции и капитальному ремонту муниципального жилищного фонда</v>
      </c>
      <c r="B230" s="149"/>
      <c r="C230" s="144"/>
      <c r="D230" s="145"/>
      <c r="E230" s="144">
        <v>29376</v>
      </c>
      <c r="F230" s="146"/>
      <c r="G230" s="348">
        <f>G231</f>
        <v>50048</v>
      </c>
      <c r="H230" s="348">
        <f>H231</f>
        <v>0</v>
      </c>
      <c r="I230" s="347">
        <f t="shared" si="39"/>
        <v>50048</v>
      </c>
    </row>
    <row r="231" spans="1:9" s="141" customFormat="1" ht="68.25" customHeight="1">
      <c r="A231" s="148" t="str">
        <f>IF(B231&gt;0,VLOOKUP(B231,КВСР!A62:B1227,2),IF(C231&gt;0,VLOOKUP(C231,КФСР!A62:B1574,2),IF(D231&gt;0,VLOOKUP(D231,Программа!A$1:B$5091,2),IF(F231&gt;0,VLOOKUP(F231,КВР!A$1:B$5001,2),IF(E231&gt;0,VLOOKUP(E231,Направление!A$1:B$4750,2))))))</f>
        <v>Предоставление субсидий бюджетным, автономным учреждениям и иным некоммерческим организациям</v>
      </c>
      <c r="B231" s="149"/>
      <c r="C231" s="144"/>
      <c r="D231" s="145"/>
      <c r="E231" s="144"/>
      <c r="F231" s="146">
        <v>600</v>
      </c>
      <c r="G231" s="379">
        <v>50048</v>
      </c>
      <c r="H231" s="336"/>
      <c r="I231" s="347">
        <f t="shared" si="39"/>
        <v>50048</v>
      </c>
    </row>
    <row r="232" spans="1:9" s="141" customFormat="1" ht="35.25" customHeight="1">
      <c r="A232" s="148" t="str">
        <f>IF(B232&gt;0,VLOOKUP(B232,КВСР!A59:B1224,2),IF(C232&gt;0,VLOOKUP(C232,КФСР!A59:B1571,2),IF(D232&gt;0,VLOOKUP(D232,Программа!A$1:B$5091,2),IF(F232&gt;0,VLOOKUP(F232,КВР!A$1:B$5001,2),IF(E232&gt;0,VLOOKUP(E232,Направление!A$1:B$4750,2))))))</f>
        <v>Обеспечение мероприятий по ремонту общедомового имущества</v>
      </c>
      <c r="B232" s="149"/>
      <c r="C232" s="144"/>
      <c r="D232" s="145" t="s">
        <v>819</v>
      </c>
      <c r="E232" s="144"/>
      <c r="F232" s="146"/>
      <c r="G232" s="348">
        <f>G233</f>
        <v>2000000</v>
      </c>
      <c r="H232" s="348">
        <f>H233</f>
        <v>0</v>
      </c>
      <c r="I232" s="347">
        <f t="shared" si="39"/>
        <v>2000000</v>
      </c>
    </row>
    <row r="233" spans="1:9" s="141" customFormat="1" ht="63">
      <c r="A233" s="148" t="str">
        <f>IF(B233&gt;0,VLOOKUP(B233,КВСР!A60:B1225,2),IF(C233&gt;0,VLOOKUP(C233,КФСР!A60:B1572,2),IF(D233&gt;0,VLOOKUP(D233,Программа!A$1:B$5091,2),IF(F233&gt;0,VLOOKUP(F233,КВР!A$1:B$5001,2),IF(E233&gt;0,VLOOKUP(E233,Направление!A$1:B$4750,2))))))</f>
        <v>Обеспечение мероприятий по содержанию,  реконструкции и капитальному ремонту муниципального жилищного фонда</v>
      </c>
      <c r="B233" s="149"/>
      <c r="C233" s="144"/>
      <c r="D233" s="145"/>
      <c r="E233" s="144">
        <v>29376</v>
      </c>
      <c r="F233" s="146"/>
      <c r="G233" s="348">
        <f>G234</f>
        <v>2000000</v>
      </c>
      <c r="H233" s="348">
        <f>H234</f>
        <v>0</v>
      </c>
      <c r="I233" s="347">
        <f t="shared" si="39"/>
        <v>2000000</v>
      </c>
    </row>
    <row r="234" spans="1:9" s="141" customFormat="1" ht="63">
      <c r="A234" s="148" t="str">
        <f>IF(B234&gt;0,VLOOKUP(B234,КВСР!A60:B1225,2),IF(C234&gt;0,VLOOKUP(C234,КФСР!A60:B1572,2),IF(D234&gt;0,VLOOKUP(D234,Программа!A$1:B$5091,2),IF(F234&gt;0,VLOOKUP(F234,КВР!A$1:B$5001,2),IF(E234&gt;0,VLOOKUP(E234,Направление!A$1:B$4750,2))))))</f>
        <v>Предоставление субсидий бюджетным, автономным учреждениям и иным некоммерческим организациям</v>
      </c>
      <c r="B234" s="149"/>
      <c r="C234" s="144"/>
      <c r="D234" s="145"/>
      <c r="E234" s="144"/>
      <c r="F234" s="146">
        <v>600</v>
      </c>
      <c r="G234" s="379">
        <v>2000000</v>
      </c>
      <c r="H234" s="336"/>
      <c r="I234" s="347">
        <f>SUM(G234:H234)</f>
        <v>2000000</v>
      </c>
    </row>
    <row r="235" spans="1:9" s="141" customFormat="1" ht="37.5" customHeight="1">
      <c r="A235" s="148" t="str">
        <f>IF(B235&gt;0,VLOOKUP(B235,КВСР!A61:B1226,2),IF(C235&gt;0,VLOOKUP(C235,КФСР!A61:B1573,2),IF(D235&gt;0,VLOOKUP(D235,Программа!A$1:B$5091,2),IF(F235&gt;0,VLOOKUP(F235,КВР!A$1:B$5001,2),IF(E235&gt;0,VLOOKUP(E235,Направление!A$1:B$4750,2))))))</f>
        <v>Обеспечение мероприятий по обследованию жилых домов</v>
      </c>
      <c r="B235" s="149"/>
      <c r="C235" s="144"/>
      <c r="D235" s="145" t="s">
        <v>1625</v>
      </c>
      <c r="E235" s="144"/>
      <c r="F235" s="146"/>
      <c r="G235" s="348">
        <f>G236</f>
        <v>210000</v>
      </c>
      <c r="H235" s="348">
        <f>H236</f>
        <v>0</v>
      </c>
      <c r="I235" s="347">
        <f t="shared" ref="I235:I237" si="55">SUM(G235:H235)</f>
        <v>210000</v>
      </c>
    </row>
    <row r="236" spans="1:9" s="141" customFormat="1" ht="63" customHeight="1">
      <c r="A236" s="148" t="str">
        <f>IF(B236&gt;0,VLOOKUP(B236,КВСР!A62:B1227,2),IF(C236&gt;0,VLOOKUP(C236,КФСР!A62:B1574,2),IF(D236&gt;0,VLOOKUP(D236,Программа!A$1:B$5091,2),IF(F236&gt;0,VLOOKUP(F236,КВР!A$1:B$5001,2),IF(E236&gt;0,VLOOKUP(E236,Направление!A$1:B$4750,2))))))</f>
        <v>Обеспечение мероприятий по содержанию,  реконструкции и капитальному ремонту муниципального жилищного фонда</v>
      </c>
      <c r="B236" s="149"/>
      <c r="C236" s="144"/>
      <c r="D236" s="145"/>
      <c r="E236" s="144">
        <v>29376</v>
      </c>
      <c r="F236" s="146"/>
      <c r="G236" s="348">
        <f>G237</f>
        <v>210000</v>
      </c>
      <c r="H236" s="348">
        <f>H237</f>
        <v>0</v>
      </c>
      <c r="I236" s="347">
        <f t="shared" si="55"/>
        <v>210000</v>
      </c>
    </row>
    <row r="237" spans="1:9" s="141" customFormat="1" ht="66" customHeight="1">
      <c r="A237" s="148" t="str">
        <f>IF(B237&gt;0,VLOOKUP(B237,КВСР!A63:B1228,2),IF(C237&gt;0,VLOOKUP(C237,КФСР!A63:B1575,2),IF(D237&gt;0,VLOOKUP(D237,Программа!A$1:B$5091,2),IF(F237&gt;0,VLOOKUP(F237,КВР!A$1:B$5001,2),IF(E237&gt;0,VLOOKUP(E237,Направление!A$1:B$4750,2))))))</f>
        <v>Предоставление субсидий бюджетным, автономным учреждениям и иным некоммерческим организациям</v>
      </c>
      <c r="B237" s="149"/>
      <c r="C237" s="144"/>
      <c r="D237" s="145"/>
      <c r="E237" s="144"/>
      <c r="F237" s="146">
        <v>600</v>
      </c>
      <c r="G237" s="379">
        <v>210000</v>
      </c>
      <c r="H237" s="336"/>
      <c r="I237" s="347">
        <f t="shared" si="55"/>
        <v>210000</v>
      </c>
    </row>
    <row r="238" spans="1:9" s="141" customFormat="1">
      <c r="A238" s="148" t="str">
        <f>IF(B238&gt;0,VLOOKUP(B238,КВСР!A52:B1217,2),IF(C238&gt;0,VLOOKUP(C238,КФСР!A52:B1564,2),IF(D238&gt;0,VLOOKUP(D238,Программа!A$1:B$5091,2),IF(F238&gt;0,VLOOKUP(F238,КВР!A$1:B$5001,2),IF(E238&gt;0,VLOOKUP(E238,Направление!A$1:B$4750,2))))))</f>
        <v>Коммунальное хозяйство</v>
      </c>
      <c r="B238" s="149"/>
      <c r="C238" s="144">
        <v>502</v>
      </c>
      <c r="D238" s="146"/>
      <c r="E238" s="144"/>
      <c r="F238" s="146"/>
      <c r="G238" s="347">
        <f>G239+G266+G263</f>
        <v>12854167</v>
      </c>
      <c r="H238" s="347">
        <f>H239+H266+H263</f>
        <v>0</v>
      </c>
      <c r="I238" s="347">
        <f t="shared" si="39"/>
        <v>12854167</v>
      </c>
    </row>
    <row r="239" spans="1:9" s="141" customFormat="1" ht="63">
      <c r="A239" s="148" t="str">
        <f>IF(B239&gt;0,VLOOKUP(B239,КВСР!A53:B1218,2),IF(C239&gt;0,VLOOKUP(C239,КФСР!A53:B1565,2),IF(D239&gt;0,VLOOKUP(D239,Программа!A$1:B$5091,2),IF(F239&gt;0,VLOOKUP(F239,КВР!A$1:B$5001,2),IF(E239&gt;0,VLOOKUP(E239,Направление!A$1:B$4750,2))))))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9" s="149"/>
      <c r="C239" s="144"/>
      <c r="D239" s="146" t="s">
        <v>703</v>
      </c>
      <c r="E239" s="144"/>
      <c r="F239" s="146"/>
      <c r="G239" s="347">
        <f>G240+G252+G259</f>
        <v>9215350</v>
      </c>
      <c r="H239" s="347">
        <f>H240+H252+H259</f>
        <v>0</v>
      </c>
      <c r="I239" s="347">
        <f t="shared" si="39"/>
        <v>9215350</v>
      </c>
    </row>
    <row r="240" spans="1:9" s="141" customFormat="1" ht="94.5">
      <c r="A240" s="148" t="str">
        <f>IF(B240&gt;0,VLOOKUP(B240,КВСР!A54:B1219,2),IF(C240&gt;0,VLOOKUP(C240,КФСР!A54:B1566,2),IF(D240&gt;0,VLOOKUP(D240,Программа!A$1:B$5091,2),IF(F240&gt;0,VLOOKUP(F240,КВР!A$1:B$5001,2),IF(E240&gt;0,VLOOKUP(E240,Направление!A$1:B$4750,2))))))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0" s="149"/>
      <c r="C240" s="144"/>
      <c r="D240" s="145" t="s">
        <v>734</v>
      </c>
      <c r="E240" s="144"/>
      <c r="F240" s="146"/>
      <c r="G240" s="347">
        <f t="shared" ref="G240:H240" si="56">G241</f>
        <v>7044000</v>
      </c>
      <c r="H240" s="347">
        <f t="shared" si="56"/>
        <v>0</v>
      </c>
      <c r="I240" s="347">
        <f t="shared" si="39"/>
        <v>7044000</v>
      </c>
    </row>
    <row r="241" spans="1:9" s="141" customFormat="1" ht="78.75">
      <c r="A241" s="148" t="str">
        <f>IF(B241&gt;0,VLOOKUP(B241,КВСР!A55:B1220,2),IF(C241&gt;0,VLOOKUP(C241,КФСР!A55:B1567,2),IF(D241&gt;0,VLOOKUP(D241,Программа!A$1:B$5091,2),IF(F241&gt;0,VLOOKUP(F241,КВР!A$1:B$5001,2),IF(E241&gt;0,VLOOKUP(E241,Направление!A$1:B$4750,2))))))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1" s="149"/>
      <c r="C241" s="144"/>
      <c r="D241" s="145" t="s">
        <v>776</v>
      </c>
      <c r="E241" s="144"/>
      <c r="F241" s="146"/>
      <c r="G241" s="347">
        <f>G242+G244+G246+G250+G248</f>
        <v>7044000</v>
      </c>
      <c r="H241" s="347">
        <f>H242+H244+H246+H250+H248</f>
        <v>0</v>
      </c>
      <c r="I241" s="347">
        <f t="shared" si="39"/>
        <v>7044000</v>
      </c>
    </row>
    <row r="242" spans="1:9" s="141" customFormat="1" ht="51" customHeight="1">
      <c r="A242" s="148" t="str">
        <f>IF(B242&gt;0,VLOOKUP(B242,КВСР!A56:B1221,2),IF(C242&gt;0,VLOOKUP(C242,КФСР!A56:B1568,2),IF(D242&gt;0,VLOOKUP(D242,Программа!A$1:B$5091,2),IF(F242&gt;0,VLOOKUP(F242,КВР!A$1:B$5001,2),IF(E242&gt;0,VLOOKUP(E242,Направление!A$1:B$4750,2))))))</f>
        <v>Бюджетные инвестиции в объекты капитального строительства муниципальной собственности</v>
      </c>
      <c r="B242" s="149"/>
      <c r="C242" s="144"/>
      <c r="D242" s="145"/>
      <c r="E242" s="144">
        <v>10010</v>
      </c>
      <c r="F242" s="146"/>
      <c r="G242" s="379">
        <f>G243</f>
        <v>2353000</v>
      </c>
      <c r="H242" s="347">
        <f t="shared" ref="H242" si="57">H243</f>
        <v>0</v>
      </c>
      <c r="I242" s="347">
        <f t="shared" si="39"/>
        <v>2353000</v>
      </c>
    </row>
    <row r="243" spans="1:9" s="141" customFormat="1" ht="47.25">
      <c r="A243" s="148" t="str">
        <f>IF(B243&gt;0,VLOOKUP(B243,КВСР!A57:B1222,2),IF(C243&gt;0,VLOOKUP(C243,КФСР!A57:B1569,2),IF(D243&gt;0,VLOOKUP(D243,Программа!A$1:B$5091,2),IF(F243&gt;0,VLOOKUP(F243,КВР!A$1:B$5001,2),IF(E243&gt;0,VLOOKUP(E243,Направление!A$1:B$4750,2))))))</f>
        <v>Капитальные вложения в объекты государственной (муниципальной) собственности</v>
      </c>
      <c r="B243" s="149"/>
      <c r="C243" s="144"/>
      <c r="D243" s="145"/>
      <c r="E243" s="144"/>
      <c r="F243" s="146">
        <v>400</v>
      </c>
      <c r="G243" s="379">
        <v>2353000</v>
      </c>
      <c r="H243" s="151"/>
      <c r="I243" s="347">
        <f t="shared" si="39"/>
        <v>2353000</v>
      </c>
    </row>
    <row r="244" spans="1:9" s="141" customFormat="1" ht="53.25" customHeight="1">
      <c r="A244" s="148" t="str">
        <f>IF(B244&gt;0,VLOOKUP(B244,КВСР!A58:B1223,2),IF(C244&gt;0,VLOOKUP(C244,КФСР!A58:B1570,2),IF(D244&gt;0,VLOOKUP(D244,Программа!A$1:B$5091,2),IF(F244&gt;0,VLOOKUP(F244,КВР!A$1:B$5001,2),IF(E244&gt;0,VLOOKUP(E244,Направление!A$1:B$4750,2))))))</f>
        <v>Бюджетные инвестиции на строительство межпоселенческих газопроводов</v>
      </c>
      <c r="B244" s="149"/>
      <c r="C244" s="144"/>
      <c r="D244" s="145"/>
      <c r="E244" s="144">
        <v>15260</v>
      </c>
      <c r="F244" s="146"/>
      <c r="G244" s="379">
        <f>G245</f>
        <v>447000</v>
      </c>
      <c r="H244" s="347">
        <f t="shared" ref="H244" si="58">H245</f>
        <v>0</v>
      </c>
      <c r="I244" s="347">
        <f t="shared" si="39"/>
        <v>447000</v>
      </c>
    </row>
    <row r="245" spans="1:9" s="141" customFormat="1" ht="47.25">
      <c r="A245" s="148" t="str">
        <f>IF(B245&gt;0,VLOOKUP(B245,КВСР!A59:B1224,2),IF(C245&gt;0,VLOOKUP(C245,КФСР!A59:B1571,2),IF(D245&gt;0,VLOOKUP(D245,Программа!A$1:B$5091,2),IF(F245&gt;0,VLOOKUP(F245,КВР!A$1:B$5001,2),IF(E245&gt;0,VLOOKUP(E245,Направление!A$1:B$4750,2))))))</f>
        <v>Капитальные вложения в объекты государственной (муниципальной) собственности</v>
      </c>
      <c r="B245" s="149"/>
      <c r="C245" s="144"/>
      <c r="D245" s="145"/>
      <c r="E245" s="144"/>
      <c r="F245" s="146">
        <v>400</v>
      </c>
      <c r="G245" s="379">
        <v>447000</v>
      </c>
      <c r="H245" s="151"/>
      <c r="I245" s="347">
        <f t="shared" si="39"/>
        <v>447000</v>
      </c>
    </row>
    <row r="246" spans="1:9" s="141" customFormat="1" ht="34.5" customHeight="1">
      <c r="A246" s="148" t="str">
        <f>IF(B246&gt;0,VLOOKUP(B246,КВСР!A60:B1225,2),IF(C246&gt;0,VLOOKUP(C246,КФСР!A60:B1572,2),IF(D246&gt;0,VLOOKUP(D246,Программа!A$1:B$5091,2),IF(F246&gt;0,VLOOKUP(F246,КВР!A$1:B$5001,2),IF(E246&gt;0,VLOOKUP(E246,Направление!A$1:B$4750,2))))))</f>
        <v xml:space="preserve">Строительство и реконструкция  объектов  газификации </v>
      </c>
      <c r="B246" s="149"/>
      <c r="C246" s="144"/>
      <c r="D246" s="145"/>
      <c r="E246" s="144">
        <v>29066</v>
      </c>
      <c r="F246" s="146"/>
      <c r="G246" s="347">
        <f>G247</f>
        <v>230000</v>
      </c>
      <c r="H246" s="347">
        <f>H247</f>
        <v>0</v>
      </c>
      <c r="I246" s="347">
        <f>SUM(G246:H246)</f>
        <v>230000</v>
      </c>
    </row>
    <row r="247" spans="1:9" s="141" customFormat="1" ht="66.75" customHeight="1">
      <c r="A247" s="148" t="str">
        <f>IF(B247&gt;0,VLOOKUP(B247,КВСР!A61:B1226,2),IF(C247&gt;0,VLOOKUP(C247,КФСР!A61:B1573,2),IF(D247&gt;0,VLOOKUP(D247,Программа!A$1:B$5091,2),IF(F247&gt;0,VLOOKUP(F247,КВР!A$1:B$5001,2),IF(E247&gt;0,VLOOKUP(E247,Направление!A$1:B$4750,2))))))</f>
        <v>Предоставление субсидий бюджетным, автономным учреждениям и иным некоммерческим организациям</v>
      </c>
      <c r="B247" s="149"/>
      <c r="C247" s="144"/>
      <c r="D247" s="145"/>
      <c r="E247" s="144"/>
      <c r="F247" s="146">
        <v>600</v>
      </c>
      <c r="G247" s="379">
        <v>230000</v>
      </c>
      <c r="H247" s="151"/>
      <c r="I247" s="347">
        <f>SUM(G247:H247)</f>
        <v>230000</v>
      </c>
    </row>
    <row r="248" spans="1:9" s="141" customFormat="1" ht="66.75" hidden="1" customHeight="1">
      <c r="A248" s="148" t="str">
        <f>IF(B248&gt;0,VLOOKUP(B248,КВСР!A62:B1227,2),IF(C248&gt;0,VLOOKUP(C248,КФСР!A62:B1574,2),IF(D248&gt;0,VLOOKUP(D248,Программа!A$1:B$5091,2),IF(F248&gt;0,VLOOKUP(F248,КВР!A$1:B$5001,2),IF(E248&gt;0,VLOOKUP(E248,Направление!A$1:B$4750,2))))))</f>
        <v>Обеспечение мероприятий по оптимизации  теплоснабжения с переводом объектов на индивидуальное газовое отопление</v>
      </c>
      <c r="B248" s="149"/>
      <c r="C248" s="144"/>
      <c r="D248" s="145"/>
      <c r="E248" s="144">
        <v>29596</v>
      </c>
      <c r="F248" s="146"/>
      <c r="G248" s="379"/>
      <c r="H248" s="347">
        <f>H249</f>
        <v>0</v>
      </c>
      <c r="I248" s="347">
        <f>SUM(G248:H248)</f>
        <v>0</v>
      </c>
    </row>
    <row r="249" spans="1:9" s="141" customFormat="1" ht="66.75" hidden="1" customHeight="1">
      <c r="A249" s="148" t="str">
        <f>IF(B249&gt;0,VLOOKUP(B249,КВСР!A63:B1228,2),IF(C249&gt;0,VLOOKUP(C249,КФСР!A63:B1575,2),IF(D249&gt;0,VLOOKUP(D249,Программа!A$1:B$5091,2),IF(F249&gt;0,VLOOKUP(F249,КВР!A$1:B$5001,2),IF(E249&gt;0,VLOOKUP(E249,Направление!A$1:B$4750,2))))))</f>
        <v>Предоставление субсидий бюджетным, автономным учреждениям и иным некоммерческим организациям</v>
      </c>
      <c r="B249" s="149"/>
      <c r="C249" s="144"/>
      <c r="D249" s="145"/>
      <c r="E249" s="144"/>
      <c r="F249" s="146">
        <v>600</v>
      </c>
      <c r="G249" s="379"/>
      <c r="H249" s="151">
        <v>0</v>
      </c>
      <c r="I249" s="347">
        <f>SUM(G249:H249)</f>
        <v>0</v>
      </c>
    </row>
    <row r="250" spans="1:9" s="141" customFormat="1" ht="47.25">
      <c r="A250" s="148" t="str">
        <f>IF(B250&gt;0,VLOOKUP(B250,КВСР!A58:B1223,2),IF(C250&gt;0,VLOOKUP(C250,КФСР!A58:B1570,2),IF(D250&gt;0,VLOOKUP(D250,Программа!A$1:B$5091,2),IF(F250&gt;0,VLOOKUP(F250,КВР!A$1:B$5001,2),IF(E250&gt;0,VLOOKUP(E250,Направление!A$1:B$4750,2))))))</f>
        <v>Субсидия на мероприятия по строительству межпоселеченских газопроводов</v>
      </c>
      <c r="B250" s="149"/>
      <c r="C250" s="144"/>
      <c r="D250" s="145"/>
      <c r="E250" s="144">
        <v>75260</v>
      </c>
      <c r="F250" s="146"/>
      <c r="G250" s="379">
        <f>G251</f>
        <v>4014000</v>
      </c>
      <c r="H250" s="347">
        <f t="shared" ref="H250" si="59">H251</f>
        <v>0</v>
      </c>
      <c r="I250" s="347">
        <f t="shared" si="39"/>
        <v>4014000</v>
      </c>
    </row>
    <row r="251" spans="1:9" s="141" customFormat="1" ht="47.25">
      <c r="A251" s="148" t="str">
        <f>IF(B251&gt;0,VLOOKUP(B251,КВСР!A59:B1224,2),IF(C251&gt;0,VLOOKUP(C251,КФСР!A59:B1571,2),IF(D251&gt;0,VLOOKUP(D251,Программа!A$1:B$5091,2),IF(F251&gt;0,VLOOKUP(F251,КВР!A$1:B$5001,2),IF(E251&gt;0,VLOOKUP(E251,Направление!A$1:B$4750,2))))))</f>
        <v>Капитальные вложения в объекты государственной (муниципальной) собственности</v>
      </c>
      <c r="B251" s="149"/>
      <c r="C251" s="144"/>
      <c r="D251" s="145"/>
      <c r="E251" s="144"/>
      <c r="F251" s="146">
        <v>400</v>
      </c>
      <c r="G251" s="379">
        <v>4014000</v>
      </c>
      <c r="H251" s="151"/>
      <c r="I251" s="347">
        <f t="shared" si="39"/>
        <v>4014000</v>
      </c>
    </row>
    <row r="252" spans="1:9" s="141" customFormat="1" ht="78.75">
      <c r="A252" s="148" t="str">
        <f>IF(B252&gt;0,VLOOKUP(B252,КВСР!A58:B1223,2),IF(C252&gt;0,VLOOKUP(C252,КФСР!A58:B1570,2),IF(D252&gt;0,VLOOKUP(D252,Программа!A$1:B$5091,2),IF(F252&gt;0,VLOOKUP(F252,КВР!A$1:B$5001,2),IF(E252&gt;0,VLOOKUP(E252,Направление!A$1:B$4750,2))))))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49"/>
      <c r="C252" s="144"/>
      <c r="D252" s="145" t="s">
        <v>738</v>
      </c>
      <c r="E252" s="144"/>
      <c r="F252" s="146"/>
      <c r="G252" s="347">
        <f>G253</f>
        <v>2171350</v>
      </c>
      <c r="H252" s="347">
        <f>H253</f>
        <v>0</v>
      </c>
      <c r="I252" s="347">
        <f t="shared" si="39"/>
        <v>2171350</v>
      </c>
    </row>
    <row r="253" spans="1:9" s="141" customFormat="1" ht="78.75">
      <c r="A253" s="148" t="str">
        <f>IF(B253&gt;0,VLOOKUP(B253,КВСР!A59:B1224,2),IF(C253&gt;0,VLOOKUP(C253,КФСР!A59:B1571,2),IF(D253&gt;0,VLOOKUP(D253,Программа!A$1:B$5091,2),IF(F253&gt;0,VLOOKUP(F253,КВР!A$1:B$5001,2),IF(E253&gt;0,VLOOKUP(E253,Направление!A$1:B$4750,2))))))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49"/>
      <c r="C253" s="144"/>
      <c r="D253" s="145" t="s">
        <v>739</v>
      </c>
      <c r="E253" s="144"/>
      <c r="F253" s="146"/>
      <c r="G253" s="347">
        <f>G254+G257</f>
        <v>2171350</v>
      </c>
      <c r="H253" s="347">
        <f>H254+H257</f>
        <v>0</v>
      </c>
      <c r="I253" s="347">
        <f t="shared" si="39"/>
        <v>2171350</v>
      </c>
    </row>
    <row r="254" spans="1:9" s="141" customFormat="1" ht="47.25">
      <c r="A254" s="148" t="str">
        <f>IF(B254&gt;0,VLOOKUP(B254,КВСР!A60:B1225,2),IF(C254&gt;0,VLOOKUP(C254,КФСР!A60:B1572,2),IF(D254&gt;0,VLOOKUP(D254,Программа!A$1:B$5091,2),IF(F254&gt;0,VLOOKUP(F254,КВР!A$1:B$5001,2),IF(E254&gt;0,VLOOKUP(E254,Направление!A$1:B$4750,2))))))</f>
        <v>Бюджетные инвестиции в объекты капитального строительства муниципальной собственности</v>
      </c>
      <c r="B254" s="149"/>
      <c r="C254" s="144"/>
      <c r="D254" s="145"/>
      <c r="E254" s="144">
        <v>10010</v>
      </c>
      <c r="F254" s="146"/>
      <c r="G254" s="347">
        <f>G255+G256</f>
        <v>1931350</v>
      </c>
      <c r="H254" s="347">
        <f>H255+H256</f>
        <v>0</v>
      </c>
      <c r="I254" s="347">
        <f t="shared" si="39"/>
        <v>1931350</v>
      </c>
    </row>
    <row r="255" spans="1:9" s="141" customFormat="1" ht="47.25">
      <c r="A255" s="148" t="str">
        <f>IF(B255&gt;0,VLOOKUP(B255,КВСР!A61:B1226,2),IF(C255&gt;0,VLOOKUP(C255,КФСР!A61:B1573,2),IF(D255&gt;0,VLOOKUP(D255,Программа!A$1:B$5091,2),IF(F255&gt;0,VLOOKUP(F255,КВР!A$1:B$5001,2),IF(E255&gt;0,VLOOKUP(E255,Направление!A$1:B$4750,2))))))</f>
        <v>Капитальные вложения в объекты государственной (муниципальной) собственности</v>
      </c>
      <c r="B255" s="149"/>
      <c r="C255" s="144"/>
      <c r="D255" s="145"/>
      <c r="E255" s="144"/>
      <c r="F255" s="146">
        <v>400</v>
      </c>
      <c r="G255" s="379">
        <v>931350</v>
      </c>
      <c r="H255" s="151"/>
      <c r="I255" s="347">
        <f t="shared" si="39"/>
        <v>931350</v>
      </c>
    </row>
    <row r="256" spans="1:9" s="141" customFormat="1" ht="61.5" customHeight="1">
      <c r="A256" s="148" t="str">
        <f>IF(B256&gt;0,VLOOKUP(B256,КВСР!A62:B1227,2),IF(C256&gt;0,VLOOKUP(C256,КФСР!A62:B1574,2),IF(D256&gt;0,VLOOKUP(D256,Программа!A$1:B$5091,2),IF(F256&gt;0,VLOOKUP(F256,КВР!A$1:B$5001,2),IF(E256&gt;0,VLOOKUP(E256,Направление!A$1:B$4750,2))))))</f>
        <v>Предоставление субсидий бюджетным, автономным учреждениям и иным некоммерческим организациям</v>
      </c>
      <c r="B256" s="149"/>
      <c r="C256" s="144"/>
      <c r="D256" s="145"/>
      <c r="E256" s="144"/>
      <c r="F256" s="146">
        <v>600</v>
      </c>
      <c r="G256" s="379">
        <v>1000000</v>
      </c>
      <c r="H256" s="151"/>
      <c r="I256" s="347">
        <f t="shared" si="39"/>
        <v>1000000</v>
      </c>
    </row>
    <row r="257" spans="1:9" s="141" customFormat="1" ht="64.5" customHeight="1">
      <c r="A257" s="148" t="str">
        <f>IF(B257&gt;0,VLOOKUP(B257,КВСР!A62:B1227,2),IF(C257&gt;0,VLOOKUP(C257,КФСР!A62:B1574,2),IF(D257&gt;0,VLOOKUP(D257,Программа!A$1:B$5091,2),IF(F257&gt;0,VLOOKUP(F257,КВР!A$1:B$5001,2),IF(E257&gt;0,VLOOKUP(E257,Направление!A$1:B$4750,2))))))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49"/>
      <c r="C257" s="144"/>
      <c r="D257" s="145"/>
      <c r="E257" s="144">
        <v>29046</v>
      </c>
      <c r="F257" s="146"/>
      <c r="G257" s="347">
        <f>G258</f>
        <v>240000</v>
      </c>
      <c r="H257" s="347">
        <f>H258</f>
        <v>0</v>
      </c>
      <c r="I257" s="347">
        <f>SUM(G257:H257)</f>
        <v>240000</v>
      </c>
    </row>
    <row r="258" spans="1:9" s="141" customFormat="1" ht="63">
      <c r="A258" s="148" t="str">
        <f>IF(B258&gt;0,VLOOKUP(B258,КВСР!A63:B1228,2),IF(C258&gt;0,VLOOKUP(C258,КФСР!A63:B1575,2),IF(D258&gt;0,VLOOKUP(D258,Программа!A$1:B$5091,2),IF(F258&gt;0,VLOOKUP(F258,КВР!A$1:B$5001,2),IF(E258&gt;0,VLOOKUP(E258,Направление!A$1:B$4750,2))))))</f>
        <v>Предоставление субсидий бюджетным, автономным учреждениям и иным некоммерческим организациям</v>
      </c>
      <c r="B258" s="149"/>
      <c r="C258" s="144"/>
      <c r="D258" s="145"/>
      <c r="E258" s="144"/>
      <c r="F258" s="146">
        <v>600</v>
      </c>
      <c r="G258" s="379">
        <v>240000</v>
      </c>
      <c r="H258" s="151"/>
      <c r="I258" s="347">
        <f>SUM(G258:H258)</f>
        <v>240000</v>
      </c>
    </row>
    <row r="259" spans="1:9" s="141" customFormat="1" ht="78.75" hidden="1">
      <c r="A259" s="148" t="str">
        <f>IF(B259&gt;0,VLOOKUP(B259,КВСР!A64:B1229,2),IF(C259&gt;0,VLOOKUP(C259,КФСР!A64:B1576,2),IF(D259&gt;0,VLOOKUP(D259,Программа!A$1:B$5091,2),IF(F259&gt;0,VLOOKUP(F259,КВР!A$1:B$5001,2),IF(E259&gt;0,VLOOKUP(E259,Направление!A$1:B$4750,2))))))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9" s="149"/>
      <c r="C259" s="144"/>
      <c r="D259" s="145" t="s">
        <v>741</v>
      </c>
      <c r="E259" s="144"/>
      <c r="F259" s="146"/>
      <c r="G259" s="379">
        <f>G260</f>
        <v>0</v>
      </c>
      <c r="H259" s="347">
        <f t="shared" ref="H259" si="60">H260</f>
        <v>0</v>
      </c>
      <c r="I259" s="347">
        <f t="shared" si="39"/>
        <v>0</v>
      </c>
    </row>
    <row r="260" spans="1:9" s="141" customFormat="1" ht="47.25" hidden="1">
      <c r="A260" s="148" t="str">
        <f>IF(B260&gt;0,VLOOKUP(B260,КВСР!A65:B1230,2),IF(C260&gt;0,VLOOKUP(C260,КФСР!A65:B1577,2),IF(D260&gt;0,VLOOKUP(D260,Программа!A$1:B$5091,2),IF(F260&gt;0,VLOOKUP(F260,КВР!A$1:B$5001,2),IF(E260&gt;0,VLOOKUP(E260,Направление!A$1:B$4750,2))))))</f>
        <v>Проведение комплекса работ по ремонту, замене и реконструкции объектов теплоснабжения</v>
      </c>
      <c r="B260" s="149"/>
      <c r="C260" s="144"/>
      <c r="D260" s="145" t="s">
        <v>743</v>
      </c>
      <c r="E260" s="144"/>
      <c r="F260" s="146"/>
      <c r="G260" s="379">
        <f>G261</f>
        <v>0</v>
      </c>
      <c r="H260" s="347">
        <f t="shared" ref="H260:H261" si="61">H261</f>
        <v>0</v>
      </c>
      <c r="I260" s="347">
        <f t="shared" si="39"/>
        <v>0</v>
      </c>
    </row>
    <row r="261" spans="1:9" s="141" customFormat="1" ht="63" hidden="1">
      <c r="A261" s="148" t="str">
        <f>IF(B261&gt;0,VLOOKUP(B261,КВСР!A66:B1231,2),IF(C261&gt;0,VLOOKUP(C261,КФСР!A66:B1578,2),IF(D261&gt;0,VLOOKUP(D261,Программа!A$1:B$5091,2),IF(F261&gt;0,VLOOKUP(F261,КВР!A$1:B$5001,2),IF(E261&gt;0,VLOOKUP(E261,Направление!A$1:B$4750,2))))))</f>
        <v>Субсидия на возмещение затрат по содержанию и ремонту  объектов находящихся в муниципальной собственности</v>
      </c>
      <c r="B261" s="149"/>
      <c r="C261" s="144"/>
      <c r="D261" s="145"/>
      <c r="E261" s="144">
        <v>10030</v>
      </c>
      <c r="F261" s="146"/>
      <c r="G261" s="379">
        <f>G262</f>
        <v>0</v>
      </c>
      <c r="H261" s="347">
        <f t="shared" si="61"/>
        <v>0</v>
      </c>
      <c r="I261" s="347">
        <f t="shared" si="39"/>
        <v>0</v>
      </c>
    </row>
    <row r="262" spans="1:9" s="141" customFormat="1" ht="63" hidden="1">
      <c r="A262" s="148" t="str">
        <f>IF(B262&gt;0,VLOOKUP(B262,КВСР!A67:B1232,2),IF(C262&gt;0,VLOOKUP(C262,КФСР!A67:B1579,2),IF(D262&gt;0,VLOOKUP(D262,Программа!A$1:B$5091,2),IF(F262&gt;0,VLOOKUP(F262,КВР!A$1:B$5001,2),IF(E262&gt;0,VLOOKUP(E262,Направление!A$1:B$4750,2))))))</f>
        <v>Предоставление субсидий бюджетным, автономным учреждениям и иным некоммерческим организациям</v>
      </c>
      <c r="B262" s="149"/>
      <c r="C262" s="144"/>
      <c r="D262" s="145"/>
      <c r="E262" s="144"/>
      <c r="F262" s="146">
        <v>600</v>
      </c>
      <c r="G262" s="379">
        <v>0</v>
      </c>
      <c r="H262" s="151">
        <v>0</v>
      </c>
      <c r="I262" s="347">
        <f>SUM(G262:H262)</f>
        <v>0</v>
      </c>
    </row>
    <row r="263" spans="1:9" s="141" customFormat="1" ht="22.5" customHeight="1">
      <c r="A263" s="148" t="str">
        <f>IF(B263&gt;0,VLOOKUP(B263,КВСР!A68:B1233,2),IF(C263&gt;0,VLOOKUP(C263,КФСР!A68:B1580,2),IF(D263&gt;0,VLOOKUP(D263,Программа!A$1:B$5091,2),IF(F263&gt;0,VLOOKUP(F263,КВР!A$1:B$5001,2),IF(E263&gt;0,VLOOKUP(E263,Направление!A$1:B$4750,2))))))</f>
        <v>Непрограммные расходы бюджета</v>
      </c>
      <c r="B263" s="149"/>
      <c r="C263" s="144"/>
      <c r="D263" s="145" t="s">
        <v>480</v>
      </c>
      <c r="E263" s="144"/>
      <c r="F263" s="146"/>
      <c r="G263" s="347">
        <f>G264</f>
        <v>2913817</v>
      </c>
      <c r="H263" s="347">
        <f>H264</f>
        <v>0</v>
      </c>
      <c r="I263" s="347">
        <f t="shared" ref="I263:I264" si="62">SUM(G263:H263)</f>
        <v>2913817</v>
      </c>
    </row>
    <row r="264" spans="1:9" s="141" customFormat="1" ht="50.25" customHeight="1">
      <c r="A264" s="148" t="str">
        <f>IF(B264&gt;0,VLOOKUP(B264,КВСР!A69:B1234,2),IF(C264&gt;0,VLOOKUP(C264,КФСР!A69:B1581,2),IF(D264&gt;0,VLOOKUP(D264,Программа!A$1:B$5091,2),IF(F264&gt;0,VLOOKUP(F264,КВР!A$1:B$5001,2),IF(E264&gt;0,VLOOKUP(E264,Направление!A$1:B$4750,2))))))</f>
        <v>Обеспечение мероприятий  по переработке и утилизации ливневых стоков</v>
      </c>
      <c r="B264" s="149"/>
      <c r="C264" s="144"/>
      <c r="D264" s="145"/>
      <c r="E264" s="144">
        <v>29616</v>
      </c>
      <c r="F264" s="146"/>
      <c r="G264" s="347">
        <f>G265</f>
        <v>2913817</v>
      </c>
      <c r="H264" s="347">
        <f>H265</f>
        <v>0</v>
      </c>
      <c r="I264" s="347">
        <f t="shared" si="62"/>
        <v>2913817</v>
      </c>
    </row>
    <row r="265" spans="1:9" s="141" customFormat="1" ht="63">
      <c r="A265" s="148" t="str">
        <f>IF(B265&gt;0,VLOOKUP(B265,КВСР!A70:B1235,2),IF(C265&gt;0,VLOOKUP(C265,КФСР!A70:B1582,2),IF(D265&gt;0,VLOOKUP(D265,Программа!A$1:B$5091,2),IF(F265&gt;0,VLOOKUP(F265,КВР!A$1:B$5001,2),IF(E265&gt;0,VLOOKUP(E265,Направление!A$1:B$4750,2))))))</f>
        <v>Предоставление субсидий бюджетным, автономным учреждениям и иным некоммерческим организациям</v>
      </c>
      <c r="B265" s="149"/>
      <c r="C265" s="144"/>
      <c r="D265" s="145"/>
      <c r="E265" s="144"/>
      <c r="F265" s="146">
        <v>600</v>
      </c>
      <c r="G265" s="379">
        <v>2913817</v>
      </c>
      <c r="H265" s="151"/>
      <c r="I265" s="347">
        <f>SUM(G265:H265)</f>
        <v>2913817</v>
      </c>
    </row>
    <row r="266" spans="1:9" s="141" customFormat="1" ht="31.5">
      <c r="A266" s="148" t="str">
        <f>IF(B266&gt;0,VLOOKUP(B266,КВСР!A68:B1233,2),IF(C266&gt;0,VLOOKUP(C266,КФСР!A68:B1580,2),IF(D266&gt;0,VLOOKUP(D266,Программа!A$1:B$5091,2),IF(F266&gt;0,VLOOKUP(F266,КВР!A$1:B$5001,2),IF(E266&gt;0,VLOOKUP(E266,Направление!A$1:B$4750,2))))))</f>
        <v>Межбюджетные трансферты  поселениям района</v>
      </c>
      <c r="B266" s="149"/>
      <c r="C266" s="144"/>
      <c r="D266" s="145" t="s">
        <v>653</v>
      </c>
      <c r="E266" s="144"/>
      <c r="F266" s="146"/>
      <c r="G266" s="379">
        <f>G267</f>
        <v>725000</v>
      </c>
      <c r="H266" s="347">
        <f t="shared" ref="H266:H267" si="63">H267</f>
        <v>0</v>
      </c>
      <c r="I266" s="347">
        <f t="shared" si="39"/>
        <v>725000</v>
      </c>
    </row>
    <row r="267" spans="1:9" s="141" customFormat="1" ht="47.25">
      <c r="A267" s="148" t="str">
        <f>IF(B267&gt;0,VLOOKUP(B267,КВСР!A69:B1234,2),IF(C267&gt;0,VLOOKUP(C267,КФСР!A69:B1581,2),IF(D267&gt;0,VLOOKUP(D267,Программа!A$1:B$5091,2),IF(F267&gt;0,VLOOKUP(F267,КВР!A$1:B$5001,2),IF(E267&gt;0,VLOOKUP(E267,Направление!A$1:B$4750,2))))))</f>
        <v>Бюджетные инвестиции в объекты капитального строительства муниципальной собственности</v>
      </c>
      <c r="B267" s="149"/>
      <c r="C267" s="144"/>
      <c r="D267" s="145"/>
      <c r="E267" s="144">
        <v>10010</v>
      </c>
      <c r="F267" s="146"/>
      <c r="G267" s="379">
        <f>G268</f>
        <v>725000</v>
      </c>
      <c r="H267" s="347">
        <f t="shared" si="63"/>
        <v>0</v>
      </c>
      <c r="I267" s="347">
        <f t="shared" si="39"/>
        <v>725000</v>
      </c>
    </row>
    <row r="268" spans="1:9" s="141" customFormat="1">
      <c r="A268" s="148" t="str">
        <f>IF(B268&gt;0,VLOOKUP(B268,КВСР!A70:B1235,2),IF(C268&gt;0,VLOOKUP(C268,КФСР!A70:B1582,2),IF(D268&gt;0,VLOOKUP(D268,Программа!A$1:B$5091,2),IF(F268&gt;0,VLOOKUP(F268,КВР!A$1:B$5001,2),IF(E268&gt;0,VLOOKUP(E268,Направление!A$1:B$4750,2))))))</f>
        <v xml:space="preserve"> Межбюджетные трансферты</v>
      </c>
      <c r="B268" s="149"/>
      <c r="C268" s="144"/>
      <c r="D268" s="145"/>
      <c r="E268" s="144"/>
      <c r="F268" s="146">
        <v>500</v>
      </c>
      <c r="G268" s="379">
        <v>725000</v>
      </c>
      <c r="H268" s="151"/>
      <c r="I268" s="347">
        <f t="shared" si="39"/>
        <v>725000</v>
      </c>
    </row>
    <row r="269" spans="1:9" s="141" customFormat="1">
      <c r="A269" s="148" t="str">
        <f>IF(B269&gt;0,VLOOKUP(B269,КВСР!A71:B1236,2),IF(C269&gt;0,VLOOKUP(C269,КФСР!A71:B1583,2),IF(D269&gt;0,VLOOKUP(D269,Программа!A$1:B$5091,2),IF(F269&gt;0,VLOOKUP(F269,КВР!A$1:B$5001,2),IF(E269&gt;0,VLOOKUP(E269,Направление!A$1:B$4750,2))))))</f>
        <v>Благоустройство</v>
      </c>
      <c r="B269" s="149"/>
      <c r="C269" s="144">
        <v>503</v>
      </c>
      <c r="D269" s="145"/>
      <c r="E269" s="144"/>
      <c r="F269" s="146"/>
      <c r="G269" s="347">
        <f>G270+G287</f>
        <v>91592403</v>
      </c>
      <c r="H269" s="347">
        <f>H270+H287</f>
        <v>4030414</v>
      </c>
      <c r="I269" s="347">
        <f t="shared" si="39"/>
        <v>95622817</v>
      </c>
    </row>
    <row r="270" spans="1:9" s="141" customFormat="1" ht="63">
      <c r="A270" s="148" t="str">
        <f>IF(B270&gt;0,VLOOKUP(B270,КВСР!A72:B1237,2),IF(C270&gt;0,VLOOKUP(C270,КФСР!A72:B1584,2),IF(D270&gt;0,VLOOKUP(D270,Программа!A$1:B$5091,2),IF(F270&gt;0,VLOOKUP(F270,КВР!A$1:B$5001,2),IF(E270&gt;0,VLOOKUP(E270,Направление!A$1:B$4750,2))))))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70" s="149"/>
      <c r="C270" s="144"/>
      <c r="D270" s="145" t="s">
        <v>823</v>
      </c>
      <c r="E270" s="144"/>
      <c r="F270" s="146"/>
      <c r="G270" s="347">
        <f>G271+G275</f>
        <v>31502437</v>
      </c>
      <c r="H270" s="347">
        <f>H271+H275</f>
        <v>3656364</v>
      </c>
      <c r="I270" s="347">
        <f t="shared" ref="I270:I273" si="64">SUM(G270:H270)</f>
        <v>35158801</v>
      </c>
    </row>
    <row r="271" spans="1:9" s="141" customFormat="1" ht="63">
      <c r="A271" s="148" t="str">
        <f>IF(B271&gt;0,VLOOKUP(B271,КВСР!A73:B1238,2),IF(C271&gt;0,VLOOKUP(C271,КФСР!A73:B1585,2),IF(D271&gt;0,VLOOKUP(D271,Программа!A$1:B$5091,2),IF(F271&gt;0,VLOOKUP(F271,КВР!A$1:B$5001,2),IF(E271&gt;0,VLOOKUP(E271,Направление!A$1:B$4750,2))))))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71" s="149"/>
      <c r="C271" s="144"/>
      <c r="D271" s="145" t="s">
        <v>825</v>
      </c>
      <c r="E271" s="144"/>
      <c r="F271" s="146"/>
      <c r="G271" s="347">
        <f t="shared" ref="G271:H273" si="65">G272</f>
        <v>1000000</v>
      </c>
      <c r="H271" s="347">
        <f t="shared" si="65"/>
        <v>0</v>
      </c>
      <c r="I271" s="347">
        <f t="shared" si="64"/>
        <v>1000000</v>
      </c>
    </row>
    <row r="272" spans="1:9" s="141" customFormat="1" ht="47.25">
      <c r="A272" s="148" t="str">
        <f>IF(B272&gt;0,VLOOKUP(B272,КВСР!A74:B1239,2),IF(C272&gt;0,VLOOKUP(C272,КФСР!A74:B1586,2),IF(D272&gt;0,VLOOKUP(D272,Программа!A$1:B$5091,2),IF(F272&gt;0,VLOOKUP(F272,КВР!A$1:B$5001,2),IF(E272&gt;0,VLOOKUP(E272,Направление!A$1:B$4750,2))))))</f>
        <v>Обеспечение комплекса работ по повышению уровня благоустройства мест погребений</v>
      </c>
      <c r="B272" s="149"/>
      <c r="C272" s="144"/>
      <c r="D272" s="145" t="s">
        <v>827</v>
      </c>
      <c r="E272" s="144"/>
      <c r="F272" s="146"/>
      <c r="G272" s="347">
        <f t="shared" si="65"/>
        <v>1000000</v>
      </c>
      <c r="H272" s="347">
        <f t="shared" si="65"/>
        <v>0</v>
      </c>
      <c r="I272" s="347">
        <f t="shared" si="64"/>
        <v>1000000</v>
      </c>
    </row>
    <row r="273" spans="1:9" s="141" customFormat="1" ht="31.5">
      <c r="A273" s="148" t="str">
        <f>IF(B273&gt;0,VLOOKUP(B273,КВСР!A75:B1240,2),IF(C273&gt;0,VLOOKUP(C273,КФСР!A75:B1587,2),IF(D273&gt;0,VLOOKUP(D273,Программа!A$1:B$5091,2),IF(F273&gt;0,VLOOKUP(F273,КВР!A$1:B$5001,2),IF(E273&gt;0,VLOOKUP(E273,Направление!A$1:B$4750,2))))))</f>
        <v>Обеспечение мероприятий по  содержанию мест захоронения</v>
      </c>
      <c r="B273" s="149"/>
      <c r="C273" s="144"/>
      <c r="D273" s="145"/>
      <c r="E273" s="144">
        <v>29316</v>
      </c>
      <c r="F273" s="146"/>
      <c r="G273" s="347">
        <f t="shared" si="65"/>
        <v>1000000</v>
      </c>
      <c r="H273" s="347">
        <f t="shared" si="65"/>
        <v>0</v>
      </c>
      <c r="I273" s="347">
        <f t="shared" si="64"/>
        <v>1000000</v>
      </c>
    </row>
    <row r="274" spans="1:9" s="141" customFormat="1" ht="63">
      <c r="A274" s="148" t="str">
        <f>IF(B274&gt;0,VLOOKUP(B274,КВСР!A76:B1241,2),IF(C274&gt;0,VLOOKUP(C274,КФСР!A76:B1588,2),IF(D274&gt;0,VLOOKUP(D274,Программа!A$1:B$5091,2),IF(F274&gt;0,VLOOKUP(F274,КВР!A$1:B$5001,2),IF(E274&gt;0,VLOOKUP(E274,Направление!A$1:B$4750,2))))))</f>
        <v>Предоставление субсидий бюджетным, автономным учреждениям и иным некоммерческим организациям</v>
      </c>
      <c r="B274" s="149"/>
      <c r="C274" s="144"/>
      <c r="D274" s="145"/>
      <c r="E274" s="144"/>
      <c r="F274" s="146">
        <v>600</v>
      </c>
      <c r="G274" s="379">
        <v>1000000</v>
      </c>
      <c r="H274" s="151"/>
      <c r="I274" s="347">
        <f>SUM(G274:H274)</f>
        <v>1000000</v>
      </c>
    </row>
    <row r="275" spans="1:9" s="141" customFormat="1" ht="63">
      <c r="A275" s="148" t="str">
        <f>IF(B275&gt;0,VLOOKUP(B275,КВСР!A77:B1242,2),IF(C275&gt;0,VLOOKUP(C275,КФСР!A77:B1589,2),IF(D275&gt;0,VLOOKUP(D275,Программа!A$1:B$5091,2),IF(F275&gt;0,VLOOKUP(F275,КВР!A$1:B$5001,2),IF(E275&gt;0,VLOOKUP(E275,Направление!A$1:B$4750,2))))))</f>
        <v>Муниципальная целевая программа "Благоустройство и озеленение территории  в Тутаевского муниципального  района"</v>
      </c>
      <c r="B275" s="149"/>
      <c r="C275" s="144"/>
      <c r="D275" s="145" t="s">
        <v>829</v>
      </c>
      <c r="E275" s="144"/>
      <c r="F275" s="146"/>
      <c r="G275" s="347">
        <f>G276</f>
        <v>30502437</v>
      </c>
      <c r="H275" s="347">
        <f>H276</f>
        <v>3656364</v>
      </c>
      <c r="I275" s="347">
        <f t="shared" ref="I275:I293" si="66">SUM(G275:H275)</f>
        <v>34158801</v>
      </c>
    </row>
    <row r="276" spans="1:9" s="141" customFormat="1" ht="63">
      <c r="A276" s="148" t="str">
        <f>IF(B276&gt;0,VLOOKUP(B276,КВСР!A78:B1243,2),IF(C276&gt;0,VLOOKUP(C276,КФСР!A78:B1590,2),IF(D276&gt;0,VLOOKUP(D276,Программа!A$1:B$5091,2),IF(F276&gt;0,VLOOKUP(F276,КВР!A$1:B$5001,2),IF(E276&gt;0,VLOOKUP(E276,Направление!A$1:B$4750,2))))))</f>
        <v>Улучшение уровня внешнего благоустройства и санитарного  состояния территорий Тутаевского муниципального района</v>
      </c>
      <c r="B276" s="149"/>
      <c r="C276" s="144"/>
      <c r="D276" s="145" t="s">
        <v>831</v>
      </c>
      <c r="E276" s="144"/>
      <c r="F276" s="146"/>
      <c r="G276" s="347">
        <f>G277+G279+G281+G283+G285</f>
        <v>30502437</v>
      </c>
      <c r="H276" s="347">
        <f>H277+H279+H281+H283+H285</f>
        <v>3656364</v>
      </c>
      <c r="I276" s="347">
        <f t="shared" si="66"/>
        <v>34158801</v>
      </c>
    </row>
    <row r="277" spans="1:9" s="141" customFormat="1" ht="63" hidden="1">
      <c r="A277" s="148" t="str">
        <f>IF(B277&gt;0,VLOOKUP(B277,КВСР!A79:B1244,2),IF(C277&gt;0,VLOOKUP(C277,КФСР!A79:B1591,2),IF(D277&gt;0,VLOOKUP(D277,Программа!A$1:B$5091,2),IF(F277&gt;0,VLOOKUP(F277,КВР!A$1:B$5001,2),IF(E277&gt;0,VLOOKUP(E277,Направление!A$1:B$4750,2))))))</f>
        <v>Мероприятия по благоустройству и ремонту дворовых территории в рамках софинансирования инициативного бюджетирования</v>
      </c>
      <c r="B277" s="149"/>
      <c r="C277" s="144"/>
      <c r="D277" s="145"/>
      <c r="E277" s="144">
        <v>25356</v>
      </c>
      <c r="F277" s="146"/>
      <c r="G277" s="347">
        <f>G278</f>
        <v>0</v>
      </c>
      <c r="H277" s="347">
        <f>H278</f>
        <v>0</v>
      </c>
      <c r="I277" s="347">
        <f t="shared" si="66"/>
        <v>0</v>
      </c>
    </row>
    <row r="278" spans="1:9" s="141" customFormat="1" ht="63" hidden="1">
      <c r="A278" s="148" t="str">
        <f>IF(B278&gt;0,VLOOKUP(B278,КВСР!A80:B1245,2),IF(C278&gt;0,VLOOKUP(C278,КФСР!A80:B1592,2),IF(D278&gt;0,VLOOKUP(D278,Программа!A$1:B$5091,2),IF(F278&gt;0,VLOOKUP(F278,КВР!A$1:B$5001,2),IF(E278&gt;0,VLOOKUP(E278,Направление!A$1:B$4750,2))))))</f>
        <v>Предоставление субсидий бюджетным, автономным учреждениям и иным некоммерческим организациям</v>
      </c>
      <c r="B278" s="149"/>
      <c r="C278" s="144"/>
      <c r="D278" s="145"/>
      <c r="E278" s="144"/>
      <c r="F278" s="146">
        <v>600</v>
      </c>
      <c r="G278" s="379"/>
      <c r="H278" s="151">
        <v>0</v>
      </c>
      <c r="I278" s="347">
        <f t="shared" si="66"/>
        <v>0</v>
      </c>
    </row>
    <row r="279" spans="1:9" s="141" customFormat="1" ht="31.5">
      <c r="A279" s="148" t="str">
        <f>IF(B279&gt;0,VLOOKUP(B279,КВСР!A81:B1246,2),IF(C279&gt;0,VLOOKUP(C279,КФСР!A81:B1593,2),IF(D279&gt;0,VLOOKUP(D279,Программа!A$1:B$5091,2),IF(F279&gt;0,VLOOKUP(F279,КВР!A$1:B$5001,2),IF(E279&gt;0,VLOOKUP(E279,Направление!A$1:B$4750,2))))))</f>
        <v>Обеспечение мероприятий по уличному освещению</v>
      </c>
      <c r="B279" s="149"/>
      <c r="C279" s="144"/>
      <c r="D279" s="145"/>
      <c r="E279" s="144">
        <v>29236</v>
      </c>
      <c r="F279" s="146"/>
      <c r="G279" s="347">
        <f>G280</f>
        <v>11196614</v>
      </c>
      <c r="H279" s="347">
        <f>H280</f>
        <v>303386</v>
      </c>
      <c r="I279" s="347">
        <f t="shared" si="66"/>
        <v>11500000</v>
      </c>
    </row>
    <row r="280" spans="1:9" s="141" customFormat="1" ht="63">
      <c r="A280" s="148" t="str">
        <f>IF(B280&gt;0,VLOOKUP(B280,КВСР!A82:B1247,2),IF(C280&gt;0,VLOOKUP(C280,КФСР!A82:B1594,2),IF(D280&gt;0,VLOOKUP(D280,Программа!A$1:B$5091,2),IF(F280&gt;0,VLOOKUP(F280,КВР!A$1:B$5001,2),IF(E280&gt;0,VLOOKUP(E280,Направление!A$1:B$4750,2))))))</f>
        <v>Предоставление субсидий бюджетным, автономным учреждениям и иным некоммерческим организациям</v>
      </c>
      <c r="B280" s="149"/>
      <c r="C280" s="144"/>
      <c r="D280" s="145"/>
      <c r="E280" s="144"/>
      <c r="F280" s="146">
        <v>600</v>
      </c>
      <c r="G280" s="379">
        <v>11196614</v>
      </c>
      <c r="H280" s="151">
        <v>303386</v>
      </c>
      <c r="I280" s="347">
        <f t="shared" si="66"/>
        <v>11500000</v>
      </c>
    </row>
    <row r="281" spans="1:9" s="141" customFormat="1" ht="63">
      <c r="A281" s="148" t="str">
        <f>IF(B281&gt;0,VLOOKUP(B281,КВСР!A83:B1248,2),IF(C281&gt;0,VLOOKUP(C281,КФСР!A83:B1595,2),IF(D281&gt;0,VLOOKUP(D281,Программа!A$1:B$5091,2),IF(F281&gt;0,VLOOKUP(F281,КВР!A$1:B$5001,2),IF(E281&gt;0,VLOOKUP(E281,Направление!A$1:B$4750,2))))))</f>
        <v>Обеспечение мероприятий по техническому содержанию, текущему и капитальному ремонту сетей уличного освещения</v>
      </c>
      <c r="B281" s="149"/>
      <c r="C281" s="144"/>
      <c r="D281" s="145"/>
      <c r="E281" s="144">
        <v>29246</v>
      </c>
      <c r="F281" s="146"/>
      <c r="G281" s="347">
        <f>G282</f>
        <v>2803386</v>
      </c>
      <c r="H281" s="347">
        <f>H282</f>
        <v>154450</v>
      </c>
      <c r="I281" s="347">
        <f t="shared" si="66"/>
        <v>2957836</v>
      </c>
    </row>
    <row r="282" spans="1:9" s="141" customFormat="1" ht="63">
      <c r="A282" s="148" t="str">
        <f>IF(B282&gt;0,VLOOKUP(B282,КВСР!A84:B1249,2),IF(C282&gt;0,VLOOKUP(C282,КФСР!A84:B1596,2),IF(D282&gt;0,VLOOKUP(D282,Программа!A$1:B$5091,2),IF(F282&gt;0,VLOOKUP(F282,КВР!A$1:B$5001,2),IF(E282&gt;0,VLOOKUP(E282,Направление!A$1:B$4750,2))))))</f>
        <v>Предоставление субсидий бюджетным, автономным учреждениям и иным некоммерческим организациям</v>
      </c>
      <c r="B282" s="149"/>
      <c r="C282" s="144"/>
      <c r="D282" s="145"/>
      <c r="E282" s="144"/>
      <c r="F282" s="146">
        <v>600</v>
      </c>
      <c r="G282" s="379">
        <v>2803386</v>
      </c>
      <c r="H282" s="151">
        <v>154450</v>
      </c>
      <c r="I282" s="347">
        <f t="shared" si="66"/>
        <v>2957836</v>
      </c>
    </row>
    <row r="283" spans="1:9" s="141" customFormat="1" ht="47.25">
      <c r="A283" s="148" t="str">
        <f>IF(B283&gt;0,VLOOKUP(B283,КВСР!A85:B1250,2),IF(C283&gt;0,VLOOKUP(C283,КФСР!A85:B1597,2),IF(D283&gt;0,VLOOKUP(D283,Программа!A$1:B$5091,2),IF(F283&gt;0,VLOOKUP(F283,КВР!A$1:B$5001,2),IF(E283&gt;0,VLOOKUP(E283,Направление!A$1:B$4750,2))))))</f>
        <v>Содержание и организация деятельности по благоустройству на территории поселения</v>
      </c>
      <c r="B283" s="149"/>
      <c r="C283" s="144"/>
      <c r="D283" s="145"/>
      <c r="E283" s="144">
        <v>29256</v>
      </c>
      <c r="F283" s="146"/>
      <c r="G283" s="347">
        <f>G284</f>
        <v>8424965</v>
      </c>
      <c r="H283" s="347">
        <f>H284</f>
        <v>4298801</v>
      </c>
      <c r="I283" s="347">
        <f t="shared" si="66"/>
        <v>12723766</v>
      </c>
    </row>
    <row r="284" spans="1:9" s="141" customFormat="1" ht="63">
      <c r="A284" s="148" t="str">
        <f>IF(B284&gt;0,VLOOKUP(B284,КВСР!A86:B1251,2),IF(C284&gt;0,VLOOKUP(C284,КФСР!A86:B1598,2),IF(D284&gt;0,VLOOKUP(D284,Программа!A$1:B$5091,2),IF(F284&gt;0,VLOOKUP(F284,КВР!A$1:B$5001,2),IF(E284&gt;0,VLOOKUP(E284,Направление!A$1:B$4750,2))))))</f>
        <v>Предоставление субсидий бюджетным, автономным учреждениям и иным некоммерческим организациям</v>
      </c>
      <c r="B284" s="149"/>
      <c r="C284" s="144"/>
      <c r="D284" s="145"/>
      <c r="E284" s="144"/>
      <c r="F284" s="146">
        <v>600</v>
      </c>
      <c r="G284" s="379">
        <v>8424965</v>
      </c>
      <c r="H284" s="151">
        <v>4298801</v>
      </c>
      <c r="I284" s="347">
        <f t="shared" si="66"/>
        <v>12723766</v>
      </c>
    </row>
    <row r="285" spans="1:9" s="141" customFormat="1" ht="31.5">
      <c r="A285" s="148" t="str">
        <f>IF(B285&gt;0,VLOOKUP(B285,КВСР!A87:B1252,2),IF(C285&gt;0,VLOOKUP(C285,КФСР!A87:B1599,2),IF(D285&gt;0,VLOOKUP(D285,Программа!A$1:B$5091,2),IF(F285&gt;0,VLOOKUP(F285,КВР!A$1:B$5001,2),IF(E285&gt;0,VLOOKUP(E285,Направление!A$1:B$4750,2))))))</f>
        <v>Обеспечение мероприятий в области благоустройства и озеленения</v>
      </c>
      <c r="B285" s="149"/>
      <c r="C285" s="144"/>
      <c r="D285" s="145"/>
      <c r="E285" s="144">
        <v>29266</v>
      </c>
      <c r="F285" s="146"/>
      <c r="G285" s="347">
        <f>G286</f>
        <v>8077472</v>
      </c>
      <c r="H285" s="347">
        <f>H286</f>
        <v>-1100273</v>
      </c>
      <c r="I285" s="347">
        <f t="shared" si="66"/>
        <v>6977199</v>
      </c>
    </row>
    <row r="286" spans="1:9" s="141" customFormat="1" ht="63">
      <c r="A286" s="148" t="str">
        <f>IF(B286&gt;0,VLOOKUP(B286,КВСР!A88:B1253,2),IF(C286&gt;0,VLOOKUP(C286,КФСР!A88:B1600,2),IF(D286&gt;0,VLOOKUP(D286,Программа!A$1:B$5091,2),IF(F286&gt;0,VLOOKUP(F286,КВР!A$1:B$5001,2),IF(E286&gt;0,VLOOKUP(E286,Направление!A$1:B$4750,2))))))</f>
        <v>Предоставление субсидий бюджетным, автономным учреждениям и иным некоммерческим организациям</v>
      </c>
      <c r="B286" s="149"/>
      <c r="C286" s="144"/>
      <c r="D286" s="145"/>
      <c r="E286" s="144"/>
      <c r="F286" s="146">
        <v>600</v>
      </c>
      <c r="G286" s="379">
        <v>8077472</v>
      </c>
      <c r="H286" s="151">
        <v>-1100273</v>
      </c>
      <c r="I286" s="347">
        <f t="shared" si="66"/>
        <v>6977199</v>
      </c>
    </row>
    <row r="287" spans="1:9" s="141" customFormat="1" ht="63">
      <c r="A287" s="148" t="str">
        <f>IF(B287&gt;0,VLOOKUP(B287,КВСР!A89:B1254,2),IF(C287&gt;0,VLOOKUP(C287,КФСР!A89:B1601,2),IF(D287&gt;0,VLOOKUP(D287,Программа!A$1:B$5091,2),IF(F287&gt;0,VLOOKUP(F287,КВР!A$1:B$5001,2),IF(E287&gt;0,VLOOKUP(E287,Направление!A$1:B$4750,2))))))</f>
        <v>Муниципальная программа "Формирование  современной городской среды"  Тутаевского муниципального района</v>
      </c>
      <c r="B287" s="149"/>
      <c r="C287" s="144"/>
      <c r="D287" s="145" t="s">
        <v>1369</v>
      </c>
      <c r="E287" s="144"/>
      <c r="F287" s="146"/>
      <c r="G287" s="347">
        <f>G288+G291+G294</f>
        <v>60089966</v>
      </c>
      <c r="H287" s="347">
        <f>H288+H291+H294</f>
        <v>374050</v>
      </c>
      <c r="I287" s="347">
        <f>SUM(G287:H287)</f>
        <v>60464016</v>
      </c>
    </row>
    <row r="288" spans="1:9" s="141" customFormat="1" ht="38.25" customHeight="1">
      <c r="A288" s="148" t="str">
        <f>IF(B288&gt;0,VLOOKUP(B288,КВСР!A90:B1255,2),IF(C288&gt;0,VLOOKUP(C288,КФСР!A90:B1602,2),IF(D288&gt;0,VLOOKUP(D288,Программа!A$1:B$5091,2),IF(F288&gt;0,VLOOKUP(F288,КВР!A$1:B$5001,2),IF(E288&gt;0,VLOOKUP(E288,Направление!A$1:B$4750,2))))))</f>
        <v>Повышение уровня благоустройства дворовых территорий</v>
      </c>
      <c r="B288" s="149"/>
      <c r="C288" s="144"/>
      <c r="D288" s="145" t="s">
        <v>1391</v>
      </c>
      <c r="E288" s="144"/>
      <c r="F288" s="146"/>
      <c r="G288" s="347">
        <f>G289</f>
        <v>10089966</v>
      </c>
      <c r="H288" s="347">
        <f>H289</f>
        <v>-4796877</v>
      </c>
      <c r="I288" s="347">
        <f>SUM(G288:H288)</f>
        <v>5293089</v>
      </c>
    </row>
    <row r="289" spans="1:9" s="141" customFormat="1" ht="51.75" customHeight="1">
      <c r="A289" s="148" t="str">
        <f>IF(B289&gt;0,VLOOKUP(B289,КВСР!A89:B1254,2),IF(C289&gt;0,VLOOKUP(C289,КФСР!A89:B1601,2),IF(D289&gt;0,VLOOKUP(D289,Программа!A$1:B$5091,2),IF(F289&gt;0,VLOOKUP(F289,КВР!A$1:B$5001,2),IF(E289&gt;0,VLOOKUP(E289,Направление!A$1:B$4750,2))))))</f>
        <v>Обеспечение мероприятий по формированию современной городской среды</v>
      </c>
      <c r="B289" s="149"/>
      <c r="C289" s="144"/>
      <c r="D289" s="145"/>
      <c r="E289" s="144">
        <v>29456</v>
      </c>
      <c r="F289" s="146"/>
      <c r="G289" s="347">
        <f>G290</f>
        <v>10089966</v>
      </c>
      <c r="H289" s="347">
        <f>H290</f>
        <v>-4796877</v>
      </c>
      <c r="I289" s="347">
        <f t="shared" si="66"/>
        <v>5293089</v>
      </c>
    </row>
    <row r="290" spans="1:9" s="141" customFormat="1" ht="63">
      <c r="A290" s="148" t="str">
        <f>IF(B290&gt;0,VLOOKUP(B290,КВСР!A90:B1255,2),IF(C290&gt;0,VLOOKUP(C290,КФСР!A90:B1602,2),IF(D290&gt;0,VLOOKUP(D290,Программа!A$1:B$5091,2),IF(F290&gt;0,VLOOKUP(F290,КВР!A$1:B$5001,2),IF(E290&gt;0,VLOOKUP(E290,Направление!A$1:B$4750,2))))))</f>
        <v>Предоставление субсидий бюджетным, автономным учреждениям и иным некоммерческим организациям</v>
      </c>
      <c r="B290" s="149"/>
      <c r="C290" s="144"/>
      <c r="D290" s="145"/>
      <c r="E290" s="144"/>
      <c r="F290" s="146">
        <v>600</v>
      </c>
      <c r="G290" s="379">
        <v>10089966</v>
      </c>
      <c r="H290" s="151">
        <v>-4796877</v>
      </c>
      <c r="I290" s="347">
        <f t="shared" si="66"/>
        <v>5293089</v>
      </c>
    </row>
    <row r="291" spans="1:9" s="141" customFormat="1" ht="63">
      <c r="A291" s="148" t="str">
        <f>IF(B291&gt;0,VLOOKUP(B291,КВСР!A91:B1256,2),IF(C291&gt;0,VLOOKUP(C291,КФСР!A91:B1603,2),IF(D291&gt;0,VLOOKUP(D291,Программа!A$1:B$5091,2),IF(F291&gt;0,VLOOKUP(F291,КВР!A$1:B$5001,2),IF(E291&gt;0,VLOOKUP(E291,Направление!A$1:B$4750,2))))))</f>
        <v>Реализация проектов создания комфортной городской среды в малых городах и исторических поселениях</v>
      </c>
      <c r="B291" s="149"/>
      <c r="C291" s="144"/>
      <c r="D291" s="145" t="s">
        <v>1393</v>
      </c>
      <c r="E291" s="144"/>
      <c r="F291" s="146"/>
      <c r="G291" s="347">
        <f>G292</f>
        <v>50000000</v>
      </c>
      <c r="H291" s="347">
        <f>H292</f>
        <v>0</v>
      </c>
      <c r="I291" s="347">
        <f t="shared" si="66"/>
        <v>50000000</v>
      </c>
    </row>
    <row r="292" spans="1:9" s="141" customFormat="1" ht="47.25">
      <c r="A292" s="148" t="str">
        <f>IF(B292&gt;0,VLOOKUP(B292,КВСР!A92:B1257,2),IF(C292&gt;0,VLOOKUP(C292,КФСР!A92:B1604,2),IF(D292&gt;0,VLOOKUP(D292,Программа!A$1:B$5091,2),IF(F292&gt;0,VLOOKUP(F292,КВР!A$1:B$5001,2),IF(E292&gt;0,VLOOKUP(E292,Направление!A$1:B$4750,2))))))</f>
        <v>Расходы  на создания комфортной городской среды в малых городах и исторических поселениях</v>
      </c>
      <c r="B292" s="149"/>
      <c r="C292" s="144"/>
      <c r="D292" s="145"/>
      <c r="E292" s="144">
        <v>53116</v>
      </c>
      <c r="F292" s="146"/>
      <c r="G292" s="347">
        <f>G293</f>
        <v>50000000</v>
      </c>
      <c r="H292" s="347">
        <f>H293</f>
        <v>0</v>
      </c>
      <c r="I292" s="347">
        <f t="shared" si="66"/>
        <v>50000000</v>
      </c>
    </row>
    <row r="293" spans="1:9" s="141" customFormat="1" ht="63">
      <c r="A293" s="148" t="str">
        <f>IF(B293&gt;0,VLOOKUP(B293,КВСР!A93:B1258,2),IF(C293&gt;0,VLOOKUP(C293,КФСР!A93:B1605,2),IF(D293&gt;0,VLOOKUP(D293,Программа!A$1:B$5091,2),IF(F293&gt;0,VLOOKUP(F293,КВР!A$1:B$5001,2),IF(E293&gt;0,VLOOKUP(E293,Направление!A$1:B$4750,2))))))</f>
        <v>Предоставление субсидий бюджетным, автономным учреждениям и иным некоммерческим организациям</v>
      </c>
      <c r="B293" s="149"/>
      <c r="C293" s="144"/>
      <c r="D293" s="145"/>
      <c r="E293" s="144"/>
      <c r="F293" s="146">
        <v>600</v>
      </c>
      <c r="G293" s="379">
        <v>50000000</v>
      </c>
      <c r="H293" s="151"/>
      <c r="I293" s="347">
        <f t="shared" si="66"/>
        <v>50000000</v>
      </c>
    </row>
    <row r="294" spans="1:9" s="141" customFormat="1" ht="33.75" customHeight="1">
      <c r="A294" s="148" t="str">
        <f>IF(B294&gt;0,VLOOKUP(B294,КВСР!A94:B1259,2),IF(C294&gt;0,VLOOKUP(C294,КФСР!A94:B1606,2),IF(D294&gt;0,VLOOKUP(D294,Программа!A$1:B$5091,2),IF(F294&gt;0,VLOOKUP(F294,КВР!A$1:B$5001,2),IF(E294&gt;0,VLOOKUP(E294,Направление!A$1:B$4750,2))))))</f>
        <v>Реализация   проекта "Формирование комфортной городской среды"</v>
      </c>
      <c r="B294" s="149"/>
      <c r="C294" s="144"/>
      <c r="D294" s="145" t="s">
        <v>1801</v>
      </c>
      <c r="E294" s="144"/>
      <c r="F294" s="146"/>
      <c r="G294" s="379">
        <f>G295</f>
        <v>0</v>
      </c>
      <c r="H294" s="379">
        <f t="shared" ref="H294:I295" si="67">H295</f>
        <v>5170927</v>
      </c>
      <c r="I294" s="379">
        <f t="shared" si="67"/>
        <v>5170927</v>
      </c>
    </row>
    <row r="295" spans="1:9" s="141" customFormat="1" ht="51" customHeight="1">
      <c r="A295" s="148" t="str">
        <f>IF(B295&gt;0,VLOOKUP(B295,КВСР!A95:B1260,2),IF(C295&gt;0,VLOOKUP(C295,КФСР!A95:B1607,2),IF(D295&gt;0,VLOOKUP(D295,Программа!A$1:B$5091,2),IF(F295&gt;0,VLOOKUP(F295,КВР!A$1:B$5001,2),IF(E295&gt;0,VLOOKUP(E295,Направление!A$1:B$4750,2))))))</f>
        <v xml:space="preserve">Субсидия на реализацию программ формирования современной городской среды </v>
      </c>
      <c r="B295" s="149"/>
      <c r="C295" s="144"/>
      <c r="D295" s="145"/>
      <c r="E295" s="144">
        <v>55556</v>
      </c>
      <c r="F295" s="146"/>
      <c r="G295" s="379">
        <f>G296</f>
        <v>0</v>
      </c>
      <c r="H295" s="379">
        <f t="shared" si="67"/>
        <v>5170927</v>
      </c>
      <c r="I295" s="379">
        <f t="shared" si="67"/>
        <v>5170927</v>
      </c>
    </row>
    <row r="296" spans="1:9" s="141" customFormat="1" ht="63">
      <c r="A296" s="148" t="str">
        <f>IF(B296&gt;0,VLOOKUP(B296,КВСР!A96:B1261,2),IF(C296&gt;0,VLOOKUP(C296,КФСР!A96:B1608,2),IF(D296&gt;0,VLOOKUP(D296,Программа!A$1:B$5091,2),IF(F296&gt;0,VLOOKUP(F296,КВР!A$1:B$5001,2),IF(E296&gt;0,VLOOKUP(E296,Направление!A$1:B$4750,2))))))</f>
        <v>Предоставление субсидий бюджетным, автономным учреждениям и иным некоммерческим организациям</v>
      </c>
      <c r="B296" s="149"/>
      <c r="C296" s="144"/>
      <c r="D296" s="145"/>
      <c r="E296" s="144"/>
      <c r="F296" s="146">
        <v>600</v>
      </c>
      <c r="G296" s="379"/>
      <c r="H296" s="151">
        <v>5170927</v>
      </c>
      <c r="I296" s="347">
        <f>SUM(G296:H296)</f>
        <v>5170927</v>
      </c>
    </row>
    <row r="297" spans="1:9" s="141" customFormat="1" ht="31.5">
      <c r="A297" s="148" t="str">
        <f>IF(B297&gt;0,VLOOKUP(B297,КВСР!A58:B1223,2),IF(C297&gt;0,VLOOKUP(C297,КФСР!A58:B1570,2),IF(D297&gt;0,VLOOKUP(D297,Программа!A$1:B$5091,2),IF(F297&gt;0,VLOOKUP(F297,КВР!A$1:B$5001,2),IF(E297&gt;0,VLOOKUP(E297,Направление!A$1:B$4750,2))))))</f>
        <v>Другие вопросы в области охраны окружающей среды</v>
      </c>
      <c r="B297" s="149"/>
      <c r="C297" s="144">
        <v>605</v>
      </c>
      <c r="D297" s="146"/>
      <c r="E297" s="144"/>
      <c r="F297" s="146"/>
      <c r="G297" s="379">
        <f t="shared" ref="G297:I300" si="68">G298</f>
        <v>600000</v>
      </c>
      <c r="H297" s="158">
        <f t="shared" si="68"/>
        <v>0</v>
      </c>
      <c r="I297" s="152">
        <f t="shared" si="21"/>
        <v>600000</v>
      </c>
    </row>
    <row r="298" spans="1:9" s="141" customFormat="1" ht="63">
      <c r="A298" s="148" t="str">
        <f>IF(B298&gt;0,VLOOKUP(B298,КВСР!A59:B1224,2),IF(C298&gt;0,VLOOKUP(C298,КФСР!A59:B1571,2),IF(D298&gt;0,VLOOKUP(D298,Программа!A$1:B$5091,2),IF(F298&gt;0,VLOOKUP(F298,КВР!A$1:B$5001,2),IF(E298&gt;0,VLOOKUP(E298,Направление!A$1:B$4750,2))))))</f>
        <v>Муниципальная программа "Охрана окружающей среды и рациональное природопользование в Тутаевском муниципальном районе"</v>
      </c>
      <c r="B298" s="149"/>
      <c r="C298" s="144"/>
      <c r="D298" s="146" t="s">
        <v>1222</v>
      </c>
      <c r="E298" s="144"/>
      <c r="F298" s="146"/>
      <c r="G298" s="379">
        <f t="shared" si="68"/>
        <v>600000</v>
      </c>
      <c r="H298" s="158">
        <f t="shared" si="68"/>
        <v>0</v>
      </c>
      <c r="I298" s="152">
        <f t="shared" si="21"/>
        <v>600000</v>
      </c>
    </row>
    <row r="299" spans="1:9" s="141" customFormat="1" ht="63">
      <c r="A299" s="148" t="str">
        <f>IF(B299&gt;0,VLOOKUP(B299,КВСР!A60:B1225,2),IF(C299&gt;0,VLOOKUP(C299,КФСР!A60:B1572,2),IF(D299&gt;0,VLOOKUP(D299,Программа!A$1:B$5091,2),IF(F299&gt;0,VLOOKUP(F299,КВР!A$1:B$5001,2),IF(E299&gt;0,VLOOKUP(E299,Направление!A$1:B$4750,2))))))</f>
        <v>Проведение мероприятий по охране окружающей среды и природопользованию на территории Тутаевского муниципального района</v>
      </c>
      <c r="B299" s="149"/>
      <c r="C299" s="144"/>
      <c r="D299" s="146" t="s">
        <v>1266</v>
      </c>
      <c r="E299" s="144"/>
      <c r="F299" s="146"/>
      <c r="G299" s="379">
        <f t="shared" si="68"/>
        <v>600000</v>
      </c>
      <c r="H299" s="158">
        <f t="shared" si="68"/>
        <v>0</v>
      </c>
      <c r="I299" s="152">
        <f t="shared" si="21"/>
        <v>600000</v>
      </c>
    </row>
    <row r="300" spans="1:9" s="141" customFormat="1" ht="31.5">
      <c r="A300" s="148" t="str">
        <f>IF(B300&gt;0,VLOOKUP(B300,КВСР!A60:B1225,2),IF(C300&gt;0,VLOOKUP(C300,КФСР!A60:B1572,2),IF(D300&gt;0,VLOOKUP(D300,Программа!A$1:B$5091,2),IF(F300&gt;0,VLOOKUP(F300,КВР!A$1:B$5001,2),IF(E300&gt;0,VLOOKUP(E300,Направление!A$1:B$4750,2))))))</f>
        <v>Расходы на природоохранные мероприятия</v>
      </c>
      <c r="B300" s="149"/>
      <c r="C300" s="144"/>
      <c r="D300" s="146"/>
      <c r="E300" s="144">
        <v>10600</v>
      </c>
      <c r="F300" s="146"/>
      <c r="G300" s="379">
        <f>G301+G308</f>
        <v>600000</v>
      </c>
      <c r="H300" s="379">
        <f t="shared" ref="H300:I300" si="69">H301+H308</f>
        <v>0</v>
      </c>
      <c r="I300" s="379">
        <f t="shared" si="69"/>
        <v>600000</v>
      </c>
    </row>
    <row r="301" spans="1:9" s="141" customFormat="1" ht="63">
      <c r="A301" s="148" t="str">
        <f>IF(B301&gt;0,VLOOKUP(B301,КВСР!A61:B1226,2),IF(C301&gt;0,VLOOKUP(C301,КФСР!A61:B1573,2),IF(D301&gt;0,VLOOKUP(D301,Программа!A$1:B$5091,2),IF(F301&gt;0,VLOOKUP(F301,КВР!A$1:B$5001,2),IF(E301&gt;0,VLOOKUP(E301,Направление!A$1:B$4750,2))))))</f>
        <v xml:space="preserve">Закупка товаров, работ и услуг для обеспечения государственных (муниципальных) нужд
</v>
      </c>
      <c r="B301" s="149"/>
      <c r="C301" s="144"/>
      <c r="D301" s="146"/>
      <c r="E301" s="144"/>
      <c r="F301" s="146">
        <v>200</v>
      </c>
      <c r="G301" s="379">
        <v>600000</v>
      </c>
      <c r="H301" s="151">
        <v>-150000</v>
      </c>
      <c r="I301" s="152">
        <f t="shared" si="21"/>
        <v>450000</v>
      </c>
    </row>
    <row r="302" spans="1:9" s="141" customFormat="1" hidden="1">
      <c r="A302" s="148" t="str">
        <f>IF(B302&gt;0,VLOOKUP(B302,КВСР!A62:B1227,2),IF(C302&gt;0,VLOOKUP(C302,КФСР!A62:B1574,2),IF(D302&gt;0,VLOOKUP(D302,Программа!A$1:B$5091,2),IF(F302&gt;0,VLOOKUP(F302,КВР!A$1:B$5001,2),IF(E302&gt;0,VLOOKUP(E302,Направление!A$1:B$4750,2))))))</f>
        <v>Социальное обеспечение населения</v>
      </c>
      <c r="B302" s="149"/>
      <c r="C302" s="144">
        <v>1003</v>
      </c>
      <c r="D302" s="146"/>
      <c r="E302" s="144"/>
      <c r="F302" s="146"/>
      <c r="G302" s="379">
        <f>G303</f>
        <v>310000</v>
      </c>
      <c r="H302" s="379">
        <f t="shared" ref="H302:I302" si="70">H303</f>
        <v>-310000</v>
      </c>
      <c r="I302" s="152">
        <f t="shared" si="21"/>
        <v>0</v>
      </c>
    </row>
    <row r="303" spans="1:9" s="141" customFormat="1" ht="47.25" hidden="1">
      <c r="A303" s="148" t="str">
        <f>IF(B303&gt;0,VLOOKUP(B303,КВСР!A63:B1228,2),IF(C303&gt;0,VLOOKUP(C303,КФСР!A63:B1575,2),IF(D303&gt;0,VLOOKUP(D303,Программа!A$1:B$5091,2),IF(F303&gt;0,VLOOKUP(F303,КВР!A$1:B$5001,2),IF(E303&gt;0,VLOOKUP(E303,Направление!A$1:B$4750,2))))))</f>
        <v>Муниципальная программа "Социальная поддержка населения Тутаевского муниципального района"</v>
      </c>
      <c r="B303" s="149"/>
      <c r="C303" s="144"/>
      <c r="D303" s="146" t="s">
        <v>548</v>
      </c>
      <c r="E303" s="144"/>
      <c r="F303" s="146"/>
      <c r="G303" s="379">
        <f>G304</f>
        <v>310000</v>
      </c>
      <c r="H303" s="379">
        <f t="shared" ref="H303:I305" si="71">H304</f>
        <v>-310000</v>
      </c>
      <c r="I303" s="152">
        <f t="shared" si="21"/>
        <v>0</v>
      </c>
    </row>
    <row r="304" spans="1:9" s="141" customFormat="1" ht="63" hidden="1">
      <c r="A304" s="148" t="str">
        <f>IF(B304&gt;0,VLOOKUP(B304,КВСР!A64:B1229,2),IF(C304&gt;0,VLOOKUP(C304,КФСР!A64:B1576,2),IF(D304&gt;0,VLOOKUP(D304,Программа!A$1:B$5091,2),IF(F304&gt;0,VLOOKUP(F304,КВР!A$1:B$5001,2),IF(E304&gt;0,VLOOKUP(E304,Направление!A$1:B$4750,2))))))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304" s="149"/>
      <c r="C304" s="144"/>
      <c r="D304" s="145" t="s">
        <v>620</v>
      </c>
      <c r="E304" s="144"/>
      <c r="F304" s="146"/>
      <c r="G304" s="379">
        <f>G305</f>
        <v>310000</v>
      </c>
      <c r="H304" s="379">
        <f t="shared" si="71"/>
        <v>-310000</v>
      </c>
      <c r="I304" s="152">
        <f t="shared" si="21"/>
        <v>0</v>
      </c>
    </row>
    <row r="305" spans="1:9" s="141" customFormat="1" ht="63" hidden="1">
      <c r="A305" s="148" t="str">
        <f>IF(B305&gt;0,VLOOKUP(B305,КВСР!A65:B1230,2),IF(C305&gt;0,VLOOKUP(C305,КФСР!A65:B1577,2),IF(D305&gt;0,VLOOKUP(D305,Программа!A$1:B$5091,2),IF(F305&gt;0,VLOOKUP(F305,КВР!A$1:B$5001,2),IF(E305&gt;0,VLOOKUP(E305,Направление!A$1:B$4750,2))))))</f>
        <v>Социальная защита семей с детьми, инвалидов, ветеранов, граждан и детей, оказавшихся в трудной жизненной ситуации</v>
      </c>
      <c r="B305" s="149"/>
      <c r="C305" s="144"/>
      <c r="D305" s="145" t="s">
        <v>640</v>
      </c>
      <c r="E305" s="144"/>
      <c r="F305" s="146"/>
      <c r="G305" s="379">
        <f>G306</f>
        <v>310000</v>
      </c>
      <c r="H305" s="379">
        <f t="shared" si="71"/>
        <v>-310000</v>
      </c>
      <c r="I305" s="152">
        <f t="shared" si="21"/>
        <v>0</v>
      </c>
    </row>
    <row r="306" spans="1:9" s="141" customFormat="1" ht="117" hidden="1" customHeight="1">
      <c r="A306" s="148" t="str">
        <f>IF(B306&gt;0,VLOOKUP(B306,КВСР!A66:B1231,2),IF(C306&gt;0,VLOOKUP(C306,КФСР!A66:B1578,2),IF(D306&gt;0,VLOOKUP(D306,Программа!A$1:B$5091,2),IF(F306&gt;0,VLOOKUP(F306,КВР!A$1:B$5001,2),IF(E306&gt;0,VLOOKUP(E306,Направление!A$1:B$4750,2))))))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306" s="149"/>
      <c r="C306" s="144"/>
      <c r="D306" s="146"/>
      <c r="E306" s="144">
        <v>15880</v>
      </c>
      <c r="F306" s="146"/>
      <c r="G306" s="379">
        <f>G307</f>
        <v>310000</v>
      </c>
      <c r="H306" s="379">
        <f t="shared" ref="H306:I306" si="72">H307</f>
        <v>-310000</v>
      </c>
      <c r="I306" s="152">
        <f t="shared" si="21"/>
        <v>0</v>
      </c>
    </row>
    <row r="307" spans="1:9" s="141" customFormat="1" ht="63" hidden="1">
      <c r="A307" s="148" t="str">
        <f>IF(B307&gt;0,VLOOKUP(B307,КВСР!A67:B1232,2),IF(C307&gt;0,VLOOKUP(C307,КФСР!A67:B1579,2),IF(D307&gt;0,VLOOKUP(D307,Программа!A$1:B$5091,2),IF(F307&gt;0,VLOOKUP(F307,КВР!A$1:B$5001,2),IF(E307&gt;0,VLOOKUP(E307,Направление!A$1:B$4750,2))))))</f>
        <v>Предоставление субсидий бюджетным, автономным учреждениям и иным некоммерческим организациям</v>
      </c>
      <c r="B307" s="149"/>
      <c r="C307" s="144"/>
      <c r="D307" s="146"/>
      <c r="E307" s="144"/>
      <c r="F307" s="146">
        <v>600</v>
      </c>
      <c r="G307" s="379">
        <v>310000</v>
      </c>
      <c r="H307" s="151">
        <v>-310000</v>
      </c>
      <c r="I307" s="152">
        <f t="shared" si="21"/>
        <v>0</v>
      </c>
    </row>
    <row r="308" spans="1:9" s="141" customFormat="1" ht="63">
      <c r="A308" s="148" t="str">
        <f>IF(B308&gt;0,VLOOKUP(B308,КВСР!A68:B1233,2),IF(C308&gt;0,VLOOKUP(C308,КФСР!A68:B1580,2),IF(D308&gt;0,VLOOKUP(D308,Программа!A$1:B$5091,2),IF(F308&gt;0,VLOOKUP(F308,КВР!A$1:B$5001,2),IF(E308&gt;0,VLOOKUP(E308,Направление!A$1:B$4750,2))))))</f>
        <v>Предоставление субсидий бюджетным, автономным учреждениям и иным некоммерческим организациям</v>
      </c>
      <c r="B308" s="149"/>
      <c r="C308" s="144"/>
      <c r="D308" s="146"/>
      <c r="E308" s="144"/>
      <c r="F308" s="146">
        <v>600</v>
      </c>
      <c r="G308" s="379"/>
      <c r="H308" s="151">
        <v>150000</v>
      </c>
      <c r="I308" s="152">
        <f t="shared" si="21"/>
        <v>150000</v>
      </c>
    </row>
    <row r="309" spans="1:9" s="141" customFormat="1">
      <c r="A309" s="148" t="str">
        <f>IF(B309&gt;0,VLOOKUP(B309,КВСР!A66:B1231,2),IF(C309&gt;0,VLOOKUP(C309,КФСР!A66:B1578,2),IF(D309&gt;0,VLOOKUP(D309,Программа!A$1:B$5091,2),IF(F309&gt;0,VLOOKUP(F309,КВР!A$1:B$5001,2),IF(E309&gt;0,VLOOKUP(E309,Направление!A$1:B$4750,2))))))</f>
        <v>Охрана семьи и детства</v>
      </c>
      <c r="B309" s="149"/>
      <c r="C309" s="144">
        <v>1004</v>
      </c>
      <c r="D309" s="145"/>
      <c r="E309" s="144"/>
      <c r="F309" s="146"/>
      <c r="G309" s="379">
        <f>G310</f>
        <v>1684</v>
      </c>
      <c r="H309" s="379">
        <f t="shared" ref="H309:I309" si="73">H310</f>
        <v>0</v>
      </c>
      <c r="I309" s="379">
        <f t="shared" si="73"/>
        <v>1684</v>
      </c>
    </row>
    <row r="310" spans="1:9" s="141" customFormat="1">
      <c r="A310" s="148" t="str">
        <f>IF(B310&gt;0,VLOOKUP(B310,КВСР!A63:B1228,2),IF(C310&gt;0,VLOOKUP(C310,КФСР!A63:B1575,2),IF(D310&gt;0,VLOOKUP(D310,Программа!A$1:B$5091,2),IF(F310&gt;0,VLOOKUP(F310,КВР!A$1:B$5001,2),IF(E310&gt;0,VLOOKUP(E310,Направление!A$1:B$4750,2))))))</f>
        <v>Непрограммные расходы бюджета</v>
      </c>
      <c r="B310" s="149"/>
      <c r="C310" s="144"/>
      <c r="D310" s="145" t="s">
        <v>480</v>
      </c>
      <c r="E310" s="144"/>
      <c r="F310" s="146"/>
      <c r="G310" s="379">
        <f>G311</f>
        <v>1684</v>
      </c>
      <c r="H310" s="379">
        <f t="shared" ref="H310:I310" si="74">H311</f>
        <v>0</v>
      </c>
      <c r="I310" s="379">
        <f t="shared" si="74"/>
        <v>1684</v>
      </c>
    </row>
    <row r="311" spans="1:9" s="141" customFormat="1">
      <c r="A311" s="148" t="str">
        <f>IF(B311&gt;0,VLOOKUP(B311,КВСР!A65:B1230,2),IF(C311&gt;0,VLOOKUP(C311,КФСР!A65:B1577,2),IF(D311&gt;0,VLOOKUP(D311,Программа!A$1:B$5091,2),IF(F311&gt;0,VLOOKUP(F311,КВР!A$1:B$5001,2),IF(E311&gt;0,VLOOKUP(E311,Направление!A$1:B$4750,2))))))</f>
        <v>Содержание центрального аппарата</v>
      </c>
      <c r="B311" s="149"/>
      <c r="C311" s="144"/>
      <c r="D311" s="146"/>
      <c r="E311" s="144">
        <v>12010</v>
      </c>
      <c r="F311" s="146"/>
      <c r="G311" s="379">
        <f>G312</f>
        <v>1684</v>
      </c>
      <c r="H311" s="158">
        <f t="shared" ref="H311:I311" si="75">H312</f>
        <v>0</v>
      </c>
      <c r="I311" s="158">
        <f t="shared" si="75"/>
        <v>1684</v>
      </c>
    </row>
    <row r="312" spans="1:9" s="141" customFormat="1" ht="115.5" customHeight="1">
      <c r="A312" s="148" t="str">
        <f>IF(B312&gt;0,VLOOKUP(B312,КВСР!A65:B1230,2),IF(C312&gt;0,VLOOKUP(C312,КФСР!A65:B1577,2),IF(D312&gt;0,VLOOKUP(D312,Программа!A$1:B$5091,2),IF(F312&gt;0,VLOOKUP(F312,КВР!A$1:B$5001,2),IF(E312&gt;0,VLOOKUP(E312,Направление!A$1:B$4750,2))))))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49"/>
      <c r="C312" s="144"/>
      <c r="D312" s="146"/>
      <c r="E312" s="144"/>
      <c r="F312" s="146">
        <v>100</v>
      </c>
      <c r="G312" s="379">
        <v>1684</v>
      </c>
      <c r="H312" s="151"/>
      <c r="I312" s="152">
        <f t="shared" si="21"/>
        <v>1684</v>
      </c>
    </row>
    <row r="313" spans="1:9" s="159" customFormat="1" ht="31.5">
      <c r="A313" s="142" t="str">
        <f>IF(B313&gt;0,VLOOKUP(B313,КВСР!A76:B1241,2),IF(C313&gt;0,VLOOKUP(C313,КФСР!A76:B1588,2),IF(D313&gt;0,VLOOKUP(D313,Программа!A$1:B$5091,2),IF(F313&gt;0,VLOOKUP(F313,КВР!A$1:B$5001,2),IF(E313&gt;0,VLOOKUP(E313,Направление!A$1:B$4750,2))))))</f>
        <v>Департамент муниципального имущества Администрации ТМР</v>
      </c>
      <c r="B313" s="143">
        <v>952</v>
      </c>
      <c r="C313" s="144"/>
      <c r="D313" s="145"/>
      <c r="E313" s="144"/>
      <c r="F313" s="146"/>
      <c r="G313" s="555">
        <f>G314+G342+G348+G356</f>
        <v>17337561</v>
      </c>
      <c r="H313" s="555">
        <f t="shared" ref="H313:I313" si="76">H314+H342+H348+H356</f>
        <v>77636</v>
      </c>
      <c r="I313" s="555">
        <f t="shared" si="76"/>
        <v>17415197</v>
      </c>
    </row>
    <row r="314" spans="1:9" s="159" customFormat="1" ht="31.5">
      <c r="A314" s="148" t="str">
        <f>IF(B314&gt;0,VLOOKUP(B314,КВСР!A77:B1242,2),IF(C314&gt;0,VLOOKUP(C314,КФСР!A77:B1589,2),IF(D314&gt;0,VLOOKUP(D314,Программа!A$1:B$5091,2),IF(F314&gt;0,VLOOKUP(F314,КВР!A$1:B$5001,2),IF(E314&gt;0,VLOOKUP(E314,Направление!A$1:B$4750,2))))))</f>
        <v>Другие общегосударственные вопросы</v>
      </c>
      <c r="B314" s="149"/>
      <c r="C314" s="144">
        <v>113</v>
      </c>
      <c r="D314" s="145"/>
      <c r="E314" s="144"/>
      <c r="F314" s="146"/>
      <c r="G314" s="337">
        <f>G326+G319+G315</f>
        <v>14580961</v>
      </c>
      <c r="H314" s="152">
        <f>H326+H319+H315</f>
        <v>20000</v>
      </c>
      <c r="I314" s="152">
        <f t="shared" si="21"/>
        <v>14600961</v>
      </c>
    </row>
    <row r="315" spans="1:9" s="159" customFormat="1" ht="94.5" hidden="1">
      <c r="A315" s="148" t="str">
        <f>IF(B315&gt;0,VLOOKUP(B315,КВСР!A78:B1243,2),IF(C315&gt;0,VLOOKUP(C315,КФСР!A78:B1590,2),IF(D315&gt;0,VLOOKUP(D315,Программа!A$1:B$5091,2),IF(F315&gt;0,VLOOKUP(F315,КВР!A$1:B$5001,2),IF(E315&gt;0,VLOOKUP(E315,Направление!A$1:B$4750,2))))))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15" s="149"/>
      <c r="C315" s="144"/>
      <c r="D315" s="145" t="s">
        <v>492</v>
      </c>
      <c r="E315" s="144"/>
      <c r="F315" s="146"/>
      <c r="G315" s="337">
        <f t="shared" ref="G315:H317" si="77">G316</f>
        <v>0</v>
      </c>
      <c r="H315" s="152">
        <f t="shared" si="77"/>
        <v>0</v>
      </c>
      <c r="I315" s="152">
        <f t="shared" si="21"/>
        <v>0</v>
      </c>
    </row>
    <row r="316" spans="1:9" s="159" customFormat="1" ht="78.75" hidden="1">
      <c r="A316" s="148" t="str">
        <f>IF(B316&gt;0,VLOOKUP(B316,КВСР!A79:B1244,2),IF(C316&gt;0,VLOOKUP(C316,КФСР!A79:B1591,2),IF(D316&gt;0,VLOOKUP(D316,Программа!A$1:B$5091,2),IF(F316&gt;0,VLOOKUP(F316,КВР!A$1:B$5001,2),IF(E316&gt;0,VLOOKUP(E316,Направление!A$1:B$4750,2))))))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16" s="149"/>
      <c r="C316" s="144"/>
      <c r="D316" s="145" t="s">
        <v>493</v>
      </c>
      <c r="E316" s="144"/>
      <c r="F316" s="146"/>
      <c r="G316" s="337">
        <f t="shared" si="77"/>
        <v>0</v>
      </c>
      <c r="H316" s="152">
        <f t="shared" si="77"/>
        <v>0</v>
      </c>
      <c r="I316" s="152">
        <f t="shared" si="21"/>
        <v>0</v>
      </c>
    </row>
    <row r="317" spans="1:9" s="159" customFormat="1" ht="31.5" hidden="1">
      <c r="A317" s="148" t="str">
        <f>IF(B317&gt;0,VLOOKUP(B317,КВСР!A80:B1245,2),IF(C317&gt;0,VLOOKUP(C317,КФСР!A80:B1592,2),IF(D317&gt;0,VLOOKUP(D317,Программа!A$1:B$5091,2),IF(F317&gt;0,VLOOKUP(F317,КВР!A$1:B$5001,2),IF(E317&gt;0,VLOOKUP(E317,Направление!A$1:B$4750,2))))))</f>
        <v>Расходы на развитие муниципальной службы</v>
      </c>
      <c r="B317" s="149"/>
      <c r="C317" s="144"/>
      <c r="D317" s="145"/>
      <c r="E317" s="144">
        <v>12200</v>
      </c>
      <c r="F317" s="146"/>
      <c r="G317" s="337">
        <f t="shared" si="77"/>
        <v>0</v>
      </c>
      <c r="H317" s="152">
        <f t="shared" si="77"/>
        <v>0</v>
      </c>
      <c r="I317" s="152">
        <f t="shared" si="21"/>
        <v>0</v>
      </c>
    </row>
    <row r="318" spans="1:9" s="159" customFormat="1" ht="63" hidden="1">
      <c r="A318" s="148" t="str">
        <f>IF(B318&gt;0,VLOOKUP(B318,КВСР!A81:B1246,2),IF(C318&gt;0,VLOOKUP(C318,КФСР!A81:B1593,2),IF(D318&gt;0,VLOOKUP(D318,Программа!A$1:B$5091,2),IF(F318&gt;0,VLOOKUP(F318,КВР!A$1:B$5001,2),IF(E318&gt;0,VLOOKUP(E318,Направление!A$1:B$4750,2))))))</f>
        <v xml:space="preserve">Закупка товаров, работ и услуг для обеспечения государственных (муниципальных) нужд
</v>
      </c>
      <c r="B318" s="149"/>
      <c r="C318" s="144"/>
      <c r="D318" s="145"/>
      <c r="E318" s="144"/>
      <c r="F318" s="146">
        <v>200</v>
      </c>
      <c r="G318" s="337"/>
      <c r="H318" s="372"/>
      <c r="I318" s="152">
        <f t="shared" si="21"/>
        <v>0</v>
      </c>
    </row>
    <row r="319" spans="1:9" s="159" customFormat="1" ht="63">
      <c r="A319" s="148" t="str">
        <f>IF(B319&gt;0,VLOOKUP(B319,КВСР!A78:B1243,2),IF(C319&gt;0,VLOOKUP(C319,КФСР!A78:B1590,2),IF(D319&gt;0,VLOOKUP(D319,Программа!A$1:B$5091,2),IF(F319&gt;0,VLOOKUP(F319,КВР!A$1:B$5001,2),IF(E319&gt;0,VLOOKUP(E319,Направление!A$1:B$4750,2))))))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319" s="149"/>
      <c r="C319" s="144"/>
      <c r="D319" s="145" t="s">
        <v>496</v>
      </c>
      <c r="E319" s="144"/>
      <c r="F319" s="146"/>
      <c r="G319" s="337">
        <f>G320+G323</f>
        <v>200000</v>
      </c>
      <c r="H319" s="152">
        <f>H320+H323</f>
        <v>0</v>
      </c>
      <c r="I319" s="152">
        <f t="shared" si="21"/>
        <v>200000</v>
      </c>
    </row>
    <row r="320" spans="1:9" s="159" customFormat="1" ht="31.5">
      <c r="A320" s="148" t="str">
        <f>IF(B320&gt;0,VLOOKUP(B320,КВСР!A79:B1244,2),IF(C320&gt;0,VLOOKUP(C320,КФСР!A79:B1591,2),IF(D320&gt;0,VLOOKUP(D320,Программа!A$1:B$5091,2),IF(F320&gt;0,VLOOKUP(F320,КВР!A$1:B$5001,2),IF(E320&gt;0,VLOOKUP(E320,Направление!A$1:B$4750,2))))))</f>
        <v>Бесперебойное функционирование информационных систем</v>
      </c>
      <c r="B320" s="149"/>
      <c r="C320" s="144"/>
      <c r="D320" s="145" t="s">
        <v>532</v>
      </c>
      <c r="E320" s="144"/>
      <c r="F320" s="146"/>
      <c r="G320" s="337">
        <f>G321</f>
        <v>150000</v>
      </c>
      <c r="H320" s="152">
        <f>H321</f>
        <v>0</v>
      </c>
      <c r="I320" s="152">
        <f t="shared" si="21"/>
        <v>150000</v>
      </c>
    </row>
    <row r="321" spans="1:9" s="159" customFormat="1" ht="31.5">
      <c r="A321" s="148" t="str">
        <f>IF(B321&gt;0,VLOOKUP(B321,КВСР!A80:B1245,2),IF(C321&gt;0,VLOOKUP(C321,КФСР!A80:B1592,2),IF(D321&gt;0,VLOOKUP(D321,Программа!A$1:B$5091,2),IF(F321&gt;0,VLOOKUP(F321,КВР!A$1:B$5001,2),IF(E321&gt;0,VLOOKUP(E321,Направление!A$1:B$4750,2))))))</f>
        <v>Расходы на проведение мероприятий по информатизации</v>
      </c>
      <c r="B321" s="149"/>
      <c r="C321" s="144"/>
      <c r="D321" s="145"/>
      <c r="E321" s="144">
        <v>12210</v>
      </c>
      <c r="F321" s="146"/>
      <c r="G321" s="337">
        <f>G322</f>
        <v>150000</v>
      </c>
      <c r="H321" s="152">
        <f>H322</f>
        <v>0</v>
      </c>
      <c r="I321" s="152">
        <f t="shared" si="21"/>
        <v>150000</v>
      </c>
    </row>
    <row r="322" spans="1:9" s="159" customFormat="1" ht="63">
      <c r="A322" s="148" t="str">
        <f>IF(B322&gt;0,VLOOKUP(B322,КВСР!A81:B1246,2),IF(C322&gt;0,VLOOKUP(C322,КФСР!A81:B1593,2),IF(D322&gt;0,VLOOKUP(D322,Программа!A$1:B$5091,2),IF(F322&gt;0,VLOOKUP(F322,КВР!A$1:B$5001,2),IF(E322&gt;0,VLOOKUP(E322,Направление!A$1:B$4750,2))))))</f>
        <v xml:space="preserve">Закупка товаров, работ и услуг для обеспечения государственных (муниципальных) нужд
</v>
      </c>
      <c r="B322" s="149"/>
      <c r="C322" s="144"/>
      <c r="D322" s="145"/>
      <c r="E322" s="144"/>
      <c r="F322" s="146">
        <v>200</v>
      </c>
      <c r="G322" s="337">
        <v>150000</v>
      </c>
      <c r="H322" s="154"/>
      <c r="I322" s="152">
        <f t="shared" si="21"/>
        <v>150000</v>
      </c>
    </row>
    <row r="323" spans="1:9" s="159" customFormat="1" ht="78.75">
      <c r="A323" s="148" t="str">
        <f>IF(B323&gt;0,VLOOKUP(B323,КВСР!A82:B1247,2),IF(C323&gt;0,VLOOKUP(C323,КФСР!A82:B1594,2),IF(D323&gt;0,VLOOKUP(D323,Программа!A$1:B$5091,2),IF(F323&gt;0,VLOOKUP(F323,КВР!A$1:B$5001,2),IF(E323&gt;0,VLOOKUP(E323,Направление!A$1:B$4750,2))))))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23" s="149"/>
      <c r="C323" s="144"/>
      <c r="D323" s="145" t="s">
        <v>498</v>
      </c>
      <c r="E323" s="144"/>
      <c r="F323" s="146"/>
      <c r="G323" s="337">
        <f>G324</f>
        <v>50000</v>
      </c>
      <c r="H323" s="152">
        <f>H324</f>
        <v>0</v>
      </c>
      <c r="I323" s="152">
        <f t="shared" si="21"/>
        <v>50000</v>
      </c>
    </row>
    <row r="324" spans="1:9" s="159" customFormat="1" ht="31.5">
      <c r="A324" s="148" t="str">
        <f>IF(B324&gt;0,VLOOKUP(B324,КВСР!A83:B1248,2),IF(C324&gt;0,VLOOKUP(C324,КФСР!A83:B1595,2),IF(D324&gt;0,VLOOKUP(D324,Программа!A$1:B$5091,2),IF(F324&gt;0,VLOOKUP(F324,КВР!A$1:B$5001,2),IF(E324&gt;0,VLOOKUP(E324,Направление!A$1:B$4750,2))))))</f>
        <v>Расходы на проведение мероприятий по информатизации</v>
      </c>
      <c r="B324" s="149"/>
      <c r="C324" s="144"/>
      <c r="D324" s="145"/>
      <c r="E324" s="144">
        <v>12210</v>
      </c>
      <c r="F324" s="146"/>
      <c r="G324" s="337">
        <f>G325</f>
        <v>50000</v>
      </c>
      <c r="H324" s="152">
        <f>H325</f>
        <v>0</v>
      </c>
      <c r="I324" s="152">
        <f t="shared" si="21"/>
        <v>50000</v>
      </c>
    </row>
    <row r="325" spans="1:9" s="159" customFormat="1" ht="63">
      <c r="A325" s="148" t="str">
        <f>IF(B325&gt;0,VLOOKUP(B325,КВСР!A83:B1248,2),IF(C325&gt;0,VLOOKUP(C325,КФСР!A83:B1595,2),IF(D325&gt;0,VLOOKUP(D325,Программа!A$1:B$5091,2),IF(F325&gt;0,VLOOKUP(F325,КВР!A$1:B$5001,2),IF(E325&gt;0,VLOOKUP(E325,Направление!A$1:B$4750,2))))))</f>
        <v xml:space="preserve">Закупка товаров, работ и услуг для обеспечения государственных (муниципальных) нужд
</v>
      </c>
      <c r="B325" s="149"/>
      <c r="C325" s="144"/>
      <c r="D325" s="145"/>
      <c r="E325" s="144"/>
      <c r="F325" s="146">
        <v>200</v>
      </c>
      <c r="G325" s="337">
        <v>50000</v>
      </c>
      <c r="H325" s="154"/>
      <c r="I325" s="152">
        <f t="shared" si="21"/>
        <v>50000</v>
      </c>
    </row>
    <row r="326" spans="1:9" s="159" customFormat="1">
      <c r="A326" s="148" t="str">
        <f>IF(B326&gt;0,VLOOKUP(B326,КВСР!A78:B1243,2),IF(C326&gt;0,VLOOKUP(C326,КФСР!A78:B1590,2),IF(D326&gt;0,VLOOKUP(D326,Программа!A$1:B$5091,2),IF(F326&gt;0,VLOOKUP(F326,КВР!A$1:B$5001,2),IF(E326&gt;0,VLOOKUP(E326,Направление!A$1:B$4750,2))))))</f>
        <v>Непрограммные расходы бюджета</v>
      </c>
      <c r="B326" s="149"/>
      <c r="C326" s="144"/>
      <c r="D326" s="145" t="s">
        <v>480</v>
      </c>
      <c r="E326" s="144"/>
      <c r="F326" s="146"/>
      <c r="G326" s="337">
        <f>G327+G331+G333+G335+G1288+G338+G340</f>
        <v>14380961</v>
      </c>
      <c r="H326" s="337">
        <f>H327+H331+H333+H335+H1288+H338+H340</f>
        <v>20000</v>
      </c>
      <c r="I326" s="337">
        <f>I327+I331+I333+I335+I1288+I338+I340</f>
        <v>14400961</v>
      </c>
    </row>
    <row r="327" spans="1:9" s="159" customFormat="1">
      <c r="A327" s="148" t="str">
        <f>IF(B327&gt;0,VLOOKUP(B327,КВСР!A79:B1244,2),IF(C327&gt;0,VLOOKUP(C327,КФСР!A79:B1591,2),IF(D327&gt;0,VLOOKUP(D327,Программа!A$1:B$5091,2),IF(F327&gt;0,VLOOKUP(F327,КВР!A$1:B$5001,2),IF(E327&gt;0,VLOOKUP(E327,Направление!A$1:B$4750,2))))))</f>
        <v>Содержание центрального аппарата</v>
      </c>
      <c r="B327" s="149"/>
      <c r="C327" s="144"/>
      <c r="D327" s="145"/>
      <c r="E327" s="144">
        <v>12010</v>
      </c>
      <c r="F327" s="146"/>
      <c r="G327" s="337">
        <f>G328+G329+G330</f>
        <v>9039211</v>
      </c>
      <c r="H327" s="152">
        <f>H328+H329+H330</f>
        <v>0</v>
      </c>
      <c r="I327" s="152">
        <f t="shared" si="21"/>
        <v>9039211</v>
      </c>
    </row>
    <row r="328" spans="1:9" s="159" customFormat="1" ht="126">
      <c r="A328" s="148" t="str">
        <f>IF(B328&gt;0,VLOOKUP(B328,КВСР!A80:B1245,2),IF(C328&gt;0,VLOOKUP(C328,КФСР!A80:B1592,2),IF(D328&gt;0,VLOOKUP(D328,Программа!A$1:B$5091,2),IF(F328&gt;0,VLOOKUP(F328,КВР!A$1:B$5001,2),IF(E328&gt;0,VLOOKUP(E328,Направление!A$1:B$4750,2))))))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49"/>
      <c r="C328" s="144"/>
      <c r="D328" s="146"/>
      <c r="E328" s="144"/>
      <c r="F328" s="146">
        <v>100</v>
      </c>
      <c r="G328" s="379">
        <v>8339211</v>
      </c>
      <c r="H328" s="151"/>
      <c r="I328" s="152">
        <f t="shared" si="21"/>
        <v>8339211</v>
      </c>
    </row>
    <row r="329" spans="1:9" s="159" customFormat="1" ht="63">
      <c r="A329" s="148" t="str">
        <f>IF(B329&gt;0,VLOOKUP(B329,КВСР!A81:B1246,2),IF(C329&gt;0,VLOOKUP(C329,КФСР!A81:B1593,2),IF(D329&gt;0,VLOOKUP(D329,Программа!A$1:B$5091,2),IF(F329&gt;0,VLOOKUP(F329,КВР!A$1:B$5001,2),IF(E329&gt;0,VLOOKUP(E329,Направление!A$1:B$4750,2))))))</f>
        <v xml:space="preserve">Закупка товаров, работ и услуг для обеспечения государственных (муниципальных) нужд
</v>
      </c>
      <c r="B329" s="149"/>
      <c r="C329" s="144"/>
      <c r="D329" s="146"/>
      <c r="E329" s="144"/>
      <c r="F329" s="146">
        <v>200</v>
      </c>
      <c r="G329" s="379">
        <v>645000</v>
      </c>
      <c r="H329" s="151"/>
      <c r="I329" s="152">
        <f t="shared" si="21"/>
        <v>645000</v>
      </c>
    </row>
    <row r="330" spans="1:9" s="159" customFormat="1">
      <c r="A330" s="148" t="str">
        <f>IF(B330&gt;0,VLOOKUP(B330,КВСР!A82:B1247,2),IF(C330&gt;0,VLOOKUP(C330,КФСР!A82:B1594,2),IF(D330&gt;0,VLOOKUP(D330,Программа!A$1:B$5091,2),IF(F330&gt;0,VLOOKUP(F330,КВР!A$1:B$5001,2),IF(E330&gt;0,VLOOKUP(E330,Направление!A$1:B$4750,2))))))</f>
        <v>Иные бюджетные ассигнования</v>
      </c>
      <c r="B330" s="149"/>
      <c r="C330" s="144"/>
      <c r="D330" s="146"/>
      <c r="E330" s="144"/>
      <c r="F330" s="146">
        <v>800</v>
      </c>
      <c r="G330" s="379">
        <v>55000</v>
      </c>
      <c r="H330" s="151"/>
      <c r="I330" s="152">
        <f t="shared" si="21"/>
        <v>55000</v>
      </c>
    </row>
    <row r="331" spans="1:9" s="159" customFormat="1" ht="42" customHeight="1">
      <c r="A331" s="148" t="str">
        <f>IF(B331&gt;0,VLOOKUP(B331,КВСР!A83:B1248,2),IF(C331&gt;0,VLOOKUP(C331,КФСР!A83:B1595,2),IF(D331&gt;0,VLOOKUP(D331,Программа!A$1:B$5091,2),IF(F331&gt;0,VLOOKUP(F331,КВР!A$1:B$5001,2),IF(E331&gt;0,VLOOKUP(E331,Направление!A$1:B$4750,2))))))</f>
        <v>Выполнение других обязательств органов местного самоуправления</v>
      </c>
      <c r="B331" s="149"/>
      <c r="C331" s="144"/>
      <c r="D331" s="145"/>
      <c r="E331" s="144">
        <v>12080</v>
      </c>
      <c r="F331" s="146"/>
      <c r="G331" s="150">
        <f>G332</f>
        <v>3091000</v>
      </c>
      <c r="H331" s="150">
        <f>H332</f>
        <v>0</v>
      </c>
      <c r="I331" s="152">
        <f t="shared" si="21"/>
        <v>3091000</v>
      </c>
    </row>
    <row r="332" spans="1:9" s="159" customFormat="1" ht="63">
      <c r="A332" s="148" t="str">
        <f>IF(B332&gt;0,VLOOKUP(B332,КВСР!A84:B1249,2),IF(C332&gt;0,VLOOKUP(C332,КФСР!A84:B1596,2),IF(D332&gt;0,VLOOKUP(D332,Программа!A$1:B$5091,2),IF(F332&gt;0,VLOOKUP(F332,КВР!A$1:B$5001,2),IF(E332&gt;0,VLOOKUP(E332,Направление!A$1:B$4750,2))))))</f>
        <v xml:space="preserve">Закупка товаров, работ и услуг для обеспечения государственных (муниципальных) нужд
</v>
      </c>
      <c r="B332" s="149"/>
      <c r="C332" s="144"/>
      <c r="D332" s="146"/>
      <c r="E332" s="144"/>
      <c r="F332" s="146">
        <v>200</v>
      </c>
      <c r="G332" s="379">
        <v>3091000</v>
      </c>
      <c r="H332" s="151"/>
      <c r="I332" s="152">
        <f t="shared" si="21"/>
        <v>3091000</v>
      </c>
    </row>
    <row r="333" spans="1:9" s="159" customFormat="1" ht="47.25">
      <c r="A333" s="148" t="str">
        <f>IF(B333&gt;0,VLOOKUP(B333,КВСР!A83:B1248,2),IF(C333&gt;0,VLOOKUP(C333,КФСР!A83:B1595,2),IF(D333&gt;0,VLOOKUP(D333,Программа!A$1:B$5091,2),IF(F333&gt;0,VLOOKUP(F333,КВР!A$1:B$5001,2),IF(E333&gt;0,VLOOKUP(E333,Направление!A$1:B$4750,2))))))</f>
        <v>Оценка недвижимости, признание прав и регулирование отношений по муниципальной собственности</v>
      </c>
      <c r="B333" s="149"/>
      <c r="C333" s="144"/>
      <c r="D333" s="145"/>
      <c r="E333" s="144">
        <v>12090</v>
      </c>
      <c r="F333" s="146"/>
      <c r="G333" s="150">
        <f>G334</f>
        <v>550000</v>
      </c>
      <c r="H333" s="150">
        <f>H334</f>
        <v>0</v>
      </c>
      <c r="I333" s="152">
        <f t="shared" si="21"/>
        <v>550000</v>
      </c>
    </row>
    <row r="334" spans="1:9" s="159" customFormat="1" ht="63">
      <c r="A334" s="148" t="str">
        <f>IF(B334&gt;0,VLOOKUP(B334,КВСР!A84:B1249,2),IF(C334&gt;0,VLOOKUP(C334,КФСР!A84:B1596,2),IF(D334&gt;0,VLOOKUP(D334,Программа!A$1:B$5091,2),IF(F334&gt;0,VLOOKUP(F334,КВР!A$1:B$5001,2),IF(E334&gt;0,VLOOKUP(E334,Направление!A$1:B$4750,2))))))</f>
        <v xml:space="preserve">Закупка товаров, работ и услуг для обеспечения государственных (муниципальных) нужд
</v>
      </c>
      <c r="B334" s="149"/>
      <c r="C334" s="144"/>
      <c r="D334" s="146"/>
      <c r="E334" s="144"/>
      <c r="F334" s="146">
        <v>200</v>
      </c>
      <c r="G334" s="379">
        <v>550000</v>
      </c>
      <c r="H334" s="151"/>
      <c r="I334" s="152">
        <f t="shared" si="21"/>
        <v>550000</v>
      </c>
    </row>
    <row r="335" spans="1:9" s="159" customFormat="1" ht="47.25" hidden="1">
      <c r="A335" s="148" t="str">
        <f>IF(B335&gt;0,VLOOKUP(B335,КВСР!A90:B1255,2),IF(C335&gt;0,VLOOKUP(C335,КФСР!A90:B1602,2),IF(D335&gt;0,VLOOKUP(D335,Программа!A$1:B$5091,2),IF(F335&gt;0,VLOOKUP(F335,КВР!A$1:B$5001,2),IF(E335&gt;0,VLOOKUP(E335,Направление!A$1:B$4750,2))))))</f>
        <v>Содержание органов местного самоуправления за счет средств поселений</v>
      </c>
      <c r="B335" s="149"/>
      <c r="C335" s="144"/>
      <c r="D335" s="146"/>
      <c r="E335" s="144">
        <v>29016</v>
      </c>
      <c r="F335" s="146"/>
      <c r="G335" s="158">
        <f>G336+G337</f>
        <v>0</v>
      </c>
      <c r="H335" s="158">
        <f>H336+H337</f>
        <v>0</v>
      </c>
      <c r="I335" s="152">
        <f t="shared" ref="I335:I421" si="78">SUM(G335:H335)</f>
        <v>0</v>
      </c>
    </row>
    <row r="336" spans="1:9" s="159" customFormat="1" ht="126" hidden="1">
      <c r="A336" s="148" t="str">
        <f>IF(B336&gt;0,VLOOKUP(B336,КВСР!A91:B1256,2),IF(C336&gt;0,VLOOKUP(C336,КФСР!A91:B1603,2),IF(D336&gt;0,VLOOKUP(D336,Программа!A$1:B$5091,2),IF(F336&gt;0,VLOOKUP(F336,КВР!A$1:B$5001,2),IF(E336&gt;0,VLOOKUP(E336,Направление!A$1:B$4750,2))))))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49"/>
      <c r="C336" s="144"/>
      <c r="D336" s="146"/>
      <c r="E336" s="144"/>
      <c r="F336" s="146">
        <v>100</v>
      </c>
      <c r="G336" s="379">
        <v>0</v>
      </c>
      <c r="H336" s="151"/>
      <c r="I336" s="152">
        <f t="shared" si="78"/>
        <v>0</v>
      </c>
    </row>
    <row r="337" spans="1:9" s="159" customFormat="1" ht="63" hidden="1">
      <c r="A337" s="148" t="str">
        <f>IF(B337&gt;0,VLOOKUP(B337,КВСР!A92:B1257,2),IF(C337&gt;0,VLOOKUP(C337,КФСР!A92:B1604,2),IF(D337&gt;0,VLOOKUP(D337,Программа!A$1:B$5091,2),IF(F337&gt;0,VLOOKUP(F337,КВР!A$1:B$5001,2),IF(E337&gt;0,VLOOKUP(E337,Направление!A$1:B$4750,2))))))</f>
        <v xml:space="preserve">Закупка товаров, работ и услуг для обеспечения государственных (муниципальных) нужд
</v>
      </c>
      <c r="B337" s="149"/>
      <c r="C337" s="144"/>
      <c r="D337" s="146"/>
      <c r="E337" s="144"/>
      <c r="F337" s="146">
        <v>200</v>
      </c>
      <c r="G337" s="379">
        <v>0</v>
      </c>
      <c r="H337" s="151"/>
      <c r="I337" s="152">
        <f t="shared" si="78"/>
        <v>0</v>
      </c>
    </row>
    <row r="338" spans="1:9" s="159" customFormat="1" ht="94.5">
      <c r="A338" s="148" t="str">
        <f>IF(B338&gt;0,VLOOKUP(B338,КВСР!A93:B1258,2),IF(C338&gt;0,VLOOKUP(C338,КФСР!A93:B1605,2),IF(D338&gt;0,VLOOKUP(D338,Программа!A$1:B$5091,2),IF(F338&gt;0,VLOOKUP(F338,КВР!A$1:B$5001,2),IF(E338&gt;0,VLOOKUP(E338,Направление!A$1:B$4750,2))))))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38" s="149"/>
      <c r="C338" s="144"/>
      <c r="D338" s="145"/>
      <c r="E338" s="144">
        <v>29026</v>
      </c>
      <c r="F338" s="146"/>
      <c r="G338" s="150">
        <f>G339</f>
        <v>500000</v>
      </c>
      <c r="H338" s="150">
        <f>H339</f>
        <v>20000</v>
      </c>
      <c r="I338" s="152">
        <f t="shared" si="78"/>
        <v>520000</v>
      </c>
    </row>
    <row r="339" spans="1:9" s="159" customFormat="1" ht="63">
      <c r="A339" s="148" t="str">
        <f>IF(B339&gt;0,VLOOKUP(B339,КВСР!A94:B1259,2),IF(C339&gt;0,VLOOKUP(C339,КФСР!A94:B1606,2),IF(D339&gt;0,VLOOKUP(D339,Программа!A$1:B$5091,2),IF(F339&gt;0,VLOOKUP(F339,КВР!A$1:B$5001,2),IF(E339&gt;0,VLOOKUP(E339,Направление!A$1:B$4750,2))))))</f>
        <v xml:space="preserve">Закупка товаров, работ и услуг для обеспечения государственных (муниципальных) нужд
</v>
      </c>
      <c r="B339" s="149"/>
      <c r="C339" s="144"/>
      <c r="D339" s="146"/>
      <c r="E339" s="144"/>
      <c r="F339" s="146">
        <v>200</v>
      </c>
      <c r="G339" s="379">
        <v>500000</v>
      </c>
      <c r="H339" s="151">
        <v>20000</v>
      </c>
      <c r="I339" s="152">
        <f t="shared" si="78"/>
        <v>520000</v>
      </c>
    </row>
    <row r="340" spans="1:9" s="159" customFormat="1" ht="63">
      <c r="A340" s="148" t="str">
        <f>IF(B340&gt;0,VLOOKUP(B340,КВСР!A95:B1260,2),IF(C340&gt;0,VLOOKUP(C340,КФСР!A95:B1607,2),IF(D340&gt;0,VLOOKUP(D340,Программа!A$1:B$5091,2),IF(F340&gt;0,VLOOKUP(F340,КВР!A$1:B$5001,2),IF(E340&gt;0,VLOOKUP(E340,Направление!A$1:B$4750,2))))))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40" s="149"/>
      <c r="C340" s="144"/>
      <c r="D340" s="146"/>
      <c r="E340" s="144">
        <v>29556</v>
      </c>
      <c r="F340" s="146"/>
      <c r="G340" s="379">
        <f t="shared" ref="G340:I340" si="79">G341</f>
        <v>1200750</v>
      </c>
      <c r="H340" s="379">
        <f t="shared" si="79"/>
        <v>0</v>
      </c>
      <c r="I340" s="379">
        <f t="shared" si="79"/>
        <v>1200750</v>
      </c>
    </row>
    <row r="341" spans="1:9" s="159" customFormat="1" ht="63">
      <c r="A341" s="148" t="str">
        <f>IF(B341&gt;0,VLOOKUP(B341,КВСР!A96:B1261,2),IF(C341&gt;0,VLOOKUP(C341,КФСР!A96:B1608,2),IF(D341&gt;0,VLOOKUP(D341,Программа!A$1:B$5091,2),IF(F341&gt;0,VLOOKUP(F341,КВР!A$1:B$5001,2),IF(E341&gt;0,VLOOKUP(E341,Направление!A$1:B$4750,2))))))</f>
        <v xml:space="preserve">Закупка товаров, работ и услуг для обеспечения государственных (муниципальных) нужд
</v>
      </c>
      <c r="B341" s="149"/>
      <c r="C341" s="144"/>
      <c r="D341" s="146"/>
      <c r="E341" s="144"/>
      <c r="F341" s="146">
        <v>200</v>
      </c>
      <c r="G341" s="379">
        <v>1200750</v>
      </c>
      <c r="H341" s="151"/>
      <c r="I341" s="152">
        <f>G341+H341</f>
        <v>1200750</v>
      </c>
    </row>
    <row r="342" spans="1:9" s="159" customFormat="1" ht="31.5">
      <c r="A342" s="148" t="str">
        <f>IF(B342&gt;0,VLOOKUP(B342,КВСР!A92:B1257,2),IF(C342&gt;0,VLOOKUP(C342,КФСР!A92:B1604,2),IF(D342&gt;0,VLOOKUP(D342,Программа!A$1:B$5091,2),IF(F342&gt;0,VLOOKUP(F342,КВР!A$1:B$5001,2),IF(E342&gt;0,VLOOKUP(E342,Направление!A$1:B$4750,2))))))</f>
        <v>Другие вопросы в области национальной экономики</v>
      </c>
      <c r="B342" s="149"/>
      <c r="C342" s="144">
        <v>412</v>
      </c>
      <c r="D342" s="145"/>
      <c r="E342" s="144"/>
      <c r="F342" s="146"/>
      <c r="G342" s="150">
        <f t="shared" ref="G342:H344" si="80">G343</f>
        <v>2400000</v>
      </c>
      <c r="H342" s="150">
        <f t="shared" si="80"/>
        <v>0</v>
      </c>
      <c r="I342" s="152">
        <f t="shared" si="78"/>
        <v>2400000</v>
      </c>
    </row>
    <row r="343" spans="1:9" s="159" customFormat="1">
      <c r="A343" s="148" t="str">
        <f>IF(B343&gt;0,VLOOKUP(B343,КВСР!A93:B1258,2),IF(C343&gt;0,VLOOKUP(C343,КФСР!A93:B1605,2),IF(D343&gt;0,VLOOKUP(D343,Программа!A$1:B$5091,2),IF(F343&gt;0,VLOOKUP(F343,КВР!A$1:B$5001,2),IF(E343&gt;0,VLOOKUP(E343,Направление!A$1:B$4750,2))))))</f>
        <v>Непрограммные расходы бюджета</v>
      </c>
      <c r="B343" s="149"/>
      <c r="C343" s="144"/>
      <c r="D343" s="145" t="s">
        <v>480</v>
      </c>
      <c r="E343" s="144"/>
      <c r="F343" s="146"/>
      <c r="G343" s="150">
        <f>G344+G346</f>
        <v>2400000</v>
      </c>
      <c r="H343" s="150">
        <f>H344+H346</f>
        <v>0</v>
      </c>
      <c r="I343" s="152">
        <f t="shared" si="78"/>
        <v>2400000</v>
      </c>
    </row>
    <row r="344" spans="1:9" s="159" customFormat="1" ht="31.5">
      <c r="A344" s="148" t="str">
        <f>IF(B344&gt;0,VLOOKUP(B344,КВСР!A94:B1259,2),IF(C344&gt;0,VLOOKUP(C344,КФСР!A94:B1606,2),IF(D344&gt;0,VLOOKUP(D344,Программа!A$1:B$5091,2),IF(F344&gt;0,VLOOKUP(F344,КВР!A$1:B$5001,2),IF(E344&gt;0,VLOOKUP(E344,Направление!A$1:B$4750,2))))))</f>
        <v>Мероприятия по землеустройству и землепользованию</v>
      </c>
      <c r="B344" s="149"/>
      <c r="C344" s="144"/>
      <c r="D344" s="145"/>
      <c r="E344" s="144">
        <v>10510</v>
      </c>
      <c r="F344" s="146"/>
      <c r="G344" s="150">
        <f t="shared" si="80"/>
        <v>1500000</v>
      </c>
      <c r="H344" s="150">
        <f t="shared" si="80"/>
        <v>0</v>
      </c>
      <c r="I344" s="152">
        <f t="shared" si="78"/>
        <v>1500000</v>
      </c>
    </row>
    <row r="345" spans="1:9" s="159" customFormat="1" ht="63">
      <c r="A345" s="148" t="str">
        <f>IF(B345&gt;0,VLOOKUP(B345,КВСР!A95:B1260,2),IF(C345&gt;0,VLOOKUP(C345,КФСР!A95:B1607,2),IF(D345&gt;0,VLOOKUP(D345,Программа!A$1:B$5091,2),IF(F345&gt;0,VLOOKUP(F345,КВР!A$1:B$5001,2),IF(E345&gt;0,VLOOKUP(E345,Направление!A$1:B$4750,2))))))</f>
        <v xml:space="preserve">Закупка товаров, работ и услуг для обеспечения государственных (муниципальных) нужд
</v>
      </c>
      <c r="B345" s="149"/>
      <c r="C345" s="144"/>
      <c r="D345" s="146"/>
      <c r="E345" s="144"/>
      <c r="F345" s="146">
        <v>200</v>
      </c>
      <c r="G345" s="379">
        <v>1500000</v>
      </c>
      <c r="H345" s="151"/>
      <c r="I345" s="152">
        <f t="shared" si="78"/>
        <v>1500000</v>
      </c>
    </row>
    <row r="346" spans="1:9" s="159" customFormat="1" ht="78.75">
      <c r="A346" s="148" t="str">
        <f>IF(B346&gt;0,VLOOKUP(B346,КВСР!A96:B1261,2),IF(C346&gt;0,VLOOKUP(C346,КФСР!A96:B1608,2),IF(D346&gt;0,VLOOKUP(D346,Программа!A$1:B$5091,2),IF(F346&gt;0,VLOOKUP(F346,КВР!A$1:B$5001,2),IF(E346&gt;0,VLOOKUP(E346,Направление!A$1:B$4750,2))))))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46" s="149"/>
      <c r="C346" s="144"/>
      <c r="D346" s="146"/>
      <c r="E346" s="144">
        <v>29276</v>
      </c>
      <c r="F346" s="146"/>
      <c r="G346" s="347">
        <f>G347</f>
        <v>900000</v>
      </c>
      <c r="H346" s="347">
        <f>H347</f>
        <v>0</v>
      </c>
      <c r="I346" s="152">
        <f>SUM(G346:H346)</f>
        <v>900000</v>
      </c>
    </row>
    <row r="347" spans="1:9" s="159" customFormat="1" ht="52.5" customHeight="1">
      <c r="A347" s="148" t="str">
        <f>IF(B347&gt;0,VLOOKUP(B347,КВСР!A97:B1262,2),IF(C347&gt;0,VLOOKUP(C347,КФСР!A97:B1609,2),IF(D347&gt;0,VLOOKUP(D347,Программа!A$1:B$5091,2),IF(F347&gt;0,VLOOKUP(F347,КВР!A$1:B$5001,2),IF(E347&gt;0,VLOOKUP(E347,Направление!A$1:B$4750,2))))))</f>
        <v xml:space="preserve">Закупка товаров, работ и услуг для обеспечения государственных (муниципальных) нужд
</v>
      </c>
      <c r="B347" s="149"/>
      <c r="C347" s="144"/>
      <c r="D347" s="146"/>
      <c r="E347" s="144"/>
      <c r="F347" s="146">
        <v>200</v>
      </c>
      <c r="G347" s="379">
        <v>900000</v>
      </c>
      <c r="H347" s="151"/>
      <c r="I347" s="152">
        <f>SUM(G347:H347)</f>
        <v>900000</v>
      </c>
    </row>
    <row r="348" spans="1:9" s="159" customFormat="1">
      <c r="A348" s="148" t="str">
        <f>IF(B348&gt;0,VLOOKUP(B348,КВСР!A100:B1265,2),IF(C348&gt;0,VLOOKUP(C348,КФСР!A100:B1612,2),IF(D348&gt;0,VLOOKUP(D348,Программа!A$1:B$5091,2),IF(F348&gt;0,VLOOKUP(F348,КВР!A$1:B$5001,2),IF(E348&gt;0,VLOOKUP(E348,Направление!A$1:B$4750,2))))))</f>
        <v>Жилищное хозяйство</v>
      </c>
      <c r="B348" s="149"/>
      <c r="C348" s="144">
        <v>501</v>
      </c>
      <c r="D348" s="146"/>
      <c r="E348" s="144"/>
      <c r="F348" s="146"/>
      <c r="G348" s="158">
        <f t="shared" ref="G348:H350" si="81">G349</f>
        <v>356000</v>
      </c>
      <c r="H348" s="158">
        <f t="shared" si="81"/>
        <v>57636</v>
      </c>
      <c r="I348" s="152">
        <f t="shared" si="78"/>
        <v>413636</v>
      </c>
    </row>
    <row r="349" spans="1:9" s="159" customFormat="1">
      <c r="A349" s="148" t="str">
        <f>IF(B349&gt;0,VLOOKUP(B349,КВСР!A101:B1266,2),IF(C349&gt;0,VLOOKUP(C349,КФСР!A101:B1613,2),IF(D349&gt;0,VLOOKUP(D349,Программа!A$1:B$5091,2),IF(F349&gt;0,VLOOKUP(F349,КВР!A$1:B$5001,2),IF(E349&gt;0,VLOOKUP(E349,Направление!A$1:B$4750,2))))))</f>
        <v>Непрограммные расходы бюджета</v>
      </c>
      <c r="B349" s="149"/>
      <c r="C349" s="144"/>
      <c r="D349" s="146" t="s">
        <v>480</v>
      </c>
      <c r="E349" s="144"/>
      <c r="F349" s="146"/>
      <c r="G349" s="158">
        <f>G350+G354+G352</f>
        <v>356000</v>
      </c>
      <c r="H349" s="158">
        <f>H350+H354+H352</f>
        <v>57636</v>
      </c>
      <c r="I349" s="152">
        <f>SUM(G349:H349)</f>
        <v>413636</v>
      </c>
    </row>
    <row r="350" spans="1:9" s="159" customFormat="1" ht="47.25">
      <c r="A350" s="148" t="str">
        <f>IF(B350&gt;0,VLOOKUP(B350,КВСР!A102:B1267,2),IF(C350&gt;0,VLOOKUP(C350,КФСР!A102:B1614,2),IF(D350&gt;0,VLOOKUP(D350,Программа!A$1:B$5091,2),IF(F350&gt;0,VLOOKUP(F350,КВР!A$1:B$5001,2),IF(E350&gt;0,VLOOKUP(E350,Направление!A$1:B$4750,2))))))</f>
        <v>Взносы на  капитальный ремонт  жилых помещений муниципального жилищного фонда</v>
      </c>
      <c r="B350" s="149"/>
      <c r="C350" s="144"/>
      <c r="D350" s="146"/>
      <c r="E350" s="144">
        <v>10370</v>
      </c>
      <c r="F350" s="146"/>
      <c r="G350" s="158">
        <f t="shared" si="81"/>
        <v>256000</v>
      </c>
      <c r="H350" s="158">
        <f t="shared" si="81"/>
        <v>0</v>
      </c>
      <c r="I350" s="152">
        <f t="shared" si="78"/>
        <v>256000</v>
      </c>
    </row>
    <row r="351" spans="1:9" s="159" customFormat="1" ht="54.75" customHeight="1">
      <c r="A351" s="148" t="str">
        <f>IF(B351&gt;0,VLOOKUP(B351,КВСР!A103:B1268,2),IF(C351&gt;0,VLOOKUP(C351,КФСР!A103:B1615,2),IF(D351&gt;0,VLOOKUP(D351,Программа!A$1:B$5091,2),IF(F351&gt;0,VLOOKUP(F351,КВР!A$1:B$5001,2),IF(E351&gt;0,VLOOKUP(E351,Направление!A$1:B$4750,2))))))</f>
        <v xml:space="preserve">Закупка товаров, работ и услуг для обеспечения государственных (муниципальных) нужд
</v>
      </c>
      <c r="B351" s="149"/>
      <c r="C351" s="144"/>
      <c r="D351" s="146"/>
      <c r="E351" s="144"/>
      <c r="F351" s="146">
        <v>200</v>
      </c>
      <c r="G351" s="379">
        <v>256000</v>
      </c>
      <c r="H351" s="151"/>
      <c r="I351" s="152">
        <f t="shared" si="78"/>
        <v>256000</v>
      </c>
    </row>
    <row r="352" spans="1:9" s="159" customFormat="1" ht="54.75" customHeight="1">
      <c r="A352" s="148" t="str">
        <f>IF(B352&gt;0,VLOOKUP(B352,КВСР!A104:B1269,2),IF(C352&gt;0,VLOOKUP(C352,КФСР!A104:B1616,2),IF(D352&gt;0,VLOOKUP(D352,Программа!A$1:B$5091,2),IF(F352&gt;0,VLOOKUP(F352,КВР!A$1:B$5001,2),IF(E352&gt;0,VLOOKUP(E352,Направление!A$1:B$4750,2))))))</f>
        <v xml:space="preserve">Обеспечение мероприятий по начислению и сбору платы за найм муниципального жилищного фонда </v>
      </c>
      <c r="B352" s="149"/>
      <c r="C352" s="144"/>
      <c r="D352" s="146"/>
      <c r="E352" s="144">
        <v>29436</v>
      </c>
      <c r="F352" s="146"/>
      <c r="G352" s="347">
        <f>G353</f>
        <v>100000</v>
      </c>
      <c r="H352" s="347">
        <f>H353</f>
        <v>0</v>
      </c>
      <c r="I352" s="152">
        <f t="shared" ref="I352:I353" si="82">SUM(G352:H352)</f>
        <v>100000</v>
      </c>
    </row>
    <row r="353" spans="1:9" s="159" customFormat="1" ht="54.75" customHeight="1">
      <c r="A353" s="148" t="str">
        <f>IF(B353&gt;0,VLOOKUP(B353,КВСР!A105:B1270,2),IF(C353&gt;0,VLOOKUP(C353,КФСР!A105:B1617,2),IF(D353&gt;0,VLOOKUP(D353,Программа!A$1:B$5091,2),IF(F353&gt;0,VLOOKUP(F353,КВР!A$1:B$5001,2),IF(E353&gt;0,VLOOKUP(E353,Направление!A$1:B$4750,2))))))</f>
        <v xml:space="preserve">Закупка товаров, работ и услуг для обеспечения государственных (муниципальных) нужд
</v>
      </c>
      <c r="B353" s="149"/>
      <c r="C353" s="144"/>
      <c r="D353" s="146"/>
      <c r="E353" s="144"/>
      <c r="F353" s="146">
        <v>200</v>
      </c>
      <c r="G353" s="379">
        <v>100000</v>
      </c>
      <c r="H353" s="151"/>
      <c r="I353" s="152">
        <f t="shared" si="82"/>
        <v>100000</v>
      </c>
    </row>
    <row r="354" spans="1:9" s="159" customFormat="1" ht="82.5" customHeight="1">
      <c r="A354" s="148" t="str">
        <f>IF(B354&gt;0,VLOOKUP(B354,КВСР!A104:B1269,2),IF(C354&gt;0,VLOOKUP(C354,КФСР!A104:B1616,2),IF(D354&gt;0,VLOOKUP(D354,Программа!A$1:B$5091,2),IF(F354&gt;0,VLOOKUP(F354,КВР!A$1:B$5001,2),IF(E354&gt;0,VLOOKUP(E354,Направление!A$1:B$4750,2))))))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54" s="149"/>
      <c r="C354" s="144"/>
      <c r="D354" s="146"/>
      <c r="E354" s="144">
        <v>29446</v>
      </c>
      <c r="F354" s="146"/>
      <c r="G354" s="347">
        <f>G355</f>
        <v>0</v>
      </c>
      <c r="H354" s="347">
        <f>H355</f>
        <v>57636</v>
      </c>
      <c r="I354" s="152">
        <f t="shared" si="78"/>
        <v>57636</v>
      </c>
    </row>
    <row r="355" spans="1:9" s="159" customFormat="1" ht="54.75" customHeight="1">
      <c r="A355" s="148" t="str">
        <f>IF(B355&gt;0,VLOOKUP(B355,КВСР!A105:B1270,2),IF(C355&gt;0,VLOOKUP(C355,КФСР!A105:B1617,2),IF(D355&gt;0,VLOOKUP(D355,Программа!A$1:B$5091,2),IF(F355&gt;0,VLOOKUP(F355,КВР!A$1:B$5001,2),IF(E355&gt;0,VLOOKUP(E355,Направление!A$1:B$4750,2))))))</f>
        <v xml:space="preserve">Закупка товаров, работ и услуг для обеспечения государственных (муниципальных) нужд
</v>
      </c>
      <c r="B355" s="149"/>
      <c r="C355" s="144"/>
      <c r="D355" s="146"/>
      <c r="E355" s="144"/>
      <c r="F355" s="146">
        <v>200</v>
      </c>
      <c r="G355" s="379">
        <v>0</v>
      </c>
      <c r="H355" s="151">
        <v>57636</v>
      </c>
      <c r="I355" s="152">
        <f t="shared" si="78"/>
        <v>57636</v>
      </c>
    </row>
    <row r="356" spans="1:9" s="159" customFormat="1">
      <c r="A356" s="148" t="str">
        <f>IF(B356&gt;0,VLOOKUP(B356,КВСР!A106:B1271,2),IF(C356&gt;0,VLOOKUP(C356,КФСР!A106:B1618,2),IF(D356&gt;0,VLOOKUP(D356,Программа!A$1:B$5091,2),IF(F356&gt;0,VLOOKUP(F356,КВР!A$1:B$5001,2),IF(E356&gt;0,VLOOKUP(E356,Направление!A$1:B$4750,2))))))</f>
        <v>Охрана семьи и детства</v>
      </c>
      <c r="B356" s="149"/>
      <c r="C356" s="144">
        <v>1004</v>
      </c>
      <c r="D356" s="146"/>
      <c r="E356" s="144"/>
      <c r="F356" s="146"/>
      <c r="G356" s="379">
        <f t="shared" ref="G356:I358" si="83">G357</f>
        <v>600</v>
      </c>
      <c r="H356" s="379">
        <f t="shared" si="83"/>
        <v>0</v>
      </c>
      <c r="I356" s="379">
        <f t="shared" si="83"/>
        <v>600</v>
      </c>
    </row>
    <row r="357" spans="1:9" s="159" customFormat="1">
      <c r="A357" s="148" t="str">
        <f>IF(B357&gt;0,VLOOKUP(B357,КВСР!A107:B1272,2),IF(C357&gt;0,VLOOKUP(C357,КФСР!A107:B1619,2),IF(D357&gt;0,VLOOKUP(D357,Программа!A$1:B$5091,2),IF(F357&gt;0,VLOOKUP(F357,КВР!A$1:B$5001,2),IF(E357&gt;0,VLOOKUP(E357,Направление!A$1:B$4750,2))))))</f>
        <v>Непрограммные расходы бюджета</v>
      </c>
      <c r="B357" s="149"/>
      <c r="C357" s="144"/>
      <c r="D357" s="146" t="s">
        <v>480</v>
      </c>
      <c r="E357" s="144"/>
      <c r="F357" s="146"/>
      <c r="G357" s="379">
        <f t="shared" si="83"/>
        <v>600</v>
      </c>
      <c r="H357" s="379">
        <f t="shared" si="83"/>
        <v>0</v>
      </c>
      <c r="I357" s="379">
        <f t="shared" si="83"/>
        <v>600</v>
      </c>
    </row>
    <row r="358" spans="1:9" s="159" customFormat="1">
      <c r="A358" s="148" t="str">
        <f>IF(B358&gt;0,VLOOKUP(B358,КВСР!A108:B1273,2),IF(C358&gt;0,VLOOKUP(C358,КФСР!A108:B1620,2),IF(D358&gt;0,VLOOKUP(D358,Программа!A$1:B$5091,2),IF(F358&gt;0,VLOOKUP(F358,КВР!A$1:B$5001,2),IF(E358&gt;0,VLOOKUP(E358,Направление!A$1:B$4750,2))))))</f>
        <v>Содержание центрального аппарата</v>
      </c>
      <c r="B358" s="149"/>
      <c r="C358" s="144"/>
      <c r="D358" s="146"/>
      <c r="E358" s="144">
        <v>12010</v>
      </c>
      <c r="F358" s="146"/>
      <c r="G358" s="379">
        <f t="shared" si="83"/>
        <v>600</v>
      </c>
      <c r="H358" s="379">
        <f t="shared" si="83"/>
        <v>0</v>
      </c>
      <c r="I358" s="379">
        <f t="shared" si="83"/>
        <v>600</v>
      </c>
    </row>
    <row r="359" spans="1:9" s="159" customFormat="1" ht="126">
      <c r="A359" s="148" t="str">
        <f>IF(B359&gt;0,VLOOKUP(B359,КВСР!A109:B1274,2),IF(C359&gt;0,VLOOKUP(C359,КФСР!A109:B1621,2),IF(D359&gt;0,VLOOKUP(D359,Программа!A$1:B$5091,2),IF(F359&gt;0,VLOOKUP(F359,КВР!A$1:B$5001,2),IF(E359&gt;0,VLOOKUP(E359,Направление!A$1:B$4750,2))))))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49"/>
      <c r="C359" s="144"/>
      <c r="D359" s="146"/>
      <c r="E359" s="144"/>
      <c r="F359" s="146">
        <v>100</v>
      </c>
      <c r="G359" s="379">
        <v>600</v>
      </c>
      <c r="H359" s="151"/>
      <c r="I359" s="152">
        <f>G359+H359</f>
        <v>600</v>
      </c>
    </row>
    <row r="360" spans="1:9" ht="31.5">
      <c r="A360" s="142" t="str">
        <f>IF(B360&gt;0,VLOOKUP(B360,КВСР!A106:B1271,2),IF(C360&gt;0,VLOOKUP(C360,КФСР!A106:B1618,2),IF(D360&gt;0,VLOOKUP(D360,Программа!A$1:B$5091,2),IF(F360&gt;0,VLOOKUP(F360,КВР!A$1:B$5001,2),IF(E360&gt;0,VLOOKUP(E360,Направление!A$1:B$4750,2))))))</f>
        <v>Департамент образования Администрации ТМР</v>
      </c>
      <c r="B360" s="143">
        <v>953</v>
      </c>
      <c r="C360" s="144"/>
      <c r="D360" s="145"/>
      <c r="E360" s="144"/>
      <c r="F360" s="146"/>
      <c r="G360" s="441">
        <f>G361+G393+G419+G444+G464+G550+G583+G544+G438</f>
        <v>1081751774</v>
      </c>
      <c r="H360" s="441">
        <f>H361+H393+H419+H444+H464+H550+H583+H544+H438</f>
        <v>7600979</v>
      </c>
      <c r="I360" s="441">
        <f>I361+I393+I419+I444+I464+I550+I583+I544+I438</f>
        <v>1089352753</v>
      </c>
    </row>
    <row r="361" spans="1:9">
      <c r="A361" s="148" t="str">
        <f>IF(B361&gt;0,VLOOKUP(B361,КВСР!A111:B1276,2),IF(C361&gt;0,VLOOKUP(C361,КФСР!A111:B1623,2),IF(D361&gt;0,VLOOKUP(D361,Программа!A$1:B$5091,2),IF(F361&gt;0,VLOOKUP(F361,КВР!A$1:B$5001,2),IF(E361&gt;0,VLOOKUP(E361,Направление!A$1:B$4750,2))))))</f>
        <v>Дошкольное образование</v>
      </c>
      <c r="B361" s="149"/>
      <c r="C361" s="144">
        <v>701</v>
      </c>
      <c r="D361" s="145"/>
      <c r="E361" s="144"/>
      <c r="F361" s="146"/>
      <c r="G361" s="152">
        <f>G362+G390+G382</f>
        <v>433869204</v>
      </c>
      <c r="H361" s="152">
        <f>H362+H390+H382</f>
        <v>3122765</v>
      </c>
      <c r="I361" s="152">
        <f t="shared" si="78"/>
        <v>436991969</v>
      </c>
    </row>
    <row r="362" spans="1:9" ht="63">
      <c r="A362" s="148" t="str">
        <f>IF(B362&gt;0,VLOOKUP(B362,КВСР!A112:B1277,2),IF(C362&gt;0,VLOOKUP(C362,КФСР!A112:B1624,2),IF(D362&gt;0,VLOOKUP(D362,Программа!A$1:B$5091,2),IF(F362&gt;0,VLOOKUP(F362,КВР!A$1:B$5001,2),IF(E362&gt;0,VLOOKUP(E362,Направление!A$1:B$4750,2))))))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362" s="149"/>
      <c r="C362" s="144"/>
      <c r="D362" s="145" t="s">
        <v>539</v>
      </c>
      <c r="E362" s="144"/>
      <c r="F362" s="146"/>
      <c r="G362" s="152">
        <f>G364</f>
        <v>433769204</v>
      </c>
      <c r="H362" s="152">
        <f>H364</f>
        <v>3122765</v>
      </c>
      <c r="I362" s="152">
        <f t="shared" si="78"/>
        <v>436891969</v>
      </c>
    </row>
    <row r="363" spans="1:9" ht="63">
      <c r="A363" s="148" t="str">
        <f>IF(B363&gt;0,VLOOKUP(B363,КВСР!A113:B1278,2),IF(C363&gt;0,VLOOKUP(C363,КФСР!A113:B1625,2),IF(D363&gt;0,VLOOKUP(D363,Программа!A$1:B$5091,2),IF(F363&gt;0,VLOOKUP(F363,КВР!A$1:B$5001,2),IF(E363&gt;0,VLOOKUP(E363,Направление!A$1:B$4750,2))))))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363" s="149"/>
      <c r="C363" s="144"/>
      <c r="D363" s="145" t="s">
        <v>541</v>
      </c>
      <c r="E363" s="144"/>
      <c r="F363" s="146"/>
      <c r="G363" s="152">
        <f>G364</f>
        <v>433769204</v>
      </c>
      <c r="H363" s="152">
        <f>H364</f>
        <v>3122765</v>
      </c>
      <c r="I363" s="152">
        <f t="shared" si="78"/>
        <v>436891969</v>
      </c>
    </row>
    <row r="364" spans="1:9" ht="47.25">
      <c r="A364" s="148" t="str">
        <f>IF(B364&gt;0,VLOOKUP(B364,КВСР!A114:B1279,2),IF(C364&gt;0,VLOOKUP(C364,КФСР!A114:B1626,2),IF(D364&gt;0,VLOOKUP(D364,Программа!A$1:B$5091,2),IF(F364&gt;0,VLOOKUP(F364,КВР!A$1:B$5001,2),IF(E364&gt;0,VLOOKUP(E364,Направление!A$1:B$4750,2))))))</f>
        <v>Обеспечение качества и доступности образовательных услуг в сфере дошкольного образования</v>
      </c>
      <c r="B364" s="149"/>
      <c r="C364" s="144"/>
      <c r="D364" s="145" t="s">
        <v>542</v>
      </c>
      <c r="E364" s="144"/>
      <c r="F364" s="146"/>
      <c r="G364" s="442">
        <f>G365+G373+G377+G369+G375+G371+G380</f>
        <v>433769204</v>
      </c>
      <c r="H364" s="442">
        <f t="shared" ref="H364:I364" si="84">H365+H373+H377+H369+H375+H371+H380</f>
        <v>3122765</v>
      </c>
      <c r="I364" s="442">
        <f t="shared" si="84"/>
        <v>436891969</v>
      </c>
    </row>
    <row r="365" spans="1:9" ht="31.5">
      <c r="A365" s="148" t="str">
        <f>IF(B365&gt;0,VLOOKUP(B365,КВСР!A114:B1279,2),IF(C365&gt;0,VLOOKUP(C365,КФСР!A114:B1626,2),IF(D365&gt;0,VLOOKUP(D365,Программа!A$1:B$5091,2),IF(F365&gt;0,VLOOKUP(F365,КВР!A$1:B$5001,2),IF(E365&gt;0,VLOOKUP(E365,Направление!A$1:B$4750,2))))))</f>
        <v>Обеспечение деятельности дошкольных учреждений</v>
      </c>
      <c r="B365" s="149"/>
      <c r="C365" s="144"/>
      <c r="D365" s="145"/>
      <c r="E365" s="144">
        <v>13010</v>
      </c>
      <c r="F365" s="146"/>
      <c r="G365" s="348">
        <f t="shared" ref="G365" si="85">G366+G367+G368</f>
        <v>166089056</v>
      </c>
      <c r="H365" s="348">
        <f t="shared" ref="H365:I365" si="86">H366+H367+H368</f>
        <v>-84631</v>
      </c>
      <c r="I365" s="348">
        <f t="shared" si="86"/>
        <v>166004425</v>
      </c>
    </row>
    <row r="366" spans="1:9" ht="126">
      <c r="A366" s="148" t="str">
        <f>IF(B366&gt;0,VLOOKUP(B366,КВСР!A115:B1280,2),IF(C366&gt;0,VLOOKUP(C366,КФСР!A115:B1627,2),IF(D366&gt;0,VLOOKUP(D366,Программа!A$1:B$5091,2),IF(F366&gt;0,VLOOKUP(F366,КВР!A$1:B$5001,2),IF(E366&gt;0,VLOOKUP(E366,Направление!A$1:B$4750,2))))))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6" s="149"/>
      <c r="C366" s="144"/>
      <c r="D366" s="146"/>
      <c r="E366" s="144"/>
      <c r="F366" s="146">
        <v>100</v>
      </c>
      <c r="G366" s="379">
        <v>58682211</v>
      </c>
      <c r="H366" s="151">
        <f>-65000-19630</f>
        <v>-84630</v>
      </c>
      <c r="I366" s="152">
        <f>SUM(G366:H366)</f>
        <v>58597581</v>
      </c>
    </row>
    <row r="367" spans="1:9" ht="63">
      <c r="A367" s="148" t="str">
        <f>IF(B367&gt;0,VLOOKUP(B367,КВСР!A116:B1281,2),IF(C367&gt;0,VLOOKUP(C367,КФСР!A116:B1628,2),IF(D367&gt;0,VLOOKUP(D367,Программа!A$1:B$5091,2),IF(F367&gt;0,VLOOKUP(F367,КВР!A$1:B$5001,2),IF(E367&gt;0,VLOOKUP(E367,Направление!A$1:B$4750,2))))))</f>
        <v xml:space="preserve">Закупка товаров, работ и услуг для обеспечения государственных (муниципальных) нужд
</v>
      </c>
      <c r="B367" s="149"/>
      <c r="C367" s="144"/>
      <c r="D367" s="146"/>
      <c r="E367" s="144"/>
      <c r="F367" s="146">
        <v>200</v>
      </c>
      <c r="G367" s="379">
        <v>98705544</v>
      </c>
      <c r="H367" s="151">
        <v>24675</v>
      </c>
      <c r="I367" s="152">
        <f t="shared" ref="I367:I368" si="87">SUM(G367:H367)</f>
        <v>98730219</v>
      </c>
    </row>
    <row r="368" spans="1:9">
      <c r="A368" s="148" t="str">
        <f>IF(B368&gt;0,VLOOKUP(B368,КВСР!A117:B1282,2),IF(C368&gt;0,VLOOKUP(C368,КФСР!A117:B1629,2),IF(D368&gt;0,VLOOKUP(D368,Программа!A$1:B$5091,2),IF(F368&gt;0,VLOOKUP(F368,КВР!A$1:B$5001,2),IF(E368&gt;0,VLOOKUP(E368,Направление!A$1:B$4750,2))))))</f>
        <v>Иные бюджетные ассигнования</v>
      </c>
      <c r="B368" s="149"/>
      <c r="C368" s="144"/>
      <c r="D368" s="146"/>
      <c r="E368" s="144"/>
      <c r="F368" s="146">
        <v>800</v>
      </c>
      <c r="G368" s="379">
        <v>8701301</v>
      </c>
      <c r="H368" s="151">
        <f>-47366+16090+6600</f>
        <v>-24676</v>
      </c>
      <c r="I368" s="152">
        <f t="shared" si="87"/>
        <v>8676625</v>
      </c>
    </row>
    <row r="369" spans="1:9" ht="31.5">
      <c r="A369" s="148" t="str">
        <f>IF(B369&gt;0,VLOOKUP(B369,КВСР!A116:B1281,2),IF(C369&gt;0,VLOOKUP(C369,КФСР!A116:B1628,2),IF(D369&gt;0,VLOOKUP(D369,Программа!A$1:B$5091,2),IF(F369&gt;0,VLOOKUP(F369,КВР!A$1:B$5001,2),IF(E369&gt;0,VLOOKUP(E369,Направление!A$1:B$4750,2))))))</f>
        <v>Обеспечение деятельности общеобразовательных учреждений</v>
      </c>
      <c r="B369" s="149"/>
      <c r="C369" s="144"/>
      <c r="D369" s="146"/>
      <c r="E369" s="144">
        <v>13110</v>
      </c>
      <c r="F369" s="146"/>
      <c r="G369" s="347">
        <f t="shared" ref="G369:H369" si="88">G370</f>
        <v>14571626</v>
      </c>
      <c r="H369" s="347">
        <f t="shared" si="88"/>
        <v>0</v>
      </c>
      <c r="I369" s="152">
        <f t="shared" si="78"/>
        <v>14571626</v>
      </c>
    </row>
    <row r="370" spans="1:9" ht="63">
      <c r="A370" s="148" t="str">
        <f>IF(B370&gt;0,VLOOKUP(B370,КВСР!A117:B1282,2),IF(C370&gt;0,VLOOKUP(C370,КФСР!A117:B1629,2),IF(D370&gt;0,VLOOKUP(D370,Программа!A$1:B$5091,2),IF(F370&gt;0,VLOOKUP(F370,КВР!A$1:B$5001,2),IF(E370&gt;0,VLOOKUP(E370,Направление!A$1:B$4750,2))))))</f>
        <v>Предоставление субсидий бюджетным, автономным учреждениям и иным некоммерческим организациям</v>
      </c>
      <c r="B370" s="149"/>
      <c r="C370" s="144"/>
      <c r="D370" s="146"/>
      <c r="E370" s="144"/>
      <c r="F370" s="146">
        <v>600</v>
      </c>
      <c r="G370" s="379">
        <v>14571626</v>
      </c>
      <c r="H370" s="151"/>
      <c r="I370" s="152">
        <f t="shared" si="78"/>
        <v>14571626</v>
      </c>
    </row>
    <row r="371" spans="1:9" ht="63">
      <c r="A371" s="148" t="str">
        <f>IF(B371&gt;0,VLOOKUP(B371,КВСР!A118:B1283,2),IF(C371&gt;0,VLOOKUP(C371,КФСР!A118:B1630,2),IF(D371&gt;0,VLOOKUP(D371,Программа!A$1:B$5091,2),IF(F371&gt;0,VLOOKUP(F371,КВР!A$1:B$5001,2),IF(E371&gt;0,VLOOKUP(E371,Направление!A$1:B$4750,2))))))</f>
        <v>Расходы на реализацию мероприятий инициативного бюджетирования на территории Ярославской области</v>
      </c>
      <c r="B371" s="149"/>
      <c r="C371" s="144"/>
      <c r="D371" s="146"/>
      <c r="E371" s="144">
        <v>15350</v>
      </c>
      <c r="F371" s="146"/>
      <c r="G371" s="379">
        <f>G372</f>
        <v>0</v>
      </c>
      <c r="H371" s="379">
        <f t="shared" ref="H371:I371" si="89">H372</f>
        <v>396341</v>
      </c>
      <c r="I371" s="379">
        <f t="shared" si="89"/>
        <v>396341</v>
      </c>
    </row>
    <row r="372" spans="1:9" ht="63">
      <c r="A372" s="148" t="str">
        <f>IF(B372&gt;0,VLOOKUP(B372,КВСР!A119:B1284,2),IF(C372&gt;0,VLOOKUP(C372,КФСР!A119:B1631,2),IF(D372&gt;0,VLOOKUP(D372,Программа!A$1:B$5091,2),IF(F372&gt;0,VLOOKUP(F372,КВР!A$1:B$5001,2),IF(E372&gt;0,VLOOKUP(E372,Направление!A$1:B$4750,2))))))</f>
        <v xml:space="preserve">Закупка товаров, работ и услуг для обеспечения государственных (муниципальных) нужд
</v>
      </c>
      <c r="B372" s="149"/>
      <c r="C372" s="144"/>
      <c r="D372" s="146"/>
      <c r="E372" s="144"/>
      <c r="F372" s="146">
        <v>200</v>
      </c>
      <c r="G372" s="379"/>
      <c r="H372" s="151">
        <v>396341</v>
      </c>
      <c r="I372" s="152">
        <f>G372+H372</f>
        <v>396341</v>
      </c>
    </row>
    <row r="373" spans="1:9" ht="110.25" hidden="1">
      <c r="A373" s="148" t="str">
        <f>IF(B373&gt;0,VLOOKUP(B373,КВСР!A118:B1283,2),IF(C373&gt;0,VLOOKUP(C373,КФСР!A118:B1630,2),IF(D373&gt;0,VLOOKUP(D373,Программа!A$1:B$5091,2),IF(F373&gt;0,VLOOKUP(F373,КВР!A$1:B$5001,2),IF(E373&gt;0,VLOOKUP(E373,Направление!A$1:B$4750,2))))))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73" s="149"/>
      <c r="C373" s="144"/>
      <c r="D373" s="145"/>
      <c r="E373" s="144">
        <v>70510</v>
      </c>
      <c r="F373" s="146"/>
      <c r="G373" s="150">
        <f>G374</f>
        <v>0</v>
      </c>
      <c r="H373" s="150">
        <f>H374</f>
        <v>0</v>
      </c>
      <c r="I373" s="152">
        <f t="shared" si="78"/>
        <v>0</v>
      </c>
    </row>
    <row r="374" spans="1:9" ht="63" hidden="1">
      <c r="A374" s="148" t="str">
        <f>IF(B374&gt;0,VLOOKUP(B374,КВСР!A119:B1284,2),IF(C374&gt;0,VLOOKUP(C374,КФСР!A119:B1631,2),IF(D374&gt;0,VLOOKUP(D374,Программа!A$1:B$5091,2),IF(F374&gt;0,VLOOKUP(F374,КВР!A$1:B$5001,2),IF(E374&gt;0,VLOOKUP(E374,Направление!A$1:B$4750,2))))))</f>
        <v>Предоставление субсидий бюджетным, автономным учреждениям и иным некоммерческим организациям</v>
      </c>
      <c r="B374" s="149"/>
      <c r="C374" s="144"/>
      <c r="D374" s="146"/>
      <c r="E374" s="144"/>
      <c r="F374" s="146">
        <v>600</v>
      </c>
      <c r="G374" s="379"/>
      <c r="H374" s="151"/>
      <c r="I374" s="152">
        <f t="shared" si="78"/>
        <v>0</v>
      </c>
    </row>
    <row r="375" spans="1:9" ht="63">
      <c r="A375" s="148" t="str">
        <f>IF(B375&gt;0,VLOOKUP(B375,КВСР!A120:B1285,2),IF(C375&gt;0,VLOOKUP(C375,КФСР!A120:B1632,2),IF(D375&gt;0,VLOOKUP(D375,Программа!A$1:B$5091,2),IF(F375&gt;0,VLOOKUP(F375,КВР!A$1:B$5001,2),IF(E375&gt;0,VLOOKUP(E375,Направление!A$1:B$4750,2))))))</f>
        <v>Организация образовательного процесса в образовательных учреждениях за счет средств областного бюджета</v>
      </c>
      <c r="B375" s="149"/>
      <c r="C375" s="144"/>
      <c r="D375" s="146"/>
      <c r="E375" s="144">
        <v>70520</v>
      </c>
      <c r="F375" s="146"/>
      <c r="G375" s="347">
        <f t="shared" ref="G375:I375" si="90">G376</f>
        <v>23888545</v>
      </c>
      <c r="H375" s="347">
        <f t="shared" si="90"/>
        <v>0</v>
      </c>
      <c r="I375" s="347">
        <f t="shared" si="90"/>
        <v>23888545</v>
      </c>
    </row>
    <row r="376" spans="1:9" ht="63">
      <c r="A376" s="148" t="str">
        <f>IF(B376&gt;0,VLOOKUP(B376,КВСР!A121:B1286,2),IF(C376&gt;0,VLOOKUP(C376,КФСР!A121:B1633,2),IF(D376&gt;0,VLOOKUP(D376,Программа!A$1:B$5091,2),IF(F376&gt;0,VLOOKUP(F376,КВР!A$1:B$5001,2),IF(E376&gt;0,VLOOKUP(E376,Направление!A$1:B$4750,2))))))</f>
        <v>Предоставление субсидий бюджетным, автономным учреждениям и иным некоммерческим организациям</v>
      </c>
      <c r="B376" s="149"/>
      <c r="C376" s="144"/>
      <c r="D376" s="146"/>
      <c r="E376" s="144"/>
      <c r="F376" s="146">
        <v>600</v>
      </c>
      <c r="G376" s="379">
        <v>23888545</v>
      </c>
      <c r="H376" s="151"/>
      <c r="I376" s="152">
        <f>G376+H376</f>
        <v>23888545</v>
      </c>
    </row>
    <row r="377" spans="1:9" ht="78.75">
      <c r="A377" s="148" t="str">
        <f>IF(B377&gt;0,VLOOKUP(B377,КВСР!A120:B1285,2),IF(C377&gt;0,VLOOKUP(C377,КФСР!A120:B1632,2),IF(D377&gt;0,VLOOKUP(D377,Программа!A$1:B$5091,2),IF(F377&gt;0,VLOOKUP(F377,КВР!A$1:B$5001,2),IF(E377&gt;0,VLOOKUP(E377,Направление!A$1:B$4750,2))))))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77" s="149"/>
      <c r="C377" s="144"/>
      <c r="D377" s="145"/>
      <c r="E377" s="144">
        <v>73110</v>
      </c>
      <c r="F377" s="146"/>
      <c r="G377" s="150">
        <f>G378+G379</f>
        <v>229219977</v>
      </c>
      <c r="H377" s="150">
        <f>H378+H379</f>
        <v>0</v>
      </c>
      <c r="I377" s="152">
        <f t="shared" si="78"/>
        <v>229219977</v>
      </c>
    </row>
    <row r="378" spans="1:9" ht="126">
      <c r="A378" s="148" t="str">
        <f>IF(B378&gt;0,VLOOKUP(B378,КВСР!A121:B1286,2),IF(C378&gt;0,VLOOKUP(C378,КФСР!A121:B1633,2),IF(D378&gt;0,VLOOKUP(D378,Программа!A$1:B$5091,2),IF(F378&gt;0,VLOOKUP(F378,КВР!A$1:B$5001,2),IF(E378&gt;0,VLOOKUP(E378,Направление!A$1:B$4750,2))))))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149"/>
      <c r="C378" s="144"/>
      <c r="D378" s="146"/>
      <c r="E378" s="144"/>
      <c r="F378" s="146">
        <v>100</v>
      </c>
      <c r="G378" s="379">
        <v>214190786</v>
      </c>
      <c r="H378" s="151"/>
      <c r="I378" s="152">
        <f t="shared" si="78"/>
        <v>214190786</v>
      </c>
    </row>
    <row r="379" spans="1:9" ht="63">
      <c r="A379" s="148" t="str">
        <f>IF(B379&gt;0,VLOOKUP(B379,КВСР!A122:B1287,2),IF(C379&gt;0,VLOOKUP(C379,КФСР!A122:B1634,2),IF(D379&gt;0,VLOOKUP(D379,Программа!A$1:B$5091,2),IF(F379&gt;0,VLOOKUP(F379,КВР!A$1:B$5001,2),IF(E379&gt;0,VLOOKUP(E379,Направление!A$1:B$4750,2))))))</f>
        <v xml:space="preserve">Закупка товаров, работ и услуг для обеспечения государственных (муниципальных) нужд
</v>
      </c>
      <c r="B379" s="149"/>
      <c r="C379" s="144"/>
      <c r="D379" s="146"/>
      <c r="E379" s="144"/>
      <c r="F379" s="146">
        <v>200</v>
      </c>
      <c r="G379" s="379">
        <v>15029191</v>
      </c>
      <c r="H379" s="151"/>
      <c r="I379" s="152">
        <f t="shared" si="78"/>
        <v>15029191</v>
      </c>
    </row>
    <row r="380" spans="1:9" ht="63">
      <c r="A380" s="148" t="str">
        <f>IF(B380&gt;0,VLOOKUP(B380,КВСР!A123:B1288,2),IF(C380&gt;0,VLOOKUP(C380,КФСР!A123:B1635,2),IF(D380&gt;0,VLOOKUP(D380,Программа!A$1:B$5091,2),IF(F380&gt;0,VLOOKUP(F380,КВР!A$1:B$5001,2),IF(E380&gt;0,VLOOKUP(E380,Направление!A$1:B$4750,2))))))</f>
        <v>Расходы на реализацию мероприятий инициативного бюджетирования на территории Ярославской области</v>
      </c>
      <c r="B380" s="149"/>
      <c r="C380" s="144"/>
      <c r="D380" s="146"/>
      <c r="E380" s="144">
        <v>75350</v>
      </c>
      <c r="F380" s="146"/>
      <c r="G380" s="379">
        <f>G381</f>
        <v>0</v>
      </c>
      <c r="H380" s="379">
        <f t="shared" ref="H380:I380" si="91">H381</f>
        <v>2811055</v>
      </c>
      <c r="I380" s="379">
        <f t="shared" si="91"/>
        <v>2811055</v>
      </c>
    </row>
    <row r="381" spans="1:9" ht="63">
      <c r="A381" s="148" t="str">
        <f>IF(B381&gt;0,VLOOKUP(B381,КВСР!A124:B1289,2),IF(C381&gt;0,VLOOKUP(C381,КФСР!A124:B1636,2),IF(D381&gt;0,VLOOKUP(D381,Программа!A$1:B$5091,2),IF(F381&gt;0,VLOOKUP(F381,КВР!A$1:B$5001,2),IF(E381&gt;0,VLOOKUP(E381,Направление!A$1:B$4750,2))))))</f>
        <v xml:space="preserve">Закупка товаров, работ и услуг для обеспечения государственных (муниципальных) нужд
</v>
      </c>
      <c r="B381" s="149"/>
      <c r="C381" s="144"/>
      <c r="D381" s="146"/>
      <c r="E381" s="144"/>
      <c r="F381" s="146">
        <v>200</v>
      </c>
      <c r="G381" s="379"/>
      <c r="H381" s="151">
        <v>2811055</v>
      </c>
      <c r="I381" s="152">
        <f>G381+H381</f>
        <v>2811055</v>
      </c>
    </row>
    <row r="382" spans="1:9" ht="47.25">
      <c r="A382" s="148" t="str">
        <f>IF(B382&gt;0,VLOOKUP(B382,КВСР!A122:B1287,2),IF(C382&gt;0,VLOOKUP(C382,КФСР!A122:B1634,2),IF(D382&gt;0,VLOOKUP(D382,Программа!A$1:B$5091,2),IF(F382&gt;0,VLOOKUP(F382,КВР!A$1:B$5001,2),IF(E382&gt;0,VLOOKUP(E382,Направление!A$1:B$4750,2))))))</f>
        <v>Муниципальная программа "Социальная поддержка населения Тутаевского муниципального района"</v>
      </c>
      <c r="B382" s="149"/>
      <c r="C382" s="144"/>
      <c r="D382" s="145" t="s">
        <v>548</v>
      </c>
      <c r="E382" s="144"/>
      <c r="F382" s="146"/>
      <c r="G382" s="150">
        <f>G383</f>
        <v>100000</v>
      </c>
      <c r="H382" s="150">
        <f>H383</f>
        <v>0</v>
      </c>
      <c r="I382" s="152">
        <f t="shared" si="78"/>
        <v>100000</v>
      </c>
    </row>
    <row r="383" spans="1:9" ht="63">
      <c r="A383" s="148" t="str">
        <f>IF(B383&gt;0,VLOOKUP(B383,КВСР!A123:B1288,2),IF(C383&gt;0,VLOOKUP(C383,КФСР!A123:B1635,2),IF(D383&gt;0,VLOOKUP(D383,Программа!A$1:B$5091,2),IF(F383&gt;0,VLOOKUP(F383,КВР!A$1:B$5001,2),IF(E383&gt;0,VLOOKUP(E383,Направление!A$1:B$4750,2))))))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383" s="149"/>
      <c r="C383" s="144"/>
      <c r="D383" s="145" t="s">
        <v>550</v>
      </c>
      <c r="E383" s="144"/>
      <c r="F383" s="146"/>
      <c r="G383" s="150">
        <f>G384+G387</f>
        <v>100000</v>
      </c>
      <c r="H383" s="150">
        <f>H384+H387</f>
        <v>0</v>
      </c>
      <c r="I383" s="152">
        <f t="shared" si="78"/>
        <v>100000</v>
      </c>
    </row>
    <row r="384" spans="1:9" ht="63">
      <c r="A384" s="148" t="str">
        <f>IF(B384&gt;0,VLOOKUP(B384,КВСР!A124:B1289,2),IF(C384&gt;0,VLOOKUP(C384,КФСР!A124:B1636,2),IF(D384&gt;0,VLOOKUP(D384,Программа!A$1:B$5091,2),IF(F384&gt;0,VLOOKUP(F384,КВР!A$1:B$5001,2),IF(E384&gt;0,VLOOKUP(E384,Направление!A$1:B$4750,2))))))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384" s="149"/>
      <c r="C384" s="144"/>
      <c r="D384" s="145" t="s">
        <v>551</v>
      </c>
      <c r="E384" s="144"/>
      <c r="F384" s="146"/>
      <c r="G384" s="150">
        <f>G385</f>
        <v>30000</v>
      </c>
      <c r="H384" s="150">
        <f>H385</f>
        <v>0</v>
      </c>
      <c r="I384" s="152">
        <f t="shared" si="78"/>
        <v>30000</v>
      </c>
    </row>
    <row r="385" spans="1:9" ht="31.5">
      <c r="A385" s="148" t="str">
        <f>IF(B385&gt;0,VLOOKUP(B385,КВСР!A125:B1290,2),IF(C385&gt;0,VLOOKUP(C385,КФСР!A125:B1637,2),IF(D385&gt;0,VLOOKUP(D385,Программа!A$1:B$5091,2),IF(F385&gt;0,VLOOKUP(F385,КВР!A$1:B$5001,2),IF(E385&gt;0,VLOOKUP(E385,Направление!A$1:B$4750,2))))))</f>
        <v>Расходы на реализацию МЦП "Улучшение условий и охраны труда"</v>
      </c>
      <c r="B385" s="149"/>
      <c r="C385" s="144"/>
      <c r="D385" s="145"/>
      <c r="E385" s="144">
        <v>16150</v>
      </c>
      <c r="F385" s="146"/>
      <c r="G385" s="150">
        <f>G386</f>
        <v>30000</v>
      </c>
      <c r="H385" s="150">
        <f>H386</f>
        <v>0</v>
      </c>
      <c r="I385" s="152">
        <f t="shared" si="78"/>
        <v>30000</v>
      </c>
    </row>
    <row r="386" spans="1:9" ht="63">
      <c r="A386" s="148" t="str">
        <f>IF(B386&gt;0,VLOOKUP(B386,КВСР!A126:B1291,2),IF(C386&gt;0,VLOOKUP(C386,КФСР!A126:B1638,2),IF(D386&gt;0,VLOOKUP(D386,Программа!A$1:B$5091,2),IF(F386&gt;0,VLOOKUP(F386,КВР!A$1:B$5001,2),IF(E386&gt;0,VLOOKUP(E386,Направление!A$1:B$4750,2))))))</f>
        <v xml:space="preserve">Закупка товаров, работ и услуг для обеспечения государственных (муниципальных) нужд
</v>
      </c>
      <c r="B386" s="149"/>
      <c r="C386" s="144"/>
      <c r="D386" s="145"/>
      <c r="E386" s="144"/>
      <c r="F386" s="146">
        <v>200</v>
      </c>
      <c r="G386" s="379">
        <v>30000</v>
      </c>
      <c r="H386" s="151"/>
      <c r="I386" s="152">
        <f t="shared" si="78"/>
        <v>30000</v>
      </c>
    </row>
    <row r="387" spans="1:9" ht="47.25">
      <c r="A387" s="148" t="str">
        <f>IF(B387&gt;0,VLOOKUP(B387,КВСР!A127:B1292,2),IF(C387&gt;0,VLOOKUP(C387,КФСР!A127:B1639,2),IF(D387&gt;0,VLOOKUP(D387,Программа!A$1:B$5091,2),IF(F387&gt;0,VLOOKUP(F387,КВР!A$1:B$5001,2),IF(E387&gt;0,VLOOKUP(E387,Направление!A$1:B$4750,2))))))</f>
        <v>Обучение по охране труда работников организаций Тутаевского муниципального района</v>
      </c>
      <c r="B387" s="149"/>
      <c r="C387" s="144"/>
      <c r="D387" s="145" t="s">
        <v>1234</v>
      </c>
      <c r="E387" s="144"/>
      <c r="F387" s="146"/>
      <c r="G387" s="379">
        <f>G388</f>
        <v>70000</v>
      </c>
      <c r="H387" s="379">
        <f>H388</f>
        <v>0</v>
      </c>
      <c r="I387" s="152">
        <f t="shared" si="78"/>
        <v>70000</v>
      </c>
    </row>
    <row r="388" spans="1:9" ht="31.5">
      <c r="A388" s="148" t="str">
        <f>IF(B388&gt;0,VLOOKUP(B388,КВСР!A128:B1293,2),IF(C388&gt;0,VLOOKUP(C388,КФСР!A128:B1640,2),IF(D388&gt;0,VLOOKUP(D388,Программа!A$1:B$5091,2),IF(F388&gt;0,VLOOKUP(F388,КВР!A$1:B$5001,2),IF(E388&gt;0,VLOOKUP(E388,Направление!A$1:B$4750,2))))))</f>
        <v>Расходы на реализацию МЦП "Улучшение условий и охраны труда"</v>
      </c>
      <c r="B388" s="149"/>
      <c r="C388" s="144"/>
      <c r="D388" s="145"/>
      <c r="E388" s="144">
        <v>16150</v>
      </c>
      <c r="F388" s="146"/>
      <c r="G388" s="379">
        <f>G389</f>
        <v>70000</v>
      </c>
      <c r="H388" s="379">
        <f>H389</f>
        <v>0</v>
      </c>
      <c r="I388" s="152">
        <f t="shared" si="78"/>
        <v>70000</v>
      </c>
    </row>
    <row r="389" spans="1:9" ht="63">
      <c r="A389" s="148" t="str">
        <f>IF(B389&gt;0,VLOOKUP(B389,КВСР!A129:B1294,2),IF(C389&gt;0,VLOOKUP(C389,КФСР!A129:B1641,2),IF(D389&gt;0,VLOOKUP(D389,Программа!A$1:B$5091,2),IF(F389&gt;0,VLOOKUP(F389,КВР!A$1:B$5001,2),IF(E389&gt;0,VLOOKUP(E389,Направление!A$1:B$4750,2))))))</f>
        <v xml:space="preserve">Закупка товаров, работ и услуг для обеспечения государственных (муниципальных) нужд
</v>
      </c>
      <c r="B389" s="149"/>
      <c r="C389" s="144"/>
      <c r="D389" s="145"/>
      <c r="E389" s="144"/>
      <c r="F389" s="146">
        <v>200</v>
      </c>
      <c r="G389" s="379">
        <v>70000</v>
      </c>
      <c r="H389" s="151"/>
      <c r="I389" s="152">
        <f t="shared" si="78"/>
        <v>70000</v>
      </c>
    </row>
    <row r="390" spans="1:9" hidden="1">
      <c r="A390" s="148" t="str">
        <f>IF(B390&gt;0,VLOOKUP(B390,КВСР!A125:B1290,2),IF(C390&gt;0,VLOOKUP(C390,КФСР!A125:B1637,2),IF(D390&gt;0,VLOOKUP(D390,Программа!A$1:B$5091,2),IF(F390&gt;0,VLOOKUP(F390,КВР!A$1:B$5001,2),IF(E390&gt;0,VLOOKUP(E390,Направление!A$1:B$4750,2))))))</f>
        <v>Непрограммные расходы бюджета</v>
      </c>
      <c r="B390" s="149"/>
      <c r="C390" s="144"/>
      <c r="D390" s="145" t="s">
        <v>480</v>
      </c>
      <c r="E390" s="144"/>
      <c r="F390" s="146"/>
      <c r="G390" s="152">
        <f>G391</f>
        <v>0</v>
      </c>
      <c r="H390" s="152">
        <f>H391</f>
        <v>0</v>
      </c>
      <c r="I390" s="152">
        <f t="shared" si="78"/>
        <v>0</v>
      </c>
    </row>
    <row r="391" spans="1:9" ht="47.25" hidden="1">
      <c r="A391" s="148" t="str">
        <f>IF(B391&gt;0,VLOOKUP(B391,КВСР!A117:B1282,2),IF(C391&gt;0,VLOOKUP(C391,КФСР!A117:B1629,2),IF(D391&gt;0,VLOOKUP(D391,Программа!A$1:B$5091,2),IF(F391&gt;0,VLOOKUP(F391,КВР!A$1:B$5001,2),IF(E391&gt;0,VLOOKUP(E391,Направление!A$1:B$4750,2))))))</f>
        <v>Исполнение судебных актов, актов других органов и должностных лиц, иных документов</v>
      </c>
      <c r="B391" s="149"/>
      <c r="C391" s="144"/>
      <c r="D391" s="145"/>
      <c r="E391" s="144">
        <v>12130</v>
      </c>
      <c r="F391" s="146"/>
      <c r="G391" s="337">
        <v>0</v>
      </c>
      <c r="H391" s="152">
        <f>H392</f>
        <v>0</v>
      </c>
      <c r="I391" s="152">
        <f t="shared" si="78"/>
        <v>0</v>
      </c>
    </row>
    <row r="392" spans="1:9" ht="63" hidden="1">
      <c r="A392" s="148" t="str">
        <f>IF(B392&gt;0,VLOOKUP(B392,КВСР!A118:B1283,2),IF(C392&gt;0,VLOOKUP(C392,КФСР!A118:B1630,2),IF(D392&gt;0,VLOOKUP(D392,Программа!A$1:B$5091,2),IF(F392&gt;0,VLOOKUP(F392,КВР!A$1:B$5001,2),IF(E392&gt;0,VLOOKUP(E392,Направление!A$1:B$4750,2))))))</f>
        <v>Предоставление субсидий бюджетным, автономным учреждениям и иным некоммерческим организациям</v>
      </c>
      <c r="B392" s="149"/>
      <c r="C392" s="144"/>
      <c r="D392" s="146"/>
      <c r="E392" s="144"/>
      <c r="F392" s="146">
        <v>600</v>
      </c>
      <c r="G392" s="337">
        <v>0</v>
      </c>
      <c r="H392" s="153"/>
      <c r="I392" s="152">
        <f t="shared" si="78"/>
        <v>0</v>
      </c>
    </row>
    <row r="393" spans="1:9">
      <c r="A393" s="148" t="str">
        <f>IF(B393&gt;0,VLOOKUP(B393,КВСР!A120:B1285,2),IF(C393&gt;0,VLOOKUP(C393,КФСР!A120:B1632,2),IF(D393&gt;0,VLOOKUP(D393,Программа!A$1:B$5091,2),IF(F393&gt;0,VLOOKUP(F393,КВР!A$1:B$5001,2),IF(E393&gt;0,VLOOKUP(E393,Направление!A$1:B$4750,2))))))</f>
        <v>Общее образование</v>
      </c>
      <c r="B393" s="149"/>
      <c r="C393" s="144">
        <v>702</v>
      </c>
      <c r="D393" s="145"/>
      <c r="E393" s="144"/>
      <c r="F393" s="146"/>
      <c r="G393" s="152">
        <f>G394+G411</f>
        <v>458309368</v>
      </c>
      <c r="H393" s="152">
        <f>H394+H411</f>
        <v>1527984</v>
      </c>
      <c r="I393" s="152">
        <f t="shared" si="78"/>
        <v>459837352</v>
      </c>
    </row>
    <row r="394" spans="1:9" ht="63">
      <c r="A394" s="148" t="str">
        <f>IF(B394&gt;0,VLOOKUP(B394,КВСР!A121:B1286,2),IF(C394&gt;0,VLOOKUP(C394,КФСР!A121:B1633,2),IF(D394&gt;0,VLOOKUP(D394,Программа!A$1:B$5091,2),IF(F394&gt;0,VLOOKUP(F394,КВР!A$1:B$5001,2),IF(E394&gt;0,VLOOKUP(E394,Направление!A$1:B$4750,2))))))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394" s="149"/>
      <c r="C394" s="144"/>
      <c r="D394" s="145" t="s">
        <v>539</v>
      </c>
      <c r="E394" s="144"/>
      <c r="F394" s="146"/>
      <c r="G394" s="152">
        <f>G395+G407</f>
        <v>458209368</v>
      </c>
      <c r="H394" s="152">
        <f>H395+H407</f>
        <v>1527984</v>
      </c>
      <c r="I394" s="152">
        <f t="shared" si="78"/>
        <v>459737352</v>
      </c>
    </row>
    <row r="395" spans="1:9" ht="63">
      <c r="A395" s="148" t="str">
        <f>IF(B395&gt;0,VLOOKUP(B395,КВСР!A122:B1287,2),IF(C395&gt;0,VLOOKUP(C395,КФСР!A122:B1634,2),IF(D395&gt;0,VLOOKUP(D395,Программа!A$1:B$5091,2),IF(F395&gt;0,VLOOKUP(F395,КВР!A$1:B$5001,2),IF(E395&gt;0,VLOOKUP(E395,Направление!A$1:B$4750,2))))))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395" s="149"/>
      <c r="C395" s="144"/>
      <c r="D395" s="145" t="s">
        <v>541</v>
      </c>
      <c r="E395" s="144"/>
      <c r="F395" s="146"/>
      <c r="G395" s="152">
        <f>G396</f>
        <v>458209368</v>
      </c>
      <c r="H395" s="152">
        <f>H396</f>
        <v>1527984</v>
      </c>
      <c r="I395" s="152">
        <f t="shared" si="78"/>
        <v>459737352</v>
      </c>
    </row>
    <row r="396" spans="1:9" ht="47.25">
      <c r="A396" s="148" t="str">
        <f>IF(B396&gt;0,VLOOKUP(B396,КВСР!A123:B1288,2),IF(C396&gt;0,VLOOKUP(C396,КФСР!A123:B1635,2),IF(D396&gt;0,VLOOKUP(D396,Программа!A$1:B$5091,2),IF(F396&gt;0,VLOOKUP(F396,КВР!A$1:B$5001,2),IF(E396&gt;0,VLOOKUP(E396,Направление!A$1:B$4750,2))))))</f>
        <v>Обеспечение качества и доступности образовательных услуг в сфере общего образования</v>
      </c>
      <c r="B396" s="149"/>
      <c r="C396" s="144"/>
      <c r="D396" s="145" t="s">
        <v>582</v>
      </c>
      <c r="E396" s="144"/>
      <c r="F396" s="146"/>
      <c r="G396" s="152">
        <f>G397+G399+G401+G403+G405</f>
        <v>458209368</v>
      </c>
      <c r="H396" s="152">
        <f>H397+H399+H401+H403+H405</f>
        <v>1527984</v>
      </c>
      <c r="I396" s="152">
        <f t="shared" si="78"/>
        <v>459737352</v>
      </c>
    </row>
    <row r="397" spans="1:9" ht="31.5">
      <c r="A397" s="148" t="str">
        <f>IF(B397&gt;0,VLOOKUP(B397,КВСР!A123:B1288,2),IF(C397&gt;0,VLOOKUP(C397,КФСР!A123:B1635,2),IF(D397&gt;0,VLOOKUP(D397,Программа!A$1:B$5091,2),IF(F397&gt;0,VLOOKUP(F397,КВР!A$1:B$5001,2),IF(E397&gt;0,VLOOKUP(E397,Направление!A$1:B$4750,2))))))</f>
        <v>Обеспечение деятельности общеобразовательных учреждений</v>
      </c>
      <c r="B397" s="149"/>
      <c r="C397" s="144"/>
      <c r="D397" s="145"/>
      <c r="E397" s="144">
        <v>13110</v>
      </c>
      <c r="F397" s="146"/>
      <c r="G397" s="150">
        <f>G398</f>
        <v>87181506</v>
      </c>
      <c r="H397" s="150">
        <f>H398</f>
        <v>-507650</v>
      </c>
      <c r="I397" s="152">
        <f t="shared" si="78"/>
        <v>86673856</v>
      </c>
    </row>
    <row r="398" spans="1:9" ht="63">
      <c r="A398" s="148" t="str">
        <f>IF(B398&gt;0,VLOOKUP(B398,КВСР!A124:B1289,2),IF(C398&gt;0,VLOOKUP(C398,КФСР!A124:B1636,2),IF(D398&gt;0,VLOOKUP(D398,Программа!A$1:B$5091,2),IF(F398&gt;0,VLOOKUP(F398,КВР!A$1:B$5001,2),IF(E398&gt;0,VLOOKUP(E398,Направление!A$1:B$4750,2))))))</f>
        <v>Предоставление субсидий бюджетным, автономным учреждениям и иным некоммерческим организациям</v>
      </c>
      <c r="B398" s="149"/>
      <c r="C398" s="144"/>
      <c r="D398" s="146"/>
      <c r="E398" s="144"/>
      <c r="F398" s="146">
        <v>600</v>
      </c>
      <c r="G398" s="379">
        <v>87181506</v>
      </c>
      <c r="H398" s="151">
        <v>-507650</v>
      </c>
      <c r="I398" s="152">
        <f t="shared" si="78"/>
        <v>86673856</v>
      </c>
    </row>
    <row r="399" spans="1:9" ht="63">
      <c r="A399" s="148" t="str">
        <f>IF(B399&gt;0,VLOOKUP(B399,КВСР!A125:B1290,2),IF(C399&gt;0,VLOOKUP(C399,КФСР!A125:B1637,2),IF(D399&gt;0,VLOOKUP(D399,Программа!A$1:B$5091,2),IF(F399&gt;0,VLOOKUP(F399,КВР!A$1:B$5001,2),IF(E399&gt;0,VLOOKUP(E399,Направление!A$1:B$4750,2))))))</f>
        <v>Расходы на реализацию мероприятий инициативного бюджетирования на территории Ярославской области</v>
      </c>
      <c r="B399" s="149"/>
      <c r="C399" s="144"/>
      <c r="D399" s="145"/>
      <c r="E399" s="144">
        <v>15350</v>
      </c>
      <c r="F399" s="146"/>
      <c r="G399" s="337">
        <v>0</v>
      </c>
      <c r="H399" s="152">
        <f>H400</f>
        <v>101595</v>
      </c>
      <c r="I399" s="152">
        <f t="shared" si="78"/>
        <v>101595</v>
      </c>
    </row>
    <row r="400" spans="1:9" ht="63">
      <c r="A400" s="148" t="str">
        <f>IF(B400&gt;0,VLOOKUP(B400,КВСР!A126:B1291,2),IF(C400&gt;0,VLOOKUP(C400,КФСР!A126:B1638,2),IF(D400&gt;0,VLOOKUP(D400,Программа!A$1:B$5091,2),IF(F400&gt;0,VLOOKUP(F400,КВР!A$1:B$5001,2),IF(E400&gt;0,VLOOKUP(E400,Направление!A$1:B$4750,2))))))</f>
        <v>Предоставление субсидий бюджетным, автономным учреждениям и иным некоммерческим организациям</v>
      </c>
      <c r="B400" s="160"/>
      <c r="C400" s="161"/>
      <c r="D400" s="162"/>
      <c r="E400" s="161"/>
      <c r="F400" s="162">
        <v>600</v>
      </c>
      <c r="G400" s="337">
        <v>0</v>
      </c>
      <c r="H400" s="153">
        <v>101595</v>
      </c>
      <c r="I400" s="152">
        <f t="shared" si="78"/>
        <v>101595</v>
      </c>
    </row>
    <row r="401" spans="1:9" ht="63">
      <c r="A401" s="148" t="str">
        <f>IF(B401&gt;0,VLOOKUP(B401,КВСР!A129:B1294,2),IF(C401&gt;0,VLOOKUP(C401,КФСР!A129:B1641,2),IF(D401&gt;0,VLOOKUP(D401,Программа!A$1:B$5091,2),IF(F401&gt;0,VLOOKUP(F401,КВР!A$1:B$5001,2),IF(E401&gt;0,VLOOKUP(E401,Направление!A$1:B$4750,2))))))</f>
        <v>Расходы на реализацию мероприятий инициативного бюджетирования на территории Ярославской области</v>
      </c>
      <c r="B401" s="160"/>
      <c r="C401" s="161"/>
      <c r="D401" s="163"/>
      <c r="E401" s="161">
        <v>75350</v>
      </c>
      <c r="F401" s="162"/>
      <c r="G401" s="337">
        <v>0</v>
      </c>
      <c r="H401" s="152">
        <f>H402</f>
        <v>1934039</v>
      </c>
      <c r="I401" s="152">
        <f t="shared" si="78"/>
        <v>1934039</v>
      </c>
    </row>
    <row r="402" spans="1:9" ht="63">
      <c r="A402" s="148" t="str">
        <f>IF(B402&gt;0,VLOOKUP(B402,КВСР!A130:B1295,2),IF(C402&gt;0,VLOOKUP(C402,КФСР!A130:B1642,2),IF(D402&gt;0,VLOOKUP(D402,Программа!A$1:B$5091,2),IF(F402&gt;0,VLOOKUP(F402,КВР!A$1:B$5001,2),IF(E402&gt;0,VLOOKUP(E402,Направление!A$1:B$4750,2))))))</f>
        <v>Предоставление субсидий бюджетным, автономным учреждениям и иным некоммерческим организациям</v>
      </c>
      <c r="B402" s="160"/>
      <c r="C402" s="161"/>
      <c r="D402" s="162"/>
      <c r="E402" s="161"/>
      <c r="F402" s="146">
        <v>600</v>
      </c>
      <c r="G402" s="379">
        <v>0</v>
      </c>
      <c r="H402" s="151">
        <v>1934039</v>
      </c>
      <c r="I402" s="152">
        <f t="shared" si="78"/>
        <v>1934039</v>
      </c>
    </row>
    <row r="403" spans="1:9" ht="63">
      <c r="A403" s="148" t="str">
        <f>IF(B403&gt;0,VLOOKUP(B403,КВСР!A131:B1296,2),IF(C403&gt;0,VLOOKUP(C403,КФСР!A131:B1643,2),IF(D403&gt;0,VLOOKUP(D403,Программа!A$1:B$5091,2),IF(F403&gt;0,VLOOKUP(F403,КВР!A$1:B$5001,2),IF(E403&gt;0,VLOOKUP(E403,Направление!A$1:B$4750,2))))))</f>
        <v>Организация образовательного процесса в образовательных учреждениях за счет средств областного бюджета</v>
      </c>
      <c r="B403" s="160"/>
      <c r="C403" s="161"/>
      <c r="D403" s="163"/>
      <c r="E403" s="161">
        <v>70520</v>
      </c>
      <c r="F403" s="146"/>
      <c r="G403" s="152">
        <f>G404</f>
        <v>344869163</v>
      </c>
      <c r="H403" s="152">
        <f>H404</f>
        <v>0</v>
      </c>
      <c r="I403" s="152">
        <f t="shared" si="78"/>
        <v>344869163</v>
      </c>
    </row>
    <row r="404" spans="1:9" ht="63">
      <c r="A404" s="148" t="str">
        <f>IF(B404&gt;0,VLOOKUP(B404,КВСР!A132:B1297,2),IF(C404&gt;0,VLOOKUP(C404,КФСР!A132:B1644,2),IF(D404&gt;0,VLOOKUP(D404,Программа!A$1:B$5091,2),IF(F404&gt;0,VLOOKUP(F404,КВР!A$1:B$5001,2),IF(E404&gt;0,VLOOKUP(E404,Направление!A$1:B$4750,2))))))</f>
        <v>Предоставление субсидий бюджетным, автономным учреждениям и иным некоммерческим организациям</v>
      </c>
      <c r="B404" s="160"/>
      <c r="C404" s="161"/>
      <c r="D404" s="162"/>
      <c r="E404" s="161"/>
      <c r="F404" s="146">
        <v>600</v>
      </c>
      <c r="G404" s="337">
        <v>344869163</v>
      </c>
      <c r="H404" s="153"/>
      <c r="I404" s="152">
        <f t="shared" si="78"/>
        <v>344869163</v>
      </c>
    </row>
    <row r="405" spans="1:9" ht="63">
      <c r="A405" s="148" t="str">
        <f>IF(B405&gt;0,VLOOKUP(B405,КВСР!A133:B1298,2),IF(C405&gt;0,VLOOKUP(C405,КФСР!A133:B1645,2),IF(D405&gt;0,VLOOKUP(D405,Программа!A$1:B$5091,2),IF(F405&gt;0,VLOOKUP(F405,КВР!A$1:B$5001,2),IF(E405&gt;0,VLOOKUP(E405,Направление!A$1:B$4750,2))))))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05" s="160"/>
      <c r="C405" s="161"/>
      <c r="D405" s="162"/>
      <c r="E405" s="161">
        <v>70530</v>
      </c>
      <c r="F405" s="146"/>
      <c r="G405" s="152">
        <f>G406</f>
        <v>26158699</v>
      </c>
      <c r="H405" s="152">
        <f>H406</f>
        <v>0</v>
      </c>
      <c r="I405" s="152">
        <f t="shared" si="78"/>
        <v>26158699</v>
      </c>
    </row>
    <row r="406" spans="1:9" ht="63">
      <c r="A406" s="148" t="str">
        <f>IF(B406&gt;0,VLOOKUP(B406,КВСР!A134:B1299,2),IF(C406&gt;0,VLOOKUP(C406,КФСР!A134:B1646,2),IF(D406&gt;0,VLOOKUP(D406,Программа!A$1:B$5091,2),IF(F406&gt;0,VLOOKUP(F406,КВР!A$1:B$5001,2),IF(E406&gt;0,VLOOKUP(E406,Направление!A$1:B$4750,2))))))</f>
        <v>Предоставление субсидий бюджетным, автономным учреждениям и иным некоммерческим организациям</v>
      </c>
      <c r="B406" s="160"/>
      <c r="C406" s="161"/>
      <c r="D406" s="162"/>
      <c r="E406" s="161"/>
      <c r="F406" s="146">
        <v>600</v>
      </c>
      <c r="G406" s="337">
        <v>26158699</v>
      </c>
      <c r="H406" s="153"/>
      <c r="I406" s="152">
        <f t="shared" si="78"/>
        <v>26158699</v>
      </c>
    </row>
    <row r="407" spans="1:9" ht="63" hidden="1">
      <c r="A407" s="148" t="str">
        <f>IF(B407&gt;0,VLOOKUP(B407,КВСР!A143:B1308,2),IF(C407&gt;0,VLOOKUP(C407,КФСР!A143:B1655,2),IF(D407&gt;0,VLOOKUP(D407,Программа!A$1:B$5091,2),IF(F407&gt;0,VLOOKUP(F407,КВР!A$1:B$5001,2),IF(E407&gt;0,VLOOKUP(E407,Направление!A$1:B$4750,2))))))</f>
        <v>Муниципальная целевая программа "Развитие физической культуры и спорта в Тутаевском муниципальном районе"</v>
      </c>
      <c r="B407" s="160"/>
      <c r="C407" s="161"/>
      <c r="D407" s="163" t="s">
        <v>559</v>
      </c>
      <c r="E407" s="161"/>
      <c r="F407" s="162"/>
      <c r="G407" s="337">
        <v>0</v>
      </c>
      <c r="H407" s="152">
        <f>H409</f>
        <v>0</v>
      </c>
      <c r="I407" s="152">
        <f t="shared" si="78"/>
        <v>0</v>
      </c>
    </row>
    <row r="408" spans="1:9" ht="47.25" hidden="1">
      <c r="A408" s="148" t="str">
        <f>IF(B408&gt;0,VLOOKUP(B408,КВСР!A144:B1309,2),IF(C408&gt;0,VLOOKUP(C408,КФСР!A144:B1656,2),IF(D408&gt;0,VLOOKUP(D408,Программа!A$1:B$5091,2),IF(F408&gt;0,VLOOKUP(F408,КВР!A$1:B$5001,2),IF(E408&gt;0,VLOOKUP(E408,Направление!A$1:B$4750,2))))))</f>
        <v>Строительство и реконструкция спортивных сооружений и укрепление материальной базы</v>
      </c>
      <c r="B408" s="160"/>
      <c r="C408" s="161"/>
      <c r="D408" s="163" t="s">
        <v>560</v>
      </c>
      <c r="E408" s="161"/>
      <c r="F408" s="162"/>
      <c r="G408" s="337">
        <v>0</v>
      </c>
      <c r="H408" s="152">
        <f>H409</f>
        <v>0</v>
      </c>
      <c r="I408" s="152">
        <f t="shared" si="78"/>
        <v>0</v>
      </c>
    </row>
    <row r="409" spans="1:9" ht="47.25" hidden="1">
      <c r="A409" s="148" t="str">
        <f>IF(B409&gt;0,VLOOKUP(B409,КВСР!A144:B1309,2),IF(C409&gt;0,VLOOKUP(C409,КФСР!A144:B1656,2),IF(D409&gt;0,VLOOKUP(D409,Программа!A$1:B$5091,2),IF(F409&gt;0,VLOOKUP(F409,КВР!A$1:B$5001,2),IF(E409&gt;0,VLOOKUP(E409,Направление!A$1:B$4750,2))))))</f>
        <v>Обеспечение деятельности учреждений дополнительного образования</v>
      </c>
      <c r="B409" s="160"/>
      <c r="C409" s="161"/>
      <c r="D409" s="163"/>
      <c r="E409" s="161">
        <v>13210</v>
      </c>
      <c r="F409" s="162"/>
      <c r="G409" s="337">
        <v>0</v>
      </c>
      <c r="H409" s="152">
        <f>H410</f>
        <v>0</v>
      </c>
      <c r="I409" s="152">
        <f t="shared" si="78"/>
        <v>0</v>
      </c>
    </row>
    <row r="410" spans="1:9" ht="63" hidden="1">
      <c r="A410" s="148" t="str">
        <f>IF(B410&gt;0,VLOOKUP(B410,КВСР!A145:B1310,2),IF(C410&gt;0,VLOOKUP(C410,КФСР!A145:B1657,2),IF(D410&gt;0,VLOOKUP(D410,Программа!A$1:B$5091,2),IF(F410&gt;0,VLOOKUP(F410,КВР!A$1:B$5001,2),IF(E410&gt;0,VLOOKUP(E410,Направление!A$1:B$4750,2))))))</f>
        <v>Предоставление субсидий бюджетным, автономным учреждениям и иным некоммерческим организациям</v>
      </c>
      <c r="B410" s="160"/>
      <c r="C410" s="161"/>
      <c r="D410" s="162"/>
      <c r="E410" s="161"/>
      <c r="F410" s="162">
        <v>600</v>
      </c>
      <c r="G410" s="379">
        <v>0</v>
      </c>
      <c r="H410" s="151"/>
      <c r="I410" s="152">
        <f t="shared" si="78"/>
        <v>0</v>
      </c>
    </row>
    <row r="411" spans="1:9" ht="47.25">
      <c r="A411" s="148" t="str">
        <f>IF(B411&gt;0,VLOOKUP(B411,КВСР!A148:B1313,2),IF(C411&gt;0,VLOOKUP(C411,КФСР!A148:B1660,2),IF(D411&gt;0,VLOOKUP(D411,Программа!A$1:B$5091,2),IF(F411&gt;0,VLOOKUP(F411,КВР!A$1:B$5001,2),IF(E411&gt;0,VLOOKUP(E411,Направление!A$1:B$4750,2))))))</f>
        <v>Муниципальная программа "Социальная поддержка населения Тутаевского муниципального района"</v>
      </c>
      <c r="B411" s="160"/>
      <c r="C411" s="161"/>
      <c r="D411" s="163" t="s">
        <v>548</v>
      </c>
      <c r="E411" s="161"/>
      <c r="F411" s="162"/>
      <c r="G411" s="150">
        <f>G412</f>
        <v>100000</v>
      </c>
      <c r="H411" s="150">
        <f>H412</f>
        <v>0</v>
      </c>
      <c r="I411" s="152">
        <f t="shared" si="78"/>
        <v>100000</v>
      </c>
    </row>
    <row r="412" spans="1:9" ht="63">
      <c r="A412" s="148" t="str">
        <f>IF(B412&gt;0,VLOOKUP(B412,КВСР!A149:B1314,2),IF(C412&gt;0,VLOOKUP(C412,КФСР!A149:B1661,2),IF(D412&gt;0,VLOOKUP(D412,Программа!A$1:B$5091,2),IF(F412&gt;0,VLOOKUP(F412,КВР!A$1:B$5001,2),IF(E412&gt;0,VLOOKUP(E412,Направление!A$1:B$4750,2))))))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412" s="160"/>
      <c r="C412" s="161"/>
      <c r="D412" s="163" t="s">
        <v>550</v>
      </c>
      <c r="E412" s="161"/>
      <c r="F412" s="162"/>
      <c r="G412" s="150">
        <f>G413+G416</f>
        <v>100000</v>
      </c>
      <c r="H412" s="150">
        <f>H413+H416</f>
        <v>0</v>
      </c>
      <c r="I412" s="152">
        <f t="shared" si="78"/>
        <v>100000</v>
      </c>
    </row>
    <row r="413" spans="1:9" ht="63">
      <c r="A413" s="148" t="str">
        <f>IF(B413&gt;0,VLOOKUP(B413,КВСР!A150:B1315,2),IF(C413&gt;0,VLOOKUP(C413,КФСР!A150:B1662,2),IF(D413&gt;0,VLOOKUP(D413,Программа!A$1:B$5091,2),IF(F413&gt;0,VLOOKUP(F413,КВР!A$1:B$5001,2),IF(E413&gt;0,VLOOKUP(E413,Направление!A$1:B$4750,2))))))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13" s="160"/>
      <c r="C413" s="161"/>
      <c r="D413" s="163" t="s">
        <v>551</v>
      </c>
      <c r="E413" s="161"/>
      <c r="F413" s="162"/>
      <c r="G413" s="150">
        <f>G414</f>
        <v>30000</v>
      </c>
      <c r="H413" s="150">
        <f>H414</f>
        <v>6000</v>
      </c>
      <c r="I413" s="152">
        <f t="shared" si="78"/>
        <v>36000</v>
      </c>
    </row>
    <row r="414" spans="1:9" ht="31.5">
      <c r="A414" s="148" t="str">
        <f>IF(B414&gt;0,VLOOKUP(B414,КВСР!A151:B1316,2),IF(C414&gt;0,VLOOKUP(C414,КФСР!A151:B1663,2),IF(D414&gt;0,VLOOKUP(D414,Программа!A$1:B$5091,2),IF(F414&gt;0,VLOOKUP(F414,КВР!A$1:B$5001,2),IF(E414&gt;0,VLOOKUP(E414,Направление!A$1:B$4750,2))))))</f>
        <v>Расходы на реализацию МЦП "Улучшение условий и охраны труда"</v>
      </c>
      <c r="B414" s="160"/>
      <c r="C414" s="161"/>
      <c r="D414" s="163"/>
      <c r="E414" s="161">
        <v>16150</v>
      </c>
      <c r="F414" s="162"/>
      <c r="G414" s="150">
        <f>G415</f>
        <v>30000</v>
      </c>
      <c r="H414" s="150">
        <f>H415</f>
        <v>6000</v>
      </c>
      <c r="I414" s="152">
        <f t="shared" si="78"/>
        <v>36000</v>
      </c>
    </row>
    <row r="415" spans="1:9" ht="63">
      <c r="A415" s="148" t="str">
        <f>IF(B415&gt;0,VLOOKUP(B415,КВСР!A150:B1315,2),IF(C415&gt;0,VLOOKUP(C415,КФСР!A150:B1662,2),IF(D415&gt;0,VLOOKUP(D415,Программа!A$1:B$5091,2),IF(F415&gt;0,VLOOKUP(F415,КВР!A$1:B$5001,2),IF(E415&gt;0,VLOOKUP(E415,Направление!A$1:B$4750,2))))))</f>
        <v>Предоставление субсидий бюджетным, автономным учреждениям и иным некоммерческим организациям</v>
      </c>
      <c r="B415" s="160"/>
      <c r="C415" s="161"/>
      <c r="D415" s="162"/>
      <c r="E415" s="161"/>
      <c r="F415" s="162">
        <v>600</v>
      </c>
      <c r="G415" s="379">
        <v>30000</v>
      </c>
      <c r="H415" s="151">
        <v>6000</v>
      </c>
      <c r="I415" s="152">
        <f t="shared" si="78"/>
        <v>36000</v>
      </c>
    </row>
    <row r="416" spans="1:9" ht="47.25">
      <c r="A416" s="148" t="str">
        <f>IF(B416&gt;0,VLOOKUP(B416,КВСР!A148:B1313,2),IF(C416&gt;0,VLOOKUP(C416,КФСР!A148:B1660,2),IF(D416&gt;0,VLOOKUP(D416,Программа!A$1:B$5091,2),IF(F416&gt;0,VLOOKUP(F416,КВР!A$1:B$5001,2),IF(E416&gt;0,VLOOKUP(E416,Направление!A$1:B$4750,2))))))</f>
        <v>Обучение по охране труда работников организаций Тутаевского муниципального района</v>
      </c>
      <c r="B416" s="160"/>
      <c r="C416" s="161"/>
      <c r="D416" s="163" t="s">
        <v>1234</v>
      </c>
      <c r="E416" s="161"/>
      <c r="F416" s="162"/>
      <c r="G416" s="150">
        <f>G417</f>
        <v>70000</v>
      </c>
      <c r="H416" s="150">
        <f>H417</f>
        <v>-6000</v>
      </c>
      <c r="I416" s="152">
        <f t="shared" si="78"/>
        <v>64000</v>
      </c>
    </row>
    <row r="417" spans="1:9" ht="31.5">
      <c r="A417" s="148" t="str">
        <f>IF(B417&gt;0,VLOOKUP(B417,КВСР!A149:B1314,2),IF(C417&gt;0,VLOOKUP(C417,КФСР!A149:B1661,2),IF(D417&gt;0,VLOOKUP(D417,Программа!A$1:B$5091,2),IF(F417&gt;0,VLOOKUP(F417,КВР!A$1:B$5001,2),IF(E417&gt;0,VLOOKUP(E417,Направление!A$1:B$4750,2))))))</f>
        <v>Расходы на реализацию МЦП "Улучшение условий и охраны труда"</v>
      </c>
      <c r="B417" s="160"/>
      <c r="C417" s="161"/>
      <c r="D417" s="163"/>
      <c r="E417" s="161">
        <v>16150</v>
      </c>
      <c r="F417" s="162"/>
      <c r="G417" s="150">
        <f>G418</f>
        <v>70000</v>
      </c>
      <c r="H417" s="150">
        <f>H418</f>
        <v>-6000</v>
      </c>
      <c r="I417" s="152">
        <f t="shared" si="78"/>
        <v>64000</v>
      </c>
    </row>
    <row r="418" spans="1:9" ht="63">
      <c r="A418" s="148" t="str">
        <f>IF(B418&gt;0,VLOOKUP(B418,КВСР!A150:B1315,2),IF(C418&gt;0,VLOOKUP(C418,КФСР!A150:B1662,2),IF(D418&gt;0,VLOOKUP(D418,Программа!A$1:B$5091,2),IF(F418&gt;0,VLOOKUP(F418,КВР!A$1:B$5001,2),IF(E418&gt;0,VLOOKUP(E418,Направление!A$1:B$4750,2))))))</f>
        <v>Предоставление субсидий бюджетным, автономным учреждениям и иным некоммерческим организациям</v>
      </c>
      <c r="B418" s="160"/>
      <c r="C418" s="161"/>
      <c r="D418" s="162"/>
      <c r="E418" s="161"/>
      <c r="F418" s="162">
        <v>600</v>
      </c>
      <c r="G418" s="379">
        <v>70000</v>
      </c>
      <c r="H418" s="151">
        <v>-6000</v>
      </c>
      <c r="I418" s="152">
        <f t="shared" si="78"/>
        <v>64000</v>
      </c>
    </row>
    <row r="419" spans="1:9">
      <c r="A419" s="148" t="str">
        <f>IF(B419&gt;0,VLOOKUP(B419,КВСР!A151:B1316,2),IF(C419&gt;0,VLOOKUP(C419,КФСР!A151:B1663,2),IF(D419&gt;0,VLOOKUP(D419,Программа!A$1:B$5091,2),IF(F419&gt;0,VLOOKUP(F419,КВР!A$1:B$5001,2),IF(E419&gt;0,VLOOKUP(E419,Направление!A$1:B$4750,2))))))</f>
        <v>Дополнительное образование детей</v>
      </c>
      <c r="B419" s="160"/>
      <c r="C419" s="161">
        <v>703</v>
      </c>
      <c r="D419" s="162"/>
      <c r="E419" s="161"/>
      <c r="F419" s="162"/>
      <c r="G419" s="348">
        <f t="shared" ref="G419" si="92">G420+G433</f>
        <v>59078687</v>
      </c>
      <c r="H419" s="348">
        <f t="shared" ref="H419:I419" si="93">H420+H433</f>
        <v>1094300</v>
      </c>
      <c r="I419" s="348">
        <f t="shared" si="93"/>
        <v>60172987</v>
      </c>
    </row>
    <row r="420" spans="1:9" ht="63">
      <c r="A420" s="148" t="str">
        <f>IF(B420&gt;0,VLOOKUP(B420,КВСР!A152:B1317,2),IF(C420&gt;0,VLOOKUP(C420,КФСР!A152:B1664,2),IF(D420&gt;0,VLOOKUP(D420,Программа!A$1:B$5091,2),IF(F420&gt;0,VLOOKUP(F420,КВР!A$1:B$5001,2),IF(E420&gt;0,VLOOKUP(E420,Направление!A$1:B$4750,2))))))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420" s="160"/>
      <c r="C420" s="161"/>
      <c r="D420" s="145" t="s">
        <v>539</v>
      </c>
      <c r="E420" s="161"/>
      <c r="F420" s="162"/>
      <c r="G420" s="379">
        <f t="shared" ref="G420:H425" si="94">G421</f>
        <v>59063687</v>
      </c>
      <c r="H420" s="379">
        <f t="shared" si="94"/>
        <v>1094300</v>
      </c>
      <c r="I420" s="152">
        <f t="shared" si="78"/>
        <v>60157987</v>
      </c>
    </row>
    <row r="421" spans="1:9" ht="63">
      <c r="A421" s="148" t="str">
        <f>IF(B421&gt;0,VLOOKUP(B421,КВСР!A152:B1317,2),IF(C421&gt;0,VLOOKUP(C421,КФСР!A152:B1664,2),IF(D421&gt;0,VLOOKUP(D421,Программа!A$1:B$5091,2),IF(F421&gt;0,VLOOKUP(F421,КВР!A$1:B$5001,2),IF(E421&gt;0,VLOOKUP(E421,Направление!A$1:B$4750,2))))))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421" s="160"/>
      <c r="C421" s="161"/>
      <c r="D421" s="145" t="s">
        <v>541</v>
      </c>
      <c r="E421" s="161"/>
      <c r="F421" s="162"/>
      <c r="G421" s="379">
        <f t="shared" si="94"/>
        <v>59063687</v>
      </c>
      <c r="H421" s="379">
        <f t="shared" si="94"/>
        <v>1094300</v>
      </c>
      <c r="I421" s="152">
        <f t="shared" si="78"/>
        <v>60157987</v>
      </c>
    </row>
    <row r="422" spans="1:9" ht="47.25">
      <c r="A422" s="148" t="str">
        <f>IF(B422&gt;0,VLOOKUP(B422,КВСР!A153:B1318,2),IF(C422&gt;0,VLOOKUP(C422,КФСР!A153:B1665,2),IF(D422&gt;0,VLOOKUP(D422,Программа!A$1:B$5091,2),IF(F422&gt;0,VLOOKUP(F422,КВР!A$1:B$5001,2),IF(E422&gt;0,VLOOKUP(E422,Направление!A$1:B$4750,2))))))</f>
        <v>Обеспечение качества и доступности образовательных услуг в сфере дополнительного образования</v>
      </c>
      <c r="B422" s="160"/>
      <c r="C422" s="161"/>
      <c r="D422" s="163" t="s">
        <v>605</v>
      </c>
      <c r="E422" s="161"/>
      <c r="F422" s="162"/>
      <c r="G422" s="379">
        <f>G425+G423+G427+G429+G431</f>
        <v>59063687</v>
      </c>
      <c r="H422" s="379">
        <f t="shared" ref="H422:I422" si="95">H425+H423+H427+H429+H431</f>
        <v>1094300</v>
      </c>
      <c r="I422" s="379">
        <f t="shared" si="95"/>
        <v>60157987</v>
      </c>
    </row>
    <row r="423" spans="1:9" ht="31.5">
      <c r="A423" s="148" t="str">
        <f>IF(B423&gt;0,VLOOKUP(B423,КВСР!A154:B1319,2),IF(C423&gt;0,VLOOKUP(C423,КФСР!A154:B1666,2),IF(D423&gt;0,VLOOKUP(D423,Программа!A$1:B$5091,2),IF(F423&gt;0,VLOOKUP(F423,КВР!A$1:B$5001,2),IF(E423&gt;0,VLOOKUP(E423,Направление!A$1:B$4750,2))))))</f>
        <v>Обеспечение деятельности дошкольных учреждений</v>
      </c>
      <c r="B423" s="160"/>
      <c r="C423" s="161"/>
      <c r="D423" s="163"/>
      <c r="E423" s="161">
        <v>13010</v>
      </c>
      <c r="F423" s="162"/>
      <c r="G423" s="379">
        <f t="shared" ref="G423:I423" si="96">G424</f>
        <v>100000</v>
      </c>
      <c r="H423" s="379">
        <f t="shared" si="96"/>
        <v>1000000</v>
      </c>
      <c r="I423" s="379">
        <f t="shared" si="96"/>
        <v>1100000</v>
      </c>
    </row>
    <row r="424" spans="1:9" ht="63">
      <c r="A424" s="148" t="str">
        <f>IF(B424&gt;0,VLOOKUP(B424,КВСР!A155:B1320,2),IF(C424&gt;0,VLOOKUP(C424,КФСР!A155:B1667,2),IF(D424&gt;0,VLOOKUP(D424,Программа!A$1:B$5091,2),IF(F424&gt;0,VLOOKUP(F424,КВР!A$1:B$5001,2),IF(E424&gt;0,VLOOKUP(E424,Направление!A$1:B$4750,2))))))</f>
        <v xml:space="preserve">Закупка товаров, работ и услуг для обеспечения государственных (муниципальных) нужд
</v>
      </c>
      <c r="B424" s="160"/>
      <c r="C424" s="161"/>
      <c r="D424" s="163"/>
      <c r="E424" s="161"/>
      <c r="F424" s="162">
        <v>200</v>
      </c>
      <c r="G424" s="379">
        <v>100000</v>
      </c>
      <c r="H424" s="379">
        <v>1000000</v>
      </c>
      <c r="I424" s="152">
        <f>G424+H424</f>
        <v>1100000</v>
      </c>
    </row>
    <row r="425" spans="1:9" ht="47.25">
      <c r="A425" s="148" t="str">
        <f>IF(B425&gt;0,VLOOKUP(B425,КВСР!A154:B1319,2),IF(C425&gt;0,VLOOKUP(C425,КФСР!A154:B1666,2),IF(D425&gt;0,VLOOKUP(D425,Программа!A$1:B$5091,2),IF(F425&gt;0,VLOOKUP(F425,КВР!A$1:B$5001,2),IF(E425&gt;0,VLOOKUP(E425,Направление!A$1:B$4750,2))))))</f>
        <v>Обеспечение деятельности учреждений дополнительного образования</v>
      </c>
      <c r="B425" s="160"/>
      <c r="C425" s="161"/>
      <c r="D425" s="162"/>
      <c r="E425" s="161">
        <v>13210</v>
      </c>
      <c r="F425" s="162"/>
      <c r="G425" s="379">
        <f t="shared" si="94"/>
        <v>57387187</v>
      </c>
      <c r="H425" s="379">
        <f t="shared" si="94"/>
        <v>0</v>
      </c>
      <c r="I425" s="152">
        <f t="shared" ref="I425:I510" si="97">SUM(G425:H425)</f>
        <v>57387187</v>
      </c>
    </row>
    <row r="426" spans="1:9" ht="63">
      <c r="A426" s="148" t="str">
        <f>IF(B426&gt;0,VLOOKUP(B426,КВСР!A155:B1320,2),IF(C426&gt;0,VLOOKUP(C426,КФСР!A155:B1667,2),IF(D426&gt;0,VLOOKUP(D426,Программа!A$1:B$5091,2),IF(F426&gt;0,VLOOKUP(F426,КВР!A$1:B$5001,2),IF(E426&gt;0,VLOOKUP(E426,Направление!A$1:B$4750,2))))))</f>
        <v>Предоставление субсидий бюджетным, автономным учреждениям и иным некоммерческим организациям</v>
      </c>
      <c r="B426" s="160"/>
      <c r="C426" s="161"/>
      <c r="D426" s="162"/>
      <c r="E426" s="161"/>
      <c r="F426" s="162">
        <v>600</v>
      </c>
      <c r="G426" s="379">
        <v>57387187</v>
      </c>
      <c r="H426" s="151"/>
      <c r="I426" s="152">
        <f t="shared" si="97"/>
        <v>57387187</v>
      </c>
    </row>
    <row r="427" spans="1:9" ht="31.5">
      <c r="A427" s="148" t="str">
        <f>IF(B427&gt;0,VLOOKUP(B427,КВСР!A156:B1321,2),IF(C427&gt;0,VLOOKUP(C427,КФСР!A156:B1668,2),IF(D427&gt;0,VLOOKUP(D427,Программа!A$1:B$5091,2),IF(F427&gt;0,VLOOKUP(F427,КВР!A$1:B$5001,2),IF(E427&gt;0,VLOOKUP(E427,Направление!A$1:B$4750,2))))))</f>
        <v>Обеспечение деятельности прочих учреждений в сфере образования</v>
      </c>
      <c r="B427" s="160"/>
      <c r="C427" s="161"/>
      <c r="D427" s="162"/>
      <c r="E427" s="161">
        <v>13310</v>
      </c>
      <c r="F427" s="162"/>
      <c r="G427" s="379">
        <f>G428</f>
        <v>1576500</v>
      </c>
      <c r="H427" s="379">
        <f>H428</f>
        <v>0</v>
      </c>
      <c r="I427" s="379">
        <f t="shared" ref="I427" si="98">I428</f>
        <v>1576500</v>
      </c>
    </row>
    <row r="428" spans="1:9" ht="63">
      <c r="A428" s="148" t="str">
        <f>IF(B428&gt;0,VLOOKUP(B428,КВСР!A157:B1322,2),IF(C428&gt;0,VLOOKUP(C428,КФСР!A157:B1669,2),IF(D428&gt;0,VLOOKUP(D428,Программа!A$1:B$5091,2),IF(F428&gt;0,VLOOKUP(F428,КВР!A$1:B$5001,2),IF(E428&gt;0,VLOOKUP(E428,Направление!A$1:B$4750,2))))))</f>
        <v>Предоставление субсидий бюджетным, автономным учреждениям и иным некоммерческим организациям</v>
      </c>
      <c r="B428" s="160"/>
      <c r="C428" s="161"/>
      <c r="D428" s="162"/>
      <c r="E428" s="161"/>
      <c r="F428" s="162">
        <v>600</v>
      </c>
      <c r="G428" s="379">
        <v>1576500</v>
      </c>
      <c r="H428" s="151"/>
      <c r="I428" s="152">
        <f>G428+H428</f>
        <v>1576500</v>
      </c>
    </row>
    <row r="429" spans="1:9" ht="63">
      <c r="A429" s="148" t="str">
        <f>IF(B429&gt;0,VLOOKUP(B429,КВСР!A158:B1323,2),IF(C429&gt;0,VLOOKUP(C429,КФСР!A158:B1670,2),IF(D429&gt;0,VLOOKUP(D429,Программа!A$1:B$5091,2),IF(F429&gt;0,VLOOKUP(F429,КВР!A$1:B$5001,2),IF(E429&gt;0,VLOOKUP(E429,Направление!A$1:B$4750,2))))))</f>
        <v>Расходы на реализацию мероприятий инициативного бюджетирования на территории Ярославской области</v>
      </c>
      <c r="B429" s="160"/>
      <c r="C429" s="161"/>
      <c r="D429" s="162"/>
      <c r="E429" s="161">
        <v>15350</v>
      </c>
      <c r="F429" s="162"/>
      <c r="G429" s="379">
        <f>G430</f>
        <v>0</v>
      </c>
      <c r="H429" s="379">
        <f t="shared" ref="H429" si="99">H430</f>
        <v>4715</v>
      </c>
      <c r="I429" s="152">
        <f t="shared" ref="I429:I432" si="100">G429+H429</f>
        <v>4715</v>
      </c>
    </row>
    <row r="430" spans="1:9" ht="63">
      <c r="A430" s="148" t="str">
        <f>IF(B430&gt;0,VLOOKUP(B430,КВСР!A159:B1324,2),IF(C430&gt;0,VLOOKUP(C430,КФСР!A159:B1671,2),IF(D430&gt;0,VLOOKUP(D430,Программа!A$1:B$5091,2),IF(F430&gt;0,VLOOKUP(F430,КВР!A$1:B$5001,2),IF(E430&gt;0,VLOOKUP(E430,Направление!A$1:B$4750,2))))))</f>
        <v>Предоставление субсидий бюджетным, автономным учреждениям и иным некоммерческим организациям</v>
      </c>
      <c r="B430" s="160"/>
      <c r="C430" s="161"/>
      <c r="D430" s="162"/>
      <c r="E430" s="161"/>
      <c r="F430" s="162">
        <v>600</v>
      </c>
      <c r="G430" s="379"/>
      <c r="H430" s="151">
        <v>4715</v>
      </c>
      <c r="I430" s="152">
        <f t="shared" si="100"/>
        <v>4715</v>
      </c>
    </row>
    <row r="431" spans="1:9" ht="63">
      <c r="A431" s="148" t="str">
        <f>IF(B431&gt;0,VLOOKUP(B431,КВСР!A160:B1325,2),IF(C431&gt;0,VLOOKUP(C431,КФСР!A160:B1672,2),IF(D431&gt;0,VLOOKUP(D431,Программа!A$1:B$5091,2),IF(F431&gt;0,VLOOKUP(F431,КВР!A$1:B$5001,2),IF(E431&gt;0,VLOOKUP(E431,Направление!A$1:B$4750,2))))))</f>
        <v>Расходы на реализацию мероприятий инициативного бюджетирования на территории Ярославской области</v>
      </c>
      <c r="B431" s="160"/>
      <c r="C431" s="161"/>
      <c r="D431" s="162"/>
      <c r="E431" s="161">
        <v>75350</v>
      </c>
      <c r="F431" s="162"/>
      <c r="G431" s="379">
        <f>G432</f>
        <v>0</v>
      </c>
      <c r="H431" s="379">
        <f t="shared" ref="H431:I431" si="101">H432</f>
        <v>89585</v>
      </c>
      <c r="I431" s="379">
        <f t="shared" si="101"/>
        <v>89585</v>
      </c>
    </row>
    <row r="432" spans="1:9" ht="63">
      <c r="A432" s="148" t="str">
        <f>IF(B432&gt;0,VLOOKUP(B432,КВСР!A161:B1326,2),IF(C432&gt;0,VLOOKUP(C432,КФСР!A161:B1673,2),IF(D432&gt;0,VLOOKUP(D432,Программа!A$1:B$5091,2),IF(F432&gt;0,VLOOKUP(F432,КВР!A$1:B$5001,2),IF(E432&gt;0,VLOOKUP(E432,Направление!A$1:B$4750,2))))))</f>
        <v>Предоставление субсидий бюджетным, автономным учреждениям и иным некоммерческим организациям</v>
      </c>
      <c r="B432" s="160"/>
      <c r="C432" s="161"/>
      <c r="D432" s="162"/>
      <c r="E432" s="161"/>
      <c r="F432" s="162">
        <v>600</v>
      </c>
      <c r="G432" s="379"/>
      <c r="H432" s="151">
        <v>89585</v>
      </c>
      <c r="I432" s="152">
        <f t="shared" si="100"/>
        <v>89585</v>
      </c>
    </row>
    <row r="433" spans="1:9" ht="47.25">
      <c r="A433" s="148" t="str">
        <f>IF(B433&gt;0,VLOOKUP(B433,КВСР!A156:B1321,2),IF(C433&gt;0,VLOOKUP(C433,КФСР!A156:B1668,2),IF(D433&gt;0,VLOOKUP(D433,Программа!A$1:B$5091,2),IF(F433&gt;0,VLOOKUP(F433,КВР!A$1:B$5001,2),IF(E433&gt;0,VLOOKUP(E433,Направление!A$1:B$4750,2))))))</f>
        <v>Муниципальная программа "Социальная поддержка населения Тутаевского муниципального района"</v>
      </c>
      <c r="B433" s="160"/>
      <c r="C433" s="161"/>
      <c r="D433" s="162" t="s">
        <v>548</v>
      </c>
      <c r="E433" s="161"/>
      <c r="F433" s="162"/>
      <c r="G433" s="347">
        <f>G434</f>
        <v>15000</v>
      </c>
      <c r="H433" s="347">
        <f>H434</f>
        <v>0</v>
      </c>
      <c r="I433" s="347">
        <f>I434</f>
        <v>15000</v>
      </c>
    </row>
    <row r="434" spans="1:9" ht="63">
      <c r="A434" s="148" t="str">
        <f>IF(B434&gt;0,VLOOKUP(B434,КВСР!A157:B1322,2),IF(C434&gt;0,VLOOKUP(C434,КФСР!A157:B1669,2),IF(D434&gt;0,VLOOKUP(D434,Программа!A$1:B$5091,2),IF(F434&gt;0,VLOOKUP(F434,КВР!A$1:B$5001,2),IF(E434&gt;0,VLOOKUP(E434,Направление!A$1:B$4750,2))))))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434" s="160"/>
      <c r="C434" s="161"/>
      <c r="D434" s="163" t="s">
        <v>550</v>
      </c>
      <c r="E434" s="161"/>
      <c r="F434" s="162"/>
      <c r="G434" s="347">
        <f t="shared" ref="G434:I436" si="102">G435</f>
        <v>15000</v>
      </c>
      <c r="H434" s="347">
        <f t="shared" si="102"/>
        <v>0</v>
      </c>
      <c r="I434" s="347">
        <f t="shared" si="102"/>
        <v>15000</v>
      </c>
    </row>
    <row r="435" spans="1:9" ht="63">
      <c r="A435" s="148" t="str">
        <f>IF(B435&gt;0,VLOOKUP(B435,КВСР!A158:B1323,2),IF(C435&gt;0,VLOOKUP(C435,КФСР!A158:B1670,2),IF(D435&gt;0,VLOOKUP(D435,Программа!A$1:B$5091,2),IF(F435&gt;0,VLOOKUP(F435,КВР!A$1:B$5001,2),IF(E435&gt;0,VLOOKUP(E435,Направление!A$1:B$4750,2))))))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5" s="160"/>
      <c r="C435" s="161"/>
      <c r="D435" s="163" t="s">
        <v>551</v>
      </c>
      <c r="E435" s="161"/>
      <c r="F435" s="162"/>
      <c r="G435" s="347">
        <f t="shared" si="102"/>
        <v>15000</v>
      </c>
      <c r="H435" s="347">
        <f t="shared" si="102"/>
        <v>0</v>
      </c>
      <c r="I435" s="347">
        <f t="shared" si="102"/>
        <v>15000</v>
      </c>
    </row>
    <row r="436" spans="1:9" ht="31.5">
      <c r="A436" s="148" t="str">
        <f>IF(B436&gt;0,VLOOKUP(B436,КВСР!A159:B1324,2),IF(C436&gt;0,VLOOKUP(C436,КФСР!A159:B1671,2),IF(D436&gt;0,VLOOKUP(D436,Программа!A$1:B$5091,2),IF(F436&gt;0,VLOOKUP(F436,КВР!A$1:B$5001,2),IF(E436&gt;0,VLOOKUP(E436,Направление!A$1:B$4750,2))))))</f>
        <v>Расходы на реализацию МЦП "Улучшение условий и охраны труда"</v>
      </c>
      <c r="B436" s="160"/>
      <c r="C436" s="161"/>
      <c r="D436" s="162"/>
      <c r="E436" s="161">
        <v>16150</v>
      </c>
      <c r="F436" s="162"/>
      <c r="G436" s="347">
        <f t="shared" si="102"/>
        <v>15000</v>
      </c>
      <c r="H436" s="347">
        <f t="shared" si="102"/>
        <v>0</v>
      </c>
      <c r="I436" s="347">
        <f t="shared" si="102"/>
        <v>15000</v>
      </c>
    </row>
    <row r="437" spans="1:9" ht="63">
      <c r="A437" s="148" t="str">
        <f>IF(B437&gt;0,VLOOKUP(B437,КВСР!A160:B1325,2),IF(C437&gt;0,VLOOKUP(C437,КФСР!A160:B1672,2),IF(D437&gt;0,VLOOKUP(D437,Программа!A$1:B$5091,2),IF(F437&gt;0,VLOOKUP(F437,КВР!A$1:B$5001,2),IF(E437&gt;0,VLOOKUP(E437,Направление!A$1:B$4750,2))))))</f>
        <v>Предоставление субсидий бюджетным, автономным учреждениям и иным некоммерческим организациям</v>
      </c>
      <c r="B437" s="160"/>
      <c r="C437" s="161"/>
      <c r="D437" s="162"/>
      <c r="E437" s="161"/>
      <c r="F437" s="162">
        <v>600</v>
      </c>
      <c r="G437" s="379">
        <v>15000</v>
      </c>
      <c r="H437" s="151"/>
      <c r="I437" s="152">
        <f>G437+H437</f>
        <v>15000</v>
      </c>
    </row>
    <row r="438" spans="1:9" ht="47.25">
      <c r="A438" s="148" t="str">
        <f>IF(B438&gt;0,VLOOKUP(B438,КВСР!A161:B1326,2),IF(C438&gt;0,VLOOKUP(C438,КФСР!A161:B1673,2),IF(D438&gt;0,VLOOKUP(D438,Программа!A$1:B$5091,2),IF(F438&gt;0,VLOOKUP(F438,КВР!A$1:B$5001,2),IF(E438&gt;0,VLOOKUP(E438,Направление!A$1:B$4750,2))))))</f>
        <v>Профессиональная подготовка, переподготовка и повышение квалификации</v>
      </c>
      <c r="B438" s="160"/>
      <c r="C438" s="161">
        <v>705</v>
      </c>
      <c r="D438" s="162"/>
      <c r="E438" s="161"/>
      <c r="F438" s="162"/>
      <c r="G438" s="347">
        <f t="shared" ref="G438:I442" si="103">G439</f>
        <v>1247200</v>
      </c>
      <c r="H438" s="347">
        <f t="shared" si="103"/>
        <v>0</v>
      </c>
      <c r="I438" s="347">
        <f t="shared" si="103"/>
        <v>1247200</v>
      </c>
    </row>
    <row r="439" spans="1:9" ht="63">
      <c r="A439" s="148" t="str">
        <f>IF(B439&gt;0,VLOOKUP(B439,КВСР!A162:B1327,2),IF(C439&gt;0,VLOOKUP(C439,КФСР!A162:B1674,2),IF(D439&gt;0,VLOOKUP(D439,Программа!A$1:B$5091,2),IF(F439&gt;0,VLOOKUP(F439,КВР!A$1:B$5001,2),IF(E439&gt;0,VLOOKUP(E439,Направление!A$1:B$4750,2))))))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439" s="160"/>
      <c r="C439" s="161"/>
      <c r="D439" s="163" t="s">
        <v>539</v>
      </c>
      <c r="E439" s="161"/>
      <c r="F439" s="162"/>
      <c r="G439" s="347">
        <f t="shared" si="103"/>
        <v>1247200</v>
      </c>
      <c r="H439" s="347">
        <f t="shared" si="103"/>
        <v>0</v>
      </c>
      <c r="I439" s="347">
        <f t="shared" si="103"/>
        <v>1247200</v>
      </c>
    </row>
    <row r="440" spans="1:9" ht="63">
      <c r="A440" s="148" t="str">
        <f>IF(B440&gt;0,VLOOKUP(B440,КВСР!A163:B1328,2),IF(C440&gt;0,VLOOKUP(C440,КФСР!A163:B1675,2),IF(D440&gt;0,VLOOKUP(D440,Программа!A$1:B$5091,2),IF(F440&gt;0,VLOOKUP(F440,КВР!A$1:B$5001,2),IF(E440&gt;0,VLOOKUP(E440,Направление!A$1:B$4750,2))))))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440" s="160"/>
      <c r="C440" s="161"/>
      <c r="D440" s="163" t="s">
        <v>541</v>
      </c>
      <c r="E440" s="161"/>
      <c r="F440" s="162"/>
      <c r="G440" s="347">
        <f t="shared" si="103"/>
        <v>1247200</v>
      </c>
      <c r="H440" s="347">
        <f t="shared" si="103"/>
        <v>0</v>
      </c>
      <c r="I440" s="347">
        <f t="shared" si="103"/>
        <v>1247200</v>
      </c>
    </row>
    <row r="441" spans="1:9" ht="78.75">
      <c r="A441" s="148" t="str">
        <f>IF(B441&gt;0,VLOOKUP(B441,КВСР!A164:B1329,2),IF(C441&gt;0,VLOOKUP(C441,КФСР!A164:B1676,2),IF(D441&gt;0,VLOOKUP(D441,Программа!A$1:B$5091,2),IF(F441&gt;0,VLOOKUP(F441,КВР!A$1:B$5001,2),IF(E441&gt;0,VLOOKUP(E441,Направление!A$1:B$4750,2))))))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41" s="160"/>
      <c r="C441" s="161"/>
      <c r="D441" s="163" t="s">
        <v>561</v>
      </c>
      <c r="E441" s="161"/>
      <c r="F441" s="162"/>
      <c r="G441" s="347">
        <f t="shared" si="103"/>
        <v>1247200</v>
      </c>
      <c r="H441" s="347">
        <f t="shared" si="103"/>
        <v>0</v>
      </c>
      <c r="I441" s="347">
        <f t="shared" si="103"/>
        <v>1247200</v>
      </c>
    </row>
    <row r="442" spans="1:9" ht="31.5">
      <c r="A442" s="148" t="str">
        <f>IF(B442&gt;0,VLOOKUP(B442,КВСР!A165:B1330,2),IF(C442&gt;0,VLOOKUP(C442,КФСР!A165:B1677,2),IF(D442&gt;0,VLOOKUP(D442,Программа!A$1:B$5091,2),IF(F442&gt;0,VLOOKUP(F442,КВР!A$1:B$5001,2),IF(E442&gt;0,VLOOKUP(E442,Направление!A$1:B$4750,2))))))</f>
        <v>Обеспечение деятельности прочих учреждений в сфере образования</v>
      </c>
      <c r="B442" s="160"/>
      <c r="C442" s="161"/>
      <c r="D442" s="163"/>
      <c r="E442" s="161">
        <v>13310</v>
      </c>
      <c r="F442" s="162"/>
      <c r="G442" s="347">
        <f t="shared" si="103"/>
        <v>1247200</v>
      </c>
      <c r="H442" s="347">
        <f t="shared" si="103"/>
        <v>0</v>
      </c>
      <c r="I442" s="347">
        <f t="shared" si="103"/>
        <v>1247200</v>
      </c>
    </row>
    <row r="443" spans="1:9" ht="63">
      <c r="A443" s="148" t="str">
        <f>IF(B443&gt;0,VLOOKUP(B443,КВСР!A166:B1331,2),IF(C443&gt;0,VLOOKUP(C443,КФСР!A166:B1678,2),IF(D443&gt;0,VLOOKUP(D443,Программа!A$1:B$5091,2),IF(F443&gt;0,VLOOKUP(F443,КВР!A$1:B$5001,2),IF(E443&gt;0,VLOOKUP(E443,Направление!A$1:B$4750,2))))))</f>
        <v>Предоставление субсидий бюджетным, автономным учреждениям и иным некоммерческим организациям</v>
      </c>
      <c r="B443" s="160"/>
      <c r="C443" s="161"/>
      <c r="D443" s="163"/>
      <c r="E443" s="161"/>
      <c r="F443" s="162">
        <v>600</v>
      </c>
      <c r="G443" s="379">
        <v>1247200</v>
      </c>
      <c r="H443" s="151"/>
      <c r="I443" s="152">
        <f>G443+H443</f>
        <v>1247200</v>
      </c>
    </row>
    <row r="444" spans="1:9">
      <c r="A444" s="148" t="str">
        <f>IF(B444&gt;0,VLOOKUP(B444,КВСР!A146:B1311,2),IF(C444&gt;0,VLOOKUP(C444,КФСР!A146:B1658,2),IF(D444&gt;0,VLOOKUP(D444,Программа!A$1:B$5091,2),IF(F444&gt;0,VLOOKUP(F444,КВР!A$1:B$5001,2),IF(E444&gt;0,VLOOKUP(E444,Направление!A$1:B$4750,2))))))</f>
        <v>Молодежная политика</v>
      </c>
      <c r="B444" s="160"/>
      <c r="C444" s="161">
        <v>707</v>
      </c>
      <c r="D444" s="163"/>
      <c r="E444" s="161"/>
      <c r="F444" s="162"/>
      <c r="G444" s="152">
        <f>G445</f>
        <v>5306000</v>
      </c>
      <c r="H444" s="152">
        <f>H445</f>
        <v>0</v>
      </c>
      <c r="I444" s="152">
        <f t="shared" si="97"/>
        <v>5306000</v>
      </c>
    </row>
    <row r="445" spans="1:9" ht="63">
      <c r="A445" s="148" t="str">
        <f>IF(B445&gt;0,VLOOKUP(B445,КВСР!A147:B1312,2),IF(C445&gt;0,VLOOKUP(C445,КФСР!A147:B1659,2),IF(D445&gt;0,VLOOKUP(D445,Программа!A$1:B$5091,2),IF(F445&gt;0,VLOOKUP(F445,КВР!A$1:B$5001,2),IF(E445&gt;0,VLOOKUP(E445,Направление!A$1:B$4750,2))))))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445" s="160"/>
      <c r="C445" s="161"/>
      <c r="D445" s="163" t="s">
        <v>539</v>
      </c>
      <c r="E445" s="161"/>
      <c r="F445" s="162"/>
      <c r="G445" s="152">
        <f>G446</f>
        <v>5306000</v>
      </c>
      <c r="H445" s="152">
        <f>H446</f>
        <v>0</v>
      </c>
      <c r="I445" s="152">
        <f t="shared" si="97"/>
        <v>5306000</v>
      </c>
    </row>
    <row r="446" spans="1:9" ht="63">
      <c r="A446" s="148" t="str">
        <f>IF(B446&gt;0,VLOOKUP(B446,КВСР!A148:B1313,2),IF(C446&gt;0,VLOOKUP(C446,КФСР!A148:B1660,2),IF(D446&gt;0,VLOOKUP(D446,Программа!A$1:B$5091,2),IF(F446&gt;0,VLOOKUP(F446,КВР!A$1:B$5001,2),IF(E446&gt;0,VLOOKUP(E446,Направление!A$1:B$4750,2))))))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446" s="160"/>
      <c r="C446" s="161"/>
      <c r="D446" s="163" t="s">
        <v>541</v>
      </c>
      <c r="E446" s="161"/>
      <c r="F446" s="162"/>
      <c r="G446" s="152">
        <f>G447+G461</f>
        <v>5306000</v>
      </c>
      <c r="H446" s="152">
        <f>H447+H461</f>
        <v>0</v>
      </c>
      <c r="I446" s="152">
        <f t="shared" si="97"/>
        <v>5306000</v>
      </c>
    </row>
    <row r="447" spans="1:9" ht="47.25">
      <c r="A447" s="148" t="str">
        <f>IF(B447&gt;0,VLOOKUP(B447,КВСР!A149:B1314,2),IF(C447&gt;0,VLOOKUP(C447,КФСР!A149:B1661,2),IF(D447&gt;0,VLOOKUP(D447,Программа!A$1:B$5091,2),IF(F447&gt;0,VLOOKUP(F447,КВР!A$1:B$5001,2),IF(E447&gt;0,VLOOKUP(E447,Направление!A$1:B$4750,2))))))</f>
        <v>Обеспечение детей организованными формами отдыха и оздоровления</v>
      </c>
      <c r="B447" s="160"/>
      <c r="C447" s="161"/>
      <c r="D447" s="163" t="s">
        <v>1254</v>
      </c>
      <c r="E447" s="161"/>
      <c r="F447" s="162"/>
      <c r="G447" s="337">
        <f t="shared" ref="G447" si="104">G448+G450+G454+G456+G459+G452</f>
        <v>5306000</v>
      </c>
      <c r="H447" s="337">
        <f t="shared" ref="H447:I447" si="105">H448+H450+H454+H456+H459+H452</f>
        <v>0</v>
      </c>
      <c r="I447" s="337">
        <f t="shared" si="105"/>
        <v>5306000</v>
      </c>
    </row>
    <row r="448" spans="1:9" ht="47.25">
      <c r="A448" s="550" t="str">
        <f>IF(B448&gt;0,VLOOKUP(B448,КВСР!A150:B1315,2),IF(C448&gt;0,VLOOKUP(C448,КФСР!A150:B1662,2),IF(D448&gt;0,VLOOKUP(D448,Программа!A$1:B$5091,2),IF(F448&gt;0,VLOOKUP(F448,КВР!A$1:B$5001,2),IF(E448&gt;0,VLOOKUP(E448,Направление!A$1:B$4750,2))))))</f>
        <v xml:space="preserve">Расходы на оплату стоимости набора продуктов питания в лагерях с дневной формой пребывания детей </v>
      </c>
      <c r="B448" s="551"/>
      <c r="C448" s="552"/>
      <c r="D448" s="553"/>
      <c r="E448" s="552">
        <v>11000</v>
      </c>
      <c r="F448" s="499"/>
      <c r="G448" s="152">
        <f>G449</f>
        <v>82210</v>
      </c>
      <c r="H448" s="152">
        <f>H449</f>
        <v>0</v>
      </c>
      <c r="I448" s="152">
        <f t="shared" si="97"/>
        <v>82210</v>
      </c>
    </row>
    <row r="449" spans="1:9" ht="63">
      <c r="A449" s="550" t="str">
        <f>IF(B449&gt;0,VLOOKUP(B449,КВСР!A155:B1320,2),IF(C449&gt;0,VLOOKUP(C449,КФСР!A155:B1667,2),IF(D449&gt;0,VLOOKUP(D449,Программа!A$1:B$5091,2),IF(F449&gt;0,VLOOKUP(F449,КВР!A$1:B$5001,2),IF(E449&gt;0,VLOOKUP(E449,Направление!A$1:B$4750,2))))))</f>
        <v>Предоставление субсидий бюджетным, автономным учреждениям и иным некоммерческим организациям</v>
      </c>
      <c r="B449" s="551"/>
      <c r="C449" s="552"/>
      <c r="D449" s="499"/>
      <c r="E449" s="552"/>
      <c r="F449" s="499">
        <v>600</v>
      </c>
      <c r="G449" s="556">
        <v>82210</v>
      </c>
      <c r="H449" s="153"/>
      <c r="I449" s="152">
        <f t="shared" si="97"/>
        <v>82210</v>
      </c>
    </row>
    <row r="450" spans="1:9" ht="126" hidden="1">
      <c r="A450" s="550" t="str">
        <f>IF(B450&gt;0,VLOOKUP(B450,КВСР!A156:B1321,2),IF(C450&gt;0,VLOOKUP(C450,КФСР!A156:B1668,2),IF(D450&gt;0,VLOOKUP(D450,Программа!A$1:B$5091,2),IF(F450&gt;0,VLOOKUP(F450,КВР!A$1:B$5001,2),IF(E450&gt;0,VLOOKUP(E450,Направление!A$1:B$4750,2))))))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450" s="160"/>
      <c r="C450" s="161"/>
      <c r="D450" s="163"/>
      <c r="E450" s="161">
        <v>50650</v>
      </c>
      <c r="F450" s="162"/>
      <c r="G450" s="152">
        <f>G451</f>
        <v>0</v>
      </c>
      <c r="H450" s="152">
        <f>H451</f>
        <v>0</v>
      </c>
      <c r="I450" s="152">
        <f t="shared" si="97"/>
        <v>0</v>
      </c>
    </row>
    <row r="451" spans="1:9" ht="31.5" hidden="1">
      <c r="A451" s="550" t="str">
        <f>IF(B451&gt;0,VLOOKUP(B451,КВСР!A157:B1322,2),IF(C451&gt;0,VLOOKUP(C451,КФСР!A157:B1669,2),IF(D451&gt;0,VLOOKUP(D451,Программа!A$1:B$5091,2),IF(F451&gt;0,VLOOKUP(F451,КВР!A$1:B$5001,2),IF(E451&gt;0,VLOOKUP(E451,Направление!A$1:B$4750,2))))))</f>
        <v>Социальное обеспечение и иные выплаты населению</v>
      </c>
      <c r="B451" s="160"/>
      <c r="C451" s="161"/>
      <c r="D451" s="162"/>
      <c r="E451" s="161"/>
      <c r="F451" s="162">
        <v>300</v>
      </c>
      <c r="G451" s="337">
        <v>0</v>
      </c>
      <c r="H451" s="153"/>
      <c r="I451" s="152">
        <f t="shared" si="97"/>
        <v>0</v>
      </c>
    </row>
    <row r="452" spans="1:9" ht="31.5">
      <c r="A452" s="550" t="str">
        <f>IF(B452&gt;0,VLOOKUP(B452,КВСР!A158:B1323,2),IF(C452&gt;0,VLOOKUP(C452,КФСР!A158:B1670,2),IF(D452&gt;0,VLOOKUP(D452,Программа!A$1:B$5091,2),IF(F452&gt;0,VLOOKUP(F452,КВР!A$1:B$5001,2),IF(E452&gt;0,VLOOKUP(E452,Направление!A$1:B$4750,2))))))</f>
        <v>Расходы на обеспечение оздоровления и отдыха детей</v>
      </c>
      <c r="B452" s="160"/>
      <c r="C452" s="161"/>
      <c r="D452" s="162"/>
      <c r="E452" s="161">
        <v>13330</v>
      </c>
      <c r="F452" s="162"/>
      <c r="G452" s="337">
        <f t="shared" ref="G452:I452" si="106">G453</f>
        <v>56800</v>
      </c>
      <c r="H452" s="337">
        <f t="shared" si="106"/>
        <v>0</v>
      </c>
      <c r="I452" s="337">
        <f t="shared" si="106"/>
        <v>56800</v>
      </c>
    </row>
    <row r="453" spans="1:9" ht="63">
      <c r="A453" s="550" t="str">
        <f>IF(B453&gt;0,VLOOKUP(B453,КВСР!A159:B1324,2),IF(C453&gt;0,VLOOKUP(C453,КФСР!A159:B1671,2),IF(D453&gt;0,VLOOKUP(D453,Программа!A$1:B$5091,2),IF(F453&gt;0,VLOOKUP(F453,КВР!A$1:B$5001,2),IF(E453&gt;0,VLOOKUP(E453,Направление!A$1:B$4750,2))))))</f>
        <v>Предоставление субсидий бюджетным, автономным учреждениям и иным некоммерческим организациям</v>
      </c>
      <c r="B453" s="160"/>
      <c r="C453" s="161"/>
      <c r="D453" s="162"/>
      <c r="E453" s="161"/>
      <c r="F453" s="162">
        <v>600</v>
      </c>
      <c r="G453" s="337">
        <v>56800</v>
      </c>
      <c r="H453" s="153"/>
      <c r="I453" s="152">
        <f>G453+H453</f>
        <v>56800</v>
      </c>
    </row>
    <row r="454" spans="1:9" ht="94.5">
      <c r="A454" s="148" t="str">
        <f>IF(B454&gt;0,VLOOKUP(B454,КВСР!A159:B1324,2),IF(C454&gt;0,VLOOKUP(C454,КФСР!A159:B1671,2),IF(D454&gt;0,VLOOKUP(D454,Программа!A$1:B$5091,2),IF(F454&gt;0,VLOOKUP(F454,КВР!A$1:B$5001,2),IF(E454&gt;0,VLOOKUP(E454,Направление!A$1:B$4750,2))))))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54" s="160"/>
      <c r="C454" s="161"/>
      <c r="D454" s="163"/>
      <c r="E454" s="161">
        <v>71000</v>
      </c>
      <c r="F454" s="162"/>
      <c r="G454" s="150">
        <f>G455</f>
        <v>739530</v>
      </c>
      <c r="H454" s="150">
        <f>H455</f>
        <v>0</v>
      </c>
      <c r="I454" s="152">
        <f t="shared" si="97"/>
        <v>739530</v>
      </c>
    </row>
    <row r="455" spans="1:9" ht="63">
      <c r="A455" s="148" t="str">
        <f>IF(B455&gt;0,VLOOKUP(B455,КВСР!A160:B1325,2),IF(C455&gt;0,VLOOKUP(C455,КФСР!A160:B1672,2),IF(D455&gt;0,VLOOKUP(D455,Программа!A$1:B$5091,2),IF(F455&gt;0,VLOOKUP(F455,КВР!A$1:B$5001,2),IF(E455&gt;0,VLOOKUP(E455,Направление!A$1:B$4750,2))))))</f>
        <v>Предоставление субсидий бюджетным, автономным учреждениям и иным некоммерческим организациям</v>
      </c>
      <c r="B455" s="160"/>
      <c r="C455" s="161"/>
      <c r="D455" s="162"/>
      <c r="E455" s="161"/>
      <c r="F455" s="162">
        <v>600</v>
      </c>
      <c r="G455" s="379">
        <v>739530</v>
      </c>
      <c r="H455" s="151"/>
      <c r="I455" s="152">
        <f t="shared" si="97"/>
        <v>739530</v>
      </c>
    </row>
    <row r="456" spans="1:9" ht="126">
      <c r="A456" s="148" t="str">
        <f>IF(B456&gt;0,VLOOKUP(B456,КВСР!A161:B1326,2),IF(C456&gt;0,VLOOKUP(C456,КФСР!A161:B1673,2),IF(D456&gt;0,VLOOKUP(D456,Программа!A$1:B$5091,2),IF(F456&gt;0,VLOOKUP(F456,КВР!A$1:B$5001,2),IF(E456&gt;0,VLOOKUP(E456,Направление!A$1:B$4750,2))))))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56" s="160"/>
      <c r="C456" s="161"/>
      <c r="D456" s="163"/>
      <c r="E456" s="161">
        <v>71060</v>
      </c>
      <c r="F456" s="162"/>
      <c r="G456" s="150">
        <f>G457+G458</f>
        <v>4407000</v>
      </c>
      <c r="H456" s="150">
        <f>H457+H458</f>
        <v>0</v>
      </c>
      <c r="I456" s="152">
        <f t="shared" si="97"/>
        <v>4407000</v>
      </c>
    </row>
    <row r="457" spans="1:9" ht="31.5">
      <c r="A457" s="148" t="str">
        <f>IF(B457&gt;0,VLOOKUP(B457,КВСР!A162:B1327,2),IF(C457&gt;0,VLOOKUP(C457,КФСР!A162:B1674,2),IF(D457&gt;0,VLOOKUP(D457,Программа!A$1:B$5091,2),IF(F457&gt;0,VLOOKUP(F457,КВР!A$1:B$5001,2),IF(E457&gt;0,VLOOKUP(E457,Направление!A$1:B$4750,2))))))</f>
        <v>Социальное обеспечение и иные выплаты населению</v>
      </c>
      <c r="B457" s="160"/>
      <c r="C457" s="161"/>
      <c r="D457" s="162"/>
      <c r="E457" s="161"/>
      <c r="F457" s="162">
        <v>300</v>
      </c>
      <c r="G457" s="379">
        <v>2781884</v>
      </c>
      <c r="H457" s="151"/>
      <c r="I457" s="152">
        <f t="shared" si="97"/>
        <v>2781884</v>
      </c>
    </row>
    <row r="458" spans="1:9" ht="63">
      <c r="A458" s="148" t="str">
        <f>IF(B458&gt;0,VLOOKUP(B458,КВСР!A163:B1328,2),IF(C458&gt;0,VLOOKUP(C458,КФСР!A163:B1675,2),IF(D458&gt;0,VLOOKUP(D458,Программа!A$1:B$5091,2),IF(F458&gt;0,VLOOKUP(F458,КВР!A$1:B$5001,2),IF(E458&gt;0,VLOOKUP(E458,Направление!A$1:B$4750,2))))))</f>
        <v>Предоставление субсидий бюджетным, автономным учреждениям и иным некоммерческим организациям</v>
      </c>
      <c r="B458" s="160"/>
      <c r="C458" s="161"/>
      <c r="D458" s="162"/>
      <c r="E458" s="161"/>
      <c r="F458" s="162">
        <v>600</v>
      </c>
      <c r="G458" s="379">
        <v>1625116</v>
      </c>
      <c r="H458" s="151"/>
      <c r="I458" s="152">
        <f t="shared" si="97"/>
        <v>1625116</v>
      </c>
    </row>
    <row r="459" spans="1:9" ht="47.25">
      <c r="A459" s="148" t="str">
        <f>IF(B459&gt;0,VLOOKUP(B459,КВСР!A164:B1329,2),IF(C459&gt;0,VLOOKUP(C459,КФСР!A164:B1676,2),IF(D459&gt;0,VLOOKUP(D459,Программа!A$1:B$5091,2),IF(F459&gt;0,VLOOKUP(F459,КВР!A$1:B$5001,2),IF(E459&gt;0,VLOOKUP(E459,Направление!A$1:B$4750,2))))))</f>
        <v>Субвенция на частичную оплату стоимости путевки в организации отдыха детей и их оздоровления</v>
      </c>
      <c r="B459" s="160"/>
      <c r="C459" s="161"/>
      <c r="D459" s="162"/>
      <c r="E459" s="161">
        <v>75160</v>
      </c>
      <c r="F459" s="162"/>
      <c r="G459" s="379">
        <f>G460</f>
        <v>20460</v>
      </c>
      <c r="H459" s="379">
        <f>H460</f>
        <v>0</v>
      </c>
      <c r="I459" s="152">
        <f t="shared" si="97"/>
        <v>20460</v>
      </c>
    </row>
    <row r="460" spans="1:9" ht="31.5">
      <c r="A460" s="148" t="str">
        <f>IF(B460&gt;0,VLOOKUP(B460,КВСР!A165:B1330,2),IF(C460&gt;0,VLOOKUP(C460,КФСР!A165:B1677,2),IF(D460&gt;0,VLOOKUP(D460,Программа!A$1:B$5091,2),IF(F460&gt;0,VLOOKUP(F460,КВР!A$1:B$5001,2),IF(E460&gt;0,VLOOKUP(E460,Направление!A$1:B$4750,2))))))</f>
        <v>Социальное обеспечение и иные выплаты населению</v>
      </c>
      <c r="B460" s="160"/>
      <c r="C460" s="161"/>
      <c r="D460" s="162"/>
      <c r="E460" s="161"/>
      <c r="F460" s="162">
        <v>300</v>
      </c>
      <c r="G460" s="379">
        <v>20460</v>
      </c>
      <c r="H460" s="151"/>
      <c r="I460" s="152">
        <f t="shared" si="97"/>
        <v>20460</v>
      </c>
    </row>
    <row r="461" spans="1:9" s="389" customFormat="1" ht="31.5" hidden="1">
      <c r="A461" s="385" t="str">
        <f>IF(B461&gt;0,VLOOKUP(B461,КВСР!A167:B1332,2),IF(C461&gt;0,VLOOKUP(C461,КФСР!A167:B1679,2),IF(D461&gt;0,VLOOKUP(D461,Программа!A$1:B$5091,2),IF(F461&gt;0,VLOOKUP(F461,КВР!A$1:B$5001,2),IF(E461&gt;0,VLOOKUP(E461,Направление!A$1:B$4750,2))))))</f>
        <v>Обеспечение компенсационных выплат</v>
      </c>
      <c r="B461" s="386"/>
      <c r="C461" s="387"/>
      <c r="D461" s="163" t="s">
        <v>1259</v>
      </c>
      <c r="E461" s="387"/>
      <c r="F461" s="388"/>
      <c r="G461" s="379">
        <f>G462</f>
        <v>0</v>
      </c>
      <c r="H461" s="379">
        <f>H462</f>
        <v>0</v>
      </c>
      <c r="I461" s="152">
        <f t="shared" si="97"/>
        <v>0</v>
      </c>
    </row>
    <row r="462" spans="1:9" ht="47.25" hidden="1">
      <c r="A462" s="148" t="str">
        <f>IF(B462&gt;0,VLOOKUP(B462,КВСР!A164:B1329,2),IF(C462&gt;0,VLOOKUP(C462,КФСР!A164:B1676,2),IF(D462&gt;0,VLOOKUP(D462,Программа!A$1:B$5091,2),IF(F462&gt;0,VLOOKUP(F462,КВР!A$1:B$5001,2),IF(E462&gt;0,VLOOKUP(E462,Направление!A$1:B$4750,2))))))</f>
        <v>Компенсация части расходов на приобретение путевки в организации отдыха детей и их оздоровления</v>
      </c>
      <c r="B462" s="160"/>
      <c r="C462" s="161"/>
      <c r="D462" s="162"/>
      <c r="E462" s="161">
        <v>74390</v>
      </c>
      <c r="F462" s="162"/>
      <c r="G462" s="150">
        <f>G463</f>
        <v>0</v>
      </c>
      <c r="H462" s="150">
        <f>H463</f>
        <v>0</v>
      </c>
      <c r="I462" s="152">
        <f t="shared" si="97"/>
        <v>0</v>
      </c>
    </row>
    <row r="463" spans="1:9" ht="31.5" hidden="1">
      <c r="A463" s="148" t="str">
        <f>IF(B463&gt;0,VLOOKUP(B463,КВСР!A165:B1330,2),IF(C463&gt;0,VLOOKUP(C463,КФСР!A165:B1677,2),IF(D463&gt;0,VLOOKUP(D463,Программа!A$1:B$5091,2),IF(F463&gt;0,VLOOKUP(F463,КВР!A$1:B$5001,2),IF(E463&gt;0,VLOOKUP(E463,Направление!A$1:B$4750,2))))))</f>
        <v>Социальное обеспечение и иные выплаты населению</v>
      </c>
      <c r="B463" s="160"/>
      <c r="C463" s="161"/>
      <c r="D463" s="162"/>
      <c r="E463" s="161"/>
      <c r="F463" s="162">
        <v>300</v>
      </c>
      <c r="G463" s="379">
        <v>0</v>
      </c>
      <c r="H463" s="151"/>
      <c r="I463" s="152">
        <f t="shared" si="97"/>
        <v>0</v>
      </c>
    </row>
    <row r="464" spans="1:9" ht="31.5">
      <c r="A464" s="148" t="str">
        <f>IF(B464&gt;0,VLOOKUP(B464,КВСР!A160:B1325,2),IF(C464&gt;0,VLOOKUP(C464,КФСР!A160:B1672,2),IF(D464&gt;0,VLOOKUP(D464,Программа!A$1:B$5091,2),IF(F464&gt;0,VLOOKUP(F464,КВР!A$1:B$5001,2),IF(E464&gt;0,VLOOKUP(E464,Направление!A$1:B$4750,2))))))</f>
        <v>Другие вопросы в области образования</v>
      </c>
      <c r="B464" s="160"/>
      <c r="C464" s="161">
        <v>709</v>
      </c>
      <c r="D464" s="163"/>
      <c r="E464" s="161"/>
      <c r="F464" s="162"/>
      <c r="G464" s="442">
        <f t="shared" ref="G464" si="107">G465+G476+G537+G541+G533+G525</f>
        <v>40308854</v>
      </c>
      <c r="H464" s="442">
        <f t="shared" ref="H464:I464" si="108">H465+H476+H537+H541+H533+H525</f>
        <v>184630</v>
      </c>
      <c r="I464" s="442">
        <f t="shared" si="108"/>
        <v>40493484</v>
      </c>
    </row>
    <row r="465" spans="1:9" ht="63">
      <c r="A465" s="148" t="str">
        <f>IF(B465&gt;0,VLOOKUP(B465,КВСР!A161:B1326,2),IF(C465&gt;0,VLOOKUP(C465,КФСР!A161:B1673,2),IF(D465&gt;0,VLOOKUP(D465,Программа!A$1:B$5091,2),IF(F465&gt;0,VLOOKUP(F465,КВР!A$1:B$5001,2),IF(E465&gt;0,VLOOKUP(E465,Направление!A$1:B$4750,2))))))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465" s="160"/>
      <c r="C465" s="161"/>
      <c r="D465" s="163" t="s">
        <v>569</v>
      </c>
      <c r="E465" s="161"/>
      <c r="F465" s="162"/>
      <c r="G465" s="152">
        <f>G466+G470</f>
        <v>74000</v>
      </c>
      <c r="H465" s="152">
        <f>H466+H470</f>
        <v>0</v>
      </c>
      <c r="I465" s="152">
        <f t="shared" si="97"/>
        <v>74000</v>
      </c>
    </row>
    <row r="466" spans="1:9" ht="94.5">
      <c r="A466" s="148" t="str">
        <f>IF(B466&gt;0,VLOOKUP(B466,КВСР!A162:B1327,2),IF(C466&gt;0,VLOOKUP(C466,КФСР!A162:B1674,2),IF(D466&gt;0,VLOOKUP(D466,Программа!A$1:B$5091,2),IF(F466&gt;0,VLOOKUP(F466,КВР!A$1:B$5001,2),IF(E466&gt;0,VLOOKUP(E466,Направление!A$1:B$4750,2))))))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66" s="160"/>
      <c r="C466" s="161"/>
      <c r="D466" s="163" t="s">
        <v>571</v>
      </c>
      <c r="E466" s="161"/>
      <c r="F466" s="162"/>
      <c r="G466" s="152">
        <f t="shared" ref="G466:H468" si="109">G467</f>
        <v>74000</v>
      </c>
      <c r="H466" s="152">
        <f t="shared" si="109"/>
        <v>0</v>
      </c>
      <c r="I466" s="152">
        <f t="shared" si="97"/>
        <v>74000</v>
      </c>
    </row>
    <row r="467" spans="1:9" ht="94.5">
      <c r="A467" s="148" t="str">
        <f>IF(B467&gt;0,VLOOKUP(B467,КВСР!A163:B1328,2),IF(C467&gt;0,VLOOKUP(C467,КФСР!A163:B1675,2),IF(D467&gt;0,VLOOKUP(D467,Программа!A$1:B$5091,2),IF(F467&gt;0,VLOOKUP(F467,КВР!A$1:B$5001,2),IF(E467&gt;0,VLOOKUP(E467,Направление!A$1:B$4750,2))))))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67" s="160"/>
      <c r="C467" s="161"/>
      <c r="D467" s="163" t="s">
        <v>573</v>
      </c>
      <c r="E467" s="161"/>
      <c r="F467" s="162"/>
      <c r="G467" s="152">
        <f t="shared" si="109"/>
        <v>74000</v>
      </c>
      <c r="H467" s="152">
        <f t="shared" si="109"/>
        <v>0</v>
      </c>
      <c r="I467" s="152">
        <f t="shared" si="97"/>
        <v>74000</v>
      </c>
    </row>
    <row r="468" spans="1:9" ht="31.5">
      <c r="A468" s="550" t="str">
        <f>IF(B468&gt;0,VLOOKUP(B468,КВСР!A164:B1329,2),IF(C468&gt;0,VLOOKUP(C468,КФСР!A164:B1676,2),IF(D468&gt;0,VLOOKUP(D468,Программа!A$1:B$5091,2),IF(F468&gt;0,VLOOKUP(F468,КВР!A$1:B$5001,2),IF(E468&gt;0,VLOOKUP(E468,Направление!A$1:B$4750,2))))))</f>
        <v>Мероприятия по патриотическому воспитанию граждан</v>
      </c>
      <c r="B468" s="551"/>
      <c r="C468" s="552"/>
      <c r="D468" s="553"/>
      <c r="E468" s="552">
        <v>14880</v>
      </c>
      <c r="F468" s="499"/>
      <c r="G468" s="152">
        <f t="shared" si="109"/>
        <v>74000</v>
      </c>
      <c r="H468" s="152">
        <f t="shared" si="109"/>
        <v>0</v>
      </c>
      <c r="I468" s="152">
        <f t="shared" si="97"/>
        <v>74000</v>
      </c>
    </row>
    <row r="469" spans="1:9" ht="63">
      <c r="A469" s="550" t="str">
        <f>IF(B469&gt;0,VLOOKUP(B469,КВСР!A165:B1330,2),IF(C469&gt;0,VLOOKUP(C469,КФСР!A165:B1677,2),IF(D469&gt;0,VLOOKUP(D469,Программа!A$1:B$5091,2),IF(F469&gt;0,VLOOKUP(F469,КВР!A$1:B$5001,2),IF(E469&gt;0,VLOOKUP(E469,Направление!A$1:B$4750,2))))))</f>
        <v>Предоставление субсидий бюджетным, автономным учреждениям и иным некоммерческим организациям</v>
      </c>
      <c r="B469" s="551"/>
      <c r="C469" s="552"/>
      <c r="D469" s="553"/>
      <c r="E469" s="552"/>
      <c r="F469" s="499">
        <v>600</v>
      </c>
      <c r="G469" s="556">
        <v>74000</v>
      </c>
      <c r="H469" s="152"/>
      <c r="I469" s="152">
        <f t="shared" si="97"/>
        <v>74000</v>
      </c>
    </row>
    <row r="470" spans="1:9" ht="78.75" hidden="1">
      <c r="A470" s="148" t="str">
        <f>IF(B470&gt;0,VLOOKUP(B470,КВСР!A166:B1331,2),IF(C470&gt;0,VLOOKUP(C470,КФСР!A166:B1678,2),IF(D470&gt;0,VLOOKUP(D470,Программа!A$1:B$5091,2),IF(F470&gt;0,VLOOKUP(F470,КВР!A$1:B$5001,2),IF(E470&gt;0,VLOOKUP(E470,Направление!A$1:B$4750,2))))))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470" s="160"/>
      <c r="C470" s="161"/>
      <c r="D470" s="163" t="s">
        <v>576</v>
      </c>
      <c r="E470" s="161"/>
      <c r="F470" s="162"/>
      <c r="G470" s="152">
        <f>G471</f>
        <v>0</v>
      </c>
      <c r="H470" s="152">
        <f>H471</f>
        <v>0</v>
      </c>
      <c r="I470" s="152">
        <f t="shared" si="97"/>
        <v>0</v>
      </c>
    </row>
    <row r="471" spans="1:9" ht="47.25" hidden="1">
      <c r="A471" s="148" t="str">
        <f>IF(B471&gt;0,VLOOKUP(B471,КВСР!A167:B1332,2),IF(C471&gt;0,VLOOKUP(C471,КФСР!A167:B1679,2),IF(D471&gt;0,VLOOKUP(D471,Программа!A$1:B$5091,2),IF(F471&gt;0,VLOOKUP(F471,КВР!A$1:B$5001,2),IF(E471&gt;0,VLOOKUP(E471,Направление!A$1:B$4750,2))))))</f>
        <v>Развитие системы профилактики немедицинского потребления наркотиков</v>
      </c>
      <c r="B471" s="160"/>
      <c r="C471" s="161"/>
      <c r="D471" s="163" t="s">
        <v>578</v>
      </c>
      <c r="E471" s="161"/>
      <c r="F471" s="162"/>
      <c r="G471" s="152">
        <f>G472+G474</f>
        <v>0</v>
      </c>
      <c r="H471" s="152">
        <f>H472+H474</f>
        <v>0</v>
      </c>
      <c r="I471" s="152">
        <f t="shared" si="97"/>
        <v>0</v>
      </c>
    </row>
    <row r="472" spans="1:9" ht="78.75" hidden="1">
      <c r="A472" s="148" t="str">
        <f>IF(B472&gt;0,VLOOKUP(B472,КВСР!A168:B1333,2),IF(C472&gt;0,VLOOKUP(C472,КФСР!A168:B1680,2),IF(D472&gt;0,VLOOKUP(D472,Программа!A$1:B$5091,2),IF(F472&gt;0,VLOOKUP(F472,КВР!A$1:B$5001,2),IF(E472&gt;0,VLOOKUP(E472,Направление!A$1:B$4750,2))))))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72" s="160"/>
      <c r="C472" s="161"/>
      <c r="D472" s="163"/>
      <c r="E472" s="161" t="s">
        <v>580</v>
      </c>
      <c r="F472" s="162"/>
      <c r="G472" s="152">
        <f>G473</f>
        <v>0</v>
      </c>
      <c r="H472" s="152">
        <f>H473</f>
        <v>0</v>
      </c>
      <c r="I472" s="152">
        <f t="shared" si="97"/>
        <v>0</v>
      </c>
    </row>
    <row r="473" spans="1:9" ht="63" hidden="1">
      <c r="A473" s="148" t="str">
        <f>IF(B473&gt;0,VLOOKUP(B473,КВСР!A169:B1334,2),IF(C473&gt;0,VLOOKUP(C473,КФСР!A169:B1681,2),IF(D473&gt;0,VLOOKUP(D473,Программа!A$1:B$5091,2),IF(F473&gt;0,VLOOKUP(F473,КВР!A$1:B$5001,2),IF(E473&gt;0,VLOOKUP(E473,Направление!A$1:B$4750,2))))))</f>
        <v>Предоставление субсидий бюджетным, автономным учреждениям и иным некоммерческим организациям</v>
      </c>
      <c r="B473" s="160"/>
      <c r="C473" s="161"/>
      <c r="D473" s="163"/>
      <c r="E473" s="161"/>
      <c r="F473" s="162">
        <v>600</v>
      </c>
      <c r="G473" s="337">
        <v>0</v>
      </c>
      <c r="H473" s="154"/>
      <c r="I473" s="152">
        <f t="shared" si="97"/>
        <v>0</v>
      </c>
    </row>
    <row r="474" spans="1:9" ht="94.5" hidden="1">
      <c r="A474" s="148" t="str">
        <f>IF(B474&gt;0,VLOOKUP(B474,КВСР!A170:B1335,2),IF(C474&gt;0,VLOOKUP(C474,КФСР!A170:B1682,2),IF(D474&gt;0,VLOOKUP(D474,Программа!A$1:B$5091,2),IF(F474&gt;0,VLOOKUP(F474,КВР!A$1:B$5001,2),IF(E474&gt;0,VLOOKUP(E474,Направление!A$1:B$4750,2))))))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474" s="160"/>
      <c r="C474" s="161"/>
      <c r="D474" s="163"/>
      <c r="E474" s="161">
        <v>71430</v>
      </c>
      <c r="F474" s="162"/>
      <c r="G474" s="152">
        <f>G475</f>
        <v>0</v>
      </c>
      <c r="H474" s="152">
        <f>H475</f>
        <v>0</v>
      </c>
      <c r="I474" s="152">
        <f t="shared" si="97"/>
        <v>0</v>
      </c>
    </row>
    <row r="475" spans="1:9" ht="63" hidden="1">
      <c r="A475" s="148" t="str">
        <f>IF(B475&gt;0,VLOOKUP(B475,КВСР!A171:B1336,2),IF(C475&gt;0,VLOOKUP(C475,КФСР!A171:B1683,2),IF(D475&gt;0,VLOOKUP(D475,Программа!A$1:B$5091,2),IF(F475&gt;0,VLOOKUP(F475,КВР!A$1:B$5001,2),IF(E475&gt;0,VLOOKUP(E475,Направление!A$1:B$4750,2))))))</f>
        <v>Предоставление субсидий бюджетным, автономным учреждениям и иным некоммерческим организациям</v>
      </c>
      <c r="B475" s="160"/>
      <c r="C475" s="161"/>
      <c r="D475" s="163"/>
      <c r="E475" s="161"/>
      <c r="F475" s="162">
        <v>600</v>
      </c>
      <c r="G475" s="337">
        <v>0</v>
      </c>
      <c r="H475" s="154"/>
      <c r="I475" s="152">
        <f t="shared" si="97"/>
        <v>0</v>
      </c>
    </row>
    <row r="476" spans="1:9" ht="63">
      <c r="A476" s="148" t="str">
        <f>IF(B476&gt;0,VLOOKUP(B476,КВСР!A166:B1331,2),IF(C476&gt;0,VLOOKUP(C476,КФСР!A166:B1678,2),IF(D476&gt;0,VLOOKUP(D476,Программа!A$1:B$5091,2),IF(F476&gt;0,VLOOKUP(F476,КВР!A$1:B$5001,2),IF(E476&gt;0,VLOOKUP(E476,Направление!A$1:B$4750,2))))))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476" s="160"/>
      <c r="C476" s="161"/>
      <c r="D476" s="163" t="s">
        <v>539</v>
      </c>
      <c r="E476" s="161"/>
      <c r="F476" s="162"/>
      <c r="G476" s="442">
        <f t="shared" ref="G476" si="110">G477+G521</f>
        <v>39446854</v>
      </c>
      <c r="H476" s="442">
        <f t="shared" ref="H476:I476" si="111">H477+H521</f>
        <v>184630</v>
      </c>
      <c r="I476" s="442">
        <f t="shared" si="111"/>
        <v>39631484</v>
      </c>
    </row>
    <row r="477" spans="1:9" ht="63">
      <c r="A477" s="148" t="str">
        <f>IF(B477&gt;0,VLOOKUP(B477,КВСР!A167:B1332,2),IF(C477&gt;0,VLOOKUP(C477,КФСР!A167:B1679,2),IF(D477&gt;0,VLOOKUP(D477,Программа!A$1:B$5091,2),IF(F477&gt;0,VLOOKUP(F477,КВР!A$1:B$5001,2),IF(E477&gt;0,VLOOKUP(E477,Направление!A$1:B$4750,2))))))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477" s="160"/>
      <c r="C477" s="161"/>
      <c r="D477" s="163" t="s">
        <v>541</v>
      </c>
      <c r="E477" s="161"/>
      <c r="F477" s="162"/>
      <c r="G477" s="442">
        <f t="shared" ref="G477" si="112">G484+G489+G502+G478+G497</f>
        <v>39390854</v>
      </c>
      <c r="H477" s="442">
        <f t="shared" ref="H477:I477" si="113">H484+H489+H502+H478+H497</f>
        <v>184630</v>
      </c>
      <c r="I477" s="442">
        <f t="shared" si="113"/>
        <v>39575484</v>
      </c>
    </row>
    <row r="478" spans="1:9" ht="47.25">
      <c r="A478" s="148" t="str">
        <f>IF(B478&gt;0,VLOOKUP(B478,КВСР!A168:B1333,2),IF(C478&gt;0,VLOOKUP(C478,КФСР!A168:B1680,2),IF(D478&gt;0,VLOOKUP(D478,Программа!A$1:B$5091,2),IF(F478&gt;0,VLOOKUP(F478,КВР!A$1:B$5001,2),IF(E478&gt;0,VLOOKUP(E478,Направление!A$1:B$4750,2))))))</f>
        <v>Обеспечение качества и доступности образовательных услуг в сфере дополнительного образования</v>
      </c>
      <c r="B478" s="160"/>
      <c r="C478" s="161"/>
      <c r="D478" s="163" t="s">
        <v>605</v>
      </c>
      <c r="E478" s="161"/>
      <c r="F478" s="162"/>
      <c r="G478" s="152">
        <f>G480+G481+G482+G483</f>
        <v>287200</v>
      </c>
      <c r="H478" s="152">
        <f>H480+H481+H482+H483</f>
        <v>0</v>
      </c>
      <c r="I478" s="152">
        <f t="shared" si="97"/>
        <v>287200</v>
      </c>
    </row>
    <row r="479" spans="1:9">
      <c r="A479" s="148" t="str">
        <f>IF(B479&gt;0,VLOOKUP(B479,КВСР!A169:B1334,2),IF(C479&gt;0,VLOOKUP(C479,КФСР!A169:B1681,2),IF(D479&gt;0,VLOOKUP(D479,Программа!A$1:B$5091,2),IF(F479&gt;0,VLOOKUP(F479,КВР!A$1:B$5001,2),IF(E479&gt;0,VLOOKUP(E479,Направление!A$1:B$4750,2))))))</f>
        <v>Мероприятия в сфере образования</v>
      </c>
      <c r="B479" s="160"/>
      <c r="C479" s="161"/>
      <c r="D479" s="163"/>
      <c r="E479" s="161">
        <v>13320</v>
      </c>
      <c r="F479" s="162"/>
      <c r="G479" s="152">
        <f>G480+G481+G482+G483</f>
        <v>287200</v>
      </c>
      <c r="H479" s="152">
        <f>H480+H481+H482+H483</f>
        <v>0</v>
      </c>
      <c r="I479" s="152">
        <f t="shared" si="97"/>
        <v>287200</v>
      </c>
    </row>
    <row r="480" spans="1:9" ht="126" hidden="1">
      <c r="A480" s="148" t="str">
        <f>IF(B480&gt;0,VLOOKUP(B480,КВСР!A169:B1334,2),IF(C480&gt;0,VLOOKUP(C480,КФСР!A169:B1681,2),IF(D480&gt;0,VLOOKUP(D480,Программа!A$1:B$5091,2),IF(F480&gt;0,VLOOKUP(F480,КВР!A$1:B$5001,2),IF(E480&gt;0,VLOOKUP(E480,Направление!A$1:B$4750,2))))))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60"/>
      <c r="C480" s="161"/>
      <c r="D480" s="163"/>
      <c r="E480" s="161"/>
      <c r="F480" s="162">
        <v>100</v>
      </c>
      <c r="G480" s="337">
        <v>0</v>
      </c>
      <c r="H480" s="153"/>
      <c r="I480" s="152">
        <f t="shared" si="97"/>
        <v>0</v>
      </c>
    </row>
    <row r="481" spans="1:9" ht="63">
      <c r="A481" s="148" t="str">
        <f>IF(B481&gt;0,VLOOKUP(B481,КВСР!A170:B1335,2),IF(C481&gt;0,VLOOKUP(C481,КФСР!A170:B1682,2),IF(D481&gt;0,VLOOKUP(D481,Программа!A$1:B$5091,2),IF(F481&gt;0,VLOOKUP(F481,КВР!A$1:B$5001,2),IF(E481&gt;0,VLOOKUP(E481,Направление!A$1:B$4750,2))))))</f>
        <v xml:space="preserve">Закупка товаров, работ и услуг для обеспечения государственных (муниципальных) нужд
</v>
      </c>
      <c r="B481" s="160"/>
      <c r="C481" s="161"/>
      <c r="D481" s="163"/>
      <c r="E481" s="161"/>
      <c r="F481" s="162">
        <v>200</v>
      </c>
      <c r="G481" s="337">
        <v>60000</v>
      </c>
      <c r="H481" s="153"/>
      <c r="I481" s="152">
        <f t="shared" si="97"/>
        <v>60000</v>
      </c>
    </row>
    <row r="482" spans="1:9" ht="63">
      <c r="A482" s="148" t="str">
        <f>IF(B482&gt;0,VLOOKUP(B482,КВСР!A171:B1336,2),IF(C482&gt;0,VLOOKUP(C482,КФСР!A171:B1683,2),IF(D482&gt;0,VLOOKUP(D482,Программа!A$1:B$5091,2),IF(F482&gt;0,VLOOKUP(F482,КВР!A$1:B$5001,2),IF(E482&gt;0,VLOOKUP(E482,Направление!A$1:B$4750,2))))))</f>
        <v>Предоставление субсидий бюджетным, автономным учреждениям и иным некоммерческим организациям</v>
      </c>
      <c r="B482" s="160"/>
      <c r="C482" s="161"/>
      <c r="D482" s="163"/>
      <c r="E482" s="161"/>
      <c r="F482" s="162">
        <v>600</v>
      </c>
      <c r="G482" s="337">
        <v>227200</v>
      </c>
      <c r="H482" s="153"/>
      <c r="I482" s="152">
        <f t="shared" si="97"/>
        <v>227200</v>
      </c>
    </row>
    <row r="483" spans="1:9" hidden="1">
      <c r="A483" s="148" t="str">
        <f>IF(B483&gt;0,VLOOKUP(B483,КВСР!A172:B1337,2),IF(C483&gt;0,VLOOKUP(C483,КФСР!A172:B1684,2),IF(D483&gt;0,VLOOKUP(D483,Программа!A$1:B$5091,2),IF(F483&gt;0,VLOOKUP(F483,КВР!A$1:B$5001,2),IF(E483&gt;0,VLOOKUP(E483,Направление!A$1:B$4750,2))))))</f>
        <v>Иные бюджетные ассигнования</v>
      </c>
      <c r="B483" s="160"/>
      <c r="C483" s="161"/>
      <c r="D483" s="163"/>
      <c r="E483" s="161"/>
      <c r="F483" s="162">
        <v>800</v>
      </c>
      <c r="G483" s="337">
        <v>0</v>
      </c>
      <c r="H483" s="153"/>
      <c r="I483" s="152">
        <f t="shared" si="97"/>
        <v>0</v>
      </c>
    </row>
    <row r="484" spans="1:9" ht="31.5">
      <c r="A484" s="148" t="str">
        <f>IF(B484&gt;0,VLOOKUP(B484,КВСР!A168:B1333,2),IF(C484&gt;0,VLOOKUP(C484,КФСР!A168:B1680,2),IF(D484&gt;0,VLOOKUP(D484,Программа!A$1:B$5091,2),IF(F484&gt;0,VLOOKUP(F484,КВР!A$1:B$5001,2),IF(E484&gt;0,VLOOKUP(E484,Направление!A$1:B$4750,2))))))</f>
        <v>Повышение мотивации участников образовательного процесса</v>
      </c>
      <c r="B484" s="160"/>
      <c r="C484" s="161"/>
      <c r="D484" s="163" t="s">
        <v>584</v>
      </c>
      <c r="E484" s="161"/>
      <c r="F484" s="162"/>
      <c r="G484" s="152">
        <f>G485+G487</f>
        <v>332000</v>
      </c>
      <c r="H484" s="152">
        <f>H485+H487</f>
        <v>0</v>
      </c>
      <c r="I484" s="152">
        <f t="shared" si="97"/>
        <v>332000</v>
      </c>
    </row>
    <row r="485" spans="1:9" ht="31.5">
      <c r="A485" s="148" t="str">
        <f>IF(B485&gt;0,VLOOKUP(B485,КВСР!A169:B1334,2),IF(C485&gt;0,VLOOKUP(C485,КФСР!A169:B1681,2),IF(D485&gt;0,VLOOKUP(D485,Программа!A$1:B$5091,2),IF(F485&gt;0,VLOOKUP(F485,КВР!A$1:B$5001,2),IF(E485&gt;0,VLOOKUP(E485,Направление!A$1:B$4750,2))))))</f>
        <v xml:space="preserve">Выплата ежемесячных и разовых стипендий главы </v>
      </c>
      <c r="B485" s="160"/>
      <c r="C485" s="161"/>
      <c r="D485" s="163"/>
      <c r="E485" s="161">
        <v>12700</v>
      </c>
      <c r="F485" s="162"/>
      <c r="G485" s="152">
        <f>G486</f>
        <v>232000</v>
      </c>
      <c r="H485" s="152">
        <f>H486</f>
        <v>0</v>
      </c>
      <c r="I485" s="152">
        <f t="shared" si="97"/>
        <v>232000</v>
      </c>
    </row>
    <row r="486" spans="1:9" ht="31.5">
      <c r="A486" s="148" t="str">
        <f>IF(B486&gt;0,VLOOKUP(B486,КВСР!A170:B1335,2),IF(C486&gt;0,VLOOKUP(C486,КФСР!A170:B1682,2),IF(D486&gt;0,VLOOKUP(D486,Программа!A$1:B$5091,2),IF(F486&gt;0,VLOOKUP(F486,КВР!A$1:B$5001,2),IF(E486&gt;0,VLOOKUP(E486,Направление!A$1:B$4750,2))))))</f>
        <v>Социальное обеспечение и иные выплаты населению</v>
      </c>
      <c r="B486" s="160"/>
      <c r="C486" s="161"/>
      <c r="D486" s="163"/>
      <c r="E486" s="161"/>
      <c r="F486" s="162">
        <v>300</v>
      </c>
      <c r="G486" s="337">
        <v>232000</v>
      </c>
      <c r="H486" s="154"/>
      <c r="I486" s="152">
        <f t="shared" si="97"/>
        <v>232000</v>
      </c>
    </row>
    <row r="487" spans="1:9" ht="63">
      <c r="A487" s="148" t="str">
        <f>IF(B487&gt;0,VLOOKUP(B487,КВСР!A171:B1336,2),IF(C487&gt;0,VLOOKUP(C487,КФСР!A171:B1683,2),IF(D487&gt;0,VLOOKUP(D487,Программа!A$1:B$5091,2),IF(F487&gt;0,VLOOKUP(F487,КВР!A$1:B$5001,2),IF(E487&gt;0,VLOOKUP(E487,Направление!A$1:B$4750,2))))))</f>
        <v>Денежное поощрение лучших руководящих и педагогических работников за заслуги в сфере образования</v>
      </c>
      <c r="B487" s="160"/>
      <c r="C487" s="161"/>
      <c r="D487" s="163"/>
      <c r="E487" s="161">
        <v>12710</v>
      </c>
      <c r="F487" s="162"/>
      <c r="G487" s="152">
        <f>G488</f>
        <v>100000</v>
      </c>
      <c r="H487" s="152">
        <f>H488</f>
        <v>0</v>
      </c>
      <c r="I487" s="152">
        <f t="shared" si="97"/>
        <v>100000</v>
      </c>
    </row>
    <row r="488" spans="1:9" ht="31.5">
      <c r="A488" s="148" t="str">
        <f>IF(B488&gt;0,VLOOKUP(B488,КВСР!A172:B1337,2),IF(C488&gt;0,VLOOKUP(C488,КФСР!A172:B1684,2),IF(D488&gt;0,VLOOKUP(D488,Программа!A$1:B$5091,2),IF(F488&gt;0,VLOOKUP(F488,КВР!A$1:B$5001,2),IF(E488&gt;0,VLOOKUP(E488,Направление!A$1:B$4750,2))))))</f>
        <v>Социальное обеспечение и иные выплаты населению</v>
      </c>
      <c r="B488" s="160"/>
      <c r="C488" s="161"/>
      <c r="D488" s="163"/>
      <c r="E488" s="161"/>
      <c r="F488" s="162">
        <v>300</v>
      </c>
      <c r="G488" s="337">
        <v>100000</v>
      </c>
      <c r="H488" s="154"/>
      <c r="I488" s="152">
        <f t="shared" si="97"/>
        <v>100000</v>
      </c>
    </row>
    <row r="489" spans="1:9" ht="78.75">
      <c r="A489" s="148" t="str">
        <f>IF(B489&gt;0,VLOOKUP(B489,КВСР!A173:B1338,2),IF(C489&gt;0,VLOOKUP(C489,КФСР!A173:B1685,2),IF(D489&gt;0,VLOOKUP(D489,Программа!A$1:B$5091,2),IF(F489&gt;0,VLOOKUP(F489,КВР!A$1:B$5001,2),IF(E489&gt;0,VLOOKUP(E489,Направление!A$1:B$4750,2))))))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89" s="160"/>
      <c r="C489" s="161"/>
      <c r="D489" s="163" t="s">
        <v>561</v>
      </c>
      <c r="E489" s="161"/>
      <c r="F489" s="162"/>
      <c r="G489" s="152">
        <f>G490+G493+G495</f>
        <v>9800837</v>
      </c>
      <c r="H489" s="152">
        <f t="shared" ref="H489:I489" si="114">H490+H493+H495</f>
        <v>184630</v>
      </c>
      <c r="I489" s="152">
        <f t="shared" si="114"/>
        <v>9985467</v>
      </c>
    </row>
    <row r="490" spans="1:9" ht="31.5">
      <c r="A490" s="148" t="str">
        <f>IF(B490&gt;0,VLOOKUP(B490,КВСР!A174:B1339,2),IF(C490&gt;0,VLOOKUP(C490,КФСР!A174:B1686,2),IF(D490&gt;0,VLOOKUP(D490,Программа!A$1:B$5091,2),IF(F490&gt;0,VLOOKUP(F490,КВР!A$1:B$5001,2),IF(E490&gt;0,VLOOKUP(E490,Направление!A$1:B$4750,2))))))</f>
        <v>Обеспечение деятельности прочих учреждений в сфере образования</v>
      </c>
      <c r="B490" s="160"/>
      <c r="C490" s="161"/>
      <c r="D490" s="163"/>
      <c r="E490" s="161">
        <v>13310</v>
      </c>
      <c r="F490" s="162"/>
      <c r="G490" s="152">
        <f>G491+G492</f>
        <v>9800837</v>
      </c>
      <c r="H490" s="152">
        <f>H491+H492</f>
        <v>84630</v>
      </c>
      <c r="I490" s="152">
        <f t="shared" si="97"/>
        <v>9885467</v>
      </c>
    </row>
    <row r="491" spans="1:9" ht="63" hidden="1">
      <c r="A491" s="148" t="str">
        <f>IF(B491&gt;0,VLOOKUP(B491,КВСР!A175:B1340,2),IF(C491&gt;0,VLOOKUP(C491,КФСР!A175:B1687,2),IF(D491&gt;0,VLOOKUP(D491,Программа!A$1:B$5091,2),IF(F491&gt;0,VLOOKUP(F491,КВР!A$1:B$5001,2),IF(E491&gt;0,VLOOKUP(E491,Направление!A$1:B$4750,2))))))</f>
        <v xml:space="preserve">Закупка товаров, работ и услуг для обеспечения государственных (муниципальных) нужд
</v>
      </c>
      <c r="B491" s="160"/>
      <c r="C491" s="161"/>
      <c r="D491" s="163"/>
      <c r="E491" s="161"/>
      <c r="F491" s="162">
        <v>200</v>
      </c>
      <c r="G491" s="337">
        <v>0</v>
      </c>
      <c r="H491" s="154"/>
      <c r="I491" s="152">
        <f t="shared" si="97"/>
        <v>0</v>
      </c>
    </row>
    <row r="492" spans="1:9" ht="63">
      <c r="A492" s="148" t="str">
        <f>IF(B492&gt;0,VLOOKUP(B492,КВСР!A176:B1341,2),IF(C492&gt;0,VLOOKUP(C492,КФСР!A176:B1688,2),IF(D492&gt;0,VLOOKUP(D492,Программа!A$1:B$5091,2),IF(F492&gt;0,VLOOKUP(F492,КВР!A$1:B$5001,2),IF(E492&gt;0,VLOOKUP(E492,Направление!A$1:B$4750,2))))))</f>
        <v>Предоставление субсидий бюджетным, автономным учреждениям и иным некоммерческим организациям</v>
      </c>
      <c r="B492" s="160"/>
      <c r="C492" s="161"/>
      <c r="D492" s="163"/>
      <c r="E492" s="161"/>
      <c r="F492" s="162">
        <v>600</v>
      </c>
      <c r="G492" s="337">
        <v>9800837</v>
      </c>
      <c r="H492" s="154">
        <v>84630</v>
      </c>
      <c r="I492" s="152">
        <f t="shared" si="97"/>
        <v>9885467</v>
      </c>
    </row>
    <row r="493" spans="1:9" ht="63">
      <c r="A493" s="148" t="str">
        <f>IF(B493&gt;0,VLOOKUP(B493,КВСР!A177:B1342,2),IF(C493&gt;0,VLOOKUP(C493,КФСР!A177:B1689,2),IF(D493&gt;0,VLOOKUP(D493,Программа!A$1:B$5091,2),IF(F493&gt;0,VLOOKUP(F493,КВР!A$1:B$5001,2),IF(E493&gt;0,VLOOKUP(E493,Направление!A$1:B$4750,2))))))</f>
        <v>Расходы на реализацию мероприятий инициативного бюджетирования на территории Ярославской области</v>
      </c>
      <c r="B493" s="160"/>
      <c r="C493" s="161"/>
      <c r="D493" s="163"/>
      <c r="E493" s="161">
        <v>15350</v>
      </c>
      <c r="F493" s="162"/>
      <c r="G493" s="337">
        <f>G494</f>
        <v>0</v>
      </c>
      <c r="H493" s="337">
        <f t="shared" ref="H493:I493" si="115">H494</f>
        <v>5000</v>
      </c>
      <c r="I493" s="337">
        <f t="shared" si="115"/>
        <v>5000</v>
      </c>
    </row>
    <row r="494" spans="1:9" ht="63">
      <c r="A494" s="148" t="str">
        <f>IF(B494&gt;0,VLOOKUP(B494,КВСР!A178:B1343,2),IF(C494&gt;0,VLOOKUP(C494,КФСР!A178:B1690,2),IF(D494&gt;0,VLOOKUP(D494,Программа!A$1:B$5091,2),IF(F494&gt;0,VLOOKUP(F494,КВР!A$1:B$5001,2),IF(E494&gt;0,VLOOKUP(E494,Направление!A$1:B$4750,2))))))</f>
        <v>Предоставление субсидий бюджетным, автономным учреждениям и иным некоммерческим организациям</v>
      </c>
      <c r="B494" s="160"/>
      <c r="C494" s="161"/>
      <c r="D494" s="163"/>
      <c r="E494" s="161"/>
      <c r="F494" s="162">
        <v>600</v>
      </c>
      <c r="G494" s="337"/>
      <c r="H494" s="154">
        <v>5000</v>
      </c>
      <c r="I494" s="152">
        <f t="shared" si="97"/>
        <v>5000</v>
      </c>
    </row>
    <row r="495" spans="1:9" ht="63">
      <c r="A495" s="148" t="str">
        <f>IF(B495&gt;0,VLOOKUP(B495,КВСР!A179:B1344,2),IF(C495&gt;0,VLOOKUP(C495,КФСР!A179:B1691,2),IF(D495&gt;0,VLOOKUP(D495,Программа!A$1:B$5091,2),IF(F495&gt;0,VLOOKUP(F495,КВР!A$1:B$5001,2),IF(E495&gt;0,VLOOKUP(E495,Направление!A$1:B$4750,2))))))</f>
        <v>Расходы на реализацию мероприятий инициативного бюджетирования на территории Ярославской области</v>
      </c>
      <c r="B495" s="160"/>
      <c r="C495" s="161"/>
      <c r="D495" s="163"/>
      <c r="E495" s="161">
        <v>75350</v>
      </c>
      <c r="F495" s="162"/>
      <c r="G495" s="337">
        <f>G496</f>
        <v>0</v>
      </c>
      <c r="H495" s="337">
        <f t="shared" ref="H495:I495" si="116">H496</f>
        <v>95000</v>
      </c>
      <c r="I495" s="337">
        <f t="shared" si="116"/>
        <v>95000</v>
      </c>
    </row>
    <row r="496" spans="1:9" ht="63">
      <c r="A496" s="148" t="str">
        <f>IF(B496&gt;0,VLOOKUP(B496,КВСР!A180:B1345,2),IF(C496&gt;0,VLOOKUP(C496,КФСР!A180:B1692,2),IF(D496&gt;0,VLOOKUP(D496,Программа!A$1:B$5091,2),IF(F496&gt;0,VLOOKUP(F496,КВР!A$1:B$5001,2),IF(E496&gt;0,VLOOKUP(E496,Направление!A$1:B$4750,2))))))</f>
        <v>Предоставление субсидий бюджетным, автономным учреждениям и иным некоммерческим организациям</v>
      </c>
      <c r="B496" s="160"/>
      <c r="C496" s="161"/>
      <c r="D496" s="163"/>
      <c r="E496" s="161"/>
      <c r="F496" s="162">
        <v>600</v>
      </c>
      <c r="G496" s="337"/>
      <c r="H496" s="154">
        <v>95000</v>
      </c>
      <c r="I496" s="152">
        <f t="shared" si="97"/>
        <v>95000</v>
      </c>
    </row>
    <row r="497" spans="1:9" ht="47.25" hidden="1">
      <c r="A497" s="148" t="str">
        <f>IF(B497&gt;0,VLOOKUP(B497,КВСР!A177:B1342,2),IF(C497&gt;0,VLOOKUP(C497,КФСР!A177:B1689,2),IF(D497&gt;0,VLOOKUP(D497,Программа!A$1:B$5091,2),IF(F497&gt;0,VLOOKUP(F497,КВР!A$1:B$5001,2),IF(E497&gt;0,VLOOKUP(E497,Направление!A$1:B$4750,2))))))</f>
        <v>Обеспечение детей организованными формами отдыха и оздоровления</v>
      </c>
      <c r="B497" s="160"/>
      <c r="C497" s="161"/>
      <c r="D497" s="163" t="s">
        <v>1254</v>
      </c>
      <c r="E497" s="161"/>
      <c r="F497" s="162"/>
      <c r="G497" s="337">
        <f>G498</f>
        <v>0</v>
      </c>
      <c r="H497" s="337">
        <f>H498</f>
        <v>0</v>
      </c>
      <c r="I497" s="152">
        <f t="shared" si="97"/>
        <v>0</v>
      </c>
    </row>
    <row r="498" spans="1:9" ht="78.75" hidden="1">
      <c r="A498" s="148" t="str">
        <f>IF(B498&gt;0,VLOOKUP(B498,КВСР!A177:B1342,2),IF(C498&gt;0,VLOOKUP(C498,КФСР!A177:B1689,2),IF(D498&gt;0,VLOOKUP(D498,Программа!A$1:B$5091,2),IF(F498&gt;0,VLOOKUP(F498,КВР!A$1:B$5001,2),IF(E498&gt;0,VLOOKUP(E498,Направление!A$1:B$4750,2))))))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498" s="160"/>
      <c r="C498" s="161"/>
      <c r="D498" s="163"/>
      <c r="E498" s="161" t="s">
        <v>588</v>
      </c>
      <c r="F498" s="162"/>
      <c r="G498" s="152">
        <f>G499</f>
        <v>0</v>
      </c>
      <c r="H498" s="152">
        <f>H499</f>
        <v>0</v>
      </c>
      <c r="I498" s="152">
        <f t="shared" si="97"/>
        <v>0</v>
      </c>
    </row>
    <row r="499" spans="1:9" ht="63" hidden="1">
      <c r="A499" s="148" t="str">
        <f>IF(B499&gt;0,VLOOKUP(B499,КВСР!A178:B1343,2),IF(C499&gt;0,VLOOKUP(C499,КФСР!A178:B1690,2),IF(D499&gt;0,VLOOKUP(D499,Программа!A$1:B$5091,2),IF(F499&gt;0,VLOOKUP(F499,КВР!A$1:B$5001,2),IF(E499&gt;0,VLOOKUP(E499,Направление!A$1:B$4750,2))))))</f>
        <v>Предоставление субсидий бюджетным, автономным учреждениям и иным некоммерческим организациям</v>
      </c>
      <c r="B499" s="160"/>
      <c r="C499" s="161"/>
      <c r="D499" s="163"/>
      <c r="E499" s="161"/>
      <c r="F499" s="162">
        <v>600</v>
      </c>
      <c r="G499" s="337">
        <v>0</v>
      </c>
      <c r="H499" s="154"/>
      <c r="I499" s="152">
        <f t="shared" si="97"/>
        <v>0</v>
      </c>
    </row>
    <row r="500" spans="1:9" ht="78.75" hidden="1">
      <c r="A500" s="148" t="str">
        <f>IF(B500&gt;0,VLOOKUP(B500,КВСР!A179:B1344,2),IF(C500&gt;0,VLOOKUP(C500,КФСР!A179:B1691,2),IF(D500&gt;0,VLOOKUP(D500,Программа!A$1:B$5091,2),IF(F500&gt;0,VLOOKUP(F500,КВР!A$1:B$5001,2),IF(E500&gt;0,VLOOKUP(E500,Направление!A$1:B$4750,2))))))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00" s="160"/>
      <c r="C500" s="161"/>
      <c r="D500" s="163"/>
      <c r="E500" s="161">
        <v>70470</v>
      </c>
      <c r="F500" s="162"/>
      <c r="G500" s="152">
        <f>G501</f>
        <v>0</v>
      </c>
      <c r="H500" s="152">
        <f>H501</f>
        <v>0</v>
      </c>
      <c r="I500" s="152">
        <f t="shared" si="97"/>
        <v>0</v>
      </c>
    </row>
    <row r="501" spans="1:9" ht="63" hidden="1">
      <c r="A501" s="148" t="str">
        <f>IF(B501&gt;0,VLOOKUP(B501,КВСР!A180:B1345,2),IF(C501&gt;0,VLOOKUP(C501,КФСР!A180:B1692,2),IF(D501&gt;0,VLOOKUP(D501,Программа!A$1:B$5091,2),IF(F501&gt;0,VLOOKUP(F501,КВР!A$1:B$5001,2),IF(E501&gt;0,VLOOKUP(E501,Направление!A$1:B$4750,2))))))</f>
        <v>Предоставление субсидий бюджетным, автономным учреждениям и иным некоммерческим организациям</v>
      </c>
      <c r="B501" s="160"/>
      <c r="C501" s="161"/>
      <c r="D501" s="163"/>
      <c r="E501" s="161"/>
      <c r="F501" s="162">
        <v>600</v>
      </c>
      <c r="G501" s="337">
        <v>0</v>
      </c>
      <c r="H501" s="154"/>
      <c r="I501" s="152">
        <f t="shared" si="97"/>
        <v>0</v>
      </c>
    </row>
    <row r="502" spans="1:9" ht="31.5">
      <c r="A502" s="148" t="str">
        <f>IF(B502&gt;0,VLOOKUP(B502,КВСР!A168:B1333,2),IF(C502&gt;0,VLOOKUP(C502,КФСР!A168:B1680,2),IF(D502&gt;0,VLOOKUP(D502,Программа!A$1:B$5091,2),IF(F502&gt;0,VLOOKUP(F502,КВР!A$1:B$5001,2),IF(E502&gt;0,VLOOKUP(E502,Направление!A$1:B$4750,2))))))</f>
        <v>Обеспечение эффективности управления системой образования</v>
      </c>
      <c r="B502" s="160"/>
      <c r="C502" s="161"/>
      <c r="D502" s="163" t="s">
        <v>1256</v>
      </c>
      <c r="E502" s="161"/>
      <c r="F502" s="162"/>
      <c r="G502" s="152">
        <f>G503+G507+G509+G514+G517</f>
        <v>28970817</v>
      </c>
      <c r="H502" s="152">
        <f>H503+H507+H509+H514+H517</f>
        <v>0</v>
      </c>
      <c r="I502" s="152">
        <f t="shared" si="97"/>
        <v>28970817</v>
      </c>
    </row>
    <row r="503" spans="1:9">
      <c r="A503" s="148" t="str">
        <f>IF(B503&gt;0,VLOOKUP(B503,КВСР!A169:B1334,2),IF(C503&gt;0,VLOOKUP(C503,КФСР!A169:B1681,2),IF(D503&gt;0,VLOOKUP(D503,Программа!A$1:B$5091,2),IF(F503&gt;0,VLOOKUP(F503,КВР!A$1:B$5001,2),IF(E503&gt;0,VLOOKUP(E503,Направление!A$1:B$4750,2))))))</f>
        <v>Содержание центрального аппарата</v>
      </c>
      <c r="B503" s="160"/>
      <c r="C503" s="161"/>
      <c r="D503" s="163"/>
      <c r="E503" s="161">
        <v>12010</v>
      </c>
      <c r="F503" s="146"/>
      <c r="G503" s="150">
        <f>G504+G505+G506</f>
        <v>5546661</v>
      </c>
      <c r="H503" s="150">
        <f>H504+H505+H506</f>
        <v>0</v>
      </c>
      <c r="I503" s="152">
        <f t="shared" si="97"/>
        <v>5546661</v>
      </c>
    </row>
    <row r="504" spans="1:9" ht="126">
      <c r="A504" s="148" t="str">
        <f>IF(B504&gt;0,VLOOKUP(B504,КВСР!A164:B1329,2),IF(C504&gt;0,VLOOKUP(C504,КФСР!A164:B1676,2),IF(D504&gt;0,VLOOKUP(D504,Программа!A$1:B$5091,2),IF(F504&gt;0,VLOOKUP(F504,КВР!A$1:B$5001,2),IF(E504&gt;0,VLOOKUP(E504,Направление!A$1:B$4750,2))))))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4" s="160"/>
      <c r="C504" s="161"/>
      <c r="D504" s="162"/>
      <c r="E504" s="161"/>
      <c r="F504" s="146">
        <v>100</v>
      </c>
      <c r="G504" s="379">
        <v>4706661</v>
      </c>
      <c r="H504" s="151"/>
      <c r="I504" s="152">
        <f t="shared" si="97"/>
        <v>4706661</v>
      </c>
    </row>
    <row r="505" spans="1:9" ht="63">
      <c r="A505" s="148" t="str">
        <f>IF(B505&gt;0,VLOOKUP(B505,КВСР!A165:B1330,2),IF(C505&gt;0,VLOOKUP(C505,КФСР!A165:B1677,2),IF(D505&gt;0,VLOOKUP(D505,Программа!A$1:B$5091,2),IF(F505&gt;0,VLOOKUP(F505,КВР!A$1:B$5001,2),IF(E505&gt;0,VLOOKUP(E505,Направление!A$1:B$4750,2))))))</f>
        <v xml:space="preserve">Закупка товаров, работ и услуг для обеспечения государственных (муниципальных) нужд
</v>
      </c>
      <c r="B505" s="160"/>
      <c r="C505" s="161"/>
      <c r="D505" s="162"/>
      <c r="E505" s="161"/>
      <c r="F505" s="146">
        <v>200</v>
      </c>
      <c r="G505" s="379">
        <v>803000</v>
      </c>
      <c r="H505" s="151"/>
      <c r="I505" s="152">
        <f t="shared" si="97"/>
        <v>803000</v>
      </c>
    </row>
    <row r="506" spans="1:9">
      <c r="A506" s="148" t="str">
        <f>IF(B506&gt;0,VLOOKUP(B506,КВСР!A166:B1331,2),IF(C506&gt;0,VLOOKUP(C506,КФСР!A166:B1678,2),IF(D506&gt;0,VLOOKUP(D506,Программа!A$1:B$5091,2),IF(F506&gt;0,VLOOKUP(F506,КВР!A$1:B$5001,2),IF(E506&gt;0,VLOOKUP(E506,Направление!A$1:B$4750,2))))))</f>
        <v>Иные бюджетные ассигнования</v>
      </c>
      <c r="B506" s="160"/>
      <c r="C506" s="161"/>
      <c r="D506" s="162"/>
      <c r="E506" s="161"/>
      <c r="F506" s="146">
        <v>800</v>
      </c>
      <c r="G506" s="379">
        <v>37000</v>
      </c>
      <c r="H506" s="151"/>
      <c r="I506" s="152">
        <f t="shared" si="97"/>
        <v>37000</v>
      </c>
    </row>
    <row r="507" spans="1:9" ht="31.5" hidden="1">
      <c r="A507" s="148" t="str">
        <f>IF(B507&gt;0,VLOOKUP(B507,КВСР!A166:B1331,2),IF(C507&gt;0,VLOOKUP(C507,КФСР!A166:B1678,2),IF(D507&gt;0,VLOOKUP(D507,Программа!A$1:B$5091,2),IF(F507&gt;0,VLOOKUP(F507,КВР!A$1:B$5001,2),IF(E507&gt;0,VLOOKUP(E507,Направление!A$1:B$4750,2))))))</f>
        <v>Выполнение других обязательств органов местного самоуправления</v>
      </c>
      <c r="B507" s="160"/>
      <c r="C507" s="161"/>
      <c r="D507" s="163"/>
      <c r="E507" s="161">
        <v>12080</v>
      </c>
      <c r="F507" s="146"/>
      <c r="G507" s="150">
        <f>G508</f>
        <v>0</v>
      </c>
      <c r="H507" s="150">
        <f>H508</f>
        <v>0</v>
      </c>
      <c r="I507" s="152">
        <f t="shared" si="97"/>
        <v>0</v>
      </c>
    </row>
    <row r="508" spans="1:9" ht="63" hidden="1">
      <c r="A508" s="148" t="str">
        <f>IF(B508&gt;0,VLOOKUP(B508,КВСР!A167:B1332,2),IF(C508&gt;0,VLOOKUP(C508,КФСР!A167:B1679,2),IF(D508&gt;0,VLOOKUP(D508,Программа!A$1:B$5091,2),IF(F508&gt;0,VLOOKUP(F508,КВР!A$1:B$5001,2),IF(E508&gt;0,VLOOKUP(E508,Направление!A$1:B$4750,2))))))</f>
        <v xml:space="preserve">Закупка товаров, работ и услуг для обеспечения государственных (муниципальных) нужд
</v>
      </c>
      <c r="B508" s="160"/>
      <c r="C508" s="161"/>
      <c r="D508" s="162"/>
      <c r="E508" s="161"/>
      <c r="F508" s="146">
        <v>200</v>
      </c>
      <c r="G508" s="379">
        <v>0</v>
      </c>
      <c r="H508" s="151"/>
      <c r="I508" s="152">
        <f t="shared" si="97"/>
        <v>0</v>
      </c>
    </row>
    <row r="509" spans="1:9" ht="31.5">
      <c r="A509" s="148" t="str">
        <f>IF(B509&gt;0,VLOOKUP(B509,КВСР!A168:B1333,2),IF(C509&gt;0,VLOOKUP(C509,КФСР!A168:B1680,2),IF(D509&gt;0,VLOOKUP(D509,Программа!A$1:B$5091,2),IF(F509&gt;0,VLOOKUP(F509,КВР!A$1:B$5001,2),IF(E509&gt;0,VLOOKUP(E509,Направление!A$1:B$4750,2))))))</f>
        <v>Обеспечение деятельности прочих учреждений в сфере образования</v>
      </c>
      <c r="B509" s="160"/>
      <c r="C509" s="161"/>
      <c r="D509" s="163"/>
      <c r="E509" s="161">
        <v>13310</v>
      </c>
      <c r="F509" s="162"/>
      <c r="G509" s="152">
        <f>G510+G511+G512+G513</f>
        <v>19457605</v>
      </c>
      <c r="H509" s="152">
        <f>H510+H511+H512+H513</f>
        <v>0</v>
      </c>
      <c r="I509" s="152">
        <f t="shared" si="97"/>
        <v>19457605</v>
      </c>
    </row>
    <row r="510" spans="1:9" ht="126">
      <c r="A510" s="148" t="str">
        <f>IF(B510&gt;0,VLOOKUP(B510,КВСР!A169:B1334,2),IF(C510&gt;0,VLOOKUP(C510,КФСР!A169:B1681,2),IF(D510&gt;0,VLOOKUP(D510,Программа!A$1:B$5091,2),IF(F510&gt;0,VLOOKUP(F510,КВР!A$1:B$5001,2),IF(E510&gt;0,VLOOKUP(E510,Направление!A$1:B$4750,2))))))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0" s="160"/>
      <c r="C510" s="161"/>
      <c r="D510" s="162"/>
      <c r="E510" s="161"/>
      <c r="F510" s="162">
        <v>100</v>
      </c>
      <c r="G510" s="337">
        <v>18133630</v>
      </c>
      <c r="H510" s="153"/>
      <c r="I510" s="152">
        <f t="shared" si="97"/>
        <v>18133630</v>
      </c>
    </row>
    <row r="511" spans="1:9" ht="63">
      <c r="A511" s="148" t="str">
        <f>IF(B511&gt;0,VLOOKUP(B511,КВСР!A170:B1335,2),IF(C511&gt;0,VLOOKUP(C511,КФСР!A170:B1682,2),IF(D511&gt;0,VLOOKUP(D511,Программа!A$1:B$5091,2),IF(F511&gt;0,VLOOKUP(F511,КВР!A$1:B$5001,2),IF(E511&gt;0,VLOOKUP(E511,Направление!A$1:B$4750,2))))))</f>
        <v xml:space="preserve">Закупка товаров, работ и услуг для обеспечения государственных (муниципальных) нужд
</v>
      </c>
      <c r="B511" s="160"/>
      <c r="C511" s="161"/>
      <c r="D511" s="162"/>
      <c r="E511" s="161"/>
      <c r="F511" s="162">
        <v>200</v>
      </c>
      <c r="G511" s="337">
        <v>1304775</v>
      </c>
      <c r="H511" s="153"/>
      <c r="I511" s="152">
        <f t="shared" ref="I511:I594" si="117">SUM(G511:H511)</f>
        <v>1304775</v>
      </c>
    </row>
    <row r="512" spans="1:9" ht="63" hidden="1">
      <c r="A512" s="148" t="str">
        <f>IF(B512&gt;0,VLOOKUP(B512,КВСР!A171:B1336,2),IF(C512&gt;0,VLOOKUP(C512,КФСР!A171:B1683,2),IF(D512&gt;0,VLOOKUP(D512,Программа!A$1:B$5091,2),IF(F512&gt;0,VLOOKUP(F512,КВР!A$1:B$5001,2),IF(E512&gt;0,VLOOKUP(E512,Направление!A$1:B$4750,2))))))</f>
        <v>Предоставление субсидий бюджетным, автономным учреждениям и иным некоммерческим организациям</v>
      </c>
      <c r="B512" s="160"/>
      <c r="C512" s="161"/>
      <c r="D512" s="162"/>
      <c r="E512" s="161"/>
      <c r="F512" s="162">
        <v>600</v>
      </c>
      <c r="G512" s="337">
        <v>0</v>
      </c>
      <c r="H512" s="153"/>
      <c r="I512" s="152">
        <f t="shared" si="117"/>
        <v>0</v>
      </c>
    </row>
    <row r="513" spans="1:9">
      <c r="A513" s="148" t="str">
        <f>IF(B513&gt;0,VLOOKUP(B513,КВСР!A172:B1337,2),IF(C513&gt;0,VLOOKUP(C513,КФСР!A172:B1684,2),IF(D513&gt;0,VLOOKUP(D513,Программа!A$1:B$5091,2),IF(F513&gt;0,VLOOKUP(F513,КВР!A$1:B$5001,2),IF(E513&gt;0,VLOOKUP(E513,Направление!A$1:B$4750,2))))))</f>
        <v>Иные бюджетные ассигнования</v>
      </c>
      <c r="B513" s="160"/>
      <c r="C513" s="161"/>
      <c r="D513" s="162"/>
      <c r="E513" s="161"/>
      <c r="F513" s="162">
        <v>800</v>
      </c>
      <c r="G513" s="337">
        <v>19200</v>
      </c>
      <c r="H513" s="153"/>
      <c r="I513" s="152">
        <f t="shared" si="117"/>
        <v>19200</v>
      </c>
    </row>
    <row r="514" spans="1:9" ht="47.25" hidden="1">
      <c r="A514" s="148" t="str">
        <f>IF(B514&gt;0,VLOOKUP(B514,КВСР!A168:B1333,2),IF(C514&gt;0,VLOOKUP(C514,КФСР!A168:B1680,2),IF(D514&gt;0,VLOOKUP(D514,Программа!A$1:B$5091,2),IF(F514&gt;0,VLOOKUP(F514,КВР!A$1:B$5001,2),IF(E514&gt;0,VLOOKUP(E514,Направление!A$1:B$4750,2))))))</f>
        <v>Содержание органов местного самоуправления за счет средств поселений</v>
      </c>
      <c r="B514" s="160"/>
      <c r="C514" s="161"/>
      <c r="D514" s="163"/>
      <c r="E514" s="161">
        <v>29016</v>
      </c>
      <c r="F514" s="146"/>
      <c r="G514" s="379">
        <v>0</v>
      </c>
      <c r="H514" s="150">
        <f>H516+H515</f>
        <v>0</v>
      </c>
      <c r="I514" s="152">
        <f t="shared" si="117"/>
        <v>0</v>
      </c>
    </row>
    <row r="515" spans="1:9" ht="126" hidden="1">
      <c r="A515" s="148" t="str">
        <f>IF(B515&gt;0,VLOOKUP(B515,КВСР!A169:B1334,2),IF(C515&gt;0,VLOOKUP(C515,КФСР!A169:B1681,2),IF(D515&gt;0,VLOOKUP(D515,Программа!A$1:B$5091,2),IF(F515&gt;0,VLOOKUP(F515,КВР!A$1:B$5001,2),IF(E515&gt;0,VLOOKUP(E515,Направление!A$1:B$4750,2))))))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5" s="160"/>
      <c r="C515" s="161"/>
      <c r="D515" s="163"/>
      <c r="E515" s="161"/>
      <c r="F515" s="146">
        <v>100</v>
      </c>
      <c r="G515" s="379"/>
      <c r="H515" s="164"/>
      <c r="I515" s="152">
        <f t="shared" si="117"/>
        <v>0</v>
      </c>
    </row>
    <row r="516" spans="1:9" ht="63" hidden="1">
      <c r="A516" s="148" t="str">
        <f>IF(B516&gt;0,VLOOKUP(B516,КВСР!A170:B1335,2),IF(C516&gt;0,VLOOKUP(C516,КФСР!A170:B1682,2),IF(D516&gt;0,VLOOKUP(D516,Программа!A$1:B$5091,2),IF(F516&gt;0,VLOOKUP(F516,КВР!A$1:B$5001,2),IF(E516&gt;0,VLOOKUP(E516,Направление!A$1:B$4750,2))))))</f>
        <v xml:space="preserve">Закупка товаров, работ и услуг для обеспечения государственных (муниципальных) нужд
</v>
      </c>
      <c r="B516" s="160"/>
      <c r="C516" s="161"/>
      <c r="D516" s="162"/>
      <c r="E516" s="161"/>
      <c r="F516" s="146">
        <v>200</v>
      </c>
      <c r="G516" s="379"/>
      <c r="H516" s="151"/>
      <c r="I516" s="152">
        <f t="shared" si="117"/>
        <v>0</v>
      </c>
    </row>
    <row r="517" spans="1:9" ht="63">
      <c r="A517" s="148" t="str">
        <f>IF(B517&gt;0,VLOOKUP(B517,КВСР!A168:B1333,2),IF(C517&gt;0,VLOOKUP(C517,КФСР!A168:B1680,2),IF(D517&gt;0,VLOOKUP(D517,Программа!A$1:B$5091,2),IF(F517&gt;0,VLOOKUP(F517,КВР!A$1:B$5001,2),IF(E517&gt;0,VLOOKUP(E517,Направление!A$1:B$4750,2))))))</f>
        <v>Расходы на обеспечение деятельности органов опеки и попечительства за счет средств областного бюджета</v>
      </c>
      <c r="B517" s="160"/>
      <c r="C517" s="161"/>
      <c r="D517" s="163"/>
      <c r="E517" s="161">
        <v>70550</v>
      </c>
      <c r="F517" s="146"/>
      <c r="G517" s="337">
        <f>G518+G519+G520</f>
        <v>3966551</v>
      </c>
      <c r="H517" s="152">
        <f>H518+H519+H520</f>
        <v>0</v>
      </c>
      <c r="I517" s="152">
        <f t="shared" si="117"/>
        <v>3966551</v>
      </c>
    </row>
    <row r="518" spans="1:9" ht="126">
      <c r="A518" s="148" t="str">
        <f>IF(B518&gt;0,VLOOKUP(B518,КВСР!A169:B1334,2),IF(C518&gt;0,VLOOKUP(C518,КФСР!A169:B1681,2),IF(D518&gt;0,VLOOKUP(D518,Программа!A$1:B$5091,2),IF(F518&gt;0,VLOOKUP(F518,КВР!A$1:B$5001,2),IF(E518&gt;0,VLOOKUP(E518,Направление!A$1:B$4750,2))))))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8" s="160"/>
      <c r="C518" s="161"/>
      <c r="D518" s="162"/>
      <c r="E518" s="161"/>
      <c r="F518" s="146">
        <v>100</v>
      </c>
      <c r="G518" s="337">
        <v>3114423</v>
      </c>
      <c r="H518" s="153"/>
      <c r="I518" s="152">
        <f t="shared" si="117"/>
        <v>3114423</v>
      </c>
    </row>
    <row r="519" spans="1:9" ht="63">
      <c r="A519" s="148" t="str">
        <f>IF(B519&gt;0,VLOOKUP(B519,КВСР!A170:B1335,2),IF(C519&gt;0,VLOOKUP(C519,КФСР!A170:B1682,2),IF(D519&gt;0,VLOOKUP(D519,Программа!A$1:B$5091,2),IF(F519&gt;0,VLOOKUP(F519,КВР!A$1:B$5001,2),IF(E519&gt;0,VLOOKUP(E519,Направление!A$1:B$4750,2))))))</f>
        <v xml:space="preserve">Закупка товаров, работ и услуг для обеспечения государственных (муниципальных) нужд
</v>
      </c>
      <c r="B519" s="160"/>
      <c r="C519" s="161"/>
      <c r="D519" s="162"/>
      <c r="E519" s="161"/>
      <c r="F519" s="146">
        <v>200</v>
      </c>
      <c r="G519" s="379">
        <v>851128</v>
      </c>
      <c r="H519" s="151"/>
      <c r="I519" s="152">
        <f t="shared" si="117"/>
        <v>851128</v>
      </c>
    </row>
    <row r="520" spans="1:9">
      <c r="A520" s="148" t="str">
        <f>IF(B520&gt;0,VLOOKUP(B520,КВСР!A171:B1336,2),IF(C520&gt;0,VLOOKUP(C520,КФСР!A171:B1683,2),IF(D520&gt;0,VLOOKUP(D520,Программа!A$1:B$5091,2),IF(F520&gt;0,VLOOKUP(F520,КВР!A$1:B$5001,2),IF(E520&gt;0,VLOOKUP(E520,Направление!A$1:B$4750,2))))))</f>
        <v>Иные бюджетные ассигнования</v>
      </c>
      <c r="B520" s="160"/>
      <c r="C520" s="161"/>
      <c r="D520" s="162"/>
      <c r="E520" s="161"/>
      <c r="F520" s="146">
        <v>800</v>
      </c>
      <c r="G520" s="379">
        <v>1000</v>
      </c>
      <c r="H520" s="151"/>
      <c r="I520" s="152">
        <f t="shared" si="117"/>
        <v>1000</v>
      </c>
    </row>
    <row r="521" spans="1:9" ht="63">
      <c r="A521" s="148" t="str">
        <f>IF(B521&gt;0,VLOOKUP(B521,КВСР!A176:B1341,2),IF(C521&gt;0,VLOOKUP(C521,КФСР!A176:B1688,2),IF(D521&gt;0,VLOOKUP(D521,Программа!A$1:B$5091,2),IF(F521&gt;0,VLOOKUP(F521,КВР!A$1:B$5001,2),IF(E521&gt;0,VLOOKUP(E521,Направление!A$1:B$4750,2))))))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21" s="160"/>
      <c r="C521" s="161"/>
      <c r="D521" s="163" t="s">
        <v>592</v>
      </c>
      <c r="E521" s="161"/>
      <c r="F521" s="162"/>
      <c r="G521" s="337">
        <f>G523</f>
        <v>56000</v>
      </c>
      <c r="H521" s="152">
        <f>H523</f>
        <v>0</v>
      </c>
      <c r="I521" s="152">
        <f t="shared" si="117"/>
        <v>56000</v>
      </c>
    </row>
    <row r="522" spans="1:9" ht="63">
      <c r="A522" s="148" t="str">
        <f>IF(B522&gt;0,VLOOKUP(B522,КВСР!A177:B1342,2),IF(C522&gt;0,VLOOKUP(C522,КФСР!A177:B1689,2),IF(D522&gt;0,VLOOKUP(D522,Программа!A$1:B$5091,2),IF(F522&gt;0,VLOOKUP(F522,КВР!A$1:B$5001,2),IF(E522&gt;0,VLOOKUP(E522,Направление!A$1:B$4750,2))))))</f>
        <v>Реализация мер по созданию целостной системы духовно-нравственного воспитания и просвещения населения</v>
      </c>
      <c r="B522" s="160"/>
      <c r="C522" s="161"/>
      <c r="D522" s="163" t="s">
        <v>594</v>
      </c>
      <c r="E522" s="161"/>
      <c r="F522" s="162"/>
      <c r="G522" s="337">
        <f>G523</f>
        <v>56000</v>
      </c>
      <c r="H522" s="152">
        <f>H523</f>
        <v>0</v>
      </c>
      <c r="I522" s="152">
        <f t="shared" si="117"/>
        <v>56000</v>
      </c>
    </row>
    <row r="523" spans="1:9" ht="47.25">
      <c r="A523" s="148" t="str">
        <f>IF(B523&gt;0,VLOOKUP(B523,КВСР!A177:B1342,2),IF(C523&gt;0,VLOOKUP(C523,КФСР!A177:B1689,2),IF(D523&gt;0,VLOOKUP(D523,Программа!A$1:B$5091,2),IF(F523&gt;0,VLOOKUP(F523,КВР!A$1:B$5001,2),IF(E523&gt;0,VLOOKUP(E523,Направление!A$1:B$4750,2))))))</f>
        <v>Расходы на реализацию МЦП "Духовно - нравственное воспитание и просвещение населения ТМР"</v>
      </c>
      <c r="B523" s="160"/>
      <c r="C523" s="161"/>
      <c r="D523" s="163"/>
      <c r="E523" s="161">
        <v>13810</v>
      </c>
      <c r="F523" s="162"/>
      <c r="G523" s="337">
        <f>G524</f>
        <v>56000</v>
      </c>
      <c r="H523" s="152">
        <f>H524</f>
        <v>0</v>
      </c>
      <c r="I523" s="152">
        <f t="shared" si="117"/>
        <v>56000</v>
      </c>
    </row>
    <row r="524" spans="1:9" ht="63">
      <c r="A524" s="148" t="str">
        <f>IF(B524&gt;0,VLOOKUP(B524,КВСР!A178:B1343,2),IF(C524&gt;0,VLOOKUP(C524,КФСР!A178:B1690,2),IF(D524&gt;0,VLOOKUP(D524,Программа!A$1:B$5091,2),IF(F524&gt;0,VLOOKUP(F524,КВР!A$1:B$5001,2),IF(E524&gt;0,VLOOKUP(E524,Направление!A$1:B$4750,2))))))</f>
        <v>Предоставление субсидий бюджетным, автономным учреждениям и иным некоммерческим организациям</v>
      </c>
      <c r="B524" s="160"/>
      <c r="C524" s="161"/>
      <c r="D524" s="163"/>
      <c r="E524" s="161"/>
      <c r="F524" s="162">
        <v>600</v>
      </c>
      <c r="G524" s="337">
        <v>56000</v>
      </c>
      <c r="H524" s="153"/>
      <c r="I524" s="152">
        <f t="shared" si="117"/>
        <v>56000</v>
      </c>
    </row>
    <row r="525" spans="1:9" ht="47.25" hidden="1">
      <c r="A525" s="148" t="str">
        <f>IF(B525&gt;0,VLOOKUP(B525,КВСР!A179:B1344,2),IF(C525&gt;0,VLOOKUP(C525,КФСР!A179:B1691,2),IF(D525&gt;0,VLOOKUP(D525,Программа!A$1:B$5091,2),IF(F525&gt;0,VLOOKUP(F525,КВР!A$1:B$5001,2),IF(E525&gt;0,VLOOKUP(E525,Направление!A$1:B$4750,2))))))</f>
        <v>Муниципальная программа "Социальная поддержка населения Тутаевского муниципального района"</v>
      </c>
      <c r="B525" s="160"/>
      <c r="C525" s="161"/>
      <c r="D525" s="163" t="s">
        <v>548</v>
      </c>
      <c r="E525" s="161"/>
      <c r="F525" s="162"/>
      <c r="G525" s="337">
        <f t="shared" ref="G525:H528" si="118">G526</f>
        <v>0</v>
      </c>
      <c r="H525" s="152">
        <f t="shared" si="118"/>
        <v>0</v>
      </c>
      <c r="I525" s="152">
        <f t="shared" si="117"/>
        <v>0</v>
      </c>
    </row>
    <row r="526" spans="1:9" ht="63" hidden="1">
      <c r="A526" s="148" t="str">
        <f>IF(B526&gt;0,VLOOKUP(B526,КВСР!A182:B1347,2),IF(C526&gt;0,VLOOKUP(C526,КФСР!A182:B1694,2),IF(D526&gt;0,VLOOKUP(D526,Программа!A$1:B$5091,2),IF(F526&gt;0,VLOOKUP(F526,КВР!A$1:B$5001,2),IF(E526&gt;0,VLOOKUP(E526,Направление!A$1:B$4750,2))))))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526" s="160"/>
      <c r="C526" s="161"/>
      <c r="D526" s="163" t="s">
        <v>550</v>
      </c>
      <c r="E526" s="161"/>
      <c r="F526" s="162"/>
      <c r="G526" s="337">
        <f>G528+G530</f>
        <v>0</v>
      </c>
      <c r="H526" s="152">
        <f>H528</f>
        <v>0</v>
      </c>
      <c r="I526" s="152">
        <f t="shared" si="117"/>
        <v>0</v>
      </c>
    </row>
    <row r="527" spans="1:9" ht="63" hidden="1">
      <c r="A527" s="148" t="str">
        <f>IF(B527&gt;0,VLOOKUP(B527,КВСР!A183:B1348,2),IF(C527&gt;0,VLOOKUP(C527,КФСР!A183:B1695,2),IF(D527&gt;0,VLOOKUP(D527,Программа!A$1:B$5091,2),IF(F527&gt;0,VLOOKUP(F527,КВР!A$1:B$5001,2),IF(E527&gt;0,VLOOKUP(E527,Направление!A$1:B$4750,2))))))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27" s="160"/>
      <c r="C527" s="161"/>
      <c r="D527" s="163" t="s">
        <v>551</v>
      </c>
      <c r="E527" s="161"/>
      <c r="F527" s="162"/>
      <c r="G527" s="337">
        <f>G528</f>
        <v>0</v>
      </c>
      <c r="H527" s="442">
        <f t="shared" ref="H527:I527" si="119">H528</f>
        <v>0</v>
      </c>
      <c r="I527" s="442">
        <f t="shared" si="119"/>
        <v>0</v>
      </c>
    </row>
    <row r="528" spans="1:9" ht="31.5" hidden="1">
      <c r="A528" s="148" t="str">
        <f>IF(B528&gt;0,VLOOKUP(B528,КВСР!A183:B1348,2),IF(C528&gt;0,VLOOKUP(C528,КФСР!A183:B1695,2),IF(D528&gt;0,VLOOKUP(D528,Программа!A$1:B$5091,2),IF(F528&gt;0,VLOOKUP(F528,КВР!A$1:B$5001,2),IF(E528&gt;0,VLOOKUP(E528,Направление!A$1:B$4750,2))))))</f>
        <v>Расходы на реализацию МЦП "Улучшение условий и охраны труда"</v>
      </c>
      <c r="B528" s="160"/>
      <c r="C528" s="161"/>
      <c r="D528" s="163"/>
      <c r="E528" s="161">
        <v>16150</v>
      </c>
      <c r="F528" s="162"/>
      <c r="G528" s="337">
        <f t="shared" si="118"/>
        <v>0</v>
      </c>
      <c r="H528" s="152">
        <f t="shared" si="118"/>
        <v>0</v>
      </c>
      <c r="I528" s="152">
        <f t="shared" si="117"/>
        <v>0</v>
      </c>
    </row>
    <row r="529" spans="1:9" ht="63" hidden="1">
      <c r="A529" s="148" t="str">
        <f>IF(B529&gt;0,VLOOKUP(B529,КВСР!A184:B1349,2),IF(C529&gt;0,VLOOKUP(C529,КФСР!A184:B1696,2),IF(D529&gt;0,VLOOKUP(D529,Программа!A$1:B$5091,2),IF(F529&gt;0,VLOOKUP(F529,КВР!A$1:B$5001,2),IF(E529&gt;0,VLOOKUP(E529,Направление!A$1:B$4750,2))))))</f>
        <v>Предоставление субсидий бюджетным, автономным учреждениям и иным некоммерческим организациям</v>
      </c>
      <c r="B529" s="160"/>
      <c r="C529" s="161"/>
      <c r="D529" s="163"/>
      <c r="E529" s="161"/>
      <c r="F529" s="162">
        <v>600</v>
      </c>
      <c r="G529" s="337"/>
      <c r="H529" s="153"/>
      <c r="I529" s="152">
        <f t="shared" si="117"/>
        <v>0</v>
      </c>
    </row>
    <row r="530" spans="1:9" ht="47.25" hidden="1">
      <c r="A530" s="148" t="str">
        <f>IF(B530&gt;0,VLOOKUP(B530,КВСР!A185:B1350,2),IF(C530&gt;0,VLOOKUP(C530,КФСР!A185:B1697,2),IF(D530&gt;0,VLOOKUP(D530,Программа!A$1:B$5091,2),IF(F530&gt;0,VLOOKUP(F530,КВР!A$1:B$5001,2),IF(E530&gt;0,VLOOKUP(E530,Направление!A$1:B$4750,2))))))</f>
        <v>Обучение по охране труда работников организаций Тутаевского муниципального района</v>
      </c>
      <c r="B530" s="160"/>
      <c r="C530" s="161"/>
      <c r="D530" s="163" t="s">
        <v>1234</v>
      </c>
      <c r="E530" s="161"/>
      <c r="F530" s="162"/>
      <c r="G530" s="337">
        <f>G531</f>
        <v>0</v>
      </c>
      <c r="H530" s="371">
        <f t="shared" ref="H530:H531" si="120">H531</f>
        <v>0</v>
      </c>
      <c r="I530" s="152">
        <f t="shared" si="117"/>
        <v>0</v>
      </c>
    </row>
    <row r="531" spans="1:9" ht="31.5" hidden="1">
      <c r="A531" s="148" t="str">
        <f>IF(B531&gt;0,VLOOKUP(B531,КВСР!A186:B1351,2),IF(C531&gt;0,VLOOKUP(C531,КФСР!A186:B1698,2),IF(D531&gt;0,VLOOKUP(D531,Программа!A$1:B$5091,2),IF(F531&gt;0,VLOOKUP(F531,КВР!A$1:B$5001,2),IF(E531&gt;0,VLOOKUP(E531,Направление!A$1:B$4750,2))))))</f>
        <v>Расходы на реализацию МЦП "Улучшение условий и охраны труда"</v>
      </c>
      <c r="B531" s="160"/>
      <c r="C531" s="161"/>
      <c r="D531" s="163"/>
      <c r="E531" s="161">
        <v>16150</v>
      </c>
      <c r="F531" s="162"/>
      <c r="G531" s="337">
        <f>G532</f>
        <v>0</v>
      </c>
      <c r="H531" s="371">
        <f t="shared" si="120"/>
        <v>0</v>
      </c>
      <c r="I531" s="152">
        <f t="shared" si="117"/>
        <v>0</v>
      </c>
    </row>
    <row r="532" spans="1:9" ht="63" hidden="1">
      <c r="A532" s="148" t="str">
        <f>IF(B532&gt;0,VLOOKUP(B532,КВСР!A187:B1352,2),IF(C532&gt;0,VLOOKUP(C532,КФСР!A187:B1699,2),IF(D532&gt;0,VLOOKUP(D532,Программа!A$1:B$5091,2),IF(F532&gt;0,VLOOKUP(F532,КВР!A$1:B$5001,2),IF(E532&gt;0,VLOOKUP(E532,Направление!A$1:B$4750,2))))))</f>
        <v>Предоставление субсидий бюджетным, автономным учреждениям и иным некоммерческим организациям</v>
      </c>
      <c r="B532" s="160"/>
      <c r="C532" s="161"/>
      <c r="D532" s="163"/>
      <c r="E532" s="161"/>
      <c r="F532" s="162">
        <v>600</v>
      </c>
      <c r="G532" s="337"/>
      <c r="H532" s="153"/>
      <c r="I532" s="152">
        <f t="shared" si="117"/>
        <v>0</v>
      </c>
    </row>
    <row r="533" spans="1:9" ht="63" hidden="1">
      <c r="A533" s="148" t="str">
        <f>IF(B533&gt;0,VLOOKUP(B533,КВСР!A185:B1350,2),IF(C533&gt;0,VLOOKUP(C533,КФСР!A185:B1697,2),IF(D533&gt;0,VLOOKUP(D533,Программа!A$1:B$5091,2),IF(F533&gt;0,VLOOKUP(F533,КВР!A$1:B$5001,2),IF(E533&gt;0,VLOOKUP(E533,Направление!A$1:B$4750,2))))))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533" s="160"/>
      <c r="C533" s="161"/>
      <c r="D533" s="163" t="s">
        <v>496</v>
      </c>
      <c r="E533" s="161"/>
      <c r="F533" s="162"/>
      <c r="G533" s="337">
        <f>G534</f>
        <v>0</v>
      </c>
      <c r="H533" s="337">
        <f>H534</f>
        <v>0</v>
      </c>
      <c r="I533" s="152">
        <f t="shared" si="117"/>
        <v>0</v>
      </c>
    </row>
    <row r="534" spans="1:9" ht="78.75" hidden="1">
      <c r="A534" s="148" t="str">
        <f>IF(B534&gt;0,VLOOKUP(B534,КВСР!A186:B1351,2),IF(C534&gt;0,VLOOKUP(C534,КФСР!A186:B1698,2),IF(D534&gt;0,VLOOKUP(D534,Программа!A$1:B$5091,2),IF(F534&gt;0,VLOOKUP(F534,КВР!A$1:B$5001,2),IF(E534&gt;0,VLOOKUP(E534,Направление!A$1:B$4750,2))))))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34" s="160"/>
      <c r="C534" s="161"/>
      <c r="D534" s="163" t="s">
        <v>498</v>
      </c>
      <c r="E534" s="161"/>
      <c r="F534" s="162"/>
      <c r="G534" s="337">
        <f>G535</f>
        <v>0</v>
      </c>
      <c r="H534" s="337">
        <f>H535</f>
        <v>0</v>
      </c>
      <c r="I534" s="152">
        <f t="shared" si="117"/>
        <v>0</v>
      </c>
    </row>
    <row r="535" spans="1:9" ht="31.5" hidden="1">
      <c r="A535" s="148" t="str">
        <f>IF(B535&gt;0,VLOOKUP(B535,КВСР!A187:B1352,2),IF(C535&gt;0,VLOOKUP(C535,КФСР!A187:B1699,2),IF(D535&gt;0,VLOOKUP(D535,Программа!A$1:B$5091,2),IF(F535&gt;0,VLOOKUP(F535,КВР!A$1:B$5001,2),IF(E535&gt;0,VLOOKUP(E535,Направление!A$1:B$4750,2))))))</f>
        <v>Расходы на проведение мероприятий по информатизации</v>
      </c>
      <c r="B535" s="160"/>
      <c r="C535" s="161"/>
      <c r="D535" s="163"/>
      <c r="E535" s="161">
        <v>12210</v>
      </c>
      <c r="F535" s="162"/>
      <c r="G535" s="337">
        <f t="shared" ref="G535:H535" si="121">G536</f>
        <v>0</v>
      </c>
      <c r="H535" s="337">
        <f t="shared" si="121"/>
        <v>0</v>
      </c>
      <c r="I535" s="152">
        <f t="shared" si="117"/>
        <v>0</v>
      </c>
    </row>
    <row r="536" spans="1:9" ht="63" hidden="1">
      <c r="A536" s="148" t="str">
        <f>IF(B536&gt;0,VLOOKUP(B536,КВСР!A188:B1353,2),IF(C536&gt;0,VLOOKUP(C536,КФСР!A188:B1700,2),IF(D536&gt;0,VLOOKUP(D536,Программа!A$1:B$5091,2),IF(F536&gt;0,VLOOKUP(F536,КВР!A$1:B$5001,2),IF(E536&gt;0,VLOOKUP(E536,Направление!A$1:B$4750,2))))))</f>
        <v xml:space="preserve">Закупка товаров, работ и услуг для обеспечения государственных (муниципальных) нужд
</v>
      </c>
      <c r="B536" s="160"/>
      <c r="C536" s="161"/>
      <c r="D536" s="163"/>
      <c r="E536" s="161"/>
      <c r="F536" s="162">
        <v>200</v>
      </c>
      <c r="G536" s="337"/>
      <c r="H536" s="153"/>
      <c r="I536" s="152">
        <f t="shared" si="117"/>
        <v>0</v>
      </c>
    </row>
    <row r="537" spans="1:9" ht="63">
      <c r="A537" s="148" t="str">
        <f>IF(B537&gt;0,VLOOKUP(B537,КВСР!A185:B1350,2),IF(C537&gt;0,VLOOKUP(C537,КФСР!A185:B1697,2),IF(D537&gt;0,VLOOKUP(D537,Программа!A$1:B$5091,2),IF(F537&gt;0,VLOOKUP(F537,КВР!A$1:B$5001,2),IF(E537&gt;0,VLOOKUP(E537,Направление!A$1:B$4750,2))))))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37" s="160"/>
      <c r="C537" s="161"/>
      <c r="D537" s="163" t="s">
        <v>600</v>
      </c>
      <c r="E537" s="161"/>
      <c r="F537" s="162"/>
      <c r="G537" s="337">
        <f>G538</f>
        <v>63000</v>
      </c>
      <c r="H537" s="152">
        <f>H538</f>
        <v>0</v>
      </c>
      <c r="I537" s="152">
        <f t="shared" si="117"/>
        <v>63000</v>
      </c>
    </row>
    <row r="538" spans="1:9" ht="31.5">
      <c r="A538" s="148" t="str">
        <f>IF(B538&gt;0,VLOOKUP(B538,КВСР!A186:B1351,2),IF(C538&gt;0,VLOOKUP(C538,КФСР!A186:B1698,2),IF(D538&gt;0,VLOOKUP(D538,Программа!A$1:B$5091,2),IF(F538&gt;0,VLOOKUP(F538,КВР!A$1:B$5001,2),IF(E538&gt;0,VLOOKUP(E538,Направление!A$1:B$4750,2))))))</f>
        <v>Реализация мероприятий по профилактике правонарушений</v>
      </c>
      <c r="B538" s="160"/>
      <c r="C538" s="161"/>
      <c r="D538" s="163" t="s">
        <v>602</v>
      </c>
      <c r="E538" s="161"/>
      <c r="F538" s="162"/>
      <c r="G538" s="337">
        <f>G539</f>
        <v>63000</v>
      </c>
      <c r="H538" s="152">
        <f>H539</f>
        <v>0</v>
      </c>
      <c r="I538" s="152">
        <f t="shared" si="117"/>
        <v>63000</v>
      </c>
    </row>
    <row r="539" spans="1:9" ht="47.25">
      <c r="A539" s="148" t="str">
        <f>IF(B539&gt;0,VLOOKUP(B539,КВСР!A187:B1352,2),IF(C539&gt;0,VLOOKUP(C539,КФСР!A187:B1699,2),IF(D539&gt;0,VLOOKUP(D539,Программа!A$1:B$5091,2),IF(F539&gt;0,VLOOKUP(F539,КВР!A$1:B$5001,2),IF(E539&gt;0,VLOOKUP(E539,Направление!A$1:B$4750,2))))))</f>
        <v>Расходы на профилактику правонарушений и усиления борьбы с преступностью</v>
      </c>
      <c r="B539" s="160"/>
      <c r="C539" s="161"/>
      <c r="D539" s="163"/>
      <c r="E539" s="161">
        <v>12250</v>
      </c>
      <c r="F539" s="162"/>
      <c r="G539" s="337">
        <f>G540</f>
        <v>63000</v>
      </c>
      <c r="H539" s="371">
        <f t="shared" ref="H539" si="122">H540</f>
        <v>0</v>
      </c>
      <c r="I539" s="152">
        <f t="shared" si="117"/>
        <v>63000</v>
      </c>
    </row>
    <row r="540" spans="1:9" ht="63">
      <c r="A540" s="148" t="str">
        <f>IF(B540&gt;0,VLOOKUP(B540,КВСР!A188:B1353,2),IF(C540&gt;0,VLOOKUP(C540,КФСР!A188:B1700,2),IF(D540&gt;0,VLOOKUP(D540,Программа!A$1:B$5091,2),IF(F540&gt;0,VLOOKUP(F540,КВР!A$1:B$5001,2),IF(E540&gt;0,VLOOKUP(E540,Направление!A$1:B$4750,2))))))</f>
        <v>Предоставление субсидий бюджетным, автономным учреждениям и иным некоммерческим организациям</v>
      </c>
      <c r="B540" s="160"/>
      <c r="C540" s="161"/>
      <c r="D540" s="163"/>
      <c r="E540" s="161"/>
      <c r="F540" s="162">
        <v>600</v>
      </c>
      <c r="G540" s="337">
        <v>63000</v>
      </c>
      <c r="H540" s="153"/>
      <c r="I540" s="152">
        <f t="shared" si="117"/>
        <v>63000</v>
      </c>
    </row>
    <row r="541" spans="1:9">
      <c r="A541" s="148" t="str">
        <f>IF(B541&gt;0,VLOOKUP(B541,КВСР!A194:B1359,2),IF(C541&gt;0,VLOOKUP(C541,КФСР!A194:B1706,2),IF(D541&gt;0,VLOOKUP(D541,Программа!A$1:B$5091,2),IF(F541&gt;0,VLOOKUP(F541,КВР!A$1:B$5001,2),IF(E541&gt;0,VLOOKUP(E541,Направление!A$1:B$4750,2))))))</f>
        <v>Непрограммные расходы бюджета</v>
      </c>
      <c r="B541" s="149"/>
      <c r="C541" s="144"/>
      <c r="D541" s="145" t="s">
        <v>480</v>
      </c>
      <c r="E541" s="144"/>
      <c r="F541" s="146"/>
      <c r="G541" s="379">
        <f>G542</f>
        <v>725000</v>
      </c>
      <c r="H541" s="150">
        <f>H542</f>
        <v>0</v>
      </c>
      <c r="I541" s="152">
        <f t="shared" si="117"/>
        <v>725000</v>
      </c>
    </row>
    <row r="542" spans="1:9" ht="31.5">
      <c r="A542" s="148" t="str">
        <f>IF(B542&gt;0,VLOOKUP(B542,КВСР!A195:B1360,2),IF(C542&gt;0,VLOOKUP(C542,КФСР!A195:B1707,2),IF(D542&gt;0,VLOOKUP(D542,Программа!A$1:B$5091,2),IF(F542&gt;0,VLOOKUP(F542,КВР!A$1:B$5001,2),IF(E542&gt;0,VLOOKUP(E542,Направление!A$1:B$4750,2))))))</f>
        <v>Государственная поддержка в сфере образования</v>
      </c>
      <c r="B542" s="149"/>
      <c r="C542" s="144"/>
      <c r="D542" s="145"/>
      <c r="E542" s="144">
        <v>13710</v>
      </c>
      <c r="F542" s="146"/>
      <c r="G542" s="337">
        <f>G543</f>
        <v>725000</v>
      </c>
      <c r="H542" s="152">
        <f>H543</f>
        <v>0</v>
      </c>
      <c r="I542" s="152">
        <f t="shared" si="117"/>
        <v>725000</v>
      </c>
    </row>
    <row r="543" spans="1:9" ht="63">
      <c r="A543" s="148" t="str">
        <f>IF(B543&gt;0,VLOOKUP(B543,КВСР!A196:B1361,2),IF(C543&gt;0,VLOOKUP(C543,КФСР!A196:B1708,2),IF(D543&gt;0,VLOOKUP(D543,Программа!A$1:B$5091,2),IF(F543&gt;0,VLOOKUP(F543,КВР!A$1:B$5001,2),IF(E543&gt;0,VLOOKUP(E543,Направление!A$1:B$4750,2))))))</f>
        <v>Предоставление субсидий бюджетным, автономным учреждениям и иным некоммерческим организациям</v>
      </c>
      <c r="B543" s="149"/>
      <c r="C543" s="144"/>
      <c r="D543" s="146"/>
      <c r="E543" s="144"/>
      <c r="F543" s="146">
        <v>600</v>
      </c>
      <c r="G543" s="379">
        <v>725000</v>
      </c>
      <c r="H543" s="151"/>
      <c r="I543" s="152">
        <f t="shared" si="117"/>
        <v>725000</v>
      </c>
    </row>
    <row r="544" spans="1:9">
      <c r="A544" s="148" t="str">
        <f>IF(B544&gt;0,VLOOKUP(B544,КВСР!A197:B1362,2),IF(C544&gt;0,VLOOKUP(C544,КФСР!A197:B1709,2),IF(D544&gt;0,VLOOKUP(D544,Программа!A$1:B$5091,2),IF(F544&gt;0,VLOOKUP(F544,КВР!A$1:B$5001,2),IF(E544&gt;0,VLOOKUP(E544,Направление!A$1:B$4750,2))))))</f>
        <v>Социальное обеспечение населения</v>
      </c>
      <c r="B544" s="149"/>
      <c r="C544" s="144">
        <v>1003</v>
      </c>
      <c r="D544" s="146"/>
      <c r="E544" s="144"/>
      <c r="F544" s="146"/>
      <c r="G544" s="379">
        <f>G545</f>
        <v>367331</v>
      </c>
      <c r="H544" s="347">
        <f t="shared" ref="H544:I548" si="123">H545</f>
        <v>0</v>
      </c>
      <c r="I544" s="347">
        <f t="shared" si="123"/>
        <v>367331</v>
      </c>
    </row>
    <row r="545" spans="1:9" ht="63">
      <c r="A545" s="148" t="str">
        <f>IF(B545&gt;0,VLOOKUP(B545,КВСР!A198:B1363,2),IF(C545&gt;0,VLOOKUP(C545,КФСР!A198:B1710,2),IF(D545&gt;0,VLOOKUP(D545,Программа!A$1:B$5091,2),IF(F545&gt;0,VLOOKUP(F545,КВР!A$1:B$5001,2),IF(E545&gt;0,VLOOKUP(E545,Направление!A$1:B$4750,2))))))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545" s="149"/>
      <c r="C545" s="144"/>
      <c r="D545" s="145" t="s">
        <v>539</v>
      </c>
      <c r="E545" s="144"/>
      <c r="F545" s="146"/>
      <c r="G545" s="379">
        <f>G546</f>
        <v>367331</v>
      </c>
      <c r="H545" s="347">
        <f t="shared" si="123"/>
        <v>0</v>
      </c>
      <c r="I545" s="347">
        <f t="shared" si="123"/>
        <v>367331</v>
      </c>
    </row>
    <row r="546" spans="1:9" ht="63">
      <c r="A546" s="148" t="str">
        <f>IF(B546&gt;0,VLOOKUP(B546,КВСР!A199:B1364,2),IF(C546&gt;0,VLOOKUP(C546,КФСР!A199:B1711,2),IF(D546&gt;0,VLOOKUP(D546,Программа!A$1:B$5091,2),IF(F546&gt;0,VLOOKUP(F546,КВР!A$1:B$5001,2),IF(E546&gt;0,VLOOKUP(E546,Направление!A$1:B$4750,2))))))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49"/>
      <c r="C546" s="144"/>
      <c r="D546" s="145" t="s">
        <v>541</v>
      </c>
      <c r="E546" s="144"/>
      <c r="F546" s="146"/>
      <c r="G546" s="379">
        <f>G547</f>
        <v>367331</v>
      </c>
      <c r="H546" s="347">
        <f t="shared" si="123"/>
        <v>0</v>
      </c>
      <c r="I546" s="347">
        <f t="shared" si="123"/>
        <v>367331</v>
      </c>
    </row>
    <row r="547" spans="1:9" ht="31.5">
      <c r="A547" s="148" t="str">
        <f>IF(B547&gt;0,VLOOKUP(B547,КВСР!A200:B1365,2),IF(C547&gt;0,VLOOKUP(C547,КФСР!A200:B1712,2),IF(D547&gt;0,VLOOKUP(D547,Программа!A$1:B$5091,2),IF(F547&gt;0,VLOOKUP(F547,КВР!A$1:B$5001,2),IF(E547&gt;0,VLOOKUP(E547,Направление!A$1:B$4750,2))))))</f>
        <v>Обеспечение компенсационных выплат</v>
      </c>
      <c r="B547" s="149"/>
      <c r="C547" s="144"/>
      <c r="D547" s="145" t="s">
        <v>1259</v>
      </c>
      <c r="E547" s="144"/>
      <c r="F547" s="146"/>
      <c r="G547" s="379">
        <f>G548</f>
        <v>367331</v>
      </c>
      <c r="H547" s="347">
        <f t="shared" si="123"/>
        <v>0</v>
      </c>
      <c r="I547" s="347">
        <f t="shared" si="123"/>
        <v>367331</v>
      </c>
    </row>
    <row r="548" spans="1:9" ht="47.25">
      <c r="A548" s="148" t="str">
        <f>IF(B548&gt;0,VLOOKUP(B548,КВСР!A201:B1366,2),IF(C548&gt;0,VLOOKUP(C548,КФСР!A201:B1713,2),IF(D548&gt;0,VLOOKUP(D548,Программа!A$1:B$5091,2),IF(F548&gt;0,VLOOKUP(F548,КВР!A$1:B$5001,2),IF(E548&gt;0,VLOOKUP(E548,Направление!A$1:B$4750,2))))))</f>
        <v>Компенсация части расходов на приобретение путевки в организации отдыха детей и их оздоровления</v>
      </c>
      <c r="B548" s="149"/>
      <c r="C548" s="144"/>
      <c r="D548" s="145"/>
      <c r="E548" s="144">
        <v>74390</v>
      </c>
      <c r="F548" s="146"/>
      <c r="G548" s="379">
        <f>G549</f>
        <v>367331</v>
      </c>
      <c r="H548" s="347">
        <f t="shared" si="123"/>
        <v>0</v>
      </c>
      <c r="I548" s="347">
        <f t="shared" si="123"/>
        <v>367331</v>
      </c>
    </row>
    <row r="549" spans="1:9" ht="31.5">
      <c r="A549" s="148" t="str">
        <f>IF(B549&gt;0,VLOOKUP(B549,КВСР!A202:B1367,2),IF(C549&gt;0,VLOOKUP(C549,КФСР!A202:B1714,2),IF(D549&gt;0,VLOOKUP(D549,Программа!A$1:B$5091,2),IF(F549&gt;0,VLOOKUP(F549,КВР!A$1:B$5001,2),IF(E549&gt;0,VLOOKUP(E549,Направление!A$1:B$4750,2))))))</f>
        <v>Социальное обеспечение и иные выплаты населению</v>
      </c>
      <c r="B549" s="149"/>
      <c r="C549" s="144"/>
      <c r="D549" s="145"/>
      <c r="E549" s="144"/>
      <c r="F549" s="146">
        <v>300</v>
      </c>
      <c r="G549" s="379">
        <v>367331</v>
      </c>
      <c r="H549" s="151"/>
      <c r="I549" s="152">
        <f>G549+H549</f>
        <v>367331</v>
      </c>
    </row>
    <row r="550" spans="1:9">
      <c r="A550" s="148" t="str">
        <f>IF(B550&gt;0,VLOOKUP(B550,КВСР!A201:B1366,2),IF(C550&gt;0,VLOOKUP(C550,КФСР!A201:B1713,2),IF(D550&gt;0,VLOOKUP(D550,Программа!A$1:B$5091,2),IF(F550&gt;0,VLOOKUP(F550,КВР!A$1:B$5001,2),IF(E550&gt;0,VLOOKUP(E550,Направление!A$1:B$4750,2))))))</f>
        <v>Охрана семьи и детства</v>
      </c>
      <c r="B550" s="160"/>
      <c r="C550" s="144">
        <v>1004</v>
      </c>
      <c r="D550" s="165"/>
      <c r="E550" s="166"/>
      <c r="F550" s="162"/>
      <c r="G550" s="337">
        <f>G551</f>
        <v>41297952</v>
      </c>
      <c r="H550" s="152">
        <f>H551</f>
        <v>0</v>
      </c>
      <c r="I550" s="152">
        <f t="shared" si="117"/>
        <v>41297952</v>
      </c>
    </row>
    <row r="551" spans="1:9" ht="63">
      <c r="A551" s="148" t="str">
        <f>IF(B551&gt;0,VLOOKUP(B551,КВСР!A202:B1367,2),IF(C551&gt;0,VLOOKUP(C551,КФСР!A202:B1714,2),IF(D551&gt;0,VLOOKUP(D551,Программа!A$1:B$5091,2),IF(F551&gt;0,VLOOKUP(F551,КВР!A$1:B$5001,2),IF(E551&gt;0,VLOOKUP(E551,Направление!A$1:B$4750,2))))))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551" s="149"/>
      <c r="C551" s="144"/>
      <c r="D551" s="167" t="s">
        <v>539</v>
      </c>
      <c r="E551" s="168"/>
      <c r="F551" s="162"/>
      <c r="G551" s="337">
        <f>G552</f>
        <v>41297952</v>
      </c>
      <c r="H551" s="152">
        <f>H552</f>
        <v>0</v>
      </c>
      <c r="I551" s="152">
        <f t="shared" si="117"/>
        <v>41297952</v>
      </c>
    </row>
    <row r="552" spans="1:9" ht="63">
      <c r="A552" s="148" t="str">
        <f>IF(B552&gt;0,VLOOKUP(B552,КВСР!A203:B1368,2),IF(C552&gt;0,VLOOKUP(C552,КФСР!A203:B1715,2),IF(D552&gt;0,VLOOKUP(D552,Программа!A$1:B$5091,2),IF(F552&gt;0,VLOOKUP(F552,КВР!A$1:B$5001,2),IF(E552&gt;0,VLOOKUP(E552,Направление!A$1:B$4750,2))))))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552" s="149"/>
      <c r="C552" s="144"/>
      <c r="D552" s="167" t="s">
        <v>541</v>
      </c>
      <c r="E552" s="168"/>
      <c r="F552" s="162"/>
      <c r="G552" s="337">
        <f>G558+G576+G553+G580</f>
        <v>41297952</v>
      </c>
      <c r="H552" s="337">
        <f t="shared" ref="H552:I552" si="124">H558+H576+H553+H580</f>
        <v>0</v>
      </c>
      <c r="I552" s="337">
        <f t="shared" si="124"/>
        <v>41297952</v>
      </c>
    </row>
    <row r="553" spans="1:9" ht="47.25">
      <c r="A553" s="148" t="str">
        <f>IF(B553&gt;0,VLOOKUP(B553,КВСР!A204:B1369,2),IF(C553&gt;0,VLOOKUP(C553,КФСР!A204:B1716,2),IF(D553&gt;0,VLOOKUP(D553,Программа!A$1:B$5091,2),IF(F553&gt;0,VLOOKUP(F553,КВР!A$1:B$5001,2),IF(E553&gt;0,VLOOKUP(E553,Направление!A$1:B$4750,2))))))</f>
        <v>Обеспечение качества и доступности образовательных услуг в сфере дошкольного образования</v>
      </c>
      <c r="B553" s="149"/>
      <c r="C553" s="144"/>
      <c r="D553" s="145" t="s">
        <v>542</v>
      </c>
      <c r="E553" s="168"/>
      <c r="F553" s="162"/>
      <c r="G553" s="337">
        <f>G554+G556</f>
        <v>50550</v>
      </c>
      <c r="H553" s="337">
        <f t="shared" ref="H553:I553" si="125">H554+H556</f>
        <v>0</v>
      </c>
      <c r="I553" s="337">
        <f t="shared" si="125"/>
        <v>50550</v>
      </c>
    </row>
    <row r="554" spans="1:9" ht="31.5">
      <c r="A554" s="148" t="str">
        <f>IF(B554&gt;0,VLOOKUP(B554,КВСР!A205:B1370,2),IF(C554&gt;0,VLOOKUP(C554,КФСР!A205:B1717,2),IF(D554&gt;0,VLOOKUP(D554,Программа!A$1:B$5091,2),IF(F554&gt;0,VLOOKUP(F554,КВР!A$1:B$5001,2),IF(E554&gt;0,VLOOKUP(E554,Направление!A$1:B$4750,2))))))</f>
        <v>Обеспечение деятельности дошкольных учреждений</v>
      </c>
      <c r="B554" s="149"/>
      <c r="C554" s="144"/>
      <c r="D554" s="167"/>
      <c r="E554" s="168">
        <v>13010</v>
      </c>
      <c r="F554" s="162"/>
      <c r="G554" s="337">
        <f>G555</f>
        <v>6450</v>
      </c>
      <c r="H554" s="337">
        <f t="shared" ref="H554:I554" si="126">H555</f>
        <v>0</v>
      </c>
      <c r="I554" s="337">
        <f t="shared" si="126"/>
        <v>6450</v>
      </c>
    </row>
    <row r="555" spans="1:9" ht="126">
      <c r="A555" s="148" t="str">
        <f>IF(B555&gt;0,VLOOKUP(B555,КВСР!A206:B1371,2),IF(C555&gt;0,VLOOKUP(C555,КФСР!A206:B1718,2),IF(D555&gt;0,VLOOKUP(D555,Программа!A$1:B$5091,2),IF(F555&gt;0,VLOOKUP(F555,КВР!A$1:B$5001,2),IF(E555&gt;0,VLOOKUP(E555,Направление!A$1:B$4750,2))))))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5" s="149"/>
      <c r="C555" s="144"/>
      <c r="D555" s="167"/>
      <c r="E555" s="168"/>
      <c r="F555" s="162">
        <v>100</v>
      </c>
      <c r="G555" s="337">
        <v>6450</v>
      </c>
      <c r="H555" s="152"/>
      <c r="I555" s="152">
        <f>G555+H555</f>
        <v>6450</v>
      </c>
    </row>
    <row r="556" spans="1:9" ht="78.75">
      <c r="A556" s="148" t="str">
        <f>IF(B556&gt;0,VLOOKUP(B556,КВСР!A207:B1372,2),IF(C556&gt;0,VLOOKUP(C556,КФСР!A207:B1719,2),IF(D556&gt;0,VLOOKUP(D556,Программа!A$1:B$5091,2),IF(F556&gt;0,VLOOKUP(F556,КВР!A$1:B$5001,2),IF(E556&gt;0,VLOOKUP(E556,Направление!A$1:B$4750,2))))))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56" s="149"/>
      <c r="C556" s="144"/>
      <c r="D556" s="167"/>
      <c r="E556" s="168">
        <v>73110</v>
      </c>
      <c r="F556" s="162"/>
      <c r="G556" s="337">
        <f>G557</f>
        <v>44100</v>
      </c>
      <c r="H556" s="337">
        <f t="shared" ref="H556:I556" si="127">H557</f>
        <v>0</v>
      </c>
      <c r="I556" s="337">
        <f t="shared" si="127"/>
        <v>44100</v>
      </c>
    </row>
    <row r="557" spans="1:9" ht="126">
      <c r="A557" s="148" t="str">
        <f>IF(B557&gt;0,VLOOKUP(B557,КВСР!A208:B1373,2),IF(C557&gt;0,VLOOKUP(C557,КФСР!A208:B1720,2),IF(D557&gt;0,VLOOKUP(D557,Программа!A$1:B$5091,2),IF(F557&gt;0,VLOOKUP(F557,КВР!A$1:B$5001,2),IF(E557&gt;0,VLOOKUP(E557,Направление!A$1:B$4750,2))))))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7" s="149"/>
      <c r="C557" s="144"/>
      <c r="D557" s="167"/>
      <c r="E557" s="168"/>
      <c r="F557" s="162">
        <v>100</v>
      </c>
      <c r="G557" s="337">
        <v>44100</v>
      </c>
      <c r="H557" s="152"/>
      <c r="I557" s="152">
        <f>G557+H557</f>
        <v>44100</v>
      </c>
    </row>
    <row r="558" spans="1:9" ht="63">
      <c r="A558" s="148" t="str">
        <f>IF(B558&gt;0,VLOOKUP(B558,КВСР!A204:B1369,2),IF(C558&gt;0,VLOOKUP(C558,КФСР!A204:B1716,2),IF(D558&gt;0,VLOOKUP(D558,Программа!A$1:B$5091,2),IF(F558&gt;0,VLOOKUP(F558,КВР!A$1:B$5001,2),IF(E558&gt;0,VLOOKUP(E558,Направление!A$1:B$4750,2))))))</f>
        <v>Обеспечение качества реализации мер по социальной поддержке детей-сирот и детей, оставшихся без попечения родителей</v>
      </c>
      <c r="B558" s="149"/>
      <c r="C558" s="144"/>
      <c r="D558" s="145" t="s">
        <v>590</v>
      </c>
      <c r="E558" s="168"/>
      <c r="F558" s="162"/>
      <c r="G558" s="337">
        <f>G561+G563+G565+G568+G571+G559</f>
        <v>28196778</v>
      </c>
      <c r="H558" s="152">
        <f>H561+H563+H565+H568+H571+H559</f>
        <v>0</v>
      </c>
      <c r="I558" s="152">
        <f t="shared" si="117"/>
        <v>28196778</v>
      </c>
    </row>
    <row r="559" spans="1:9" ht="31.5" hidden="1">
      <c r="A559" s="148" t="str">
        <f>IF(B559&gt;0,VLOOKUP(B559,КВСР!A205:B1370,2),IF(C559&gt;0,VLOOKUP(C559,КФСР!A205:B1717,2),IF(D559&gt;0,VLOOKUP(D559,Программа!A$1:B$5091,2),IF(F559&gt;0,VLOOKUP(F559,КВР!A$1:B$5001,2),IF(E559&gt;0,VLOOKUP(E559,Направление!A$1:B$4750,2))))))</f>
        <v xml:space="preserve">Государственная поддержка опеки и попечительства </v>
      </c>
      <c r="B559" s="149"/>
      <c r="C559" s="144"/>
      <c r="D559" s="167"/>
      <c r="E559" s="168">
        <v>13750</v>
      </c>
      <c r="F559" s="162"/>
      <c r="G559" s="337">
        <f>G560</f>
        <v>0</v>
      </c>
      <c r="H559" s="152">
        <f>H560</f>
        <v>0</v>
      </c>
      <c r="I559" s="152">
        <f t="shared" si="117"/>
        <v>0</v>
      </c>
    </row>
    <row r="560" spans="1:9" ht="31.5" hidden="1">
      <c r="A560" s="148" t="str">
        <f>IF(B560&gt;0,VLOOKUP(B560,КВСР!A205:B1370,2),IF(C560&gt;0,VLOOKUP(C560,КФСР!A205:B1717,2),IF(D560&gt;0,VLOOKUP(D560,Программа!A$1:B$5091,2),IF(F560&gt;0,VLOOKUP(F560,КВР!A$1:B$5001,2),IF(E560&gt;0,VLOOKUP(E560,Направление!A$1:B$4750,2))))))</f>
        <v>Социальное обеспечение и иные выплаты населению</v>
      </c>
      <c r="B560" s="149"/>
      <c r="C560" s="144"/>
      <c r="D560" s="167"/>
      <c r="E560" s="168"/>
      <c r="F560" s="162">
        <v>300</v>
      </c>
      <c r="G560" s="337"/>
      <c r="H560" s="154"/>
      <c r="I560" s="152">
        <f t="shared" si="117"/>
        <v>0</v>
      </c>
    </row>
    <row r="561" spans="1:9" ht="63" hidden="1">
      <c r="A561" s="148" t="str">
        <f>IF(B561&gt;0,VLOOKUP(B561,КВСР!A204:B1369,2),IF(C561&gt;0,VLOOKUP(C561,КФСР!A204:B1716,2),IF(D561&gt;0,VLOOKUP(D561,Программа!A$1:B$5091,2),IF(F561&gt;0,VLOOKUP(F561,КВР!A$1:B$5001,2),IF(E561&gt;0,VLOOKUP(E561,Направление!A$1:B$4750,2))))))</f>
        <v xml:space="preserve">Расходы на укрепление института семьи, повышение качества жизни семей с несовершеннолетними детьми </v>
      </c>
      <c r="B561" s="149"/>
      <c r="C561" s="144"/>
      <c r="D561" s="167"/>
      <c r="E561" s="168" t="s">
        <v>608</v>
      </c>
      <c r="F561" s="162"/>
      <c r="G561" s="337">
        <f>G562</f>
        <v>0</v>
      </c>
      <c r="H561" s="152">
        <f>H562</f>
        <v>0</v>
      </c>
      <c r="I561" s="152">
        <f t="shared" si="117"/>
        <v>0</v>
      </c>
    </row>
    <row r="562" spans="1:9" ht="63" hidden="1">
      <c r="A562" s="148" t="str">
        <f>IF(B562&gt;0,VLOOKUP(B562,КВСР!A205:B1370,2),IF(C562&gt;0,VLOOKUP(C562,КФСР!A205:B1717,2),IF(D562&gt;0,VLOOKUP(D562,Программа!A$1:B$5091,2),IF(F562&gt;0,VLOOKUP(F562,КВР!A$1:B$5001,2),IF(E562&gt;0,VLOOKUP(E562,Направление!A$1:B$4750,2))))))</f>
        <v xml:space="preserve">Закупка товаров, работ и услуг для обеспечения государственных (муниципальных) нужд
</v>
      </c>
      <c r="B562" s="149"/>
      <c r="C562" s="144"/>
      <c r="D562" s="169"/>
      <c r="E562" s="166"/>
      <c r="F562" s="162">
        <v>200</v>
      </c>
      <c r="G562" s="379"/>
      <c r="H562" s="151"/>
      <c r="I562" s="152">
        <f t="shared" si="117"/>
        <v>0</v>
      </c>
    </row>
    <row r="563" spans="1:9" ht="78.75">
      <c r="A563" s="148" t="str">
        <f>IF(B563&gt;0,VLOOKUP(B563,КВСР!A207:B1372,2),IF(C563&gt;0,VLOOKUP(C563,КФСР!A207:B1719,2),IF(D563&gt;0,VLOOKUP(D563,Программа!A$1:B$5091,2),IF(F563&gt;0,VLOOKUP(F563,КВР!A$1:B$5001,2),IF(E563&gt;0,VLOOKUP(E563,Направление!A$1:B$4750,2))))))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563" s="149"/>
      <c r="C563" s="144"/>
      <c r="D563" s="167"/>
      <c r="E563" s="168">
        <v>52600</v>
      </c>
      <c r="F563" s="162"/>
      <c r="G563" s="379">
        <f>G564</f>
        <v>522880</v>
      </c>
      <c r="H563" s="150">
        <f>H564</f>
        <v>0</v>
      </c>
      <c r="I563" s="152">
        <f t="shared" si="117"/>
        <v>522880</v>
      </c>
    </row>
    <row r="564" spans="1:9" ht="31.5">
      <c r="A564" s="148" t="str">
        <f>IF(B564&gt;0,VLOOKUP(B564,КВСР!A208:B1373,2),IF(C564&gt;0,VLOOKUP(C564,КФСР!A208:B1720,2),IF(D564&gt;0,VLOOKUP(D564,Программа!A$1:B$5091,2),IF(F564&gt;0,VLOOKUP(F564,КВР!A$1:B$5001,2),IF(E564&gt;0,VLOOKUP(E564,Направление!A$1:B$4750,2))))))</f>
        <v>Социальное обеспечение и иные выплаты населению</v>
      </c>
      <c r="B564" s="149"/>
      <c r="C564" s="144"/>
      <c r="D564" s="170"/>
      <c r="E564" s="168"/>
      <c r="F564" s="162">
        <v>300</v>
      </c>
      <c r="G564" s="379">
        <v>522880</v>
      </c>
      <c r="H564" s="151"/>
      <c r="I564" s="152">
        <f t="shared" si="117"/>
        <v>522880</v>
      </c>
    </row>
    <row r="565" spans="1:9" ht="94.5" hidden="1">
      <c r="A565" s="148" t="str">
        <f>IF(B565&gt;0,VLOOKUP(B565,КВСР!A209:B1374,2),IF(C565&gt;0,VLOOKUP(C565,КФСР!A209:B1721,2),IF(D565&gt;0,VLOOKUP(D565,Программа!A$1:B$5091,2),IF(F565&gt;0,VLOOKUP(F565,КВР!A$1:B$5001,2),IF(E565&gt;0,VLOOKUP(E565,Направление!A$1:B$4750,2))))))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65" s="149"/>
      <c r="C565" s="144"/>
      <c r="D565" s="167"/>
      <c r="E565" s="168">
        <v>70430</v>
      </c>
      <c r="F565" s="162"/>
      <c r="G565" s="379">
        <f>G567+G566</f>
        <v>0</v>
      </c>
      <c r="H565" s="348">
        <f t="shared" ref="H565:I565" si="128">H567+H566</f>
        <v>0</v>
      </c>
      <c r="I565" s="348">
        <f t="shared" si="128"/>
        <v>0</v>
      </c>
    </row>
    <row r="566" spans="1:9" ht="63" hidden="1">
      <c r="A566" s="148" t="str">
        <f>IF(B566&gt;0,VLOOKUP(B566,КВСР!A210:B1375,2),IF(C566&gt;0,VLOOKUP(C566,КФСР!A210:B1722,2),IF(D566&gt;0,VLOOKUP(D566,Программа!A$1:B$5091,2),IF(F566&gt;0,VLOOKUP(F566,КВР!A$1:B$5001,2),IF(E566&gt;0,VLOOKUP(E566,Направление!A$1:B$4750,2))))))</f>
        <v xml:space="preserve">Закупка товаров, работ и услуг для обеспечения государственных (муниципальных) нужд
</v>
      </c>
      <c r="B566" s="149"/>
      <c r="C566" s="144"/>
      <c r="D566" s="167"/>
      <c r="E566" s="168"/>
      <c r="F566" s="162">
        <v>200</v>
      </c>
      <c r="G566" s="379"/>
      <c r="H566" s="150"/>
      <c r="I566" s="152">
        <f t="shared" si="117"/>
        <v>0</v>
      </c>
    </row>
    <row r="567" spans="1:9" ht="31.5" hidden="1">
      <c r="A567" s="148" t="str">
        <f>IF(B567&gt;0,VLOOKUP(B567,КВСР!A210:B1375,2),IF(C567&gt;0,VLOOKUP(C567,КФСР!A210:B1722,2),IF(D567&gt;0,VLOOKUP(D567,Программа!A$1:B$5091,2),IF(F567&gt;0,VLOOKUP(F567,КВР!A$1:B$5001,2),IF(E567&gt;0,VLOOKUP(E567,Направление!A$1:B$4750,2))))))</f>
        <v>Социальное обеспечение и иные выплаты населению</v>
      </c>
      <c r="B567" s="149"/>
      <c r="C567" s="144"/>
      <c r="D567" s="170"/>
      <c r="E567" s="168"/>
      <c r="F567" s="162">
        <v>300</v>
      </c>
      <c r="G567" s="379"/>
      <c r="H567" s="151"/>
      <c r="I567" s="152">
        <f t="shared" si="117"/>
        <v>0</v>
      </c>
    </row>
    <row r="568" spans="1:9" ht="94.5">
      <c r="A568" s="148" t="str">
        <f>IF(B568&gt;0,VLOOKUP(B568,КВСР!A211:B1376,2),IF(C568&gt;0,VLOOKUP(C568,КФСР!A211:B1723,2),IF(D568&gt;0,VLOOKUP(D568,Программа!A$1:B$5091,2),IF(F568&gt;0,VLOOKUP(F568,КВР!A$1:B$5001,2),IF(E568&gt;0,VLOOKUP(E568,Направление!A$1:B$4750,2))))))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568" s="149"/>
      <c r="C568" s="144"/>
      <c r="D568" s="167"/>
      <c r="E568" s="168">
        <v>70460</v>
      </c>
      <c r="F568" s="162"/>
      <c r="G568" s="379">
        <f>G569+G570</f>
        <v>24653699</v>
      </c>
      <c r="H568" s="150">
        <f>H569+H570</f>
        <v>0</v>
      </c>
      <c r="I568" s="152">
        <f t="shared" si="117"/>
        <v>24653699</v>
      </c>
    </row>
    <row r="569" spans="1:9" ht="63">
      <c r="A569" s="148" t="str">
        <f>IF(B569&gt;0,VLOOKUP(B569,КВСР!A212:B1377,2),IF(C569&gt;0,VLOOKUP(C569,КФСР!A212:B1724,2),IF(D569&gt;0,VLOOKUP(D569,Программа!A$1:B$5091,2),IF(F569&gt;0,VLOOKUP(F569,КВР!A$1:B$5001,2),IF(E569&gt;0,VLOOKUP(E569,Направление!A$1:B$4750,2))))))</f>
        <v xml:space="preserve">Закупка товаров, работ и услуг для обеспечения государственных (муниципальных) нужд
</v>
      </c>
      <c r="B569" s="149"/>
      <c r="C569" s="144"/>
      <c r="D569" s="170"/>
      <c r="E569" s="168"/>
      <c r="F569" s="162">
        <v>200</v>
      </c>
      <c r="G569" s="379">
        <v>78265</v>
      </c>
      <c r="H569" s="151"/>
      <c r="I569" s="152">
        <f t="shared" si="117"/>
        <v>78265</v>
      </c>
    </row>
    <row r="570" spans="1:9" ht="31.5">
      <c r="A570" s="148" t="str">
        <f>IF(B570&gt;0,VLOOKUP(B570,КВСР!A213:B1378,2),IF(C570&gt;0,VLOOKUP(C570,КФСР!A213:B1725,2),IF(D570&gt;0,VLOOKUP(D570,Программа!A$1:B$5091,2),IF(F570&gt;0,VLOOKUP(F570,КВР!A$1:B$5001,2),IF(E570&gt;0,VLOOKUP(E570,Направление!A$1:B$4750,2))))))</f>
        <v>Социальное обеспечение и иные выплаты населению</v>
      </c>
      <c r="B570" s="149"/>
      <c r="C570" s="144"/>
      <c r="D570" s="170"/>
      <c r="E570" s="168"/>
      <c r="F570" s="162">
        <v>300</v>
      </c>
      <c r="G570" s="379">
        <v>24575434</v>
      </c>
      <c r="H570" s="151"/>
      <c r="I570" s="152">
        <f t="shared" si="117"/>
        <v>24575434</v>
      </c>
    </row>
    <row r="571" spans="1:9" ht="47.25">
      <c r="A571" s="148" t="str">
        <f>IF(B571&gt;0,VLOOKUP(B571,КВСР!A214:B1379,2),IF(C571&gt;0,VLOOKUP(C571,КФСР!A214:B1726,2),IF(D571&gt;0,VLOOKUP(D571,Программа!A$1:B$5091,2),IF(F571&gt;0,VLOOKUP(F571,КВР!A$1:B$5001,2),IF(E571&gt;0,VLOOKUP(E571,Направление!A$1:B$4750,2))))))</f>
        <v>Государственная поддержка опеки и попечительства за счет средств областного бюджета</v>
      </c>
      <c r="B571" s="149"/>
      <c r="C571" s="144"/>
      <c r="D571" s="167"/>
      <c r="E571" s="168">
        <v>70500</v>
      </c>
      <c r="F571" s="162"/>
      <c r="G571" s="379">
        <f>G573+G574+G575+G572</f>
        <v>3020199</v>
      </c>
      <c r="H571" s="150">
        <f>H573+H574+H575+H572</f>
        <v>0</v>
      </c>
      <c r="I571" s="152">
        <f t="shared" si="117"/>
        <v>3020199</v>
      </c>
    </row>
    <row r="572" spans="1:9" ht="126" hidden="1">
      <c r="A572" s="148" t="str">
        <f>IF(B572&gt;0,VLOOKUP(B572,КВСР!A215:B1380,2),IF(C572&gt;0,VLOOKUP(C572,КФСР!A215:B1727,2),IF(D572&gt;0,VLOOKUP(D572,Программа!A$1:B$5091,2),IF(F572&gt;0,VLOOKUP(F572,КВР!A$1:B$5001,2),IF(E572&gt;0,VLOOKUP(E572,Направление!A$1:B$4750,2))))))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2" s="149"/>
      <c r="C572" s="144"/>
      <c r="D572" s="167"/>
      <c r="E572" s="168"/>
      <c r="F572" s="162">
        <v>100</v>
      </c>
      <c r="G572" s="379"/>
      <c r="H572" s="164"/>
      <c r="I572" s="152">
        <f t="shared" si="117"/>
        <v>0</v>
      </c>
    </row>
    <row r="573" spans="1:9" ht="63">
      <c r="A573" s="148" t="str">
        <f>IF(B573&gt;0,VLOOKUP(B573,КВСР!A215:B1380,2),IF(C573&gt;0,VLOOKUP(C573,КФСР!A215:B1727,2),IF(D573&gt;0,VLOOKUP(D573,Программа!A$1:B$5091,2),IF(F573&gt;0,VLOOKUP(F573,КВР!A$1:B$5001,2),IF(E573&gt;0,VLOOKUP(E573,Направление!A$1:B$4750,2))))))</f>
        <v xml:space="preserve">Закупка товаров, работ и услуг для обеспечения государственных (муниципальных) нужд
</v>
      </c>
      <c r="B573" s="149"/>
      <c r="C573" s="144"/>
      <c r="D573" s="170"/>
      <c r="E573" s="168"/>
      <c r="F573" s="162">
        <v>200</v>
      </c>
      <c r="G573" s="379">
        <v>0</v>
      </c>
      <c r="H573" s="151">
        <v>1000</v>
      </c>
      <c r="I573" s="152">
        <f t="shared" si="117"/>
        <v>1000</v>
      </c>
    </row>
    <row r="574" spans="1:9" ht="31.5">
      <c r="A574" s="148" t="str">
        <f>IF(B574&gt;0,VLOOKUP(B574,КВСР!A216:B1381,2),IF(C574&gt;0,VLOOKUP(C574,КФСР!A216:B1728,2),IF(D574&gt;0,VLOOKUP(D574,Программа!A$1:B$5091,2),IF(F574&gt;0,VLOOKUP(F574,КВР!A$1:B$5001,2),IF(E574&gt;0,VLOOKUP(E574,Направление!A$1:B$4750,2))))))</f>
        <v>Социальное обеспечение и иные выплаты населению</v>
      </c>
      <c r="B574" s="149"/>
      <c r="C574" s="144"/>
      <c r="D574" s="170"/>
      <c r="E574" s="168"/>
      <c r="F574" s="162">
        <v>300</v>
      </c>
      <c r="G574" s="379">
        <v>1508059</v>
      </c>
      <c r="H574" s="151">
        <v>-1000</v>
      </c>
      <c r="I574" s="152">
        <f t="shared" si="117"/>
        <v>1507059</v>
      </c>
    </row>
    <row r="575" spans="1:9" ht="63">
      <c r="A575" s="148" t="str">
        <f>IF(B575&gt;0,VLOOKUP(B575,КВСР!A217:B1382,2),IF(C575&gt;0,VLOOKUP(C575,КФСР!A217:B1729,2),IF(D575&gt;0,VLOOKUP(D575,Программа!A$1:B$5091,2),IF(F575&gt;0,VLOOKUP(F575,КВР!A$1:B$5001,2),IF(E575&gt;0,VLOOKUP(E575,Направление!A$1:B$4750,2))))))</f>
        <v>Предоставление субсидий бюджетным, автономным учреждениям и иным некоммерческим организациям</v>
      </c>
      <c r="B575" s="149"/>
      <c r="C575" s="144"/>
      <c r="D575" s="170"/>
      <c r="E575" s="168"/>
      <c r="F575" s="162">
        <v>600</v>
      </c>
      <c r="G575" s="379">
        <v>1512140</v>
      </c>
      <c r="H575" s="151"/>
      <c r="I575" s="152">
        <f t="shared" si="117"/>
        <v>1512140</v>
      </c>
    </row>
    <row r="576" spans="1:9" ht="31.5">
      <c r="A576" s="148" t="str">
        <f>IF(B576&gt;0,VLOOKUP(B576,КВСР!A218:B1383,2),IF(C576&gt;0,VLOOKUP(C576,КФСР!A218:B1730,2),IF(D576&gt;0,VLOOKUP(D576,Программа!A$1:B$5091,2),IF(F576&gt;0,VLOOKUP(F576,КВР!A$1:B$5001,2),IF(E576&gt;0,VLOOKUP(E576,Направление!A$1:B$4750,2))))))</f>
        <v>Обеспечение компенсационных выплат</v>
      </c>
      <c r="B576" s="149"/>
      <c r="C576" s="144"/>
      <c r="D576" s="145" t="s">
        <v>1259</v>
      </c>
      <c r="E576" s="168"/>
      <c r="F576" s="162"/>
      <c r="G576" s="379">
        <f>G577</f>
        <v>13049455</v>
      </c>
      <c r="H576" s="379">
        <f>H577</f>
        <v>0</v>
      </c>
      <c r="I576" s="152">
        <f t="shared" si="117"/>
        <v>13049455</v>
      </c>
    </row>
    <row r="577" spans="1:9" ht="94.5">
      <c r="A577" s="148" t="str">
        <f>IF(B577&gt;0,VLOOKUP(B577,КВСР!A207:B1372,2),IF(C577&gt;0,VLOOKUP(C577,КФСР!A207:B1719,2),IF(D577&gt;0,VLOOKUP(D577,Программа!A$1:B$5091,2),IF(F577&gt;0,VLOOKUP(F577,КВР!A$1:B$5001,2),IF(E577&gt;0,VLOOKUP(E577,Направление!A$1:B$4750,2))))))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77" s="149"/>
      <c r="C577" s="144"/>
      <c r="D577" s="167"/>
      <c r="E577" s="168">
        <v>70430</v>
      </c>
      <c r="F577" s="162"/>
      <c r="G577" s="379">
        <f>G578+G579</f>
        <v>13049455</v>
      </c>
      <c r="H577" s="379">
        <f>H578+H579</f>
        <v>0</v>
      </c>
      <c r="I577" s="152">
        <f t="shared" si="117"/>
        <v>13049455</v>
      </c>
    </row>
    <row r="578" spans="1:9" ht="63">
      <c r="A578" s="148" t="str">
        <f>IF(B578&gt;0,VLOOKUP(B578,КВСР!A208:B1373,2),IF(C578&gt;0,VLOOKUP(C578,КФСР!A208:B1720,2),IF(D578&gt;0,VLOOKUP(D578,Программа!A$1:B$5091,2),IF(F578&gt;0,VLOOKUP(F578,КВР!A$1:B$5001,2),IF(E578&gt;0,VLOOKUP(E578,Направление!A$1:B$4750,2))))))</f>
        <v xml:space="preserve">Закупка товаров, работ и услуг для обеспечения государственных (муниципальных) нужд
</v>
      </c>
      <c r="B578" s="149"/>
      <c r="C578" s="144"/>
      <c r="D578" s="170"/>
      <c r="E578" s="168"/>
      <c r="F578" s="162">
        <v>200</v>
      </c>
      <c r="G578" s="337">
        <v>193297</v>
      </c>
      <c r="H578" s="153"/>
      <c r="I578" s="152">
        <f t="shared" si="117"/>
        <v>193297</v>
      </c>
    </row>
    <row r="579" spans="1:9" ht="31.5">
      <c r="A579" s="148" t="str">
        <f>IF(B579&gt;0,VLOOKUP(B579,КВСР!A209:B1374,2),IF(C579&gt;0,VLOOKUP(C579,КФСР!A209:B1721,2),IF(D579&gt;0,VLOOKUP(D579,Программа!A$1:B$5091,2),IF(F579&gt;0,VLOOKUP(F579,КВР!A$1:B$5001,2),IF(E579&gt;0,VLOOKUP(E579,Направление!A$1:B$4750,2))))))</f>
        <v>Социальное обеспечение и иные выплаты населению</v>
      </c>
      <c r="B579" s="149"/>
      <c r="C579" s="144"/>
      <c r="D579" s="170"/>
      <c r="E579" s="168"/>
      <c r="F579" s="162">
        <v>300</v>
      </c>
      <c r="G579" s="337">
        <v>12856158</v>
      </c>
      <c r="H579" s="153"/>
      <c r="I579" s="152">
        <f t="shared" si="117"/>
        <v>12856158</v>
      </c>
    </row>
    <row r="580" spans="1:9" ht="31.5">
      <c r="A580" s="670" t="str">
        <f>IF(B580&gt;0,VLOOKUP(B580,КВСР!A210:B1375,2),IF(C580&gt;0,VLOOKUP(C580,КФСР!A210:B1722,2),IF(D580&gt;0,VLOOKUP(D580,Программа!A$1:B$5091,2),IF(F580&gt;0,VLOOKUP(F580,КВР!A$1:B$5001,2),IF(E580&gt;0,VLOOKUP(E580,Направление!A$1:B$4750,2))))))</f>
        <v>Обеспечение эффективности управления системой образования</v>
      </c>
      <c r="B580" s="145"/>
      <c r="C580" s="145"/>
      <c r="D580" s="145" t="s">
        <v>1256</v>
      </c>
      <c r="E580" s="167"/>
      <c r="F580" s="162"/>
      <c r="G580" s="337">
        <f>G581</f>
        <v>1169</v>
      </c>
      <c r="H580" s="337">
        <f t="shared" ref="H580:I581" si="129">H581</f>
        <v>0</v>
      </c>
      <c r="I580" s="337">
        <f t="shared" si="129"/>
        <v>1169</v>
      </c>
    </row>
    <row r="581" spans="1:9" ht="78.75">
      <c r="A581" s="670" t="str">
        <f>IF(B581&gt;0,VLOOKUP(B581,КВСР!A211:B1376,2),IF(C581&gt;0,VLOOKUP(C581,КФСР!A211:B1723,2),IF(D581&gt;0,VLOOKUP(D581,Программа!A$1:B$5091,2),IF(F581&gt;0,VLOOKUP(F581,КВР!A$1:B$5001,2),IF(E581&gt;0,VLOOKUP(E581,Направление!A$1:B$4750,2))))))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581" s="145"/>
      <c r="C581" s="145"/>
      <c r="D581" s="167"/>
      <c r="E581" s="145" t="s">
        <v>1410</v>
      </c>
      <c r="F581" s="162"/>
      <c r="G581" s="337">
        <f>G582</f>
        <v>1169</v>
      </c>
      <c r="H581" s="337">
        <f t="shared" si="129"/>
        <v>0</v>
      </c>
      <c r="I581" s="337">
        <f t="shared" si="129"/>
        <v>1169</v>
      </c>
    </row>
    <row r="582" spans="1:9" ht="126">
      <c r="A582" s="670" t="str">
        <f>IF(B582&gt;0,VLOOKUP(B582,КВСР!A212:B1377,2),IF(C582&gt;0,VLOOKUP(C582,КФСР!A212:B1724,2),IF(D582&gt;0,VLOOKUP(D582,Программа!A$1:B$5091,2),IF(F582&gt;0,VLOOKUP(F582,КВР!A$1:B$5001,2),IF(E582&gt;0,VLOOKUP(E582,Направление!A$1:B$4750,2))))))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2" s="145"/>
      <c r="C582" s="145"/>
      <c r="D582" s="167"/>
      <c r="E582" s="167"/>
      <c r="F582" s="162">
        <v>100</v>
      </c>
      <c r="G582" s="337">
        <v>1169</v>
      </c>
      <c r="H582" s="153"/>
      <c r="I582" s="152">
        <f>G582+H582</f>
        <v>1169</v>
      </c>
    </row>
    <row r="583" spans="1:9" s="171" customFormat="1">
      <c r="A583" s="148" t="str">
        <f>IF(B583&gt;0,VLOOKUP(B583,КВСР!A228:B1393,2),IF(C583&gt;0,VLOOKUP(C583,КФСР!A228:B1740,2),IF(D583&gt;0,VLOOKUP(D583,Программа!A$1:B$5091,2),IF(F583&gt;0,VLOOKUP(F583,КВР!A$1:B$5001,2),IF(E583&gt;0,VLOOKUP(E583,Направление!A$1:B$4750,2))))))</f>
        <v>Массовый спорт</v>
      </c>
      <c r="B583" s="160"/>
      <c r="C583" s="161">
        <v>1102</v>
      </c>
      <c r="D583" s="145"/>
      <c r="E583" s="144"/>
      <c r="F583" s="146"/>
      <c r="G583" s="337">
        <f>G593+G584+G601</f>
        <v>41967178</v>
      </c>
      <c r="H583" s="442">
        <f t="shared" ref="H583:I583" si="130">H593+H584+H601</f>
        <v>1671300</v>
      </c>
      <c r="I583" s="442">
        <f t="shared" si="130"/>
        <v>43638478</v>
      </c>
    </row>
    <row r="584" spans="1:9" s="171" customFormat="1" ht="63">
      <c r="A584" s="148" t="str">
        <f>IF(B584&gt;0,VLOOKUP(B584,КВСР!A229:B1394,2),IF(C584&gt;0,VLOOKUP(C584,КФСР!A229:B1741,2),IF(D584&gt;0,VLOOKUP(D584,Программа!A$1:B$5091,2),IF(F584&gt;0,VLOOKUP(F584,КВР!A$1:B$5001,2),IF(E584&gt;0,VLOOKUP(E584,Направление!A$1:B$4750,2))))))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584" s="160"/>
      <c r="C584" s="161"/>
      <c r="D584" s="145" t="s">
        <v>569</v>
      </c>
      <c r="E584" s="144"/>
      <c r="F584" s="146"/>
      <c r="G584" s="337">
        <f>G586+G589</f>
        <v>440000</v>
      </c>
      <c r="H584" s="152">
        <f>H586+H589</f>
        <v>0</v>
      </c>
      <c r="I584" s="152">
        <f t="shared" si="117"/>
        <v>440000</v>
      </c>
    </row>
    <row r="585" spans="1:9" s="171" customFormat="1" ht="94.5">
      <c r="A585" s="148" t="str">
        <f>IF(B585&gt;0,VLOOKUP(B585,КВСР!A230:B1395,2),IF(C585&gt;0,VLOOKUP(C585,КФСР!A230:B1742,2),IF(D585&gt;0,VLOOKUP(D585,Программа!A$1:B$5091,2),IF(F585&gt;0,VLOOKUP(F585,КВР!A$1:B$5001,2),IF(E585&gt;0,VLOOKUP(E585,Направление!A$1:B$4750,2))))))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85" s="160"/>
      <c r="C585" s="161"/>
      <c r="D585" s="145" t="s">
        <v>571</v>
      </c>
      <c r="E585" s="144"/>
      <c r="F585" s="146"/>
      <c r="G585" s="337">
        <f t="shared" ref="G585:H587" si="131">G586</f>
        <v>40000</v>
      </c>
      <c r="H585" s="152">
        <f t="shared" si="131"/>
        <v>0</v>
      </c>
      <c r="I585" s="152">
        <f t="shared" si="117"/>
        <v>40000</v>
      </c>
    </row>
    <row r="586" spans="1:9" s="171" customFormat="1" ht="94.5">
      <c r="A586" s="148" t="str">
        <f>IF(B586&gt;0,VLOOKUP(B586,КВСР!A231:B1396,2),IF(C586&gt;0,VLOOKUP(C586,КФСР!A231:B1743,2),IF(D586&gt;0,VLOOKUP(D586,Программа!A$1:B$5091,2),IF(F586&gt;0,VLOOKUP(F586,КВР!A$1:B$5001,2),IF(E586&gt;0,VLOOKUP(E586,Направление!A$1:B$4750,2))))))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86" s="160"/>
      <c r="C586" s="161"/>
      <c r="D586" s="145" t="s">
        <v>573</v>
      </c>
      <c r="E586" s="144"/>
      <c r="F586" s="146"/>
      <c r="G586" s="337">
        <f t="shared" si="131"/>
        <v>40000</v>
      </c>
      <c r="H586" s="152">
        <f t="shared" si="131"/>
        <v>0</v>
      </c>
      <c r="I586" s="152">
        <f t="shared" si="117"/>
        <v>40000</v>
      </c>
    </row>
    <row r="587" spans="1:9" s="171" customFormat="1" ht="31.5">
      <c r="A587" s="148" t="str">
        <f>IF(B587&gt;0,VLOOKUP(B587,КВСР!A231:B1396,2),IF(C587&gt;0,VLOOKUP(C587,КФСР!A231:B1743,2),IF(D587&gt;0,VLOOKUP(D587,Программа!A$1:B$5091,2),IF(F587&gt;0,VLOOKUP(F587,КВР!A$1:B$5001,2),IF(E587&gt;0,VLOOKUP(E587,Направление!A$1:B$4750,2))))))</f>
        <v>Обеспечение деятельности учреждений спорта</v>
      </c>
      <c r="B587" s="160"/>
      <c r="C587" s="161"/>
      <c r="D587" s="145"/>
      <c r="E587" s="144">
        <v>14020</v>
      </c>
      <c r="F587" s="146"/>
      <c r="G587" s="337">
        <f t="shared" si="131"/>
        <v>40000</v>
      </c>
      <c r="H587" s="152">
        <f t="shared" si="131"/>
        <v>0</v>
      </c>
      <c r="I587" s="152">
        <f t="shared" si="117"/>
        <v>40000</v>
      </c>
    </row>
    <row r="588" spans="1:9" s="171" customFormat="1" ht="63">
      <c r="A588" s="148" t="str">
        <f>IF(B588&gt;0,VLOOKUP(B588,КВСР!A232:B1397,2),IF(C588&gt;0,VLOOKUP(C588,КФСР!A232:B1744,2),IF(D588&gt;0,VLOOKUP(D588,Программа!A$1:B$5091,2),IF(F588&gt;0,VLOOKUP(F588,КВР!A$1:B$5001,2),IF(E588&gt;0,VLOOKUP(E588,Направление!A$1:B$4750,2))))))</f>
        <v>Предоставление субсидий бюджетным, автономным учреждениям и иным некоммерческим организациям</v>
      </c>
      <c r="B588" s="160"/>
      <c r="C588" s="161"/>
      <c r="D588" s="145"/>
      <c r="E588" s="144"/>
      <c r="F588" s="146">
        <v>600</v>
      </c>
      <c r="G588" s="337">
        <v>40000</v>
      </c>
      <c r="H588" s="153"/>
      <c r="I588" s="152">
        <f t="shared" si="117"/>
        <v>40000</v>
      </c>
    </row>
    <row r="589" spans="1:9" s="171" customFormat="1" ht="78.75">
      <c r="A589" s="148" t="str">
        <f>IF(B589&gt;0,VLOOKUP(B589,КВСР!A233:B1398,2),IF(C589&gt;0,VLOOKUP(C589,КФСР!A233:B1745,2),IF(D589&gt;0,VLOOKUP(D589,Программа!A$1:B$5091,2),IF(F589&gt;0,VLOOKUP(F589,КВР!A$1:B$5001,2),IF(E589&gt;0,VLOOKUP(E589,Направление!A$1:B$4750,2))))))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9" s="160"/>
      <c r="C589" s="161"/>
      <c r="D589" s="145" t="s">
        <v>576</v>
      </c>
      <c r="E589" s="144"/>
      <c r="F589" s="146"/>
      <c r="G589" s="337">
        <f t="shared" ref="G589:H591" si="132">G590</f>
        <v>400000</v>
      </c>
      <c r="H589" s="152">
        <f t="shared" si="132"/>
        <v>0</v>
      </c>
      <c r="I589" s="152">
        <f t="shared" si="117"/>
        <v>400000</v>
      </c>
    </row>
    <row r="590" spans="1:9" s="171" customFormat="1" ht="47.25">
      <c r="A590" s="148" t="str">
        <f>IF(B590&gt;0,VLOOKUP(B590,КВСР!A234:B1399,2),IF(C590&gt;0,VLOOKUP(C590,КФСР!A234:B1746,2),IF(D590&gt;0,VLOOKUP(D590,Программа!A$1:B$5091,2),IF(F590&gt;0,VLOOKUP(F590,КВР!A$1:B$5001,2),IF(E590&gt;0,VLOOKUP(E590,Направление!A$1:B$4750,2))))))</f>
        <v>Развитие системы профилактики немедицинского потребления наркотиков</v>
      </c>
      <c r="B590" s="160"/>
      <c r="C590" s="161"/>
      <c r="D590" s="145" t="s">
        <v>578</v>
      </c>
      <c r="E590" s="144"/>
      <c r="F590" s="146"/>
      <c r="G590" s="337">
        <f t="shared" si="132"/>
        <v>400000</v>
      </c>
      <c r="H590" s="152">
        <f t="shared" si="132"/>
        <v>0</v>
      </c>
      <c r="I590" s="152">
        <f t="shared" si="117"/>
        <v>400000</v>
      </c>
    </row>
    <row r="591" spans="1:9" s="171" customFormat="1" ht="31.5">
      <c r="A591" s="148" t="str">
        <f>IF(B591&gt;0,VLOOKUP(B591,КВСР!A235:B1400,2),IF(C591&gt;0,VLOOKUP(C591,КФСР!A235:B1747,2),IF(D591&gt;0,VLOOKUP(D591,Программа!A$1:B$5091,2),IF(F591&gt;0,VLOOKUP(F591,КВР!A$1:B$5001,2),IF(E591&gt;0,VLOOKUP(E591,Направление!A$1:B$4750,2))))))</f>
        <v>Обеспечение деятельности учреждений спорта</v>
      </c>
      <c r="B591" s="160"/>
      <c r="C591" s="161"/>
      <c r="D591" s="145"/>
      <c r="E591" s="144">
        <v>14020</v>
      </c>
      <c r="F591" s="146"/>
      <c r="G591" s="337">
        <f t="shared" si="132"/>
        <v>400000</v>
      </c>
      <c r="H591" s="152">
        <f t="shared" si="132"/>
        <v>0</v>
      </c>
      <c r="I591" s="152">
        <f t="shared" si="117"/>
        <v>400000</v>
      </c>
    </row>
    <row r="592" spans="1:9" s="171" customFormat="1" ht="63">
      <c r="A592" s="148" t="str">
        <f>IF(B592&gt;0,VLOOKUP(B592,КВСР!A238:B1403,2),IF(C592&gt;0,VLOOKUP(C592,КФСР!A238:B1750,2),IF(D592&gt;0,VLOOKUP(D592,Программа!A$1:B$5091,2),IF(F592&gt;0,VLOOKUP(F592,КВР!A$1:B$5001,2),IF(E592&gt;0,VLOOKUP(E592,Направление!A$1:B$4750,2))))))</f>
        <v>Предоставление субсидий бюджетным, автономным учреждениям и иным некоммерческим организациям</v>
      </c>
      <c r="B592" s="160"/>
      <c r="C592" s="161"/>
      <c r="D592" s="145"/>
      <c r="E592" s="144"/>
      <c r="F592" s="146">
        <v>600</v>
      </c>
      <c r="G592" s="337">
        <v>400000</v>
      </c>
      <c r="H592" s="153"/>
      <c r="I592" s="152">
        <f t="shared" si="117"/>
        <v>400000</v>
      </c>
    </row>
    <row r="593" spans="1:9" s="171" customFormat="1" ht="63">
      <c r="A593" s="148" t="str">
        <f>IF(B593&gt;0,VLOOKUP(B593,КВСР!A229:B1394,2),IF(C593&gt;0,VLOOKUP(C593,КФСР!A229:B1741,2),IF(D593&gt;0,VLOOKUP(D593,Программа!A$1:B$5091,2),IF(F593&gt;0,VLOOKUP(F593,КВР!A$1:B$5001,2),IF(E593&gt;0,VLOOKUP(E593,Направление!A$1:B$4750,2))))))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593" s="160"/>
      <c r="C593" s="161"/>
      <c r="D593" s="145" t="s">
        <v>539</v>
      </c>
      <c r="E593" s="144"/>
      <c r="F593" s="146"/>
      <c r="G593" s="337">
        <f>G594</f>
        <v>41512178</v>
      </c>
      <c r="H593" s="152">
        <f>H594</f>
        <v>1671300</v>
      </c>
      <c r="I593" s="152">
        <f t="shared" si="117"/>
        <v>43183478</v>
      </c>
    </row>
    <row r="594" spans="1:9" s="171" customFormat="1" ht="63">
      <c r="A594" s="148" t="str">
        <f>IF(B594&gt;0,VLOOKUP(B594,КВСР!A230:B1395,2),IF(C594&gt;0,VLOOKUP(C594,КФСР!A230:B1742,2),IF(D594&gt;0,VLOOKUP(D594,Программа!A$1:B$5091,2),IF(F594&gt;0,VLOOKUP(F594,КВР!A$1:B$5001,2),IF(E594&gt;0,VLOOKUP(E594,Направление!A$1:B$4750,2))))))</f>
        <v>Муниципальная целевая программа "Развитие физической культуры и спорта в Тутаевском муниципальном районе"</v>
      </c>
      <c r="B594" s="160"/>
      <c r="C594" s="161"/>
      <c r="D594" s="145" t="s">
        <v>559</v>
      </c>
      <c r="E594" s="144"/>
      <c r="F594" s="146"/>
      <c r="G594" s="337">
        <f>G595+G598</f>
        <v>41512178</v>
      </c>
      <c r="H594" s="152">
        <f>H595+H598</f>
        <v>1671300</v>
      </c>
      <c r="I594" s="152">
        <f t="shared" si="117"/>
        <v>43183478</v>
      </c>
    </row>
    <row r="595" spans="1:9" s="171" customFormat="1" ht="94.5">
      <c r="A595" s="148" t="str">
        <f>IF(B595&gt;0,VLOOKUP(B595,КВСР!A231:B1396,2),IF(C595&gt;0,VLOOKUP(C595,КФСР!A231:B1743,2),IF(D595&gt;0,VLOOKUP(D595,Программа!A$1:B$5091,2),IF(F595&gt;0,VLOOKUP(F595,КВР!A$1:B$5001,2),IF(E595&gt;0,VLOOKUP(E595,Направление!A$1:B$4750,2))))))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595" s="160"/>
      <c r="C595" s="161"/>
      <c r="D595" s="145" t="s">
        <v>615</v>
      </c>
      <c r="E595" s="144"/>
      <c r="F595" s="146"/>
      <c r="G595" s="337">
        <f>G596</f>
        <v>41512178</v>
      </c>
      <c r="H595" s="152">
        <f>H596</f>
        <v>121300</v>
      </c>
      <c r="I595" s="152">
        <f t="shared" ref="I595:I674" si="133">SUM(G595:H595)</f>
        <v>41633478</v>
      </c>
    </row>
    <row r="596" spans="1:9" s="171" customFormat="1" ht="31.5">
      <c r="A596" s="148" t="str">
        <f>IF(B596&gt;0,VLOOKUP(B596,КВСР!A232:B1397,2),IF(C596&gt;0,VLOOKUP(C596,КФСР!A232:B1744,2),IF(D596&gt;0,VLOOKUP(D596,Программа!A$1:B$5091,2),IF(F596&gt;0,VLOOKUP(F596,КВР!A$1:B$5001,2),IF(E596&gt;0,VLOOKUP(E596,Направление!A$1:B$4750,2))))))</f>
        <v>Обеспечение деятельности учреждений спорта</v>
      </c>
      <c r="B596" s="160"/>
      <c r="C596" s="161"/>
      <c r="D596" s="145"/>
      <c r="E596" s="144">
        <v>14020</v>
      </c>
      <c r="F596" s="146"/>
      <c r="G596" s="379">
        <f>G597</f>
        <v>41512178</v>
      </c>
      <c r="H596" s="150">
        <f>H597</f>
        <v>121300</v>
      </c>
      <c r="I596" s="152">
        <f t="shared" si="133"/>
        <v>41633478</v>
      </c>
    </row>
    <row r="597" spans="1:9" s="171" customFormat="1" ht="63">
      <c r="A597" s="148" t="str">
        <f>IF(B597&gt;0,VLOOKUP(B597,КВСР!A233:B1398,2),IF(C597&gt;0,VLOOKUP(C597,КФСР!A233:B1745,2),IF(D597&gt;0,VLOOKUP(D597,Программа!A$1:B$5091,2),IF(F597&gt;0,VLOOKUP(F597,КВР!A$1:B$5001,2),IF(E597&gt;0,VLOOKUP(E597,Направление!A$1:B$4750,2))))))</f>
        <v>Предоставление субсидий бюджетным, автономным учреждениям и иным некоммерческим организациям</v>
      </c>
      <c r="B597" s="160"/>
      <c r="C597" s="161"/>
      <c r="D597" s="145"/>
      <c r="E597" s="144"/>
      <c r="F597" s="146">
        <v>600</v>
      </c>
      <c r="G597" s="337">
        <v>41512178</v>
      </c>
      <c r="H597" s="153">
        <v>121300</v>
      </c>
      <c r="I597" s="152">
        <f t="shared" si="133"/>
        <v>41633478</v>
      </c>
    </row>
    <row r="598" spans="1:9" s="171" customFormat="1" ht="47.25">
      <c r="A598" s="148" t="str">
        <f>IF(B598&gt;0,VLOOKUP(B598,КВСР!A234:B1399,2),IF(C598&gt;0,VLOOKUP(C598,КФСР!A234:B1746,2),IF(D598&gt;0,VLOOKUP(D598,Программа!A$1:B$5091,2),IF(F598&gt;0,VLOOKUP(F598,КВР!A$1:B$5001,2),IF(E598&gt;0,VLOOKUP(E598,Направление!A$1:B$4750,2))))))</f>
        <v>Строительство и реконструкция спортивных сооружений и укрепление материальной базы</v>
      </c>
      <c r="B598" s="160"/>
      <c r="C598" s="161"/>
      <c r="D598" s="145" t="s">
        <v>560</v>
      </c>
      <c r="E598" s="144"/>
      <c r="F598" s="146"/>
      <c r="G598" s="337">
        <f>G599</f>
        <v>0</v>
      </c>
      <c r="H598" s="152">
        <f>H599</f>
        <v>1550000</v>
      </c>
      <c r="I598" s="152">
        <f t="shared" si="133"/>
        <v>1550000</v>
      </c>
    </row>
    <row r="599" spans="1:9" s="171" customFormat="1" ht="47.25">
      <c r="A599" s="148" t="str">
        <f>IF(B599&gt;0,VLOOKUP(B599,КВСР!A235:B1400,2),IF(C599&gt;0,VLOOKUP(C599,КФСР!A235:B1747,2),IF(D599&gt;0,VLOOKUP(D599,Программа!A$1:B$5091,2),IF(F599&gt;0,VLOOKUP(F599,КВР!A$1:B$5001,2),IF(E599&gt;0,VLOOKUP(E599,Направление!A$1:B$4750,2))))))</f>
        <v>Мероприятия по строительству, реконструкции и ремонту спортивных объектов</v>
      </c>
      <c r="B599" s="160"/>
      <c r="C599" s="161"/>
      <c r="D599" s="145"/>
      <c r="E599" s="161">
        <v>14100</v>
      </c>
      <c r="F599" s="162"/>
      <c r="G599" s="337">
        <f>G600</f>
        <v>0</v>
      </c>
      <c r="H599" s="152">
        <f>H600</f>
        <v>1550000</v>
      </c>
      <c r="I599" s="152">
        <f t="shared" si="133"/>
        <v>1550000</v>
      </c>
    </row>
    <row r="600" spans="1:9" s="171" customFormat="1" ht="63">
      <c r="A600" s="148" t="str">
        <f>IF(B600&gt;0,VLOOKUP(B600,КВСР!A236:B1401,2),IF(C600&gt;0,VLOOKUP(C600,КФСР!A236:B1748,2),IF(D600&gt;0,VLOOKUP(D600,Программа!A$1:B$5091,2),IF(F600&gt;0,VLOOKUP(F600,КВР!A$1:B$5001,2),IF(E600&gt;0,VLOOKUP(E600,Направление!A$1:B$4750,2))))))</f>
        <v>Предоставление субсидий бюджетным, автономным учреждениям и иным некоммерческим организациям</v>
      </c>
      <c r="B600" s="160"/>
      <c r="C600" s="161"/>
      <c r="D600" s="145"/>
      <c r="E600" s="161"/>
      <c r="F600" s="162">
        <v>600</v>
      </c>
      <c r="G600" s="337"/>
      <c r="H600" s="153">
        <f>1050000+500000</f>
        <v>1550000</v>
      </c>
      <c r="I600" s="152">
        <f t="shared" si="133"/>
        <v>1550000</v>
      </c>
    </row>
    <row r="601" spans="1:9" s="171" customFormat="1" ht="47.25">
      <c r="A601" s="148" t="str">
        <f>IF(B601&gt;0,VLOOKUP(B601,КВСР!A237:B1402,2),IF(C601&gt;0,VLOOKUP(C601,КФСР!A237:B1749,2),IF(D601&gt;0,VLOOKUP(D601,Программа!A$1:B$5091,2),IF(F601&gt;0,VLOOKUP(F601,КВР!A$1:B$5001,2),IF(E601&gt;0,VLOOKUP(E601,Направление!A$1:B$4750,2))))))</f>
        <v>Муниципальная программа "Социальная поддержка населения Тутаевского муниципального района"</v>
      </c>
      <c r="B601" s="160"/>
      <c r="C601" s="161"/>
      <c r="D601" s="145" t="s">
        <v>548</v>
      </c>
      <c r="E601" s="161"/>
      <c r="F601" s="162"/>
      <c r="G601" s="337">
        <f>G602</f>
        <v>15000</v>
      </c>
      <c r="H601" s="371">
        <f t="shared" ref="H601:I601" si="134">H602</f>
        <v>0</v>
      </c>
      <c r="I601" s="371">
        <f t="shared" si="134"/>
        <v>15000</v>
      </c>
    </row>
    <row r="602" spans="1:9" s="171" customFormat="1" ht="63">
      <c r="A602" s="148" t="str">
        <f>IF(B602&gt;0,VLOOKUP(B602,КВСР!A238:B1403,2),IF(C602&gt;0,VLOOKUP(C602,КФСР!A238:B1750,2),IF(D602&gt;0,VLOOKUP(D602,Программа!A$1:B$5091,2),IF(F602&gt;0,VLOOKUP(F602,КВР!A$1:B$5001,2),IF(E602&gt;0,VLOOKUP(E602,Направление!A$1:B$4750,2))))))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602" s="160"/>
      <c r="C602" s="161"/>
      <c r="D602" s="145" t="s">
        <v>550</v>
      </c>
      <c r="E602" s="161"/>
      <c r="F602" s="162"/>
      <c r="G602" s="337">
        <f>G603</f>
        <v>15000</v>
      </c>
      <c r="H602" s="371">
        <f t="shared" ref="H602:I602" si="135">H603</f>
        <v>0</v>
      </c>
      <c r="I602" s="371">
        <f t="shared" si="135"/>
        <v>15000</v>
      </c>
    </row>
    <row r="603" spans="1:9" s="171" customFormat="1" ht="63">
      <c r="A603" s="148" t="str">
        <f>IF(B603&gt;0,VLOOKUP(B603,КВСР!A239:B1404,2),IF(C603&gt;0,VLOOKUP(C603,КФСР!A239:B1751,2),IF(D603&gt;0,VLOOKUP(D603,Программа!A$1:B$5091,2),IF(F603&gt;0,VLOOKUP(F603,КВР!A$1:B$5001,2),IF(E603&gt;0,VLOOKUP(E603,Направление!A$1:B$4750,2))))))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3" s="160"/>
      <c r="C603" s="161"/>
      <c r="D603" s="145" t="s">
        <v>551</v>
      </c>
      <c r="E603" s="161"/>
      <c r="F603" s="162"/>
      <c r="G603" s="337">
        <f>G604</f>
        <v>15000</v>
      </c>
      <c r="H603" s="371">
        <f t="shared" ref="H603:I603" si="136">H604</f>
        <v>0</v>
      </c>
      <c r="I603" s="371">
        <f t="shared" si="136"/>
        <v>15000</v>
      </c>
    </row>
    <row r="604" spans="1:9" s="171" customFormat="1" ht="31.5">
      <c r="A604" s="148" t="str">
        <f>IF(B604&gt;0,VLOOKUP(B604,КВСР!A240:B1405,2),IF(C604&gt;0,VLOOKUP(C604,КФСР!A240:B1752,2),IF(D604&gt;0,VLOOKUP(D604,Программа!A$1:B$5091,2),IF(F604&gt;0,VLOOKUP(F604,КВР!A$1:B$5001,2),IF(E604&gt;0,VLOOKUP(E604,Направление!A$1:B$4750,2))))))</f>
        <v>Расходы на реализацию МЦП "Улучшение условий и охраны труда"</v>
      </c>
      <c r="B604" s="160"/>
      <c r="C604" s="161"/>
      <c r="D604" s="145"/>
      <c r="E604" s="161">
        <v>16150</v>
      </c>
      <c r="F604" s="162"/>
      <c r="G604" s="337">
        <f>G605</f>
        <v>15000</v>
      </c>
      <c r="H604" s="371">
        <f t="shared" ref="H604:I604" si="137">H605</f>
        <v>0</v>
      </c>
      <c r="I604" s="371">
        <f t="shared" si="137"/>
        <v>15000</v>
      </c>
    </row>
    <row r="605" spans="1:9" s="171" customFormat="1" ht="63">
      <c r="A605" s="148" t="str">
        <f>IF(B605&gt;0,VLOOKUP(B605,КВСР!A241:B1406,2),IF(C605&gt;0,VLOOKUP(C605,КФСР!A241:B1753,2),IF(D605&gt;0,VLOOKUP(D605,Программа!A$1:B$5091,2),IF(F605&gt;0,VLOOKUP(F605,КВР!A$1:B$5001,2),IF(E605&gt;0,VLOOKUP(E605,Направление!A$1:B$4750,2))))))</f>
        <v>Предоставление субсидий бюджетным, автономным учреждениям и иным некоммерческим организациям</v>
      </c>
      <c r="B605" s="160"/>
      <c r="C605" s="161"/>
      <c r="D605" s="145"/>
      <c r="E605" s="161"/>
      <c r="F605" s="162">
        <v>600</v>
      </c>
      <c r="G605" s="337">
        <v>15000</v>
      </c>
      <c r="H605" s="153"/>
      <c r="I605" s="152">
        <f>G605+H605</f>
        <v>15000</v>
      </c>
    </row>
    <row r="606" spans="1:9" s="171" customFormat="1" ht="31.5">
      <c r="A606" s="142" t="str">
        <f>IF(B606&gt;0,VLOOKUP(B606,КВСР!A236:B1401,2),IF(C606&gt;0,VLOOKUP(C606,КФСР!A236:B1748,2),IF(D606&gt;0,VLOOKUP(D606,Программа!A$1:B$5091,2),IF(F606&gt;0,VLOOKUP(F606,КВР!A$1:B$5001,2),IF(E606&gt;0,VLOOKUP(E606,Направление!A$1:B$4750,2))))))</f>
        <v>Департамент труда и соц. развития Администрации ТМР</v>
      </c>
      <c r="B606" s="143">
        <v>954</v>
      </c>
      <c r="C606" s="144"/>
      <c r="D606" s="145"/>
      <c r="E606" s="144"/>
      <c r="F606" s="146"/>
      <c r="G606" s="555">
        <f>G607+G617+G626+G680+G713</f>
        <v>448747407</v>
      </c>
      <c r="H606" s="147">
        <f>H607+H617+H626+H680+H713</f>
        <v>1037153</v>
      </c>
      <c r="I606" s="445">
        <f t="shared" si="133"/>
        <v>449784560</v>
      </c>
    </row>
    <row r="607" spans="1:9" s="171" customFormat="1">
      <c r="A607" s="148" t="str">
        <f>IF(B607&gt;0,VLOOKUP(B607,КВСР!A241:B1406,2),IF(C607&gt;0,VLOOKUP(C607,КФСР!A241:B1753,2),IF(D607&gt;0,VLOOKUP(D607,Программа!A$1:B$5091,2),IF(F607&gt;0,VLOOKUP(F607,КВР!A$1:B$5001,2),IF(E607&gt;0,VLOOKUP(E607,Направление!A$1:B$4750,2))))))</f>
        <v>Пенсионное обеспечение</v>
      </c>
      <c r="B607" s="149"/>
      <c r="C607" s="144">
        <v>1001</v>
      </c>
      <c r="D607" s="145"/>
      <c r="E607" s="144"/>
      <c r="F607" s="146"/>
      <c r="G607" s="337">
        <f>G608</f>
        <v>5753004</v>
      </c>
      <c r="H607" s="152">
        <f>H608</f>
        <v>0</v>
      </c>
      <c r="I607" s="152">
        <f t="shared" si="133"/>
        <v>5753004</v>
      </c>
    </row>
    <row r="608" spans="1:9" s="171" customFormat="1" ht="47.25">
      <c r="A608" s="148" t="str">
        <f>IF(B608&gt;0,VLOOKUP(B608,КВСР!A242:B1407,2),IF(C608&gt;0,VLOOKUP(C608,КФСР!A242:B1754,2),IF(D608&gt;0,VLOOKUP(D608,Программа!A$1:B$5091,2),IF(F608&gt;0,VLOOKUP(F608,КВР!A$1:B$5001,2),IF(E608&gt;0,VLOOKUP(E608,Направление!A$1:B$4750,2))))))</f>
        <v>Муниципальная программа "Социальная поддержка населения Тутаевского муниципального района"</v>
      </c>
      <c r="B608" s="149"/>
      <c r="C608" s="144"/>
      <c r="D608" s="163" t="s">
        <v>548</v>
      </c>
      <c r="E608" s="161"/>
      <c r="F608" s="146"/>
      <c r="G608" s="337">
        <f>G610</f>
        <v>5753004</v>
      </c>
      <c r="H608" s="152">
        <f>H610</f>
        <v>0</v>
      </c>
      <c r="I608" s="152">
        <f t="shared" si="133"/>
        <v>5753004</v>
      </c>
    </row>
    <row r="609" spans="1:9" s="171" customFormat="1" ht="63">
      <c r="A609" s="148" t="str">
        <f>IF(B609&gt;0,VLOOKUP(B609,КВСР!A243:B1408,2),IF(C609&gt;0,VLOOKUP(C609,КФСР!A243:B1755,2),IF(D609&gt;0,VLOOKUP(D609,Программа!A$1:B$5091,2),IF(F609&gt;0,VLOOKUP(F609,КВР!A$1:B$5001,2),IF(E609&gt;0,VLOOKUP(E609,Направление!A$1:B$4750,2))))))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609" s="149"/>
      <c r="C609" s="144"/>
      <c r="D609" s="163" t="s">
        <v>620</v>
      </c>
      <c r="E609" s="161"/>
      <c r="F609" s="146"/>
      <c r="G609" s="337">
        <f>G610</f>
        <v>5753004</v>
      </c>
      <c r="H609" s="152">
        <f>H610</f>
        <v>0</v>
      </c>
      <c r="I609" s="152">
        <f t="shared" si="133"/>
        <v>5753004</v>
      </c>
    </row>
    <row r="610" spans="1:9" s="171" customFormat="1" ht="47.25">
      <c r="A610" s="148" t="str">
        <f>IF(B610&gt;0,VLOOKUP(B610,КВСР!A244:B1409,2),IF(C610&gt;0,VLOOKUP(C610,КФСР!A244:B1756,2),IF(D610&gt;0,VLOOKUP(D610,Программа!A$1:B$5091,2),IF(F610&gt;0,VLOOKUP(F610,КВР!A$1:B$5001,2),IF(E610&gt;0,VLOOKUP(E610,Направление!A$1:B$4750,2))))))</f>
        <v>Исполнение публичных обязательств по предоставлению выплат, пособий и компенсаций</v>
      </c>
      <c r="B610" s="149"/>
      <c r="C610" s="144"/>
      <c r="D610" s="163" t="s">
        <v>622</v>
      </c>
      <c r="E610" s="161"/>
      <c r="F610" s="146"/>
      <c r="G610" s="337">
        <f>G611+G614</f>
        <v>5753004</v>
      </c>
      <c r="H610" s="337">
        <f t="shared" ref="H610:I610" si="138">H611+H614</f>
        <v>0</v>
      </c>
      <c r="I610" s="337">
        <f t="shared" si="138"/>
        <v>5753004</v>
      </c>
    </row>
    <row r="611" spans="1:9" s="171" customFormat="1" ht="31.5">
      <c r="A611" s="148" t="str">
        <f>IF(B611&gt;0,VLOOKUP(B611,КВСР!A245:B1410,2),IF(C611&gt;0,VLOOKUP(C611,КФСР!A245:B1757,2),IF(D611&gt;0,VLOOKUP(D611,Программа!A$1:B$5091,2),IF(F611&gt;0,VLOOKUP(F611,КВР!A$1:B$5001,2),IF(E611&gt;0,VLOOKUP(E611,Направление!A$1:B$4750,2))))))</f>
        <v>Доплаты к пенсиям муниципальных служащих</v>
      </c>
      <c r="B611" s="149"/>
      <c r="C611" s="144"/>
      <c r="D611" s="145"/>
      <c r="E611" s="144">
        <v>16010</v>
      </c>
      <c r="F611" s="146"/>
      <c r="G611" s="337">
        <f>G613+G612</f>
        <v>5022204</v>
      </c>
      <c r="H611" s="152">
        <f>H613+H612</f>
        <v>0</v>
      </c>
      <c r="I611" s="152">
        <f t="shared" si="133"/>
        <v>5022204</v>
      </c>
    </row>
    <row r="612" spans="1:9" s="171" customFormat="1" ht="63">
      <c r="A612" s="148" t="str">
        <f>IF(B612&gt;0,VLOOKUP(B612,КВСР!A244:B1409,2),IF(C612&gt;0,VLOOKUP(C612,КФСР!A244:B1756,2),IF(D612&gt;0,VLOOKUP(D612,Программа!A$1:B$5091,2),IF(F612&gt;0,VLOOKUP(F612,КВР!A$1:B$5001,2),IF(E612&gt;0,VLOOKUP(E612,Направление!A$1:B$4750,2))))))</f>
        <v xml:space="preserve">Закупка товаров, работ и услуг для обеспечения государственных (муниципальных) нужд
</v>
      </c>
      <c r="B612" s="149"/>
      <c r="C612" s="144"/>
      <c r="D612" s="146"/>
      <c r="E612" s="144"/>
      <c r="F612" s="146">
        <v>200</v>
      </c>
      <c r="G612" s="337">
        <v>74220</v>
      </c>
      <c r="H612" s="154"/>
      <c r="I612" s="152">
        <f t="shared" si="133"/>
        <v>74220</v>
      </c>
    </row>
    <row r="613" spans="1:9" s="171" customFormat="1" ht="31.5">
      <c r="A613" s="148" t="str">
        <f>IF(B613&gt;0,VLOOKUP(B613,КВСР!A244:B1409,2),IF(C613&gt;0,VLOOKUP(C613,КФСР!A244:B1756,2),IF(D613&gt;0,VLOOKUP(D613,Программа!A$1:B$5091,2),IF(F613&gt;0,VLOOKUP(F613,КВР!A$1:B$5001,2),IF(E613&gt;0,VLOOKUP(E613,Направление!A$1:B$4750,2))))))</f>
        <v>Социальное обеспечение и иные выплаты населению</v>
      </c>
      <c r="B613" s="149"/>
      <c r="C613" s="144"/>
      <c r="D613" s="146"/>
      <c r="E613" s="144"/>
      <c r="F613" s="146">
        <v>300</v>
      </c>
      <c r="G613" s="379">
        <v>4947984</v>
      </c>
      <c r="H613" s="151"/>
      <c r="I613" s="152">
        <f t="shared" si="133"/>
        <v>4947984</v>
      </c>
    </row>
    <row r="614" spans="1:9" s="171" customFormat="1" ht="31.5">
      <c r="A614" s="148" t="str">
        <f>IF(B614&gt;0,VLOOKUP(B614,КВСР!A245:B1410,2),IF(C614&gt;0,VLOOKUP(C614,КФСР!A245:B1757,2),IF(D614&gt;0,VLOOKUP(D614,Программа!A$1:B$5091,2),IF(F614&gt;0,VLOOKUP(F614,КВР!A$1:B$5001,2),IF(E614&gt;0,VLOOKUP(E614,Направление!A$1:B$4750,2))))))</f>
        <v>Доплаты к пенсиям муниципальным служащим поселений</v>
      </c>
      <c r="B614" s="149"/>
      <c r="C614" s="144"/>
      <c r="D614" s="146"/>
      <c r="E614" s="144">
        <v>29756</v>
      </c>
      <c r="F614" s="146"/>
      <c r="G614" s="379">
        <f>G615+G616</f>
        <v>730800</v>
      </c>
      <c r="H614" s="379">
        <f t="shared" ref="H614:I614" si="139">H615+H616</f>
        <v>0</v>
      </c>
      <c r="I614" s="379">
        <f t="shared" si="139"/>
        <v>730800</v>
      </c>
    </row>
    <row r="615" spans="1:9" s="171" customFormat="1" ht="63">
      <c r="A615" s="148" t="str">
        <f>IF(B615&gt;0,VLOOKUP(B615,КВСР!A246:B1411,2),IF(C615&gt;0,VLOOKUP(C615,КФСР!A246:B1758,2),IF(D615&gt;0,VLOOKUP(D615,Программа!A$1:B$5091,2),IF(F615&gt;0,VLOOKUP(F615,КВР!A$1:B$5001,2),IF(E615&gt;0,VLOOKUP(E615,Направление!A$1:B$4750,2))))))</f>
        <v xml:space="preserve">Закупка товаров, работ и услуг для обеспечения государственных (муниципальных) нужд
</v>
      </c>
      <c r="B615" s="149"/>
      <c r="C615" s="144"/>
      <c r="D615" s="146"/>
      <c r="E615" s="144"/>
      <c r="F615" s="146">
        <v>200</v>
      </c>
      <c r="G615" s="379">
        <v>10800</v>
      </c>
      <c r="H615" s="151"/>
      <c r="I615" s="152">
        <f>G615+H615</f>
        <v>10800</v>
      </c>
    </row>
    <row r="616" spans="1:9" s="171" customFormat="1" ht="31.5">
      <c r="A616" s="148" t="str">
        <f>IF(B616&gt;0,VLOOKUP(B616,КВСР!A247:B1412,2),IF(C616&gt;0,VLOOKUP(C616,КФСР!A247:B1759,2),IF(D616&gt;0,VLOOKUP(D616,Программа!A$1:B$5091,2),IF(F616&gt;0,VLOOKUP(F616,КВР!A$1:B$5001,2),IF(E616&gt;0,VLOOKUP(E616,Направление!A$1:B$4750,2))))))</f>
        <v>Социальное обеспечение и иные выплаты населению</v>
      </c>
      <c r="B616" s="149"/>
      <c r="C616" s="144"/>
      <c r="D616" s="146"/>
      <c r="E616" s="144"/>
      <c r="F616" s="146">
        <v>300</v>
      </c>
      <c r="G616" s="379">
        <v>720000</v>
      </c>
      <c r="H616" s="151"/>
      <c r="I616" s="152">
        <f>G616+H616</f>
        <v>720000</v>
      </c>
    </row>
    <row r="617" spans="1:9" s="171" customFormat="1" ht="31.5">
      <c r="A617" s="148" t="str">
        <f>IF(B617&gt;0,VLOOKUP(B617,КВСР!A245:B1410,2),IF(C617&gt;0,VLOOKUP(C617,КФСР!A245:B1757,2),IF(D617&gt;0,VLOOKUP(D617,Программа!A$1:B$5091,2),IF(F617&gt;0,VLOOKUP(F617,КВР!A$1:B$5001,2),IF(E617&gt;0,VLOOKUP(E617,Направление!A$1:B$4750,2))))))</f>
        <v>Социальное обслуживание населения</v>
      </c>
      <c r="B617" s="149"/>
      <c r="C617" s="144">
        <v>1002</v>
      </c>
      <c r="D617" s="145"/>
      <c r="E617" s="144"/>
      <c r="F617" s="146"/>
      <c r="G617" s="337">
        <f>G618</f>
        <v>80498040</v>
      </c>
      <c r="H617" s="152">
        <f>H618</f>
        <v>754400</v>
      </c>
      <c r="I617" s="152">
        <f t="shared" si="133"/>
        <v>81252440</v>
      </c>
    </row>
    <row r="618" spans="1:9" s="171" customFormat="1" ht="47.25">
      <c r="A618" s="148" t="str">
        <f>IF(B618&gt;0,VLOOKUP(B618,КВСР!A246:B1411,2),IF(C618&gt;0,VLOOKUP(C618,КФСР!A246:B1758,2),IF(D618&gt;0,VLOOKUP(D618,Программа!A$1:B$5091,2),IF(F618&gt;0,VLOOKUP(F618,КВР!A$1:B$5001,2),IF(E618&gt;0,VLOOKUP(E618,Направление!A$1:B$4750,2))))))</f>
        <v>Муниципальная программа "Социальная поддержка населения Тутаевского муниципального района"</v>
      </c>
      <c r="B618" s="149"/>
      <c r="C618" s="144"/>
      <c r="D618" s="145" t="s">
        <v>548</v>
      </c>
      <c r="E618" s="144"/>
      <c r="F618" s="146"/>
      <c r="G618" s="337">
        <f>G619</f>
        <v>80498040</v>
      </c>
      <c r="H618" s="337">
        <f t="shared" ref="H618:I618" si="140">H619</f>
        <v>754400</v>
      </c>
      <c r="I618" s="337">
        <f t="shared" si="140"/>
        <v>81252440</v>
      </c>
    </row>
    <row r="619" spans="1:9" s="171" customFormat="1" ht="63">
      <c r="A619" s="148" t="str">
        <f>IF(B619&gt;0,VLOOKUP(B619,КВСР!A247:B1412,2),IF(C619&gt;0,VLOOKUP(C619,КФСР!A247:B1759,2),IF(D619&gt;0,VLOOKUP(D619,Программа!A$1:B$5091,2),IF(F619&gt;0,VLOOKUP(F619,КВР!A$1:B$5001,2),IF(E619&gt;0,VLOOKUP(E619,Направление!A$1:B$4750,2))))))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619" s="149"/>
      <c r="C619" s="144"/>
      <c r="D619" s="145" t="s">
        <v>620</v>
      </c>
      <c r="E619" s="144"/>
      <c r="F619" s="146"/>
      <c r="G619" s="337">
        <f>G620+G623</f>
        <v>80498040</v>
      </c>
      <c r="H619" s="337">
        <f t="shared" ref="H619:I619" si="141">H620+H623</f>
        <v>754400</v>
      </c>
      <c r="I619" s="337">
        <f t="shared" si="141"/>
        <v>81252440</v>
      </c>
    </row>
    <row r="620" spans="1:9" s="171" customFormat="1" ht="78.75">
      <c r="A620" s="148" t="str">
        <f>IF(B620&gt;0,VLOOKUP(B620,КВСР!A248:B1413,2),IF(C620&gt;0,VLOOKUP(C620,КФСР!A248:B1760,2),IF(D620&gt;0,VLOOKUP(D620,Программа!A$1:B$5091,2),IF(F620&gt;0,VLOOKUP(F620,КВР!A$1:B$5001,2),IF(E620&gt;0,VLOOKUP(E620,Направление!A$1:B$4750,2))))))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20" s="149"/>
      <c r="C620" s="144"/>
      <c r="D620" s="145" t="s">
        <v>625</v>
      </c>
      <c r="E620" s="144"/>
      <c r="F620" s="146"/>
      <c r="G620" s="337">
        <f t="shared" ref="G620:H621" si="142">G621</f>
        <v>79748040</v>
      </c>
      <c r="H620" s="152">
        <f t="shared" si="142"/>
        <v>0</v>
      </c>
      <c r="I620" s="152">
        <f t="shared" si="133"/>
        <v>79748040</v>
      </c>
    </row>
    <row r="621" spans="1:9" s="171" customFormat="1" ht="157.5">
      <c r="A621" s="148" t="str">
        <f>IF(B621&gt;0,VLOOKUP(B621,КВСР!A248:B1413,2),IF(C621&gt;0,VLOOKUP(C621,КФСР!A248:B1760,2),IF(D621&gt;0,VLOOKUP(D621,Программа!A$1:B$5091,2),IF(F621&gt;0,VLOOKUP(F621,КВР!A$1:B$5001,2),IF(E621&gt;0,VLOOKUP(E621,Направление!A$1:B$4750,2))))))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21" s="149"/>
      <c r="C621" s="144"/>
      <c r="D621" s="145"/>
      <c r="E621" s="144">
        <v>70850</v>
      </c>
      <c r="F621" s="146"/>
      <c r="G621" s="379">
        <f t="shared" si="142"/>
        <v>79748040</v>
      </c>
      <c r="H621" s="150">
        <f t="shared" si="142"/>
        <v>0</v>
      </c>
      <c r="I621" s="152">
        <f t="shared" si="133"/>
        <v>79748040</v>
      </c>
    </row>
    <row r="622" spans="1:9" s="171" customFormat="1" ht="63">
      <c r="A622" s="148" t="str">
        <f>IF(B622&gt;0,VLOOKUP(B622,КВСР!A249:B1414,2),IF(C622&gt;0,VLOOKUP(C622,КФСР!A249:B1761,2),IF(D622&gt;0,VLOOKUP(D622,Программа!A$1:B$5091,2),IF(F622&gt;0,VLOOKUP(F622,КВР!A$1:B$5001,2),IF(E622&gt;0,VLOOKUP(E622,Направление!A$1:B$4750,2))))))</f>
        <v>Предоставление субсидий бюджетным, автономным учреждениям и иным некоммерческим организациям</v>
      </c>
      <c r="B622" s="149"/>
      <c r="C622" s="144"/>
      <c r="D622" s="146"/>
      <c r="E622" s="144"/>
      <c r="F622" s="146">
        <v>600</v>
      </c>
      <c r="G622" s="379">
        <v>79748040</v>
      </c>
      <c r="H622" s="151"/>
      <c r="I622" s="152">
        <f t="shared" si="133"/>
        <v>79748040</v>
      </c>
    </row>
    <row r="623" spans="1:9" s="171" customFormat="1" ht="31.5">
      <c r="A623" s="148" t="str">
        <f>IF(B623&gt;0,VLOOKUP(B623,КВСР!A250:B1415,2),IF(C623&gt;0,VLOOKUP(C623,КФСР!A250:B1762,2),IF(D623&gt;0,VLOOKUP(D623,Программа!A$1:B$5091,2),IF(F623&gt;0,VLOOKUP(F623,КВР!A$1:B$5001,2),IF(E623&gt;0,VLOOKUP(E623,Направление!A$1:B$4750,2))))))</f>
        <v>Федеральный проект "Старшее поколение"</v>
      </c>
      <c r="B623" s="149"/>
      <c r="C623" s="144"/>
      <c r="D623" s="146" t="s">
        <v>1813</v>
      </c>
      <c r="E623" s="144"/>
      <c r="F623" s="146"/>
      <c r="G623" s="379">
        <f>G624</f>
        <v>750000</v>
      </c>
      <c r="H623" s="379">
        <f t="shared" ref="H623:I624" si="143">H624</f>
        <v>754400</v>
      </c>
      <c r="I623" s="379">
        <f t="shared" si="143"/>
        <v>1504400</v>
      </c>
    </row>
    <row r="624" spans="1:9" s="171" customFormat="1" ht="63">
      <c r="A624" s="148" t="str">
        <f>IF(B624&gt;0,VLOOKUP(B624,КВСР!A251:B1416,2),IF(C624&gt;0,VLOOKUP(C624,КФСР!A251:B1763,2),IF(D624&gt;0,VLOOKUP(D624,Программа!A$1:B$5091,2),IF(F624&gt;0,VLOOKUP(F624,КВР!A$1:B$5001,2),IF(E624&gt;0,VLOOKUP(E624,Направление!A$1:B$4750,2))))))</f>
        <v>Расходы на приобретение автотранспорта в рамках реализации федерального проекта  "Старшее поколение"</v>
      </c>
      <c r="B624" s="149"/>
      <c r="C624" s="144"/>
      <c r="D624" s="146"/>
      <c r="E624" s="144">
        <v>52930</v>
      </c>
      <c r="F624" s="146"/>
      <c r="G624" s="379">
        <f>G625</f>
        <v>750000</v>
      </c>
      <c r="H624" s="379">
        <f t="shared" si="143"/>
        <v>754400</v>
      </c>
      <c r="I624" s="379">
        <f t="shared" si="143"/>
        <v>1504400</v>
      </c>
    </row>
    <row r="625" spans="1:9" s="171" customFormat="1" ht="63">
      <c r="A625" s="148" t="str">
        <f>IF(B625&gt;0,VLOOKUP(B625,КВСР!A252:B1417,2),IF(C625&gt;0,VLOOKUP(C625,КФСР!A252:B1764,2),IF(D625&gt;0,VLOOKUP(D625,Программа!A$1:B$5091,2),IF(F625&gt;0,VLOOKUP(F625,КВР!A$1:B$5001,2),IF(E625&gt;0,VLOOKUP(E625,Направление!A$1:B$4750,2))))))</f>
        <v>Предоставление субсидий бюджетным, автономным учреждениям и иным некоммерческим организациям</v>
      </c>
      <c r="B625" s="149"/>
      <c r="C625" s="144"/>
      <c r="D625" s="146"/>
      <c r="E625" s="144"/>
      <c r="F625" s="146">
        <v>600</v>
      </c>
      <c r="G625" s="379">
        <v>750000</v>
      </c>
      <c r="H625" s="151">
        <v>754400</v>
      </c>
      <c r="I625" s="152">
        <f>G625+H625</f>
        <v>1504400</v>
      </c>
    </row>
    <row r="626" spans="1:9" s="171" customFormat="1">
      <c r="A626" s="148" t="str">
        <f>IF(B626&gt;0,VLOOKUP(B626,КВСР!A250:B1415,2),IF(C626&gt;0,VLOOKUP(C626,КФСР!A250:B1762,2),IF(D626&gt;0,VLOOKUP(D626,Программа!A$1:B$5091,2),IF(F626&gt;0,VLOOKUP(F626,КВР!A$1:B$5001,2),IF(E626&gt;0,VLOOKUP(E626,Направление!A$1:B$4750,2))))))</f>
        <v>Социальное обеспечение населения</v>
      </c>
      <c r="B626" s="149"/>
      <c r="C626" s="144">
        <v>1003</v>
      </c>
      <c r="D626" s="145"/>
      <c r="E626" s="144"/>
      <c r="F626" s="146"/>
      <c r="G626" s="337">
        <f>G627+G677</f>
        <v>206951463</v>
      </c>
      <c r="H626" s="337">
        <f t="shared" ref="H626:I626" si="144">H627+H677</f>
        <v>182753</v>
      </c>
      <c r="I626" s="337">
        <f t="shared" si="144"/>
        <v>207134216</v>
      </c>
    </row>
    <row r="627" spans="1:9" s="171" customFormat="1" ht="47.25">
      <c r="A627" s="148" t="str">
        <f>IF(B627&gt;0,VLOOKUP(B627,КВСР!A251:B1416,2),IF(C627&gt;0,VLOOKUP(C627,КФСР!A251:B1763,2),IF(D627&gt;0,VLOOKUP(D627,Программа!A$1:B$5091,2),IF(F627&gt;0,VLOOKUP(F627,КВР!A$1:B$5001,2),IF(E627&gt;0,VLOOKUP(E627,Направление!A$1:B$4750,2))))))</f>
        <v>Муниципальная программа "Социальная поддержка населения Тутаевского муниципального района"</v>
      </c>
      <c r="B627" s="149"/>
      <c r="C627" s="144"/>
      <c r="D627" s="145" t="s">
        <v>548</v>
      </c>
      <c r="E627" s="144"/>
      <c r="F627" s="146"/>
      <c r="G627" s="442">
        <f>G628</f>
        <v>206926463</v>
      </c>
      <c r="H627" s="442">
        <f t="shared" ref="H627:I627" si="145">H628</f>
        <v>182753</v>
      </c>
      <c r="I627" s="442">
        <f t="shared" si="145"/>
        <v>207109216</v>
      </c>
    </row>
    <row r="628" spans="1:9" s="171" customFormat="1" ht="63">
      <c r="A628" s="148" t="str">
        <f>IF(B628&gt;0,VLOOKUP(B628,КВСР!A251:B1416,2),IF(C628&gt;0,VLOOKUP(C628,КФСР!A251:B1763,2),IF(D628&gt;0,VLOOKUP(D628,Программа!A$1:B$5091,2),IF(F628&gt;0,VLOOKUP(F628,КВР!A$1:B$5001,2),IF(E628&gt;0,VLOOKUP(E628,Направление!A$1:B$4750,2))))))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628" s="149"/>
      <c r="C628" s="144"/>
      <c r="D628" s="145" t="s">
        <v>620</v>
      </c>
      <c r="E628" s="144"/>
      <c r="F628" s="146"/>
      <c r="G628" s="442">
        <f t="shared" ref="G628:H628" si="146">G629+G671</f>
        <v>206926463</v>
      </c>
      <c r="H628" s="442">
        <f t="shared" si="146"/>
        <v>182753</v>
      </c>
      <c r="I628" s="152">
        <f t="shared" ref="I628" si="147">SUM(G628:H628)</f>
        <v>207109216</v>
      </c>
    </row>
    <row r="629" spans="1:9" s="171" customFormat="1" ht="47.25">
      <c r="A629" s="148" t="str">
        <f>IF(B629&gt;0,VLOOKUP(B629,КВСР!A252:B1417,2),IF(C629&gt;0,VLOOKUP(C629,КФСР!A252:B1764,2),IF(D629&gt;0,VLOOKUP(D629,Программа!A$1:B$5091,2),IF(F629&gt;0,VLOOKUP(F629,КВР!A$1:B$5001,2),IF(E629&gt;0,VLOOKUP(E629,Направление!A$1:B$4750,2))))))</f>
        <v>Исполнение публичных обязательств по предоставлению выплат, пособий и компенсаций</v>
      </c>
      <c r="B629" s="149"/>
      <c r="C629" s="144"/>
      <c r="D629" s="145" t="s">
        <v>622</v>
      </c>
      <c r="E629" s="144"/>
      <c r="F629" s="146"/>
      <c r="G629" s="337">
        <f t="shared" ref="G629" si="148">G630+G633+G636+G638+G641+G643+G645+G648+G651+G654+G657+G664+G667+G669+G660+G662</f>
        <v>202190443</v>
      </c>
      <c r="H629" s="337">
        <f t="shared" ref="H629:I629" si="149">H630+H633+H636+H638+H641+H643+H645+H648+H651+H654+H657+H664+H667+H669+H660+H662</f>
        <v>182753</v>
      </c>
      <c r="I629" s="337">
        <f t="shared" si="149"/>
        <v>202373196</v>
      </c>
    </row>
    <row r="630" spans="1:9" s="171" customFormat="1" ht="47.25">
      <c r="A630" s="148" t="str">
        <f>IF(B630&gt;0,VLOOKUP(B630,КВСР!A254:B1419,2),IF(C630&gt;0,VLOOKUP(C630,КФСР!A254:B1766,2),IF(D630&gt;0,VLOOKUP(D630,Программа!A$1:B$5091,2),IF(F630&gt;0,VLOOKUP(F630,КВР!A$1:B$5001,2),IF(E630&gt;0,VLOOKUP(E630,Направление!A$1:B$4750,2))))))</f>
        <v>Субвенция на социальную поддержку граждан, подвергшихся воздействию радиации</v>
      </c>
      <c r="B630" s="149"/>
      <c r="C630" s="144"/>
      <c r="D630" s="145"/>
      <c r="E630" s="144">
        <v>51370</v>
      </c>
      <c r="F630" s="146"/>
      <c r="G630" s="337">
        <f>G631+G632</f>
        <v>1541200</v>
      </c>
      <c r="H630" s="152">
        <f>H631+H632</f>
        <v>0</v>
      </c>
      <c r="I630" s="152">
        <f t="shared" si="133"/>
        <v>1541200</v>
      </c>
    </row>
    <row r="631" spans="1:9" s="171" customFormat="1" ht="63">
      <c r="A631" s="148" t="str">
        <f>IF(B631&gt;0,VLOOKUP(B631,КВСР!A255:B1420,2),IF(C631&gt;0,VLOOKUP(C631,КФСР!A255:B1767,2),IF(D631&gt;0,VLOOKUP(D631,Программа!A$1:B$5091,2),IF(F631&gt;0,VLOOKUP(F631,КВР!A$1:B$5001,2),IF(E631&gt;0,VLOOKUP(E631,Направление!A$1:B$4750,2))))))</f>
        <v xml:space="preserve">Закупка товаров, работ и услуг для обеспечения государственных (муниципальных) нужд
</v>
      </c>
      <c r="B631" s="149"/>
      <c r="C631" s="144"/>
      <c r="D631" s="146"/>
      <c r="E631" s="172"/>
      <c r="F631" s="146">
        <v>200</v>
      </c>
      <c r="G631" s="337">
        <v>22372</v>
      </c>
      <c r="H631" s="153"/>
      <c r="I631" s="152">
        <f t="shared" si="133"/>
        <v>22372</v>
      </c>
    </row>
    <row r="632" spans="1:9" s="171" customFormat="1" ht="31.5">
      <c r="A632" s="148" t="str">
        <f>IF(B632&gt;0,VLOOKUP(B632,КВСР!A256:B1421,2),IF(C632&gt;0,VLOOKUP(C632,КФСР!A256:B1768,2),IF(D632&gt;0,VLOOKUP(D632,Программа!A$1:B$5091,2),IF(F632&gt;0,VLOOKUP(F632,КВР!A$1:B$5001,2),IF(E632&gt;0,VLOOKUP(E632,Направление!A$1:B$4750,2))))))</f>
        <v>Социальное обеспечение и иные выплаты населению</v>
      </c>
      <c r="B632" s="149"/>
      <c r="C632" s="144"/>
      <c r="D632" s="146"/>
      <c r="E632" s="172"/>
      <c r="F632" s="146">
        <v>300</v>
      </c>
      <c r="G632" s="337">
        <v>1518828</v>
      </c>
      <c r="H632" s="153"/>
      <c r="I632" s="152">
        <f t="shared" si="133"/>
        <v>1518828</v>
      </c>
    </row>
    <row r="633" spans="1:9" s="171" customFormat="1" ht="126">
      <c r="A633" s="148" t="str">
        <f>IF(B633&gt;0,VLOOKUP(B633,КВСР!A252:B1417,2),IF(C633&gt;0,VLOOKUP(C633,КФСР!A252:B1764,2),IF(D633&gt;0,VLOOKUP(D633,Программа!A$1:B$5091,2),IF(F633&gt;0,VLOOKUP(F633,КВР!A$1:B$5001,2),IF(E633&gt;0,VLOOKUP(E633,Направление!A$1:B$4750,2))))))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33" s="149"/>
      <c r="C633" s="144"/>
      <c r="D633" s="145"/>
      <c r="E633" s="144">
        <v>52200</v>
      </c>
      <c r="F633" s="146"/>
      <c r="G633" s="337">
        <f>G634+G635</f>
        <v>5616700</v>
      </c>
      <c r="H633" s="152">
        <f>H634+H635</f>
        <v>182753</v>
      </c>
      <c r="I633" s="152">
        <f t="shared" si="133"/>
        <v>5799453</v>
      </c>
    </row>
    <row r="634" spans="1:9" s="171" customFormat="1" ht="63">
      <c r="A634" s="148" t="str">
        <f>IF(B634&gt;0,VLOOKUP(B634,КВСР!A253:B1418,2),IF(C634&gt;0,VLOOKUP(C634,КФСР!A253:B1765,2),IF(D634&gt;0,VLOOKUP(D634,Программа!A$1:B$5091,2),IF(F634&gt;0,VLOOKUP(F634,КВР!A$1:B$5001,2),IF(E634&gt;0,VLOOKUP(E634,Направление!A$1:B$4750,2))))))</f>
        <v xml:space="preserve">Закупка товаров, работ и услуг для обеспечения государственных (муниципальных) нужд
</v>
      </c>
      <c r="B634" s="149"/>
      <c r="C634" s="144"/>
      <c r="D634" s="146"/>
      <c r="E634" s="172"/>
      <c r="F634" s="146">
        <v>200</v>
      </c>
      <c r="G634" s="337">
        <v>80156</v>
      </c>
      <c r="H634" s="153">
        <v>-6111</v>
      </c>
      <c r="I634" s="152">
        <f t="shared" si="133"/>
        <v>74045</v>
      </c>
    </row>
    <row r="635" spans="1:9" s="171" customFormat="1" ht="31.5">
      <c r="A635" s="148" t="str">
        <f>IF(B635&gt;0,VLOOKUP(B635,КВСР!A254:B1419,2),IF(C635&gt;0,VLOOKUP(C635,КФСР!A254:B1766,2),IF(D635&gt;0,VLOOKUP(D635,Программа!A$1:B$5091,2),IF(F635&gt;0,VLOOKUP(F635,КВР!A$1:B$5001,2),IF(E635&gt;0,VLOOKUP(E635,Направление!A$1:B$4750,2))))))</f>
        <v>Социальное обеспечение и иные выплаты населению</v>
      </c>
      <c r="B635" s="149"/>
      <c r="C635" s="144"/>
      <c r="D635" s="146"/>
      <c r="E635" s="172"/>
      <c r="F635" s="146">
        <v>300</v>
      </c>
      <c r="G635" s="337">
        <v>5536544</v>
      </c>
      <c r="H635" s="153">
        <v>188864</v>
      </c>
      <c r="I635" s="152">
        <f t="shared" si="133"/>
        <v>5725408</v>
      </c>
    </row>
    <row r="636" spans="1:9" s="171" customFormat="1" ht="94.5" hidden="1">
      <c r="A636" s="148" t="str">
        <f>IF(B636&gt;0,VLOOKUP(B636,КВСР!A255:B1420,2),IF(C636&gt;0,VLOOKUP(C636,КФСР!A255:B1767,2),IF(D636&gt;0,VLOOKUP(D636,Программа!A$1:B$5091,2),IF(F636&gt;0,VLOOKUP(F636,КВР!A$1:B$5001,2),IF(E636&gt;0,VLOOKUP(E636,Направление!A$1:B$4750,2))))))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636" s="149"/>
      <c r="C636" s="144"/>
      <c r="D636" s="145"/>
      <c r="E636" s="144">
        <v>52400</v>
      </c>
      <c r="F636" s="146"/>
      <c r="G636" s="337">
        <f>G637</f>
        <v>0</v>
      </c>
      <c r="H636" s="152">
        <f>H637</f>
        <v>0</v>
      </c>
      <c r="I636" s="152">
        <f t="shared" si="133"/>
        <v>0</v>
      </c>
    </row>
    <row r="637" spans="1:9" s="171" customFormat="1" ht="31.5" hidden="1">
      <c r="A637" s="148" t="str">
        <f>IF(B637&gt;0,VLOOKUP(B637,КВСР!A256:B1421,2),IF(C637&gt;0,VLOOKUP(C637,КФСР!A256:B1768,2),IF(D637&gt;0,VLOOKUP(D637,Программа!A$1:B$5091,2),IF(F637&gt;0,VLOOKUP(F637,КВР!A$1:B$5001,2),IF(E637&gt;0,VLOOKUP(E637,Направление!A$1:B$4750,2))))))</f>
        <v>Социальное обеспечение и иные выплаты населению</v>
      </c>
      <c r="B637" s="149"/>
      <c r="C637" s="144"/>
      <c r="D637" s="146"/>
      <c r="E637" s="172"/>
      <c r="F637" s="146">
        <v>300</v>
      </c>
      <c r="G637" s="337"/>
      <c r="H637" s="153"/>
      <c r="I637" s="152">
        <f t="shared" si="133"/>
        <v>0</v>
      </c>
    </row>
    <row r="638" spans="1:9" s="171" customFormat="1" ht="63">
      <c r="A638" s="148" t="str">
        <f>IF(B638&gt;0,VLOOKUP(B638,КВСР!A252:B1417,2),IF(C638&gt;0,VLOOKUP(C638,КФСР!A252:B1764,2),IF(D638&gt;0,VLOOKUP(D638,Программа!A$1:B$5091,2),IF(F638&gt;0,VLOOKUP(F638,КВР!A$1:B$5001,2),IF(E638&gt;0,VLOOKUP(E638,Направление!A$1:B$4750,2))))))</f>
        <v>Оплата жилищно-коммунальных услуг отдельным категориям граждан за счет средств федерального бюджета</v>
      </c>
      <c r="B638" s="149"/>
      <c r="C638" s="144"/>
      <c r="D638" s="145"/>
      <c r="E638" s="144">
        <v>52500</v>
      </c>
      <c r="F638" s="146"/>
      <c r="G638" s="337">
        <f>G640+G639</f>
        <v>38761000</v>
      </c>
      <c r="H638" s="152">
        <f>H640+H639</f>
        <v>0</v>
      </c>
      <c r="I638" s="152">
        <f t="shared" si="133"/>
        <v>38761000</v>
      </c>
    </row>
    <row r="639" spans="1:9" s="171" customFormat="1" ht="63">
      <c r="A639" s="148" t="str">
        <f>IF(B639&gt;0,VLOOKUP(B639,КВСР!A252:B1417,2),IF(C639&gt;0,VLOOKUP(C639,КФСР!A252:B1764,2),IF(D639&gt;0,VLOOKUP(D639,Программа!A$1:B$5091,2),IF(F639&gt;0,VLOOKUP(F639,КВР!A$1:B$5001,2),IF(E639&gt;0,VLOOKUP(E639,Направление!A$1:B$4750,2))))))</f>
        <v xml:space="preserve">Закупка товаров, работ и услуг для обеспечения государственных (муниципальных) нужд
</v>
      </c>
      <c r="B639" s="149"/>
      <c r="C639" s="144"/>
      <c r="D639" s="146"/>
      <c r="E639" s="172"/>
      <c r="F639" s="146">
        <v>200</v>
      </c>
      <c r="G639" s="337">
        <v>570923</v>
      </c>
      <c r="H639" s="153"/>
      <c r="I639" s="152">
        <f t="shared" si="133"/>
        <v>570923</v>
      </c>
    </row>
    <row r="640" spans="1:9" s="171" customFormat="1" ht="31.5">
      <c r="A640" s="148" t="str">
        <f>IF(B640&gt;0,VLOOKUP(B640,КВСР!A253:B1418,2),IF(C640&gt;0,VLOOKUP(C640,КФСР!A253:B1765,2),IF(D640&gt;0,VLOOKUP(D640,Программа!A$1:B$5091,2),IF(F640&gt;0,VLOOKUP(F640,КВР!A$1:B$5001,2),IF(E640&gt;0,VLOOKUP(E640,Направление!A$1:B$4750,2))))))</f>
        <v>Социальное обеспечение и иные выплаты населению</v>
      </c>
      <c r="B640" s="149"/>
      <c r="C640" s="144"/>
      <c r="D640" s="146"/>
      <c r="E640" s="172"/>
      <c r="F640" s="146">
        <v>300</v>
      </c>
      <c r="G640" s="379">
        <v>38190077</v>
      </c>
      <c r="H640" s="151"/>
      <c r="I640" s="152">
        <f t="shared" si="133"/>
        <v>38190077</v>
      </c>
    </row>
    <row r="641" spans="1:9" s="171" customFormat="1" ht="78.75" hidden="1">
      <c r="A641" s="148" t="str">
        <f>IF(B641&gt;0,VLOOKUP(B641,КВСР!A254:B1419,2),IF(C641&gt;0,VLOOKUP(C641,КФСР!A254:B1766,2),IF(D641&gt;0,VLOOKUP(D641,Программа!A$1:B$5091,2),IF(F641&gt;0,VLOOKUP(F641,КВР!A$1:B$5001,2),IF(E641&gt;0,VLOOKUP(E641,Направление!A$1:B$4750,2))))))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641" s="149"/>
      <c r="C641" s="144"/>
      <c r="D641" s="145"/>
      <c r="E641" s="144">
        <v>54620</v>
      </c>
      <c r="F641" s="146"/>
      <c r="G641" s="379">
        <f>G642</f>
        <v>0</v>
      </c>
      <c r="H641" s="150">
        <f>H642</f>
        <v>0</v>
      </c>
      <c r="I641" s="152">
        <f t="shared" si="133"/>
        <v>0</v>
      </c>
    </row>
    <row r="642" spans="1:9" s="171" customFormat="1" ht="31.5" hidden="1">
      <c r="A642" s="148" t="str">
        <f>IF(B642&gt;0,VLOOKUP(B642,КВСР!A255:B1420,2),IF(C642&gt;0,VLOOKUP(C642,КФСР!A255:B1767,2),IF(D642&gt;0,VLOOKUP(D642,Программа!A$1:B$5091,2),IF(F642&gt;0,VLOOKUP(F642,КВР!A$1:B$5001,2),IF(E642&gt;0,VLOOKUP(E642,Направление!A$1:B$4750,2))))))</f>
        <v>Социальное обеспечение и иные выплаты населению</v>
      </c>
      <c r="B642" s="149"/>
      <c r="C642" s="144"/>
      <c r="D642" s="146"/>
      <c r="E642" s="172"/>
      <c r="F642" s="146">
        <v>300</v>
      </c>
      <c r="G642" s="379"/>
      <c r="H642" s="151"/>
      <c r="I642" s="152">
        <f t="shared" si="133"/>
        <v>0</v>
      </c>
    </row>
    <row r="643" spans="1:9" s="171" customFormat="1" ht="94.5" hidden="1">
      <c r="A643" s="148" t="str">
        <f>IF(B643&gt;0,VLOOKUP(B643,КВСР!A256:B1421,2),IF(C643&gt;0,VLOOKUP(C643,КФСР!A256:B1768,2),IF(D643&gt;0,VLOOKUP(D643,Программа!A$1:B$5091,2),IF(F643&gt;0,VLOOKUP(F643,КВР!A$1:B$5001,2),IF(E643&gt;0,VLOOKUP(E643,Направление!A$1:B$4750,2))))))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43" s="149"/>
      <c r="C643" s="144"/>
      <c r="D643" s="145"/>
      <c r="E643" s="144">
        <v>53850</v>
      </c>
      <c r="F643" s="146"/>
      <c r="G643" s="379">
        <f>G644</f>
        <v>0</v>
      </c>
      <c r="H643" s="150">
        <f>H644</f>
        <v>0</v>
      </c>
      <c r="I643" s="152">
        <f t="shared" si="133"/>
        <v>0</v>
      </c>
    </row>
    <row r="644" spans="1:9" s="171" customFormat="1" ht="31.5" hidden="1">
      <c r="A644" s="148" t="str">
        <f>IF(B644&gt;0,VLOOKUP(B644,КВСР!A257:B1422,2),IF(C644&gt;0,VLOOKUP(C644,КФСР!A257:B1769,2),IF(D644&gt;0,VLOOKUP(D644,Программа!A$1:B$5091,2),IF(F644&gt;0,VLOOKUP(F644,КВР!A$1:B$5001,2),IF(E644&gt;0,VLOOKUP(E644,Направление!A$1:B$4750,2))))))</f>
        <v>Социальное обеспечение и иные выплаты населению</v>
      </c>
      <c r="B644" s="149"/>
      <c r="C644" s="144"/>
      <c r="D644" s="146"/>
      <c r="E644" s="172"/>
      <c r="F644" s="146">
        <v>300</v>
      </c>
      <c r="G644" s="379"/>
      <c r="H644" s="151"/>
      <c r="I644" s="152">
        <f t="shared" si="133"/>
        <v>0</v>
      </c>
    </row>
    <row r="645" spans="1:9" s="171" customFormat="1" ht="63">
      <c r="A645" s="148" t="str">
        <f>IF(B645&gt;0,VLOOKUP(B645,КВСР!A258:B1423,2),IF(C645&gt;0,VLOOKUP(C645,КФСР!A258:B1770,2),IF(D645&gt;0,VLOOKUP(D645,Программа!A$1:B$5091,2),IF(F645&gt;0,VLOOKUP(F645,КВР!A$1:B$5001,2),IF(E645&gt;0,VLOOKUP(E645,Направление!A$1:B$4750,2))))))</f>
        <v>Предоставление гражданам субсидий на оплату жилого помещения и коммунальных услуг за счет средств областного бюджета</v>
      </c>
      <c r="B645" s="149"/>
      <c r="C645" s="144"/>
      <c r="D645" s="145"/>
      <c r="E645" s="144">
        <v>70740</v>
      </c>
      <c r="F645" s="146"/>
      <c r="G645" s="379">
        <f>SUM(G646:G647)</f>
        <v>28535000</v>
      </c>
      <c r="H645" s="150">
        <f>SUM(H646:H647)</f>
        <v>0</v>
      </c>
      <c r="I645" s="152">
        <f t="shared" si="133"/>
        <v>28535000</v>
      </c>
    </row>
    <row r="646" spans="1:9" s="171" customFormat="1" ht="63">
      <c r="A646" s="148" t="str">
        <f>IF(B646&gt;0,VLOOKUP(B646,КВСР!A258:B1423,2),IF(C646&gt;0,VLOOKUP(C646,КФСР!A258:B1770,2),IF(D646&gt;0,VLOOKUP(D646,Программа!A$1:B$5091,2),IF(F646&gt;0,VLOOKUP(F646,КВР!A$1:B$5001,2),IF(E646&gt;0,VLOOKUP(E646,Направление!A$1:B$4750,2))))))</f>
        <v xml:space="preserve">Закупка товаров, работ и услуг для обеспечения государственных (муниципальных) нужд
</v>
      </c>
      <c r="B646" s="149"/>
      <c r="C646" s="144"/>
      <c r="D646" s="146"/>
      <c r="E646" s="172"/>
      <c r="F646" s="146">
        <v>200</v>
      </c>
      <c r="G646" s="379">
        <v>421665</v>
      </c>
      <c r="H646" s="151"/>
      <c r="I646" s="152">
        <f t="shared" si="133"/>
        <v>421665</v>
      </c>
    </row>
    <row r="647" spans="1:9" s="171" customFormat="1" ht="31.5">
      <c r="A647" s="148" t="str">
        <f>IF(B647&gt;0,VLOOKUP(B647,КВСР!A259:B1424,2),IF(C647&gt;0,VLOOKUP(C647,КФСР!A259:B1771,2),IF(D647&gt;0,VLOOKUP(D647,Программа!A$1:B$5091,2),IF(F647&gt;0,VLOOKUP(F647,КВР!A$1:B$5001,2),IF(E647&gt;0,VLOOKUP(E647,Направление!A$1:B$4750,2))))))</f>
        <v>Социальное обеспечение и иные выплаты населению</v>
      </c>
      <c r="B647" s="149"/>
      <c r="C647" s="144"/>
      <c r="D647" s="146"/>
      <c r="E647" s="172"/>
      <c r="F647" s="146">
        <v>300</v>
      </c>
      <c r="G647" s="379">
        <v>28113335</v>
      </c>
      <c r="H647" s="151"/>
      <c r="I647" s="152">
        <f t="shared" si="133"/>
        <v>28113335</v>
      </c>
    </row>
    <row r="648" spans="1:9" s="171" customFormat="1" ht="94.5">
      <c r="A648" s="148" t="str">
        <f>IF(B648&gt;0,VLOOKUP(B648,КВСР!A260:B1425,2),IF(C648&gt;0,VLOOKUP(C648,КФСР!A260:B1772,2),IF(D648&gt;0,VLOOKUP(D648,Программа!A$1:B$5091,2),IF(F648&gt;0,VLOOKUP(F648,КВР!A$1:B$5001,2),IF(E648&gt;0,VLOOKUP(E648,Направление!A$1:B$4750,2))))))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648" s="149"/>
      <c r="C648" s="144"/>
      <c r="D648" s="145"/>
      <c r="E648" s="144">
        <v>70750</v>
      </c>
      <c r="F648" s="146"/>
      <c r="G648" s="379">
        <f>G649+G650</f>
        <v>40144000</v>
      </c>
      <c r="H648" s="150">
        <f>H649+H650</f>
        <v>0</v>
      </c>
      <c r="I648" s="152">
        <f t="shared" si="133"/>
        <v>40144000</v>
      </c>
    </row>
    <row r="649" spans="1:9" s="171" customFormat="1" ht="63">
      <c r="A649" s="148" t="str">
        <f>IF(B649&gt;0,VLOOKUP(B649,КВСР!A261:B1426,2),IF(C649&gt;0,VLOOKUP(C649,КФСР!A261:B1773,2),IF(D649&gt;0,VLOOKUP(D649,Программа!A$1:B$5091,2),IF(F649&gt;0,VLOOKUP(F649,КВР!A$1:B$5001,2),IF(E649&gt;0,VLOOKUP(E649,Направление!A$1:B$4750,2))))))</f>
        <v xml:space="preserve">Закупка товаров, работ и услуг для обеспечения государственных (муниципальных) нужд
</v>
      </c>
      <c r="B649" s="149"/>
      <c r="C649" s="144"/>
      <c r="D649" s="146"/>
      <c r="E649" s="172"/>
      <c r="F649" s="146">
        <v>200</v>
      </c>
      <c r="G649" s="379">
        <v>665443</v>
      </c>
      <c r="H649" s="164"/>
      <c r="I649" s="152">
        <f t="shared" si="133"/>
        <v>665443</v>
      </c>
    </row>
    <row r="650" spans="1:9" s="171" customFormat="1" ht="31.5">
      <c r="A650" s="148" t="str">
        <f>IF(B650&gt;0,VLOOKUP(B650,КВСР!A261:B1426,2),IF(C650&gt;0,VLOOKUP(C650,КФСР!A261:B1773,2),IF(D650&gt;0,VLOOKUP(D650,Программа!A$1:B$5091,2),IF(F650&gt;0,VLOOKUP(F650,КВР!A$1:B$5001,2),IF(E650&gt;0,VLOOKUP(E650,Направление!A$1:B$4750,2))))))</f>
        <v>Социальное обеспечение и иные выплаты населению</v>
      </c>
      <c r="B650" s="149"/>
      <c r="C650" s="144"/>
      <c r="D650" s="146"/>
      <c r="E650" s="172"/>
      <c r="F650" s="146">
        <v>300</v>
      </c>
      <c r="G650" s="379">
        <v>39478557</v>
      </c>
      <c r="H650" s="151"/>
      <c r="I650" s="152">
        <f t="shared" si="133"/>
        <v>39478557</v>
      </c>
    </row>
    <row r="651" spans="1:9" s="171" customFormat="1" ht="110.25">
      <c r="A651" s="148" t="str">
        <f>IF(B651&gt;0,VLOOKUP(B651,КВСР!A254:B1419,2),IF(C651&gt;0,VLOOKUP(C651,КФСР!A254:B1766,2),IF(D651&gt;0,VLOOKUP(D651,Программа!A$1:B$5091,2),IF(F651&gt;0,VLOOKUP(F651,КВР!A$1:B$5001,2),IF(E651&gt;0,VLOOKUP(E651,Направление!A$1:B$4750,2))))))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651" s="149"/>
      <c r="C651" s="144"/>
      <c r="D651" s="145"/>
      <c r="E651" s="144">
        <v>70840</v>
      </c>
      <c r="F651" s="146"/>
      <c r="G651" s="337">
        <f>G653+G652</f>
        <v>64492000</v>
      </c>
      <c r="H651" s="152">
        <f>H653+H652</f>
        <v>0</v>
      </c>
      <c r="I651" s="152">
        <f t="shared" si="133"/>
        <v>64492000</v>
      </c>
    </row>
    <row r="652" spans="1:9" s="171" customFormat="1" ht="63">
      <c r="A652" s="148" t="str">
        <f>IF(B652&gt;0,VLOOKUP(B652,КВСР!A254:B1419,2),IF(C652&gt;0,VLOOKUP(C652,КФСР!A254:B1766,2),IF(D652&gt;0,VLOOKUP(D652,Программа!A$1:B$5091,2),IF(F652&gt;0,VLOOKUP(F652,КВР!A$1:B$5001,2),IF(E652&gt;0,VLOOKUP(E652,Направление!A$1:B$4750,2))))))</f>
        <v xml:space="preserve">Закупка товаров, работ и услуг для обеспечения государственных (муниципальных) нужд
</v>
      </c>
      <c r="B652" s="149"/>
      <c r="C652" s="144"/>
      <c r="D652" s="146"/>
      <c r="E652" s="172"/>
      <c r="F652" s="146">
        <v>200</v>
      </c>
      <c r="G652" s="337">
        <v>1055322</v>
      </c>
      <c r="H652" s="153"/>
      <c r="I652" s="152">
        <f t="shared" si="133"/>
        <v>1055322</v>
      </c>
    </row>
    <row r="653" spans="1:9" s="171" customFormat="1" ht="31.5">
      <c r="A653" s="148" t="str">
        <f>IF(B653&gt;0,VLOOKUP(B653,КВСР!A255:B1420,2),IF(C653&gt;0,VLOOKUP(C653,КФСР!A255:B1767,2),IF(D653&gt;0,VLOOKUP(D653,Программа!A$1:B$5091,2),IF(F653&gt;0,VLOOKUP(F653,КВР!A$1:B$5001,2),IF(E653&gt;0,VLOOKUP(E653,Направление!A$1:B$4750,2))))))</f>
        <v>Социальное обеспечение и иные выплаты населению</v>
      </c>
      <c r="B653" s="149"/>
      <c r="C653" s="144"/>
      <c r="D653" s="146"/>
      <c r="E653" s="172"/>
      <c r="F653" s="146">
        <v>300</v>
      </c>
      <c r="G653" s="337">
        <v>63436678</v>
      </c>
      <c r="H653" s="153"/>
      <c r="I653" s="152">
        <f t="shared" si="133"/>
        <v>63436678</v>
      </c>
    </row>
    <row r="654" spans="1:9" s="171" customFormat="1" ht="31.5">
      <c r="A654" s="148" t="str">
        <f>IF(B654&gt;0,VLOOKUP(B654,КВСР!A256:B1421,2),IF(C654&gt;0,VLOOKUP(C654,КФСР!A256:B1768,2),IF(D654&gt;0,VLOOKUP(D654,Программа!A$1:B$5091,2),IF(F654&gt;0,VLOOKUP(F654,КВР!A$1:B$5001,2),IF(E654&gt;0,VLOOKUP(E654,Направление!A$1:B$4750,2))))))</f>
        <v>Денежные выплаты за счет средств областного бюджета</v>
      </c>
      <c r="B654" s="149"/>
      <c r="C654" s="144"/>
      <c r="D654" s="145"/>
      <c r="E654" s="144">
        <v>70860</v>
      </c>
      <c r="F654" s="146"/>
      <c r="G654" s="337">
        <f>G655+G656</f>
        <v>21266000</v>
      </c>
      <c r="H654" s="152">
        <f>H655+H656</f>
        <v>0</v>
      </c>
      <c r="I654" s="152">
        <f t="shared" si="133"/>
        <v>21266000</v>
      </c>
    </row>
    <row r="655" spans="1:9" s="171" customFormat="1" ht="63">
      <c r="A655" s="148" t="str">
        <f>IF(B655&gt;0,VLOOKUP(B655,КВСР!A257:B1422,2),IF(C655&gt;0,VLOOKUP(C655,КФСР!A257:B1769,2),IF(D655&gt;0,VLOOKUP(D655,Программа!A$1:B$5091,2),IF(F655&gt;0,VLOOKUP(F655,КВР!A$1:B$5001,2),IF(E655&gt;0,VLOOKUP(E655,Направление!A$1:B$4750,2))))))</f>
        <v xml:space="preserve">Закупка товаров, работ и услуг для обеспечения государственных (муниципальных) нужд
</v>
      </c>
      <c r="B655" s="149"/>
      <c r="C655" s="144"/>
      <c r="D655" s="146"/>
      <c r="E655" s="172"/>
      <c r="F655" s="146">
        <v>200</v>
      </c>
      <c r="G655" s="337">
        <v>319140</v>
      </c>
      <c r="H655" s="153"/>
      <c r="I655" s="152">
        <f t="shared" si="133"/>
        <v>319140</v>
      </c>
    </row>
    <row r="656" spans="1:9" s="171" customFormat="1" ht="31.5">
      <c r="A656" s="148" t="str">
        <f>IF(B656&gt;0,VLOOKUP(B656,КВСР!A258:B1423,2),IF(C656&gt;0,VLOOKUP(C656,КФСР!A258:B1770,2),IF(D656&gt;0,VLOOKUP(D656,Программа!A$1:B$5091,2),IF(F656&gt;0,VLOOKUP(F656,КВР!A$1:B$5001,2),IF(E656&gt;0,VLOOKUP(E656,Направление!A$1:B$4750,2))))))</f>
        <v>Социальное обеспечение и иные выплаты населению</v>
      </c>
      <c r="B656" s="149"/>
      <c r="C656" s="144"/>
      <c r="D656" s="146"/>
      <c r="E656" s="172"/>
      <c r="F656" s="146">
        <v>300</v>
      </c>
      <c r="G656" s="337">
        <v>20946860</v>
      </c>
      <c r="H656" s="153"/>
      <c r="I656" s="152">
        <f t="shared" si="133"/>
        <v>20946860</v>
      </c>
    </row>
    <row r="657" spans="1:9" s="171" customFormat="1" ht="47.25" hidden="1">
      <c r="A657" s="148" t="str">
        <f>IF(B657&gt;0,VLOOKUP(B657,КВСР!A259:B1424,2),IF(C657&gt;0,VLOOKUP(C657,КФСР!A259:B1771,2),IF(D657&gt;0,VLOOKUP(D657,Программа!A$1:B$5091,2),IF(F657&gt;0,VLOOKUP(F657,КВР!A$1:B$5001,2),IF(E657&gt;0,VLOOKUP(E657,Направление!A$1:B$4750,2))))))</f>
        <v>Оказание социальной помощи отдельным категориям граждан за счет средств областного бюджета</v>
      </c>
      <c r="B657" s="149"/>
      <c r="C657" s="144"/>
      <c r="D657" s="145"/>
      <c r="E657" s="144">
        <v>70890</v>
      </c>
      <c r="F657" s="146"/>
      <c r="G657" s="337">
        <f>G658+G659</f>
        <v>0</v>
      </c>
      <c r="H657" s="156">
        <f>H658+H659</f>
        <v>0</v>
      </c>
      <c r="I657" s="152">
        <f t="shared" si="133"/>
        <v>0</v>
      </c>
    </row>
    <row r="658" spans="1:9" s="171" customFormat="1" ht="63" hidden="1">
      <c r="A658" s="148" t="str">
        <f>IF(B658&gt;0,VLOOKUP(B658,КВСР!A260:B1425,2),IF(C658&gt;0,VLOOKUP(C658,КФСР!A260:B1772,2),IF(D658&gt;0,VLOOKUP(D658,Программа!A$1:B$5091,2),IF(F658&gt;0,VLOOKUP(F658,КВР!A$1:B$5001,2),IF(E658&gt;0,VLOOKUP(E658,Направление!A$1:B$4750,2))))))</f>
        <v xml:space="preserve">Закупка товаров, работ и услуг для обеспечения государственных (муниципальных) нужд
</v>
      </c>
      <c r="B658" s="149"/>
      <c r="C658" s="144"/>
      <c r="D658" s="145"/>
      <c r="E658" s="172"/>
      <c r="F658" s="146">
        <v>200</v>
      </c>
      <c r="G658" s="337"/>
      <c r="H658" s="153"/>
      <c r="I658" s="152">
        <f t="shared" si="133"/>
        <v>0</v>
      </c>
    </row>
    <row r="659" spans="1:9" s="171" customFormat="1" ht="31.5" hidden="1">
      <c r="A659" s="148" t="str">
        <f>IF(B659&gt;0,VLOOKUP(B659,КВСР!A261:B1426,2),IF(C659&gt;0,VLOOKUP(C659,КФСР!A261:B1773,2),IF(D659&gt;0,VLOOKUP(D659,Программа!A$1:B$5091,2),IF(F659&gt;0,VLOOKUP(F659,КВР!A$1:B$5001,2),IF(E659&gt;0,VLOOKUP(E659,Направление!A$1:B$4750,2))))))</f>
        <v>Социальное обеспечение и иные выплаты населению</v>
      </c>
      <c r="B659" s="149"/>
      <c r="C659" s="144"/>
      <c r="D659" s="145"/>
      <c r="E659" s="172"/>
      <c r="F659" s="146">
        <v>300</v>
      </c>
      <c r="G659" s="337"/>
      <c r="H659" s="153"/>
      <c r="I659" s="152">
        <f t="shared" si="133"/>
        <v>0</v>
      </c>
    </row>
    <row r="660" spans="1:9" s="171" customFormat="1" ht="94.5">
      <c r="A660" s="148" t="str">
        <f>IF(B660&gt;0,VLOOKUP(B660,КВСР!A262:B1427,2),IF(C660&gt;0,VLOOKUP(C660,КФСР!A262:B1774,2),IF(D660&gt;0,VLOOKUP(D660,Программа!A$1:B$5091,2),IF(F660&gt;0,VLOOKUP(F660,КВР!A$1:B$5001,2),IF(E660&gt;0,VLOOKUP(E660,Направление!A$1:B$4750,2))))))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660" s="149"/>
      <c r="C660" s="144"/>
      <c r="D660" s="145"/>
      <c r="E660" s="554">
        <v>72550</v>
      </c>
      <c r="F660" s="146"/>
      <c r="G660" s="337">
        <f>G661</f>
        <v>15000</v>
      </c>
      <c r="H660" s="153"/>
      <c r="I660" s="152">
        <f t="shared" si="133"/>
        <v>15000</v>
      </c>
    </row>
    <row r="661" spans="1:9" s="171" customFormat="1">
      <c r="A661" s="148" t="str">
        <f>IF(B661&gt;0,VLOOKUP(B661,КВСР!A263:B1428,2),IF(C661&gt;0,VLOOKUP(C661,КФСР!A263:B1775,2),IF(D661&gt;0,VLOOKUP(D661,Программа!A$1:B$5091,2),IF(F661&gt;0,VLOOKUP(F661,КВР!A$1:B$5001,2),IF(E661&gt;0,VLOOKUP(E661,Направление!A$1:B$4750,2))))))</f>
        <v>Иные бюджетные ассигнования</v>
      </c>
      <c r="B661" s="149"/>
      <c r="C661" s="144"/>
      <c r="D661" s="145"/>
      <c r="E661" s="554"/>
      <c r="F661" s="146">
        <v>800</v>
      </c>
      <c r="G661" s="337">
        <v>15000</v>
      </c>
      <c r="H661" s="153"/>
      <c r="I661" s="152">
        <f t="shared" si="133"/>
        <v>15000</v>
      </c>
    </row>
    <row r="662" spans="1:9" s="171" customFormat="1" ht="78.75">
      <c r="A662" s="148" t="str">
        <f>IF(B662&gt;0,VLOOKUP(B662,КВСР!A264:B1429,2),IF(C662&gt;0,VLOOKUP(C662,КФСР!A264:B1776,2),IF(D662&gt;0,VLOOKUP(D662,Программа!A$1:B$5091,2),IF(F662&gt;0,VLOOKUP(F662,КВР!A$1:B$5001,2),IF(E662&gt;0,VLOOKUP(E662,Направление!A$1:B$4750,2))))))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662" s="149"/>
      <c r="C662" s="144"/>
      <c r="D662" s="145"/>
      <c r="E662" s="554">
        <v>72560</v>
      </c>
      <c r="F662" s="146"/>
      <c r="G662" s="337">
        <f>G663</f>
        <v>529918</v>
      </c>
      <c r="H662" s="337">
        <f t="shared" ref="H662:I662" si="150">H663</f>
        <v>0</v>
      </c>
      <c r="I662" s="337">
        <f t="shared" si="150"/>
        <v>529918</v>
      </c>
    </row>
    <row r="663" spans="1:9" s="171" customFormat="1">
      <c r="A663" s="148" t="str">
        <f>IF(B663&gt;0,VLOOKUP(B663,КВСР!A265:B1430,2),IF(C663&gt;0,VLOOKUP(C663,КФСР!A265:B1777,2),IF(D663&gt;0,VLOOKUP(D663,Программа!A$1:B$5091,2),IF(F663&gt;0,VLOOKUP(F663,КВР!A$1:B$5001,2),IF(E663&gt;0,VLOOKUP(E663,Направление!A$1:B$4750,2))))))</f>
        <v>Иные бюджетные ассигнования</v>
      </c>
      <c r="B663" s="149"/>
      <c r="C663" s="144"/>
      <c r="D663" s="145"/>
      <c r="E663" s="172"/>
      <c r="F663" s="146">
        <v>800</v>
      </c>
      <c r="G663" s="337">
        <v>529918</v>
      </c>
      <c r="H663" s="153"/>
      <c r="I663" s="152">
        <f t="shared" si="133"/>
        <v>529918</v>
      </c>
    </row>
    <row r="664" spans="1:9" s="171" customFormat="1" ht="63" hidden="1">
      <c r="A664" s="148" t="str">
        <f>IF(B664&gt;0,VLOOKUP(B664,КВСР!A256:B1421,2),IF(C664&gt;0,VLOOKUP(C664,КФСР!A256:B1768,2),IF(D664&gt;0,VLOOKUP(D664,Программа!A$1:B$5091,2),IF(F664&gt;0,VLOOKUP(F664,КВР!A$1:B$5001,2),IF(E664&gt;0,VLOOKUP(E664,Направление!A$1:B$4750,2))))))</f>
        <v>Расходы на социальную поддержку отдельных категорий граждан в части ежемесячного пособия на ребенка</v>
      </c>
      <c r="B664" s="149"/>
      <c r="C664" s="144"/>
      <c r="D664" s="145"/>
      <c r="E664" s="144">
        <v>73040</v>
      </c>
      <c r="F664" s="146"/>
      <c r="G664" s="379">
        <f>G666+G665</f>
        <v>0</v>
      </c>
      <c r="H664" s="150">
        <f>H666+H665</f>
        <v>0</v>
      </c>
      <c r="I664" s="152">
        <f t="shared" si="133"/>
        <v>0</v>
      </c>
    </row>
    <row r="665" spans="1:9" s="171" customFormat="1" ht="63" hidden="1">
      <c r="A665" s="148" t="str">
        <f>IF(B665&gt;0,VLOOKUP(B665,КВСР!A257:B1422,2),IF(C665&gt;0,VLOOKUP(C665,КФСР!A257:B1769,2),IF(D665&gt;0,VLOOKUP(D665,Программа!A$1:B$5091,2),IF(F665&gt;0,VLOOKUP(F665,КВР!A$1:B$5001,2),IF(E665&gt;0,VLOOKUP(E665,Направление!A$1:B$4750,2))))))</f>
        <v xml:space="preserve">Закупка товаров, работ и услуг для обеспечения государственных (муниципальных) нужд
</v>
      </c>
      <c r="B665" s="149"/>
      <c r="C665" s="144"/>
      <c r="D665" s="145"/>
      <c r="E665" s="144"/>
      <c r="F665" s="146">
        <v>200</v>
      </c>
      <c r="G665" s="379">
        <v>0</v>
      </c>
      <c r="H665" s="164"/>
      <c r="I665" s="152">
        <f t="shared" si="133"/>
        <v>0</v>
      </c>
    </row>
    <row r="666" spans="1:9" s="171" customFormat="1" ht="31.5" hidden="1">
      <c r="A666" s="148" t="str">
        <f>IF(B666&gt;0,VLOOKUP(B666,КВСР!A264:B1429,2),IF(C666&gt;0,VLOOKUP(C666,КФСР!A264:B1776,2),IF(D666&gt;0,VLOOKUP(D666,Программа!A$1:B$5091,2),IF(F666&gt;0,VLOOKUP(F666,КВР!A$1:B$5001,2),IF(E666&gt;0,VLOOKUP(E666,Направление!A$1:B$4750,2))))))</f>
        <v>Социальное обеспечение и иные выплаты населению</v>
      </c>
      <c r="B666" s="149"/>
      <c r="C666" s="144"/>
      <c r="D666" s="145"/>
      <c r="E666" s="144"/>
      <c r="F666" s="146">
        <v>300</v>
      </c>
      <c r="G666" s="337">
        <v>0</v>
      </c>
      <c r="H666" s="153"/>
      <c r="I666" s="152">
        <f t="shared" si="133"/>
        <v>0</v>
      </c>
    </row>
    <row r="667" spans="1:9" s="171" customFormat="1" ht="78.75">
      <c r="A667" s="148" t="str">
        <f>IF(B667&gt;0,VLOOKUP(B667,КВСР!A265:B1430,2),IF(C667&gt;0,VLOOKUP(C667,КФСР!A265:B1777,2),IF(D667&gt;0,VLOOKUP(D667,Программа!A$1:B$5091,2),IF(F667&gt;0,VLOOKUP(F667,КВР!A$1:B$5001,2),IF(E667&gt;0,VLOOKUP(E667,Направление!A$1:B$4750,2))))))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67" s="149"/>
      <c r="C667" s="144"/>
      <c r="D667" s="145"/>
      <c r="E667" s="144" t="s">
        <v>1385</v>
      </c>
      <c r="F667" s="146"/>
      <c r="G667" s="337">
        <f>G668</f>
        <v>1267245</v>
      </c>
      <c r="H667" s="371">
        <f t="shared" ref="H667:I667" si="151">H668</f>
        <v>0</v>
      </c>
      <c r="I667" s="371">
        <f t="shared" si="151"/>
        <v>1267245</v>
      </c>
    </row>
    <row r="668" spans="1:9" s="171" customFormat="1" ht="31.5">
      <c r="A668" s="148" t="str">
        <f>IF(B668&gt;0,VLOOKUP(B668,КВСР!A266:B1431,2),IF(C668&gt;0,VLOOKUP(C668,КФСР!A266:B1778,2),IF(D668&gt;0,VLOOKUP(D668,Программа!A$1:B$5091,2),IF(F668&gt;0,VLOOKUP(F668,КВР!A$1:B$5001,2),IF(E668&gt;0,VLOOKUP(E668,Направление!A$1:B$4750,2))))))</f>
        <v>Социальное обеспечение и иные выплаты населению</v>
      </c>
      <c r="B668" s="149"/>
      <c r="C668" s="144"/>
      <c r="D668" s="145"/>
      <c r="E668" s="144"/>
      <c r="F668" s="146">
        <v>300</v>
      </c>
      <c r="G668" s="337">
        <v>1267245</v>
      </c>
      <c r="H668" s="153"/>
      <c r="I668" s="152">
        <f>SUM(G668:H668)</f>
        <v>1267245</v>
      </c>
    </row>
    <row r="669" spans="1:9" s="171" customFormat="1" ht="110.25">
      <c r="A669" s="148" t="str">
        <f>IF(B669&gt;0,VLOOKUP(B669,КВСР!A267:B1432,2),IF(C669&gt;0,VLOOKUP(C669,КФСР!A267:B1779,2),IF(D669&gt;0,VLOOKUP(D669,Программа!A$1:B$5091,2),IF(F669&gt;0,VLOOKUP(F669,КВР!A$1:B$5001,2),IF(E669&gt;0,VLOOKUP(E669,Направление!A$1:B$4750,2))))))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669" s="149"/>
      <c r="C669" s="144"/>
      <c r="D669" s="145"/>
      <c r="E669" s="144">
        <v>75490</v>
      </c>
      <c r="F669" s="146"/>
      <c r="G669" s="337">
        <f>G670</f>
        <v>22380</v>
      </c>
      <c r="H669" s="371">
        <f t="shared" ref="H669:I669" si="152">H670</f>
        <v>0</v>
      </c>
      <c r="I669" s="371">
        <f t="shared" si="152"/>
        <v>22380</v>
      </c>
    </row>
    <row r="670" spans="1:9" s="171" customFormat="1" ht="63">
      <c r="A670" s="148" t="str">
        <f>IF(B670&gt;0,VLOOKUP(B670,КВСР!A268:B1433,2),IF(C670&gt;0,VLOOKUP(C670,КФСР!A268:B1780,2),IF(D670&gt;0,VLOOKUP(D670,Программа!A$1:B$5091,2),IF(F670&gt;0,VLOOKUP(F670,КВР!A$1:B$5001,2),IF(E670&gt;0,VLOOKUP(E670,Направление!A$1:B$4750,2))))))</f>
        <v xml:space="preserve">Закупка товаров, работ и услуг для обеспечения государственных (муниципальных) нужд
</v>
      </c>
      <c r="B670" s="149"/>
      <c r="C670" s="144"/>
      <c r="D670" s="145"/>
      <c r="E670" s="144"/>
      <c r="F670" s="146">
        <v>200</v>
      </c>
      <c r="G670" s="337">
        <v>22380</v>
      </c>
      <c r="H670" s="153"/>
      <c r="I670" s="152">
        <f>SUM(G670:H670)</f>
        <v>22380</v>
      </c>
    </row>
    <row r="671" spans="1:9" s="171" customFormat="1" ht="63">
      <c r="A671" s="148" t="str">
        <f>IF(B671&gt;0,VLOOKUP(B671,КВСР!A258:B1423,2),IF(C671&gt;0,VLOOKUP(C671,КФСР!A258:B1770,2),IF(D671&gt;0,VLOOKUP(D671,Программа!A$1:B$5091,2),IF(F671&gt;0,VLOOKUP(F671,КВР!A$1:B$5001,2),IF(E671&gt;0,VLOOKUP(E671,Направление!A$1:B$4750,2))))))</f>
        <v>Социальная защита семей с детьми, инвалидов, ветеранов, граждан и детей, оказавшихся в трудной жизненной ситуации</v>
      </c>
      <c r="B671" s="149"/>
      <c r="C671" s="144"/>
      <c r="D671" s="145" t="s">
        <v>640</v>
      </c>
      <c r="E671" s="144"/>
      <c r="F671" s="146"/>
      <c r="G671" s="337">
        <f t="shared" ref="G671:I671" si="153">G672+G674</f>
        <v>4736020</v>
      </c>
      <c r="H671" s="337">
        <f t="shared" si="153"/>
        <v>0</v>
      </c>
      <c r="I671" s="337">
        <f t="shared" si="153"/>
        <v>4736020</v>
      </c>
    </row>
    <row r="672" spans="1:9" s="171" customFormat="1" ht="47.25">
      <c r="A672" s="148" t="str">
        <f>IF(B672&gt;0,VLOOKUP(B672,КВСР!A261:B1426,2),IF(C672&gt;0,VLOOKUP(C672,КФСР!A261:B1773,2),IF(D672&gt;0,VLOOKUP(D672,Программа!A$1:B$5091,2),IF(F672&gt;0,VLOOKUP(F672,КВР!A$1:B$5001,2),IF(E672&gt;0,VLOOKUP(E672,Направление!A$1:B$4750,2))))))</f>
        <v>Организация перевозок больных, нуждающихся в амбулаторном гемодиализе</v>
      </c>
      <c r="B672" s="149"/>
      <c r="C672" s="144"/>
      <c r="D672" s="145"/>
      <c r="E672" s="144">
        <v>16210</v>
      </c>
      <c r="F672" s="146"/>
      <c r="G672" s="337">
        <f>G673</f>
        <v>176700</v>
      </c>
      <c r="H672" s="446">
        <f>H673</f>
        <v>0</v>
      </c>
      <c r="I672" s="152">
        <f>SUM(G672:H672)</f>
        <v>176700</v>
      </c>
    </row>
    <row r="673" spans="1:9" s="171" customFormat="1" ht="31.5">
      <c r="A673" s="148" t="str">
        <f>IF(B673&gt;0,VLOOKUP(B673,КВСР!A262:B1427,2),IF(C673&gt;0,VLOOKUP(C673,КФСР!A262:B1774,2),IF(D673&gt;0,VLOOKUP(D673,Программа!A$1:B$5091,2),IF(F673&gt;0,VLOOKUP(F673,КВР!A$1:B$5001,2),IF(E673&gt;0,VLOOKUP(E673,Направление!A$1:B$4750,2))))))</f>
        <v>Социальное обеспечение и иные выплаты населению</v>
      </c>
      <c r="B673" s="149"/>
      <c r="C673" s="144"/>
      <c r="D673" s="145"/>
      <c r="E673" s="172"/>
      <c r="F673" s="146">
        <v>300</v>
      </c>
      <c r="G673" s="337">
        <v>176700</v>
      </c>
      <c r="H673" s="153"/>
      <c r="I673" s="152">
        <f>SUM(G673:H673)</f>
        <v>176700</v>
      </c>
    </row>
    <row r="674" spans="1:9" s="171" customFormat="1" ht="47.25">
      <c r="A674" s="148" t="str">
        <f>IF(B674&gt;0,VLOOKUP(B674,КВСР!A264:B1429,2),IF(C674&gt;0,VLOOKUP(C674,КФСР!A264:B1776,2),IF(D674&gt;0,VLOOKUP(D674,Программа!A$1:B$5091,2),IF(F674&gt;0,VLOOKUP(F674,КВР!A$1:B$5001,2),IF(E674&gt;0,VLOOKUP(E674,Направление!A$1:B$4750,2))))))</f>
        <v>Оказание социальной помощи отдельным категориям граждан за счет средств областного бюджета</v>
      </c>
      <c r="B674" s="149"/>
      <c r="C674" s="144"/>
      <c r="D674" s="145"/>
      <c r="E674" s="144">
        <v>70890</v>
      </c>
      <c r="F674" s="146"/>
      <c r="G674" s="337">
        <f>G675+G676</f>
        <v>4559320</v>
      </c>
      <c r="H674" s="337">
        <f>H675+H676</f>
        <v>0</v>
      </c>
      <c r="I674" s="152">
        <f t="shared" si="133"/>
        <v>4559320</v>
      </c>
    </row>
    <row r="675" spans="1:9" s="171" customFormat="1" ht="63">
      <c r="A675" s="148" t="str">
        <f>IF(B675&gt;0,VLOOKUP(B675,КВСР!A265:B1430,2),IF(C675&gt;0,VLOOKUP(C675,КФСР!A265:B1777,2),IF(D675&gt;0,VLOOKUP(D675,Программа!A$1:B$5091,2),IF(F675&gt;0,VLOOKUP(F675,КВР!A$1:B$5001,2),IF(E675&gt;0,VLOOKUP(E675,Направление!A$1:B$4750,2))))))</f>
        <v xml:space="preserve">Закупка товаров, работ и услуг для обеспечения государственных (муниципальных) нужд
</v>
      </c>
      <c r="B675" s="149"/>
      <c r="C675" s="144"/>
      <c r="D675" s="145"/>
      <c r="E675" s="144"/>
      <c r="F675" s="146">
        <v>200</v>
      </c>
      <c r="G675" s="337">
        <v>69066</v>
      </c>
      <c r="H675" s="153"/>
      <c r="I675" s="152">
        <f t="shared" ref="I675:I748" si="154">SUM(G675:H675)</f>
        <v>69066</v>
      </c>
    </row>
    <row r="676" spans="1:9" s="171" customFormat="1" ht="31.5">
      <c r="A676" s="148" t="str">
        <f>IF(B676&gt;0,VLOOKUP(B676,КВСР!A266:B1431,2),IF(C676&gt;0,VLOOKUP(C676,КФСР!A266:B1778,2),IF(D676&gt;0,VLOOKUP(D676,Программа!A$1:B$5091,2),IF(F676&gt;0,VLOOKUP(F676,КВР!A$1:B$5001,2),IF(E676&gt;0,VLOOKUP(E676,Направление!A$1:B$4750,2))))))</f>
        <v>Социальное обеспечение и иные выплаты населению</v>
      </c>
      <c r="B676" s="149"/>
      <c r="C676" s="144"/>
      <c r="D676" s="145"/>
      <c r="E676" s="144"/>
      <c r="F676" s="146">
        <v>300</v>
      </c>
      <c r="G676" s="337">
        <v>4490254</v>
      </c>
      <c r="H676" s="153"/>
      <c r="I676" s="152">
        <f t="shared" si="154"/>
        <v>4490254</v>
      </c>
    </row>
    <row r="677" spans="1:9" s="171" customFormat="1">
      <c r="A677" s="148" t="str">
        <f>IF(B677&gt;0,VLOOKUP(B677,КВСР!A267:B1432,2),IF(C677&gt;0,VLOOKUP(C677,КФСР!A267:B1779,2),IF(D677&gt;0,VLOOKUP(D677,Программа!A$1:B$5091,2),IF(F677&gt;0,VLOOKUP(F677,КВР!A$1:B$5001,2),IF(E677&gt;0,VLOOKUP(E677,Направление!A$1:B$4750,2))))))</f>
        <v>Непрограммные расходы бюджета</v>
      </c>
      <c r="B677" s="149"/>
      <c r="C677" s="144"/>
      <c r="D677" s="145" t="s">
        <v>480</v>
      </c>
      <c r="E677" s="144"/>
      <c r="F677" s="146"/>
      <c r="G677" s="337">
        <f>G678</f>
        <v>25000</v>
      </c>
      <c r="H677" s="337">
        <f t="shared" ref="H677:I678" si="155">H678</f>
        <v>0</v>
      </c>
      <c r="I677" s="337">
        <f t="shared" si="155"/>
        <v>25000</v>
      </c>
    </row>
    <row r="678" spans="1:9" s="171" customFormat="1" ht="31.5">
      <c r="A678" s="148" t="str">
        <f>IF(B678&gt;0,VLOOKUP(B678,КВСР!A267:B1432,2),IF(C678&gt;0,VLOOKUP(C678,КФСР!A267:B1779,2),IF(D678&gt;0,VLOOKUP(D678,Программа!A$1:B$5091,2),IF(F678&gt;0,VLOOKUP(F678,КВР!A$1:B$5001,2),IF(E678&gt;0,VLOOKUP(E678,Направление!A$1:B$4750,2))))))</f>
        <v>Резервные фонды местных администраций</v>
      </c>
      <c r="B678" s="149"/>
      <c r="C678" s="144"/>
      <c r="D678" s="145"/>
      <c r="E678" s="144">
        <v>12900</v>
      </c>
      <c r="F678" s="146"/>
      <c r="G678" s="337">
        <f>G679</f>
        <v>25000</v>
      </c>
      <c r="H678" s="337">
        <f t="shared" si="155"/>
        <v>0</v>
      </c>
      <c r="I678" s="337">
        <f t="shared" si="155"/>
        <v>25000</v>
      </c>
    </row>
    <row r="679" spans="1:9" s="171" customFormat="1" ht="31.5">
      <c r="A679" s="148" t="str">
        <f>IF(B679&gt;0,VLOOKUP(B679,КВСР!A268:B1433,2),IF(C679&gt;0,VLOOKUP(C679,КФСР!A268:B1780,2),IF(D679&gt;0,VLOOKUP(D679,Программа!A$1:B$5091,2),IF(F679&gt;0,VLOOKUP(F679,КВР!A$1:B$5001,2),IF(E679&gt;0,VLOOKUP(E679,Направление!A$1:B$4750,2))))))</f>
        <v>Социальное обеспечение и иные выплаты населению</v>
      </c>
      <c r="B679" s="149"/>
      <c r="C679" s="144"/>
      <c r="D679" s="145"/>
      <c r="E679" s="144"/>
      <c r="F679" s="146">
        <v>300</v>
      </c>
      <c r="G679" s="337">
        <v>25000</v>
      </c>
      <c r="H679" s="153"/>
      <c r="I679" s="152">
        <f>G679+H679</f>
        <v>25000</v>
      </c>
    </row>
    <row r="680" spans="1:9" s="159" customFormat="1">
      <c r="A680" s="148" t="str">
        <f>IF(B680&gt;0,VLOOKUP(B680,КВСР!A303:B1468,2),IF(C680&gt;0,VLOOKUP(C680,КФСР!A303:B1815,2),IF(D680&gt;0,VLOOKUP(D680,Программа!A$1:B$5091,2),IF(F680&gt;0,VLOOKUP(F680,КВР!A$1:B$5001,2),IF(E680&gt;0,VLOOKUP(E680,Направление!A$1:B$4750,2))))))</f>
        <v>Охрана семьи и детства</v>
      </c>
      <c r="B680" s="149"/>
      <c r="C680" s="144">
        <v>1004</v>
      </c>
      <c r="D680" s="145"/>
      <c r="E680" s="144"/>
      <c r="F680" s="146"/>
      <c r="G680" s="152">
        <f>G681</f>
        <v>140387500</v>
      </c>
      <c r="H680" s="152">
        <f>H681</f>
        <v>100000</v>
      </c>
      <c r="I680" s="152">
        <f t="shared" si="154"/>
        <v>140487500</v>
      </c>
    </row>
    <row r="681" spans="1:9" s="159" customFormat="1" ht="47.25">
      <c r="A681" s="148" t="str">
        <f>IF(B681&gt;0,VLOOKUP(B681,КВСР!A304:B1469,2),IF(C681&gt;0,VLOOKUP(C681,КФСР!A304:B1816,2),IF(D681&gt;0,VLOOKUP(D681,Программа!A$1:B$5091,2),IF(F681&gt;0,VLOOKUP(F681,КВР!A$1:B$5001,2),IF(E681&gt;0,VLOOKUP(E681,Направление!A$1:B$4750,2))))))</f>
        <v>Муниципальная программа "Социальная поддержка населения Тутаевского муниципального района"</v>
      </c>
      <c r="B681" s="149"/>
      <c r="C681" s="144"/>
      <c r="D681" s="145" t="s">
        <v>548</v>
      </c>
      <c r="E681" s="144"/>
      <c r="F681" s="146"/>
      <c r="G681" s="152">
        <f>G682</f>
        <v>140387500</v>
      </c>
      <c r="H681" s="152">
        <f>H682</f>
        <v>100000</v>
      </c>
      <c r="I681" s="152">
        <f t="shared" si="154"/>
        <v>140487500</v>
      </c>
    </row>
    <row r="682" spans="1:9" s="159" customFormat="1" ht="63">
      <c r="A682" s="148" t="str">
        <f>IF(B682&gt;0,VLOOKUP(B682,КВСР!A305:B1470,2),IF(C682&gt;0,VLOOKUP(C682,КФСР!A305:B1817,2),IF(D682&gt;0,VLOOKUP(D682,Программа!A$1:B$5091,2),IF(F682&gt;0,VLOOKUP(F682,КВР!A$1:B$5001,2),IF(E682&gt;0,VLOOKUP(E682,Направление!A$1:B$4750,2))))))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682" s="149"/>
      <c r="C682" s="144"/>
      <c r="D682" s="145" t="s">
        <v>620</v>
      </c>
      <c r="E682" s="144"/>
      <c r="F682" s="146"/>
      <c r="G682" s="337">
        <f t="shared" ref="G682" si="156">G683+G705+G708</f>
        <v>140387500</v>
      </c>
      <c r="H682" s="337">
        <f t="shared" ref="H682:I682" si="157">H683+H705+H708</f>
        <v>100000</v>
      </c>
      <c r="I682" s="337">
        <f t="shared" si="157"/>
        <v>140487500</v>
      </c>
    </row>
    <row r="683" spans="1:9" s="159" customFormat="1" ht="47.25">
      <c r="A683" s="148" t="str">
        <f>IF(B683&gt;0,VLOOKUP(B683,КВСР!A306:B1471,2),IF(C683&gt;0,VLOOKUP(C683,КФСР!A306:B1818,2),IF(D683&gt;0,VLOOKUP(D683,Программа!A$1:B$5091,2),IF(F683&gt;0,VLOOKUP(F683,КВР!A$1:B$5001,2),IF(E683&gt;0,VLOOKUP(E683,Направление!A$1:B$4750,2))))))</f>
        <v>Исполнение публичных обязательств по предоставлению выплат, пособий и компенсаций</v>
      </c>
      <c r="B683" s="149"/>
      <c r="C683" s="144"/>
      <c r="D683" s="167" t="s">
        <v>622</v>
      </c>
      <c r="E683" s="168"/>
      <c r="F683" s="146"/>
      <c r="G683" s="337">
        <f t="shared" ref="G683" si="158">G686+G684+G692+G688+G702+G690+G700+G695+G697</f>
        <v>59072000</v>
      </c>
      <c r="H683" s="337">
        <f t="shared" ref="H683:I683" si="159">H686+H684+H692+H688+H702+H690+H700+H695+H697</f>
        <v>0</v>
      </c>
      <c r="I683" s="337">
        <f t="shared" si="159"/>
        <v>59072000</v>
      </c>
    </row>
    <row r="684" spans="1:9" s="159" customFormat="1">
      <c r="A684" s="148" t="str">
        <f>IF(B684&gt;0,VLOOKUP(B684,КВСР!A308:B1473,2),IF(C684&gt;0,VLOOKUP(C684,КФСР!A308:B1820,2),IF(D684&gt;0,VLOOKUP(D684,Программа!A$1:B$5091,2),IF(F684&gt;0,VLOOKUP(F684,КВР!A$1:B$5001,2),IF(E684&gt;0,VLOOKUP(E684,Направление!A$1:B$4750,2))))))</f>
        <v>Содержание центрального аппарата</v>
      </c>
      <c r="B684" s="149"/>
      <c r="C684" s="144"/>
      <c r="D684" s="167"/>
      <c r="E684" s="168">
        <v>12010</v>
      </c>
      <c r="F684" s="146"/>
      <c r="G684" s="337">
        <f>G685</f>
        <v>600</v>
      </c>
      <c r="H684" s="152">
        <f>H685</f>
        <v>0</v>
      </c>
      <c r="I684" s="152">
        <f t="shared" si="154"/>
        <v>600</v>
      </c>
    </row>
    <row r="685" spans="1:9" s="159" customFormat="1" ht="126">
      <c r="A685" s="148" t="str">
        <f>IF(B685&gt;0,VLOOKUP(B685,КВСР!A309:B1474,2),IF(C685&gt;0,VLOOKUP(C685,КФСР!A309:B1821,2),IF(D685&gt;0,VLOOKUP(D685,Программа!A$1:B$5091,2),IF(F685&gt;0,VLOOKUP(F685,КВР!A$1:B$5001,2),IF(E685&gt;0,VLOOKUP(E685,Направление!A$1:B$4750,2))))))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5" s="149"/>
      <c r="C685" s="144"/>
      <c r="D685" s="170"/>
      <c r="E685" s="168"/>
      <c r="F685" s="146">
        <v>100</v>
      </c>
      <c r="G685" s="337">
        <v>600</v>
      </c>
      <c r="H685" s="153"/>
      <c r="I685" s="152">
        <f t="shared" si="154"/>
        <v>600</v>
      </c>
    </row>
    <row r="686" spans="1:9" s="159" customFormat="1" ht="141.75">
      <c r="A686" s="148" t="str">
        <f>IF(B686&gt;0,VLOOKUP(B686,КВСР!A308:B1473,2),IF(C686&gt;0,VLOOKUP(C686,КФСР!A308:B1820,2),IF(D686&gt;0,VLOOKUP(D686,Программа!A$1:B$5091,2),IF(F686&gt;0,VLOOKUP(F686,КВР!A$1:B$5001,2),IF(E686&gt;0,VLOOKUP(E686,Направление!A$1:B$4750,2))))))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686" s="149"/>
      <c r="C686" s="144"/>
      <c r="D686" s="167"/>
      <c r="E686" s="168">
        <v>52700</v>
      </c>
      <c r="F686" s="146"/>
      <c r="G686" s="337">
        <f>G687</f>
        <v>310600</v>
      </c>
      <c r="H686" s="152">
        <f>H687</f>
        <v>0</v>
      </c>
      <c r="I686" s="152">
        <f t="shared" si="154"/>
        <v>310600</v>
      </c>
    </row>
    <row r="687" spans="1:9" s="159" customFormat="1" ht="31.5">
      <c r="A687" s="148" t="str">
        <f>IF(B687&gt;0,VLOOKUP(B687,КВСР!A309:B1474,2),IF(C687&gt;0,VLOOKUP(C687,КФСР!A309:B1821,2),IF(D687&gt;0,VLOOKUP(D687,Программа!A$1:B$5091,2),IF(F687&gt;0,VLOOKUP(F687,КВР!A$1:B$5001,2),IF(E687&gt;0,VLOOKUP(E687,Направление!A$1:B$4750,2))))))</f>
        <v>Социальное обеспечение и иные выплаты населению</v>
      </c>
      <c r="B687" s="149"/>
      <c r="C687" s="144"/>
      <c r="D687" s="170"/>
      <c r="E687" s="168"/>
      <c r="F687" s="146">
        <v>300</v>
      </c>
      <c r="G687" s="337">
        <v>310600</v>
      </c>
      <c r="H687" s="153"/>
      <c r="I687" s="152">
        <f t="shared" si="154"/>
        <v>310600</v>
      </c>
    </row>
    <row r="688" spans="1:9" s="159" customFormat="1" ht="110.25">
      <c r="A688" s="148" t="str">
        <f>IF(B688&gt;0,VLOOKUP(B688,КВСР!A310:B1475,2),IF(C688&gt;0,VLOOKUP(C688,КФСР!A310:B1822,2),IF(D688&gt;0,VLOOKUP(D688,Программа!A$1:B$5091,2),IF(F688&gt;0,VLOOKUP(F688,КВР!A$1:B$5001,2),IF(E688&gt;0,VLOOKUP(E688,Направление!A$1:B$4750,2))))))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688" s="149"/>
      <c r="C688" s="144"/>
      <c r="D688" s="170"/>
      <c r="E688" s="168">
        <v>53810</v>
      </c>
      <c r="F688" s="146"/>
      <c r="G688" s="337">
        <f>G689</f>
        <v>17513000</v>
      </c>
      <c r="H688" s="337">
        <f>H689</f>
        <v>0</v>
      </c>
      <c r="I688" s="152">
        <f t="shared" si="154"/>
        <v>17513000</v>
      </c>
    </row>
    <row r="689" spans="1:9" s="159" customFormat="1" ht="31.5">
      <c r="A689" s="148" t="str">
        <f>IF(B689&gt;0,VLOOKUP(B689,КВСР!A311:B1476,2),IF(C689&gt;0,VLOOKUP(C689,КФСР!A311:B1823,2),IF(D689&gt;0,VLOOKUP(D689,Программа!A$1:B$5091,2),IF(F689&gt;0,VLOOKUP(F689,КВР!A$1:B$5001,2),IF(E689&gt;0,VLOOKUP(E689,Направление!A$1:B$4750,2))))))</f>
        <v>Социальное обеспечение и иные выплаты населению</v>
      </c>
      <c r="B689" s="149"/>
      <c r="C689" s="144"/>
      <c r="D689" s="170"/>
      <c r="E689" s="168"/>
      <c r="F689" s="146">
        <v>300</v>
      </c>
      <c r="G689" s="337">
        <v>17513000</v>
      </c>
      <c r="H689" s="153"/>
      <c r="I689" s="152">
        <f t="shared" si="154"/>
        <v>17513000</v>
      </c>
    </row>
    <row r="690" spans="1:9" s="159" customFormat="1" ht="94.5">
      <c r="A690" s="148" t="str">
        <f>IF(B690&gt;0,VLOOKUP(B690,КВСР!A312:B1477,2),IF(C690&gt;0,VLOOKUP(C690,КФСР!A312:B1824,2),IF(D690&gt;0,VLOOKUP(D690,Программа!A$1:B$5091,2),IF(F690&gt;0,VLOOKUP(F690,КВР!A$1:B$5001,2),IF(E690&gt;0,VLOOKUP(E690,Направление!A$1:B$4750,2))))))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90" s="149"/>
      <c r="C690" s="144"/>
      <c r="D690" s="170"/>
      <c r="E690" s="168">
        <v>53850</v>
      </c>
      <c r="F690" s="146"/>
      <c r="G690" s="337">
        <f>G691</f>
        <v>2162000</v>
      </c>
      <c r="H690" s="337">
        <f>H691</f>
        <v>0</v>
      </c>
      <c r="I690" s="152">
        <f t="shared" si="154"/>
        <v>2162000</v>
      </c>
    </row>
    <row r="691" spans="1:9" s="159" customFormat="1" ht="31.5">
      <c r="A691" s="148" t="str">
        <f>IF(B691&gt;0,VLOOKUP(B691,КВСР!A313:B1478,2),IF(C691&gt;0,VLOOKUP(C691,КФСР!A313:B1825,2),IF(D691&gt;0,VLOOKUP(D691,Программа!A$1:B$5091,2),IF(F691&gt;0,VLOOKUP(F691,КВР!A$1:B$5001,2),IF(E691&gt;0,VLOOKUP(E691,Направление!A$1:B$4750,2))))))</f>
        <v>Социальное обеспечение и иные выплаты населению</v>
      </c>
      <c r="B691" s="149"/>
      <c r="C691" s="144"/>
      <c r="D691" s="170"/>
      <c r="E691" s="168"/>
      <c r="F691" s="146">
        <v>300</v>
      </c>
      <c r="G691" s="337">
        <v>2162000</v>
      </c>
      <c r="H691" s="153"/>
      <c r="I691" s="152">
        <f t="shared" si="154"/>
        <v>2162000</v>
      </c>
    </row>
    <row r="692" spans="1:9" s="159" customFormat="1" ht="94.5" hidden="1">
      <c r="A692" s="148" t="str">
        <f>IF(B692&gt;0,VLOOKUP(B692,КВСР!A310:B1475,2),IF(C692&gt;0,VLOOKUP(C692,КФСР!A310:B1822,2),IF(D692&gt;0,VLOOKUP(D692,Программа!A$1:B$5091,2),IF(F692&gt;0,VLOOKUP(F692,КВР!A$1:B$5001,2),IF(E692&gt;0,VLOOKUP(E692,Направление!A$1:B$4750,2))))))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692" s="149"/>
      <c r="C692" s="144"/>
      <c r="D692" s="167"/>
      <c r="E692" s="168">
        <v>55730</v>
      </c>
      <c r="F692" s="146"/>
      <c r="G692" s="337">
        <f>G693+G694</f>
        <v>0</v>
      </c>
      <c r="H692" s="152">
        <f>H693+H694</f>
        <v>0</v>
      </c>
      <c r="I692" s="152">
        <f t="shared" si="154"/>
        <v>0</v>
      </c>
    </row>
    <row r="693" spans="1:9" s="159" customFormat="1" ht="63" hidden="1">
      <c r="A693" s="148" t="str">
        <f>IF(B693&gt;0,VLOOKUP(B693,КВСР!A311:B1476,2),IF(C693&gt;0,VLOOKUP(C693,КФСР!A311:B1823,2),IF(D693&gt;0,VLOOKUP(D693,Программа!A$1:B$5091,2),IF(F693&gt;0,VLOOKUP(F693,КВР!A$1:B$5001,2),IF(E693&gt;0,VLOOKUP(E693,Направление!A$1:B$4750,2))))))</f>
        <v xml:space="preserve">Закупка товаров, работ и услуг для обеспечения государственных (муниципальных) нужд
</v>
      </c>
      <c r="B693" s="149"/>
      <c r="C693" s="144"/>
      <c r="D693" s="170"/>
      <c r="E693" s="168"/>
      <c r="F693" s="146">
        <v>200</v>
      </c>
      <c r="G693" s="337"/>
      <c r="H693" s="153"/>
      <c r="I693" s="152">
        <f t="shared" si="154"/>
        <v>0</v>
      </c>
    </row>
    <row r="694" spans="1:9" s="159" customFormat="1" ht="31.5" hidden="1">
      <c r="A694" s="148" t="str">
        <f>IF(B694&gt;0,VLOOKUP(B694,КВСР!A312:B1477,2),IF(C694&gt;0,VLOOKUP(C694,КФСР!A312:B1824,2),IF(D694&gt;0,VLOOKUP(D694,Программа!A$1:B$5091,2),IF(F694&gt;0,VLOOKUP(F694,КВР!A$1:B$5001,2),IF(E694&gt;0,VLOOKUP(E694,Направление!A$1:B$4750,2))))))</f>
        <v>Социальное обеспечение и иные выплаты населению</v>
      </c>
      <c r="B694" s="149"/>
      <c r="C694" s="144"/>
      <c r="D694" s="170"/>
      <c r="E694" s="168"/>
      <c r="F694" s="146">
        <v>300</v>
      </c>
      <c r="G694" s="337">
        <v>0</v>
      </c>
      <c r="H694" s="153"/>
      <c r="I694" s="152">
        <f t="shared" si="154"/>
        <v>0</v>
      </c>
    </row>
    <row r="695" spans="1:9" s="159" customFormat="1" ht="78.75">
      <c r="A695" s="148" t="str">
        <f>IF(B695&gt;0,VLOOKUP(B695,КВСР!A313:B1478,2),IF(C695&gt;0,VLOOKUP(C695,КФСР!A313:B1825,2),IF(D695&gt;0,VLOOKUP(D695,Программа!A$1:B$5091,2),IF(F695&gt;0,VLOOKUP(F695,КВР!A$1:B$5001,2),IF(E695&gt;0,VLOOKUP(E695,Направление!A$1:B$4750,2))))))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95" s="149"/>
      <c r="C695" s="144"/>
      <c r="D695" s="170"/>
      <c r="E695" s="168">
        <v>70870</v>
      </c>
      <c r="F695" s="146"/>
      <c r="G695" s="337">
        <f>G696</f>
        <v>1800</v>
      </c>
      <c r="H695" s="337">
        <f t="shared" ref="H695:I695" si="160">H696</f>
        <v>0</v>
      </c>
      <c r="I695" s="337">
        <f t="shared" si="160"/>
        <v>1800</v>
      </c>
    </row>
    <row r="696" spans="1:9" s="159" customFormat="1" ht="126">
      <c r="A696" s="148" t="str">
        <f>IF(B696&gt;0,VLOOKUP(B696,КВСР!A314:B1479,2),IF(C696&gt;0,VLOOKUP(C696,КФСР!A314:B1826,2),IF(D696&gt;0,VLOOKUP(D696,Программа!A$1:B$5091,2),IF(F696&gt;0,VLOOKUP(F696,КВР!A$1:B$5001,2),IF(E696&gt;0,VLOOKUP(E696,Направление!A$1:B$4750,2))))))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6" s="149"/>
      <c r="C696" s="144"/>
      <c r="D696" s="170"/>
      <c r="E696" s="168"/>
      <c r="F696" s="146">
        <v>100</v>
      </c>
      <c r="G696" s="337">
        <v>1800</v>
      </c>
      <c r="H696" s="153"/>
      <c r="I696" s="152">
        <f>G696+H696</f>
        <v>1800</v>
      </c>
    </row>
    <row r="697" spans="1:9" s="159" customFormat="1" ht="63">
      <c r="A697" s="148" t="str">
        <f>IF(B697&gt;0,VLOOKUP(B697,КВСР!A315:B1480,2),IF(C697&gt;0,VLOOKUP(C697,КФСР!A315:B1827,2),IF(D697&gt;0,VLOOKUP(D697,Программа!A$1:B$5091,2),IF(F697&gt;0,VLOOKUP(F697,КВР!A$1:B$5001,2),IF(E697&gt;0,VLOOKUP(E697,Направление!A$1:B$4750,2))))))</f>
        <v>Расходы на социальную поддержку отдельных категорий граждан в части ежемесячного пособия на ребенка</v>
      </c>
      <c r="B697" s="149"/>
      <c r="C697" s="144"/>
      <c r="D697" s="170"/>
      <c r="E697" s="168">
        <v>73040</v>
      </c>
      <c r="F697" s="146"/>
      <c r="G697" s="337">
        <f>G698+G699</f>
        <v>38302000</v>
      </c>
      <c r="H697" s="337">
        <f t="shared" ref="H697:I697" si="161">H698+H699</f>
        <v>0</v>
      </c>
      <c r="I697" s="337">
        <f t="shared" si="161"/>
        <v>38302000</v>
      </c>
    </row>
    <row r="698" spans="1:9" s="159" customFormat="1" ht="63">
      <c r="A698" s="148" t="str">
        <f>IF(B698&gt;0,VLOOKUP(B698,КВСР!A316:B1481,2),IF(C698&gt;0,VLOOKUP(C698,КФСР!A316:B1828,2),IF(D698&gt;0,VLOOKUP(D698,Программа!A$1:B$5091,2),IF(F698&gt;0,VLOOKUP(F698,КВР!A$1:B$5001,2),IF(E698&gt;0,VLOOKUP(E698,Направление!A$1:B$4750,2))))))</f>
        <v xml:space="preserve">Закупка товаров, работ и услуг для обеспечения государственных (муниципальных) нужд
</v>
      </c>
      <c r="B698" s="149"/>
      <c r="C698" s="144"/>
      <c r="D698" s="170"/>
      <c r="E698" s="168"/>
      <c r="F698" s="146">
        <v>200</v>
      </c>
      <c r="G698" s="337">
        <v>5982</v>
      </c>
      <c r="H698" s="153"/>
      <c r="I698" s="152">
        <f>G698+H698</f>
        <v>5982</v>
      </c>
    </row>
    <row r="699" spans="1:9" s="159" customFormat="1" ht="31.5">
      <c r="A699" s="148" t="str">
        <f>IF(B699&gt;0,VLOOKUP(B699,КВСР!A317:B1482,2),IF(C699&gt;0,VLOOKUP(C699,КФСР!A317:B1829,2),IF(D699&gt;0,VLOOKUP(D699,Программа!A$1:B$5091,2),IF(F699&gt;0,VLOOKUP(F699,КВР!A$1:B$5001,2),IF(E699&gt;0,VLOOKUP(E699,Направление!A$1:B$4750,2))))))</f>
        <v>Социальное обеспечение и иные выплаты населению</v>
      </c>
      <c r="B699" s="149"/>
      <c r="C699" s="144"/>
      <c r="D699" s="170"/>
      <c r="E699" s="168"/>
      <c r="F699" s="146">
        <v>300</v>
      </c>
      <c r="G699" s="337">
        <v>38296018</v>
      </c>
      <c r="H699" s="153"/>
      <c r="I699" s="152">
        <f>G699+H699</f>
        <v>38296018</v>
      </c>
    </row>
    <row r="700" spans="1:9" s="159" customFormat="1" ht="94.5">
      <c r="A700" s="148" t="str">
        <f>IF(B700&gt;0,VLOOKUP(B700,КВСР!A313:B1478,2),IF(C700&gt;0,VLOOKUP(C700,КФСР!A313:B1825,2),IF(D700&gt;0,VLOOKUP(D700,Программа!A$1:B$5091,2),IF(F700&gt;0,VLOOKUP(F700,КВР!A$1:B$5001,2),IF(E700&gt;0,VLOOKUP(E700,Направление!A$1:B$4750,2))))))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00" s="149"/>
      <c r="C700" s="144"/>
      <c r="D700" s="170"/>
      <c r="E700" s="168">
        <v>75480</v>
      </c>
      <c r="F700" s="146"/>
      <c r="G700" s="337">
        <f>G701</f>
        <v>782000</v>
      </c>
      <c r="H700" s="371">
        <f t="shared" ref="H700:I700" si="162">H701</f>
        <v>0</v>
      </c>
      <c r="I700" s="371">
        <f t="shared" si="162"/>
        <v>782000</v>
      </c>
    </row>
    <row r="701" spans="1:9" s="159" customFormat="1" ht="63">
      <c r="A701" s="148" t="str">
        <f>IF(B701&gt;0,VLOOKUP(B701,КВСР!A314:B1479,2),IF(C701&gt;0,VLOOKUP(C701,КФСР!A314:B1826,2),IF(D701&gt;0,VLOOKUP(D701,Программа!A$1:B$5091,2),IF(F701&gt;0,VLOOKUP(F701,КВР!A$1:B$5001,2),IF(E701&gt;0,VLOOKUP(E701,Направление!A$1:B$4750,2))))))</f>
        <v xml:space="preserve">Закупка товаров, работ и услуг для обеспечения государственных (муниципальных) нужд
</v>
      </c>
      <c r="B701" s="149"/>
      <c r="C701" s="144"/>
      <c r="D701" s="170"/>
      <c r="E701" s="168"/>
      <c r="F701" s="146">
        <v>200</v>
      </c>
      <c r="G701" s="337">
        <v>782000</v>
      </c>
      <c r="H701" s="153"/>
      <c r="I701" s="152">
        <f>G701+H701</f>
        <v>782000</v>
      </c>
    </row>
    <row r="702" spans="1:9" s="159" customFormat="1" ht="94.5" hidden="1">
      <c r="A702" s="148" t="str">
        <f>IF(B702&gt;0,VLOOKUP(B702,КВСР!A313:B1478,2),IF(C702&gt;0,VLOOKUP(C702,КФСР!A313:B1825,2),IF(D702&gt;0,VLOOKUP(D702,Программа!A$1:B$5091,2),IF(F702&gt;0,VLOOKUP(F702,КВР!A$1:B$5001,2),IF(E702&gt;0,VLOOKUP(E702,Направление!A$1:B$4750,2))))))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02" s="149"/>
      <c r="C702" s="144"/>
      <c r="D702" s="146"/>
      <c r="E702" s="144" t="s">
        <v>1221</v>
      </c>
      <c r="F702" s="146"/>
      <c r="G702" s="337">
        <f>G703+G704</f>
        <v>0</v>
      </c>
      <c r="H702" s="337">
        <f>H703+H704</f>
        <v>0</v>
      </c>
      <c r="I702" s="152">
        <f t="shared" si="154"/>
        <v>0</v>
      </c>
    </row>
    <row r="703" spans="1:9" s="159" customFormat="1" ht="63" hidden="1">
      <c r="A703" s="148" t="str">
        <f>IF(B703&gt;0,VLOOKUP(B703,КВСР!A314:B1479,2),IF(C703&gt;0,VLOOKUP(C703,КФСР!A314:B1826,2),IF(D703&gt;0,VLOOKUP(D703,Программа!A$1:B$5091,2),IF(F703&gt;0,VLOOKUP(F703,КВР!A$1:B$5001,2),IF(E703&gt;0,VLOOKUP(E703,Направление!A$1:B$4750,2))))))</f>
        <v xml:space="preserve">Закупка товаров, работ и услуг для обеспечения государственных (муниципальных) нужд
</v>
      </c>
      <c r="B703" s="149"/>
      <c r="C703" s="144"/>
      <c r="D703" s="170"/>
      <c r="E703" s="168"/>
      <c r="F703" s="146">
        <v>200</v>
      </c>
      <c r="G703" s="337"/>
      <c r="H703" s="153"/>
      <c r="I703" s="152">
        <f t="shared" si="154"/>
        <v>0</v>
      </c>
    </row>
    <row r="704" spans="1:9" s="159" customFormat="1" ht="31.5" hidden="1">
      <c r="A704" s="148" t="str">
        <f>IF(B704&gt;0,VLOOKUP(B704,КВСР!A315:B1480,2),IF(C704&gt;0,VLOOKUP(C704,КФСР!A315:B1827,2),IF(D704&gt;0,VLOOKUP(D704,Программа!A$1:B$5091,2),IF(F704&gt;0,VLOOKUP(F704,КВР!A$1:B$5001,2),IF(E704&gt;0,VLOOKUP(E704,Направление!A$1:B$4750,2))))))</f>
        <v>Социальное обеспечение и иные выплаты населению</v>
      </c>
      <c r="B704" s="149"/>
      <c r="C704" s="144"/>
      <c r="D704" s="170"/>
      <c r="E704" s="168"/>
      <c r="F704" s="146">
        <v>300</v>
      </c>
      <c r="G704" s="337">
        <v>0</v>
      </c>
      <c r="H704" s="153"/>
      <c r="I704" s="152">
        <f t="shared" si="154"/>
        <v>0</v>
      </c>
    </row>
    <row r="705" spans="1:9" s="159" customFormat="1" ht="63">
      <c r="A705" s="148" t="str">
        <f>IF(B705&gt;0,VLOOKUP(B705,КВСР!A308:B1473,2),IF(C705&gt;0,VLOOKUP(C705,КФСР!A308:B1820,2),IF(D705&gt;0,VLOOKUP(D705,Программа!A$1:B$5091,2),IF(F705&gt;0,VLOOKUP(F705,КВР!A$1:B$5001,2),IF(E705&gt;0,VLOOKUP(E705,Направление!A$1:B$4750,2))))))</f>
        <v>Социальная защита семей с детьми, инвалидов, ветеранов, граждан и детей, оказавшихся в трудной жизненной ситуации</v>
      </c>
      <c r="B705" s="149"/>
      <c r="C705" s="144"/>
      <c r="D705" s="167" t="s">
        <v>640</v>
      </c>
      <c r="E705" s="168"/>
      <c r="F705" s="146"/>
      <c r="G705" s="379">
        <f>G706</f>
        <v>100000</v>
      </c>
      <c r="H705" s="379">
        <f t="shared" ref="H705:I705" si="163">H706</f>
        <v>100000</v>
      </c>
      <c r="I705" s="379">
        <f t="shared" si="163"/>
        <v>200000</v>
      </c>
    </row>
    <row r="706" spans="1:9" s="159" customFormat="1" ht="31.5">
      <c r="A706" s="148" t="str">
        <f>IF(B706&gt;0,VLOOKUP(B706,КВСР!A309:B1474,2),IF(C706&gt;0,VLOOKUP(C706,КФСР!A309:B1821,2),IF(D706&gt;0,VLOOKUP(D706,Программа!A$1:B$5091,2),IF(F706&gt;0,VLOOKUP(F706,КВР!A$1:B$5001,2),IF(E706&gt;0,VLOOKUP(E706,Направление!A$1:B$4750,2))))))</f>
        <v>Оказание адресной материальной помощи</v>
      </c>
      <c r="B706" s="149"/>
      <c r="C706" s="144"/>
      <c r="D706" s="167"/>
      <c r="E706" s="168">
        <v>16220</v>
      </c>
      <c r="F706" s="146"/>
      <c r="G706" s="379">
        <f>G707</f>
        <v>100000</v>
      </c>
      <c r="H706" s="150">
        <f>H707</f>
        <v>100000</v>
      </c>
      <c r="I706" s="152">
        <f t="shared" si="154"/>
        <v>200000</v>
      </c>
    </row>
    <row r="707" spans="1:9" s="159" customFormat="1" ht="31.5">
      <c r="A707" s="148" t="str">
        <f>IF(B707&gt;0,VLOOKUP(B707,КВСР!A310:B1475,2),IF(C707&gt;0,VLOOKUP(C707,КФСР!A310:B1822,2),IF(D707&gt;0,VLOOKUP(D707,Программа!A$1:B$5091,2),IF(F707&gt;0,VLOOKUP(F707,КВР!A$1:B$5001,2),IF(E707&gt;0,VLOOKUP(E707,Направление!A$1:B$4750,2))))))</f>
        <v>Социальное обеспечение и иные выплаты населению</v>
      </c>
      <c r="B707" s="149"/>
      <c r="C707" s="144"/>
      <c r="D707" s="170"/>
      <c r="E707" s="168"/>
      <c r="F707" s="146">
        <v>300</v>
      </c>
      <c r="G707" s="379">
        <v>100000</v>
      </c>
      <c r="H707" s="151">
        <v>100000</v>
      </c>
      <c r="I707" s="152">
        <f t="shared" si="154"/>
        <v>200000</v>
      </c>
    </row>
    <row r="708" spans="1:9" s="159" customFormat="1" ht="31.5">
      <c r="A708" s="148" t="str">
        <f>IF(B708&gt;0,VLOOKUP(B708,КВСР!A311:B1476,2),IF(C708&gt;0,VLOOKUP(C708,КФСР!A311:B1823,2),IF(D708&gt;0,VLOOKUP(D708,Программа!A$1:B$5091,2),IF(F708&gt;0,VLOOKUP(F708,КВР!A$1:B$5001,2),IF(E708&gt;0,VLOOKUP(E708,Направление!A$1:B$4750,2))))))</f>
        <v>Федеральный проект "Финансовая поддержка при рождении детей"</v>
      </c>
      <c r="B708" s="149"/>
      <c r="C708" s="144"/>
      <c r="D708" s="146" t="s">
        <v>1812</v>
      </c>
      <c r="E708" s="168"/>
      <c r="F708" s="146"/>
      <c r="G708" s="379">
        <f>G709+G711</f>
        <v>81215500</v>
      </c>
      <c r="H708" s="379">
        <f t="shared" ref="H708:I708" si="164">H709+H711</f>
        <v>0</v>
      </c>
      <c r="I708" s="379">
        <f t="shared" si="164"/>
        <v>81215500</v>
      </c>
    </row>
    <row r="709" spans="1:9" s="159" customFormat="1" ht="78.75">
      <c r="A709" s="148" t="str">
        <f>IF(B709&gt;0,VLOOKUP(B709,КВСР!A312:B1477,2),IF(C709&gt;0,VLOOKUP(C709,КФСР!A312:B1824,2),IF(D709&gt;0,VLOOKUP(D709,Программа!A$1:B$5091,2),IF(F709&gt;0,VLOOKUP(F709,КВР!A$1:B$5001,2),IF(E709&gt;0,VLOOKUP(E709,Направление!A$1:B$4750,2))))))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09" s="149"/>
      <c r="C709" s="144"/>
      <c r="D709" s="146"/>
      <c r="E709" s="144">
        <v>50840</v>
      </c>
      <c r="F709" s="146"/>
      <c r="G709" s="379">
        <f>G710</f>
        <v>44829000</v>
      </c>
      <c r="H709" s="150">
        <f>H710</f>
        <v>0</v>
      </c>
      <c r="I709" s="152">
        <f t="shared" si="154"/>
        <v>44829000</v>
      </c>
    </row>
    <row r="710" spans="1:9" s="159" customFormat="1" ht="31.5">
      <c r="A710" s="148" t="str">
        <f>IF(B710&gt;0,VLOOKUP(B710,КВСР!A312:B1477,2),IF(C710&gt;0,VLOOKUP(C710,КФСР!A312:B1824,2),IF(D710&gt;0,VLOOKUP(D710,Программа!A$1:B$5091,2),IF(F710&gt;0,VLOOKUP(F710,КВР!A$1:B$5001,2),IF(E710&gt;0,VLOOKUP(E710,Направление!A$1:B$4750,2))))))</f>
        <v>Социальное обеспечение и иные выплаты населению</v>
      </c>
      <c r="B710" s="149"/>
      <c r="C710" s="144"/>
      <c r="D710" s="146"/>
      <c r="E710" s="144"/>
      <c r="F710" s="146">
        <v>300</v>
      </c>
      <c r="G710" s="379">
        <v>44829000</v>
      </c>
      <c r="H710" s="151"/>
      <c r="I710" s="152">
        <f t="shared" si="154"/>
        <v>44829000</v>
      </c>
    </row>
    <row r="711" spans="1:9" s="159" customFormat="1" ht="94.5">
      <c r="A711" s="148" t="str">
        <f>IF(B711&gt;0,VLOOKUP(B711,КВСР!A313:B1478,2),IF(C711&gt;0,VLOOKUP(C711,КФСР!A313:B1825,2),IF(D711&gt;0,VLOOKUP(D711,Программа!A$1:B$5091,2),IF(F711&gt;0,VLOOKUP(F711,КВР!A$1:B$5001,2),IF(E711&gt;0,VLOOKUP(E711,Направление!A$1:B$4750,2))))))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11" s="149"/>
      <c r="C711" s="144"/>
      <c r="D711" s="146"/>
      <c r="E711" s="144">
        <v>55730</v>
      </c>
      <c r="F711" s="146"/>
      <c r="G711" s="379">
        <f>G712</f>
        <v>36386500</v>
      </c>
      <c r="H711" s="379">
        <f t="shared" ref="H711:I711" si="165">H712</f>
        <v>0</v>
      </c>
      <c r="I711" s="379">
        <f t="shared" si="165"/>
        <v>36386500</v>
      </c>
    </row>
    <row r="712" spans="1:9" s="159" customFormat="1" ht="31.5">
      <c r="A712" s="148" t="str">
        <f>IF(B712&gt;0,VLOOKUP(B712,КВСР!A314:B1479,2),IF(C712&gt;0,VLOOKUP(C712,КФСР!A314:B1826,2),IF(D712&gt;0,VLOOKUP(D712,Программа!A$1:B$5091,2),IF(F712&gt;0,VLOOKUP(F712,КВР!A$1:B$5001,2),IF(E712&gt;0,VLOOKUP(E712,Направление!A$1:B$4750,2))))))</f>
        <v>Социальное обеспечение и иные выплаты населению</v>
      </c>
      <c r="B712" s="149"/>
      <c r="C712" s="144"/>
      <c r="D712" s="146"/>
      <c r="E712" s="144"/>
      <c r="F712" s="146">
        <v>300</v>
      </c>
      <c r="G712" s="379">
        <v>36386500</v>
      </c>
      <c r="H712" s="151"/>
      <c r="I712" s="152">
        <f>G712+H712</f>
        <v>36386500</v>
      </c>
    </row>
    <row r="713" spans="1:9" s="159" customFormat="1" ht="31.5">
      <c r="A713" s="148" t="str">
        <f>IF(B713&gt;0,VLOOKUP(B713,КВСР!A308:B1473,2),IF(C713&gt;0,VLOOKUP(C713,КФСР!A308:B1820,2),IF(D713&gt;0,VLOOKUP(D713,Программа!A$1:B$5091,2),IF(F713&gt;0,VLOOKUP(F713,КВР!A$1:B$5001,2),IF(E713&gt;0,VLOOKUP(E713,Направление!A$1:B$4750,2))))))</f>
        <v>Другие вопросы в области социальной политики</v>
      </c>
      <c r="B713" s="149"/>
      <c r="C713" s="144">
        <v>1006</v>
      </c>
      <c r="D713" s="145"/>
      <c r="E713" s="144"/>
      <c r="F713" s="146"/>
      <c r="G713" s="337">
        <f>G719+G714+G734+G738</f>
        <v>15157400</v>
      </c>
      <c r="H713" s="442">
        <f t="shared" ref="H713:I713" si="166">H719+H714+H734+H738</f>
        <v>0</v>
      </c>
      <c r="I713" s="442">
        <f t="shared" si="166"/>
        <v>15157400</v>
      </c>
    </row>
    <row r="714" spans="1:9" s="159" customFormat="1" ht="63" hidden="1">
      <c r="A714" s="148" t="str">
        <f>IF(B714&gt;0,VLOOKUP(B714,КВСР!A309:B1474,2),IF(C714&gt;0,VLOOKUP(C714,КФСР!A309:B1821,2),IF(D714&gt;0,VLOOKUP(D714,Программа!A$1:B$5091,2),IF(F714&gt;0,VLOOKUP(F714,КВР!A$1:B$5001,2),IF(E714&gt;0,VLOOKUP(E714,Направление!A$1:B$4750,2))))))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714" s="149"/>
      <c r="C714" s="144"/>
      <c r="D714" s="145" t="s">
        <v>539</v>
      </c>
      <c r="E714" s="144"/>
      <c r="F714" s="146"/>
      <c r="G714" s="337">
        <f t="shared" ref="G714:H717" si="167">G715</f>
        <v>0</v>
      </c>
      <c r="H714" s="152">
        <f t="shared" si="167"/>
        <v>0</v>
      </c>
      <c r="I714" s="152">
        <f t="shared" si="154"/>
        <v>0</v>
      </c>
    </row>
    <row r="715" spans="1:9" s="159" customFormat="1" ht="63" hidden="1">
      <c r="A715" s="148" t="str">
        <f>IF(B715&gt;0,VLOOKUP(B715,КВСР!A310:B1475,2),IF(C715&gt;0,VLOOKUP(C715,КФСР!A310:B1822,2),IF(D715&gt;0,VLOOKUP(D715,Программа!A$1:B$5091,2),IF(F715&gt;0,VLOOKUP(F715,КВР!A$1:B$5001,2),IF(E715&gt;0,VLOOKUP(E715,Направление!A$1:B$4750,2))))))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15" s="149"/>
      <c r="C715" s="144"/>
      <c r="D715" s="145" t="s">
        <v>592</v>
      </c>
      <c r="E715" s="144"/>
      <c r="F715" s="146"/>
      <c r="G715" s="337">
        <f t="shared" si="167"/>
        <v>0</v>
      </c>
      <c r="H715" s="152">
        <f t="shared" si="167"/>
        <v>0</v>
      </c>
      <c r="I715" s="152">
        <f t="shared" si="154"/>
        <v>0</v>
      </c>
    </row>
    <row r="716" spans="1:9" s="159" customFormat="1" ht="63" hidden="1">
      <c r="A716" s="148" t="str">
        <f>IF(B716&gt;0,VLOOKUP(B716,КВСР!A311:B1476,2),IF(C716&gt;0,VLOOKUP(C716,КФСР!A311:B1823,2),IF(D716&gt;0,VLOOKUP(D716,Программа!A$1:B$5091,2),IF(F716&gt;0,VLOOKUP(F716,КВР!A$1:B$5001,2),IF(E716&gt;0,VLOOKUP(E716,Направление!A$1:B$4750,2))))))</f>
        <v>Реализация мер по созданию целостной системы духовно-нравственного воспитания и просвещения населения</v>
      </c>
      <c r="B716" s="149"/>
      <c r="C716" s="144"/>
      <c r="D716" s="145" t="s">
        <v>594</v>
      </c>
      <c r="E716" s="144"/>
      <c r="F716" s="146"/>
      <c r="G716" s="337">
        <f t="shared" si="167"/>
        <v>0</v>
      </c>
      <c r="H716" s="152">
        <f t="shared" si="167"/>
        <v>0</v>
      </c>
      <c r="I716" s="152">
        <f t="shared" si="154"/>
        <v>0</v>
      </c>
    </row>
    <row r="717" spans="1:9" s="159" customFormat="1" ht="47.25" hidden="1">
      <c r="A717" s="148" t="str">
        <f>IF(B717&gt;0,VLOOKUP(B717,КВСР!A312:B1477,2),IF(C717&gt;0,VLOOKUP(C717,КФСР!A312:B1824,2),IF(D717&gt;0,VLOOKUP(D717,Программа!A$1:B$5091,2),IF(F717&gt;0,VLOOKUP(F717,КВР!A$1:B$5001,2),IF(E717&gt;0,VLOOKUP(E717,Направление!A$1:B$4750,2))))))</f>
        <v>Расходы на реализацию МЦП "Духовно - нравственное воспитание и просвещение населения ТМР"</v>
      </c>
      <c r="B717" s="149"/>
      <c r="C717" s="144"/>
      <c r="D717" s="145"/>
      <c r="E717" s="144">
        <v>13810</v>
      </c>
      <c r="F717" s="146"/>
      <c r="G717" s="337">
        <f t="shared" si="167"/>
        <v>0</v>
      </c>
      <c r="H717" s="152">
        <f t="shared" si="167"/>
        <v>0</v>
      </c>
      <c r="I717" s="152">
        <f t="shared" si="154"/>
        <v>0</v>
      </c>
    </row>
    <row r="718" spans="1:9" s="159" customFormat="1" ht="63" hidden="1">
      <c r="A718" s="148" t="str">
        <f>IF(B718&gt;0,VLOOKUP(B718,КВСР!A313:B1478,2),IF(C718&gt;0,VLOOKUP(C718,КФСР!A313:B1825,2),IF(D718&gt;0,VLOOKUP(D718,Программа!A$1:B$5091,2),IF(F718&gt;0,VLOOKUP(F718,КВР!A$1:B$5001,2),IF(E718&gt;0,VLOOKUP(E718,Направление!A$1:B$4750,2))))))</f>
        <v xml:space="preserve">Закупка товаров, работ и услуг для обеспечения государственных (муниципальных) нужд
</v>
      </c>
      <c r="B718" s="149"/>
      <c r="C718" s="144"/>
      <c r="D718" s="145"/>
      <c r="E718" s="144"/>
      <c r="F718" s="146">
        <v>200</v>
      </c>
      <c r="G718" s="337"/>
      <c r="H718" s="154"/>
      <c r="I718" s="152">
        <f t="shared" si="154"/>
        <v>0</v>
      </c>
    </row>
    <row r="719" spans="1:9" s="159" customFormat="1" ht="47.25">
      <c r="A719" s="148" t="str">
        <f>IF(B719&gt;0,VLOOKUP(B719,КВСР!A309:B1474,2),IF(C719&gt;0,VLOOKUP(C719,КФСР!A309:B1821,2),IF(D719&gt;0,VLOOKUP(D719,Программа!A$1:B$5091,2),IF(F719&gt;0,VLOOKUP(F719,КВР!A$1:B$5001,2),IF(E719&gt;0,VLOOKUP(E719,Направление!A$1:B$4750,2))))))</f>
        <v>Муниципальная программа "Социальная поддержка населения Тутаевского муниципального района"</v>
      </c>
      <c r="B719" s="149"/>
      <c r="C719" s="144"/>
      <c r="D719" s="145" t="s">
        <v>548</v>
      </c>
      <c r="E719" s="144"/>
      <c r="F719" s="146"/>
      <c r="G719" s="337">
        <f>G720</f>
        <v>15142900</v>
      </c>
      <c r="H719" s="152">
        <f>H720</f>
        <v>0</v>
      </c>
      <c r="I719" s="152">
        <f t="shared" si="154"/>
        <v>15142900</v>
      </c>
    </row>
    <row r="720" spans="1:9" s="159" customFormat="1" ht="63">
      <c r="A720" s="148" t="str">
        <f>IF(B720&gt;0,VLOOKUP(B720,КВСР!A310:B1475,2),IF(C720&gt;0,VLOOKUP(C720,КФСР!A310:B1822,2),IF(D720&gt;0,VLOOKUP(D720,Программа!A$1:B$5091,2),IF(F720&gt;0,VLOOKUP(F720,КВР!A$1:B$5001,2),IF(E720&gt;0,VLOOKUP(E720,Направление!A$1:B$4750,2))))))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720" s="149"/>
      <c r="C720" s="144"/>
      <c r="D720" s="145" t="s">
        <v>620</v>
      </c>
      <c r="E720" s="144"/>
      <c r="F720" s="146"/>
      <c r="G720" s="337">
        <f>G721+G731</f>
        <v>15142900</v>
      </c>
      <c r="H720" s="152">
        <f>H721+H731</f>
        <v>0</v>
      </c>
      <c r="I720" s="152">
        <f t="shared" si="154"/>
        <v>15142900</v>
      </c>
    </row>
    <row r="721" spans="1:9" s="159" customFormat="1" ht="47.25">
      <c r="A721" s="148" t="str">
        <f>IF(B721&gt;0,VLOOKUP(B721,КВСР!A311:B1476,2),IF(C721&gt;0,VLOOKUP(C721,КФСР!A311:B1823,2),IF(D721&gt;0,VLOOKUP(D721,Программа!A$1:B$5091,2),IF(F721&gt;0,VLOOKUP(F721,КВР!A$1:B$5001,2),IF(E721&gt;0,VLOOKUP(E721,Направление!A$1:B$4750,2))))))</f>
        <v>Исполнение публичных обязательств по предоставлению выплат, пособий и компенсаций</v>
      </c>
      <c r="B721" s="149"/>
      <c r="C721" s="144"/>
      <c r="D721" s="145" t="s">
        <v>622</v>
      </c>
      <c r="E721" s="144"/>
      <c r="F721" s="146"/>
      <c r="G721" s="337">
        <f>G722+G727+G725</f>
        <v>14370900</v>
      </c>
      <c r="H721" s="152">
        <f>H722+H727+H725</f>
        <v>0</v>
      </c>
      <c r="I721" s="152">
        <f t="shared" si="154"/>
        <v>14370900</v>
      </c>
    </row>
    <row r="722" spans="1:9" s="159" customFormat="1">
      <c r="A722" s="148" t="str">
        <f>IF(B722&gt;0,VLOOKUP(B722,КВСР!A312:B1477,2),IF(C722&gt;0,VLOOKUP(C722,КФСР!A312:B1824,2),IF(D722&gt;0,VLOOKUP(D722,Программа!A$1:B$5091,2),IF(F722&gt;0,VLOOKUP(F722,КВР!A$1:B$5001,2),IF(E722&gt;0,VLOOKUP(E722,Направление!A$1:B$4750,2))))))</f>
        <v>Содержание центрального аппарата</v>
      </c>
      <c r="B722" s="149"/>
      <c r="C722" s="144"/>
      <c r="D722" s="145"/>
      <c r="E722" s="144">
        <v>12010</v>
      </c>
      <c r="F722" s="146"/>
      <c r="G722" s="337">
        <f>G723+G724</f>
        <v>434899</v>
      </c>
      <c r="H722" s="152">
        <f>H723+H724</f>
        <v>0</v>
      </c>
      <c r="I722" s="152">
        <f t="shared" si="154"/>
        <v>434899</v>
      </c>
    </row>
    <row r="723" spans="1:9" s="159" customFormat="1" ht="126">
      <c r="A723" s="148" t="str">
        <f>IF(B723&gt;0,VLOOKUP(B723,КВСР!A312:B1477,2),IF(C723&gt;0,VLOOKUP(C723,КФСР!A312:B1824,2),IF(D723&gt;0,VLOOKUP(D723,Программа!A$1:B$5091,2),IF(F723&gt;0,VLOOKUP(F723,КВР!A$1:B$5001,2),IF(E723&gt;0,VLOOKUP(E723,Направление!A$1:B$4750,2))))))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3" s="149"/>
      <c r="C723" s="144"/>
      <c r="D723" s="146"/>
      <c r="E723" s="144"/>
      <c r="F723" s="146">
        <v>100</v>
      </c>
      <c r="G723" s="337">
        <v>434899</v>
      </c>
      <c r="H723" s="153"/>
      <c r="I723" s="152">
        <f t="shared" si="154"/>
        <v>434899</v>
      </c>
    </row>
    <row r="724" spans="1:9" s="159" customFormat="1" ht="63" hidden="1">
      <c r="A724" s="148" t="str">
        <f>IF(B724&gt;0,VLOOKUP(B724,КВСР!A313:B1478,2),IF(C724&gt;0,VLOOKUP(C724,КФСР!A313:B1825,2),IF(D724&gt;0,VLOOKUP(D724,Программа!A$1:B$5091,2),IF(F724&gt;0,VLOOKUP(F724,КВР!A$1:B$5001,2),IF(E724&gt;0,VLOOKUP(E724,Направление!A$1:B$4750,2))))))</f>
        <v xml:space="preserve">Закупка товаров, работ и услуг для обеспечения государственных (муниципальных) нужд
</v>
      </c>
      <c r="B724" s="149"/>
      <c r="C724" s="144"/>
      <c r="D724" s="146"/>
      <c r="E724" s="144"/>
      <c r="F724" s="146">
        <v>200</v>
      </c>
      <c r="G724" s="337"/>
      <c r="H724" s="153"/>
      <c r="I724" s="152">
        <f t="shared" si="154"/>
        <v>0</v>
      </c>
    </row>
    <row r="725" spans="1:9" s="159" customFormat="1" ht="31.5">
      <c r="A725" s="148" t="str">
        <f>IF(B725&gt;0,VLOOKUP(B725,КВСР!A314:B1479,2),IF(C725&gt;0,VLOOKUP(C725,КФСР!A314:B1826,2),IF(D725&gt;0,VLOOKUP(D725,Программа!A$1:B$5091,2),IF(F725&gt;0,VLOOKUP(F725,КВР!A$1:B$5001,2),IF(E725&gt;0,VLOOKUP(E725,Направление!A$1:B$4750,2))))))</f>
        <v>Выполнение других обязательств органов местного самоуправления</v>
      </c>
      <c r="B725" s="149"/>
      <c r="C725" s="144"/>
      <c r="D725" s="146"/>
      <c r="E725" s="144">
        <v>12080</v>
      </c>
      <c r="F725" s="146"/>
      <c r="G725" s="337">
        <f>G726</f>
        <v>85501</v>
      </c>
      <c r="H725" s="337">
        <f>H726</f>
        <v>0</v>
      </c>
      <c r="I725" s="152">
        <f t="shared" si="154"/>
        <v>85501</v>
      </c>
    </row>
    <row r="726" spans="1:9" s="159" customFormat="1" ht="63">
      <c r="A726" s="148" t="str">
        <f>IF(B726&gt;0,VLOOKUP(B726,КВСР!A315:B1480,2),IF(C726&gt;0,VLOOKUP(C726,КФСР!A315:B1827,2),IF(D726&gt;0,VLOOKUP(D726,Программа!A$1:B$5091,2),IF(F726&gt;0,VLOOKUP(F726,КВР!A$1:B$5001,2),IF(E726&gt;0,VLOOKUP(E726,Направление!A$1:B$4750,2))))))</f>
        <v xml:space="preserve">Закупка товаров, работ и услуг для обеспечения государственных (муниципальных) нужд
</v>
      </c>
      <c r="B726" s="149"/>
      <c r="C726" s="144"/>
      <c r="D726" s="146"/>
      <c r="E726" s="144"/>
      <c r="F726" s="146">
        <v>200</v>
      </c>
      <c r="G726" s="337">
        <v>85501</v>
      </c>
      <c r="H726" s="153"/>
      <c r="I726" s="152">
        <f t="shared" si="154"/>
        <v>85501</v>
      </c>
    </row>
    <row r="727" spans="1:9" s="159" customFormat="1" ht="78.75">
      <c r="A727" s="148" t="str">
        <f>IF(B727&gt;0,VLOOKUP(B727,КВСР!A314:B1479,2),IF(C727&gt;0,VLOOKUP(C727,КФСР!A314:B1826,2),IF(D727&gt;0,VLOOKUP(D727,Программа!A$1:B$5091,2),IF(F727&gt;0,VLOOKUP(F727,КВР!A$1:B$5001,2),IF(E727&gt;0,VLOOKUP(E727,Направление!A$1:B$4750,2))))))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27" s="149"/>
      <c r="C727" s="144"/>
      <c r="D727" s="145"/>
      <c r="E727" s="144">
        <v>70870</v>
      </c>
      <c r="F727" s="146"/>
      <c r="G727" s="337">
        <f>G728+G729+G730</f>
        <v>13850500</v>
      </c>
      <c r="H727" s="152">
        <f>H728+H729+H730</f>
        <v>0</v>
      </c>
      <c r="I727" s="152">
        <f t="shared" si="154"/>
        <v>13850500</v>
      </c>
    </row>
    <row r="728" spans="1:9" s="159" customFormat="1" ht="126">
      <c r="A728" s="148" t="str">
        <f>IF(B728&gt;0,VLOOKUP(B728,КВСР!A315:B1480,2),IF(C728&gt;0,VLOOKUP(C728,КФСР!A315:B1827,2),IF(D728&gt;0,VLOOKUP(D728,Программа!A$1:B$5091,2),IF(F728&gt;0,VLOOKUP(F728,КВР!A$1:B$5001,2),IF(E728&gt;0,VLOOKUP(E728,Направление!A$1:B$4750,2))))))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149"/>
      <c r="C728" s="144"/>
      <c r="D728" s="146"/>
      <c r="E728" s="144"/>
      <c r="F728" s="146">
        <v>100</v>
      </c>
      <c r="G728" s="337">
        <v>12298700</v>
      </c>
      <c r="H728" s="153"/>
      <c r="I728" s="152">
        <f t="shared" si="154"/>
        <v>12298700</v>
      </c>
    </row>
    <row r="729" spans="1:9" s="159" customFormat="1" ht="63">
      <c r="A729" s="148" t="str">
        <f>IF(B729&gt;0,VLOOKUP(B729,КВСР!A316:B1481,2),IF(C729&gt;0,VLOOKUP(C729,КФСР!A316:B1828,2),IF(D729&gt;0,VLOOKUP(D729,Программа!A$1:B$5091,2),IF(F729&gt;0,VLOOKUP(F729,КВР!A$1:B$5001,2),IF(E729&gt;0,VLOOKUP(E729,Направление!A$1:B$4750,2))))))</f>
        <v xml:space="preserve">Закупка товаров, работ и услуг для обеспечения государственных (муниципальных) нужд
</v>
      </c>
      <c r="B729" s="149"/>
      <c r="C729" s="144"/>
      <c r="D729" s="146"/>
      <c r="E729" s="144"/>
      <c r="F729" s="146">
        <v>200</v>
      </c>
      <c r="G729" s="337">
        <v>1526800</v>
      </c>
      <c r="H729" s="153"/>
      <c r="I729" s="152">
        <f t="shared" si="154"/>
        <v>1526800</v>
      </c>
    </row>
    <row r="730" spans="1:9" s="159" customFormat="1">
      <c r="A730" s="148" t="str">
        <f>IF(B730&gt;0,VLOOKUP(B730,КВСР!A317:B1482,2),IF(C730&gt;0,VLOOKUP(C730,КФСР!A317:B1829,2),IF(D730&gt;0,VLOOKUP(D730,Программа!A$1:B$5091,2),IF(F730&gt;0,VLOOKUP(F730,КВР!A$1:B$5001,2),IF(E730&gt;0,VLOOKUP(E730,Направление!A$1:B$4750,2))))))</f>
        <v>Иные бюджетные ассигнования</v>
      </c>
      <c r="B730" s="149"/>
      <c r="C730" s="144"/>
      <c r="D730" s="146"/>
      <c r="E730" s="144"/>
      <c r="F730" s="146">
        <v>800</v>
      </c>
      <c r="G730" s="337">
        <v>25000</v>
      </c>
      <c r="H730" s="153"/>
      <c r="I730" s="152">
        <f t="shared" si="154"/>
        <v>25000</v>
      </c>
    </row>
    <row r="731" spans="1:9" s="159" customFormat="1" ht="31.5">
      <c r="A731" s="148" t="str">
        <f>IF(B731&gt;0,VLOOKUP(B731,КВСР!A318:B1483,2),IF(C731&gt;0,VLOOKUP(C731,КФСР!A318:B1830,2),IF(D731&gt;0,VLOOKUP(D731,Программа!A$1:B$5091,2),IF(F731&gt;0,VLOOKUP(F731,КВР!A$1:B$5001,2),IF(E731&gt;0,VLOOKUP(E731,Направление!A$1:B$4750,2))))))</f>
        <v>Информационное обеспечение реализации мероприятий программы</v>
      </c>
      <c r="B731" s="149"/>
      <c r="C731" s="144"/>
      <c r="D731" s="145" t="s">
        <v>1408</v>
      </c>
      <c r="E731" s="144"/>
      <c r="F731" s="146"/>
      <c r="G731" s="337">
        <f>G732</f>
        <v>772000</v>
      </c>
      <c r="H731" s="337">
        <f>H732</f>
        <v>0</v>
      </c>
      <c r="I731" s="152">
        <f t="shared" si="154"/>
        <v>772000</v>
      </c>
    </row>
    <row r="732" spans="1:9" s="159" customFormat="1" ht="78.75">
      <c r="A732" s="148" t="str">
        <f>IF(B732&gt;0,VLOOKUP(B732,КВСР!A319:B1484,2),IF(C732&gt;0,VLOOKUP(C732,КФСР!A319:B1831,2),IF(D732&gt;0,VLOOKUP(D732,Программа!A$1:B$5091,2),IF(F732&gt;0,VLOOKUP(F732,КВР!A$1:B$5001,2),IF(E732&gt;0,VLOOKUP(E732,Направление!A$1:B$4750,2))))))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32" s="149"/>
      <c r="C732" s="144"/>
      <c r="D732" s="145"/>
      <c r="E732" s="144">
        <v>70870</v>
      </c>
      <c r="F732" s="146"/>
      <c r="G732" s="337">
        <f>G733</f>
        <v>772000</v>
      </c>
      <c r="H732" s="337">
        <f>H733</f>
        <v>0</v>
      </c>
      <c r="I732" s="152">
        <f t="shared" si="154"/>
        <v>772000</v>
      </c>
    </row>
    <row r="733" spans="1:9" s="159" customFormat="1" ht="63">
      <c r="A733" s="148" t="str">
        <f>IF(B733&gt;0,VLOOKUP(B733,КВСР!A320:B1485,2),IF(C733&gt;0,VLOOKUP(C733,КФСР!A320:B1832,2),IF(D733&gt;0,VLOOKUP(D733,Программа!A$1:B$5091,2),IF(F733&gt;0,VLOOKUP(F733,КВР!A$1:B$5001,2),IF(E733&gt;0,VLOOKUP(E733,Направление!A$1:B$4750,2))))))</f>
        <v xml:space="preserve">Закупка товаров, работ и услуг для обеспечения государственных (муниципальных) нужд
</v>
      </c>
      <c r="B733" s="149"/>
      <c r="C733" s="144"/>
      <c r="D733" s="146"/>
      <c r="E733" s="144"/>
      <c r="F733" s="146">
        <v>200</v>
      </c>
      <c r="G733" s="337">
        <v>772000</v>
      </c>
      <c r="H733" s="153"/>
      <c r="I733" s="152">
        <f t="shared" si="154"/>
        <v>772000</v>
      </c>
    </row>
    <row r="734" spans="1:9" s="159" customFormat="1" ht="31.5">
      <c r="A734" s="148" t="str">
        <f>IF(B734&gt;0,VLOOKUP(B734,КВСР!A321:B1486,2),IF(C734&gt;0,VLOOKUP(C734,КФСР!A321:B1833,2),IF(D734&gt;0,VLOOKUP(D734,Программа!A$1:B$5091,2),IF(F734&gt;0,VLOOKUP(F734,КВР!A$1:B$5001,2),IF(E734&gt;0,VLOOKUP(E734,Направление!A$1:B$4750,2))))))</f>
        <v>Муниципальная программа "Доступная среда "</v>
      </c>
      <c r="B734" s="149"/>
      <c r="C734" s="144"/>
      <c r="D734" s="146" t="s">
        <v>685</v>
      </c>
      <c r="E734" s="144"/>
      <c r="F734" s="146"/>
      <c r="G734" s="337">
        <f>G735</f>
        <v>8500</v>
      </c>
      <c r="H734" s="371">
        <f t="shared" ref="H734:I736" si="168">H735</f>
        <v>0</v>
      </c>
      <c r="I734" s="371">
        <f t="shared" si="168"/>
        <v>8500</v>
      </c>
    </row>
    <row r="735" spans="1:9" s="159" customFormat="1" ht="78.75">
      <c r="A735" s="148" t="str">
        <f>IF(B735&gt;0,VLOOKUP(B735,КВСР!A322:B1487,2),IF(C735&gt;0,VLOOKUP(C735,КФСР!A322:B1834,2),IF(D735&gt;0,VLOOKUP(D735,Программа!A$1:B$5091,2),IF(F735&gt;0,VLOOKUP(F735,КВР!A$1:B$5001,2),IF(E735&gt;0,VLOOKUP(E735,Направление!A$1:B$4750,2))))))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735" s="149"/>
      <c r="C735" s="144"/>
      <c r="D735" s="146" t="s">
        <v>687</v>
      </c>
      <c r="E735" s="144"/>
      <c r="F735" s="146"/>
      <c r="G735" s="337">
        <f>G736</f>
        <v>8500</v>
      </c>
      <c r="H735" s="371">
        <f t="shared" si="168"/>
        <v>0</v>
      </c>
      <c r="I735" s="371">
        <f t="shared" si="168"/>
        <v>8500</v>
      </c>
    </row>
    <row r="736" spans="1:9" s="159" customFormat="1" ht="63">
      <c r="A736" s="148" t="str">
        <f>IF(B736&gt;0,VLOOKUP(B736,КВСР!A323:B1488,2),IF(C736&gt;0,VLOOKUP(C736,КФСР!A323:B1835,2),IF(D736&gt;0,VLOOKUP(D736,Программа!A$1:B$5091,2),IF(F736&gt;0,VLOOKUP(F736,КВР!A$1:B$5001,2),IF(E736&gt;0,VLOOKUP(E736,Направление!A$1:B$4750,2))))))</f>
        <v>Расходы на оборудование социально значимых объектов с целью обеспечения доступности для инвалидов</v>
      </c>
      <c r="B736" s="149"/>
      <c r="C736" s="144"/>
      <c r="D736" s="146"/>
      <c r="E736" s="144">
        <v>16250</v>
      </c>
      <c r="F736" s="146"/>
      <c r="G736" s="337">
        <f>G737</f>
        <v>8500</v>
      </c>
      <c r="H736" s="371">
        <f t="shared" si="168"/>
        <v>0</v>
      </c>
      <c r="I736" s="371">
        <f t="shared" si="168"/>
        <v>8500</v>
      </c>
    </row>
    <row r="737" spans="1:9" s="159" customFormat="1" ht="63">
      <c r="A737" s="148" t="str">
        <f>IF(B737&gt;0,VLOOKUP(B737,КВСР!A324:B1489,2),IF(C737&gt;0,VLOOKUP(C737,КФСР!A324:B1836,2),IF(D737&gt;0,VLOOKUP(D737,Программа!A$1:B$5091,2),IF(F737&gt;0,VLOOKUP(F737,КВР!A$1:B$5001,2),IF(E737&gt;0,VLOOKUP(E737,Направление!A$1:B$4750,2))))))</f>
        <v xml:space="preserve">Закупка товаров, работ и услуг для обеспечения государственных (муниципальных) нужд
</v>
      </c>
      <c r="B737" s="149"/>
      <c r="C737" s="144"/>
      <c r="D737" s="146"/>
      <c r="E737" s="144"/>
      <c r="F737" s="146">
        <v>200</v>
      </c>
      <c r="G737" s="337">
        <v>8500</v>
      </c>
      <c r="H737" s="153"/>
      <c r="I737" s="152">
        <f>G737+H737</f>
        <v>8500</v>
      </c>
    </row>
    <row r="738" spans="1:9" s="159" customFormat="1" ht="63">
      <c r="A738" s="148" t="str">
        <f>IF(B738&gt;0,VLOOKUP(B738,КВСР!A321:B1486,2),IF(C738&gt;0,VLOOKUP(C738,КФСР!A321:B1833,2),IF(D738&gt;0,VLOOKUP(D738,Программа!A$1:B$5091,2),IF(F738&gt;0,VLOOKUP(F738,КВР!A$1:B$5001,2),IF(E738&gt;0,VLOOKUP(E738,Направление!A$1:B$4750,2))))))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38" s="149"/>
      <c r="C738" s="144"/>
      <c r="D738" s="146" t="s">
        <v>600</v>
      </c>
      <c r="E738" s="144"/>
      <c r="F738" s="146"/>
      <c r="G738" s="337">
        <f>G739</f>
        <v>6000</v>
      </c>
      <c r="H738" s="371">
        <f t="shared" ref="H738:I739" si="169">H739</f>
        <v>0</v>
      </c>
      <c r="I738" s="371">
        <f t="shared" si="169"/>
        <v>6000</v>
      </c>
    </row>
    <row r="739" spans="1:9" s="159" customFormat="1" ht="31.5">
      <c r="A739" s="148" t="str">
        <f>IF(B739&gt;0,VLOOKUP(B739,КВСР!A322:B1487,2),IF(C739&gt;0,VLOOKUP(C739,КФСР!A322:B1834,2),IF(D739&gt;0,VLOOKUP(D739,Программа!A$1:B$5091,2),IF(F739&gt;0,VLOOKUP(F739,КВР!A$1:B$5001,2),IF(E739&gt;0,VLOOKUP(E739,Направление!A$1:B$4750,2))))))</f>
        <v>Реализация мероприятий по профилактике правонарушений</v>
      </c>
      <c r="B739" s="149"/>
      <c r="C739" s="144"/>
      <c r="D739" s="146" t="s">
        <v>602</v>
      </c>
      <c r="E739" s="144"/>
      <c r="F739" s="146"/>
      <c r="G739" s="337">
        <f>G740</f>
        <v>6000</v>
      </c>
      <c r="H739" s="371">
        <f t="shared" si="169"/>
        <v>0</v>
      </c>
      <c r="I739" s="371">
        <f t="shared" si="169"/>
        <v>6000</v>
      </c>
    </row>
    <row r="740" spans="1:9" s="159" customFormat="1" ht="47.25">
      <c r="A740" s="148" t="str">
        <f>IF(B740&gt;0,VLOOKUP(B740,КВСР!A323:B1488,2),IF(C740&gt;0,VLOOKUP(C740,КФСР!A323:B1835,2),IF(D740&gt;0,VLOOKUP(D740,Программа!A$1:B$5091,2),IF(F740&gt;0,VLOOKUP(F740,КВР!A$1:B$5001,2),IF(E740&gt;0,VLOOKUP(E740,Направление!A$1:B$4750,2))))))</f>
        <v>Расходы на профилактику правонарушений и усиления борьбы с преступностью</v>
      </c>
      <c r="B740" s="149"/>
      <c r="C740" s="144"/>
      <c r="D740" s="146"/>
      <c r="E740" s="144">
        <v>12250</v>
      </c>
      <c r="F740" s="146"/>
      <c r="G740" s="337">
        <f>G741</f>
        <v>6000</v>
      </c>
      <c r="H740" s="371">
        <f t="shared" ref="H740:I740" si="170">H741</f>
        <v>0</v>
      </c>
      <c r="I740" s="371">
        <f t="shared" si="170"/>
        <v>6000</v>
      </c>
    </row>
    <row r="741" spans="1:9" s="159" customFormat="1" ht="63">
      <c r="A741" s="148" t="str">
        <f>IF(B741&gt;0,VLOOKUP(B741,КВСР!A324:B1489,2),IF(C741&gt;0,VLOOKUP(C741,КФСР!A324:B1836,2),IF(D741&gt;0,VLOOKUP(D741,Программа!A$1:B$5091,2),IF(F741&gt;0,VLOOKUP(F741,КВР!A$1:B$5001,2),IF(E741&gt;0,VLOOKUP(E741,Направление!A$1:B$4750,2))))))</f>
        <v>Предоставление субсидий бюджетным, автономным учреждениям и иным некоммерческим организациям</v>
      </c>
      <c r="B741" s="149"/>
      <c r="C741" s="144"/>
      <c r="D741" s="146"/>
      <c r="E741" s="144"/>
      <c r="F741" s="146">
        <v>600</v>
      </c>
      <c r="G741" s="337">
        <v>6000</v>
      </c>
      <c r="H741" s="153"/>
      <c r="I741" s="152">
        <f>G741+H741</f>
        <v>6000</v>
      </c>
    </row>
    <row r="742" spans="1:9" s="159" customFormat="1" ht="31.5">
      <c r="A742" s="142" t="str">
        <f>IF(B742&gt;0,VLOOKUP(B742,КВСР!A318:B1483,2),IF(C742&gt;0,VLOOKUP(C742,КФСР!A318:B1830,2),IF(D742&gt;0,VLOOKUP(D742,Программа!A$1:B$5091,2),IF(F742&gt;0,VLOOKUP(F742,КВР!A$1:B$5001,2),IF(E742&gt;0,VLOOKUP(E742,Направление!A$1:B$4750,2))))))</f>
        <v>Департамент финансов администрации ТМР</v>
      </c>
      <c r="B742" s="143">
        <v>955</v>
      </c>
      <c r="C742" s="144"/>
      <c r="D742" s="145"/>
      <c r="E742" s="144"/>
      <c r="F742" s="146"/>
      <c r="G742" s="555">
        <f>G743+G749+G767+G779+G783+G771</f>
        <v>26122935</v>
      </c>
      <c r="H742" s="555">
        <f t="shared" ref="H742:I742" si="171">H743+H749+H767+H779+H783+H771</f>
        <v>0</v>
      </c>
      <c r="I742" s="555">
        <f t="shared" si="171"/>
        <v>26122935</v>
      </c>
    </row>
    <row r="743" spans="1:9" s="159" customFormat="1" ht="78.75">
      <c r="A743" s="148" t="str">
        <f>IF(B743&gt;0,VLOOKUP(B743,КВСР!A319:B1484,2),IF(C743&gt;0,VLOOKUP(C743,КФСР!A319:B1831,2),IF(D743&gt;0,VLOOKUP(D743,Программа!A$1:B$5091,2),IF(F743&gt;0,VLOOKUP(F743,КВР!A$1:B$5001,2),IF(E743&gt;0,VLOOKUP(E743,Направление!A$1:B$4750,2))))))</f>
        <v>Обеспечение деятельности финансовых, налоговых и таможенных органов и органов финансового (финансово-бюджетного) надзора</v>
      </c>
      <c r="B743" s="149"/>
      <c r="C743" s="144">
        <v>106</v>
      </c>
      <c r="D743" s="145"/>
      <c r="E743" s="144"/>
      <c r="F743" s="146"/>
      <c r="G743" s="337">
        <f>G744</f>
        <v>14422267</v>
      </c>
      <c r="H743" s="442">
        <f t="shared" ref="H743:I743" si="172">H744</f>
        <v>24592</v>
      </c>
      <c r="I743" s="442">
        <f t="shared" si="172"/>
        <v>14446859</v>
      </c>
    </row>
    <row r="744" spans="1:9">
      <c r="A744" s="148" t="str">
        <f>IF(B744&gt;0,VLOOKUP(B744,КВСР!A328:B1493,2),IF(C744&gt;0,VLOOKUP(C744,КФСР!A328:B1840,2),IF(D744&gt;0,VLOOKUP(D744,Программа!A$1:B$5091,2),IF(F744&gt;0,VLOOKUP(F744,КВР!A$1:B$5001,2),IF(E744&gt;0,VLOOKUP(E744,Направление!A$1:B$4750,2))))))</f>
        <v>Непрограммные расходы бюджета</v>
      </c>
      <c r="B744" s="149"/>
      <c r="C744" s="144"/>
      <c r="D744" s="146" t="s">
        <v>480</v>
      </c>
      <c r="E744" s="144"/>
      <c r="F744" s="146"/>
      <c r="G744" s="379">
        <f>G745</f>
        <v>14422267</v>
      </c>
      <c r="H744" s="379">
        <f>H745</f>
        <v>24592</v>
      </c>
      <c r="I744" s="152">
        <f t="shared" si="154"/>
        <v>14446859</v>
      </c>
    </row>
    <row r="745" spans="1:9">
      <c r="A745" s="148" t="str">
        <f>IF(B745&gt;0,VLOOKUP(B745,КВСР!A329:B1494,2),IF(C745&gt;0,VLOOKUP(C745,КФСР!A329:B1841,2),IF(D745&gt;0,VLOOKUP(D745,Программа!A$1:B$5091,2),IF(F745&gt;0,VLOOKUP(F745,КВР!A$1:B$5001,2),IF(E745&gt;0,VLOOKUP(E745,Направление!A$1:B$4750,2))))))</f>
        <v>Содержание центрального аппарата</v>
      </c>
      <c r="B745" s="149"/>
      <c r="C745" s="144"/>
      <c r="D745" s="146"/>
      <c r="E745" s="144">
        <v>12010</v>
      </c>
      <c r="F745" s="146"/>
      <c r="G745" s="379">
        <f>G746+G747+G748</f>
        <v>14422267</v>
      </c>
      <c r="H745" s="379">
        <f>H746+H747+H748</f>
        <v>24592</v>
      </c>
      <c r="I745" s="152">
        <f t="shared" si="154"/>
        <v>14446859</v>
      </c>
    </row>
    <row r="746" spans="1:9" ht="126">
      <c r="A746" s="148" t="str">
        <f>IF(B746&gt;0,VLOOKUP(B746,КВСР!A330:B1495,2),IF(C746&gt;0,VLOOKUP(C746,КФСР!A330:B1842,2),IF(D746&gt;0,VLOOKUP(D746,Программа!A$1:B$5091,2),IF(F746&gt;0,VLOOKUP(F746,КВР!A$1:B$5001,2),IF(E746&gt;0,VLOOKUP(E746,Направление!A$1:B$4750,2))))))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6" s="149"/>
      <c r="C746" s="144"/>
      <c r="D746" s="146"/>
      <c r="E746" s="144"/>
      <c r="F746" s="146">
        <v>100</v>
      </c>
      <c r="G746" s="379">
        <f>12982517+50000</f>
        <v>13032517</v>
      </c>
      <c r="H746" s="151">
        <f>-17241-4831</f>
        <v>-22072</v>
      </c>
      <c r="I746" s="152">
        <f t="shared" si="154"/>
        <v>13010445</v>
      </c>
    </row>
    <row r="747" spans="1:9" ht="63">
      <c r="A747" s="148" t="str">
        <f>IF(B747&gt;0,VLOOKUP(B747,КВСР!A331:B1496,2),IF(C747&gt;0,VLOOKUP(C747,КФСР!A331:B1843,2),IF(D747&gt;0,VLOOKUP(D747,Программа!A$1:B$5091,2),IF(F747&gt;0,VLOOKUP(F747,КВР!A$1:B$5001,2),IF(E747&gt;0,VLOOKUP(E747,Направление!A$1:B$4750,2))))))</f>
        <v xml:space="preserve">Закупка товаров, работ и услуг для обеспечения государственных (муниципальных) нужд
</v>
      </c>
      <c r="B747" s="149"/>
      <c r="C747" s="144"/>
      <c r="D747" s="146"/>
      <c r="E747" s="144"/>
      <c r="F747" s="146">
        <v>200</v>
      </c>
      <c r="G747" s="379">
        <f>1454750-38000-15000-50000</f>
        <v>1351750</v>
      </c>
      <c r="H747" s="151">
        <v>46664</v>
      </c>
      <c r="I747" s="152">
        <f t="shared" si="154"/>
        <v>1398414</v>
      </c>
    </row>
    <row r="748" spans="1:9">
      <c r="A748" s="148" t="str">
        <f>IF(B748&gt;0,VLOOKUP(B748,КВСР!A332:B1497,2),IF(C748&gt;0,VLOOKUP(C748,КФСР!A332:B1844,2),IF(D748&gt;0,VLOOKUP(D748,Программа!A$1:B$5091,2),IF(F748&gt;0,VLOOKUP(F748,КВР!A$1:B$5001,2),IF(E748&gt;0,VLOOKUP(E748,Направление!A$1:B$4750,2))))))</f>
        <v>Иные бюджетные ассигнования</v>
      </c>
      <c r="B748" s="149"/>
      <c r="C748" s="144"/>
      <c r="D748" s="146"/>
      <c r="E748" s="144"/>
      <c r="F748" s="146">
        <v>800</v>
      </c>
      <c r="G748" s="379">
        <v>38000</v>
      </c>
      <c r="H748" s="151"/>
      <c r="I748" s="152">
        <f t="shared" si="154"/>
        <v>38000</v>
      </c>
    </row>
    <row r="749" spans="1:9" ht="31.5">
      <c r="A749" s="148" t="str">
        <f>IF(B749&gt;0,VLOOKUP(B749,КВСР!A328:B1493,2),IF(C749&gt;0,VLOOKUP(C749,КФСР!A328:B1840,2),IF(D749&gt;0,VLOOKUP(D749,Программа!A$1:B$5091,2),IF(F749&gt;0,VLOOKUP(F749,КВР!A$1:B$5001,2),IF(E749&gt;0,VLOOKUP(E749,Направление!A$1:B$4750,2))))))</f>
        <v>Другие общегосударственные вопросы</v>
      </c>
      <c r="B749" s="149"/>
      <c r="C749" s="144">
        <v>113</v>
      </c>
      <c r="D749" s="146"/>
      <c r="E749" s="144"/>
      <c r="F749" s="146"/>
      <c r="G749" s="379">
        <f>G754+G750+G761</f>
        <v>10963668</v>
      </c>
      <c r="H749" s="348">
        <f t="shared" ref="H749:I749" si="173">H754+H750+H761</f>
        <v>-92592</v>
      </c>
      <c r="I749" s="348">
        <f t="shared" si="173"/>
        <v>10871076</v>
      </c>
    </row>
    <row r="750" spans="1:9" ht="94.5">
      <c r="A750" s="148" t="str">
        <f>IF(B750&gt;0,VLOOKUP(B750,КВСР!A334:B1499,2),IF(C750&gt;0,VLOOKUP(C750,КФСР!A334:B1846,2),IF(D750&gt;0,VLOOKUP(D750,Программа!A$1:B$5091,2),IF(F750&gt;0,VLOOKUP(F750,КВР!A$1:B$5001,2),IF(E750&gt;0,VLOOKUP(E750,Направление!A$1:B$4750,2))))))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50" s="149"/>
      <c r="C750" s="144"/>
      <c r="D750" s="146" t="s">
        <v>492</v>
      </c>
      <c r="E750" s="144"/>
      <c r="F750" s="146"/>
      <c r="G750" s="150">
        <f t="shared" ref="G750:H752" si="174">G751</f>
        <v>100000</v>
      </c>
      <c r="H750" s="150">
        <f t="shared" si="174"/>
        <v>-58592</v>
      </c>
      <c r="I750" s="152">
        <f t="shared" ref="I750:I828" si="175">SUM(G750:H750)</f>
        <v>41408</v>
      </c>
    </row>
    <row r="751" spans="1:9" ht="78.75">
      <c r="A751" s="148" t="str">
        <f>IF(B751&gt;0,VLOOKUP(B751,КВСР!A335:B1500,2),IF(C751&gt;0,VLOOKUP(C751,КФСР!A335:B1847,2),IF(D751&gt;0,VLOOKUP(D751,Программа!A$1:B$5091,2),IF(F751&gt;0,VLOOKUP(F751,КВР!A$1:B$5001,2),IF(E751&gt;0,VLOOKUP(E751,Направление!A$1:B$4750,2))))))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51" s="149"/>
      <c r="C751" s="144"/>
      <c r="D751" s="146" t="s">
        <v>493</v>
      </c>
      <c r="E751" s="144"/>
      <c r="F751" s="146"/>
      <c r="G751" s="150">
        <f t="shared" si="174"/>
        <v>100000</v>
      </c>
      <c r="H751" s="150">
        <f t="shared" si="174"/>
        <v>-58592</v>
      </c>
      <c r="I751" s="152">
        <f t="shared" si="175"/>
        <v>41408</v>
      </c>
    </row>
    <row r="752" spans="1:9" ht="31.5">
      <c r="A752" s="148" t="str">
        <f>IF(B752&gt;0,VLOOKUP(B752,КВСР!A336:B1501,2),IF(C752&gt;0,VLOOKUP(C752,КФСР!A336:B1848,2),IF(D752&gt;0,VLOOKUP(D752,Программа!A$1:B$5091,2),IF(F752&gt;0,VLOOKUP(F752,КВР!A$1:B$5001,2),IF(E752&gt;0,VLOOKUP(E752,Направление!A$1:B$4750,2))))))</f>
        <v>Расходы на развитие муниципальной службы</v>
      </c>
      <c r="B752" s="149"/>
      <c r="C752" s="144"/>
      <c r="D752" s="146"/>
      <c r="E752" s="144">
        <v>12200</v>
      </c>
      <c r="F752" s="146"/>
      <c r="G752" s="150">
        <f t="shared" si="174"/>
        <v>100000</v>
      </c>
      <c r="H752" s="150">
        <f t="shared" si="174"/>
        <v>-58592</v>
      </c>
      <c r="I752" s="152">
        <f t="shared" si="175"/>
        <v>41408</v>
      </c>
    </row>
    <row r="753" spans="1:9" ht="63">
      <c r="A753" s="148" t="str">
        <f>IF(B753&gt;0,VLOOKUP(B753,КВСР!A337:B1502,2),IF(C753&gt;0,VLOOKUP(C753,КФСР!A337:B1849,2),IF(D753&gt;0,VLOOKUP(D753,Программа!A$1:B$5091,2),IF(F753&gt;0,VLOOKUP(F753,КВР!A$1:B$5001,2),IF(E753&gt;0,VLOOKUP(E753,Направление!A$1:B$4750,2))))))</f>
        <v xml:space="preserve">Закупка товаров, работ и услуг для обеспечения государственных (муниципальных) нужд
</v>
      </c>
      <c r="B753" s="149"/>
      <c r="C753" s="144"/>
      <c r="D753" s="146"/>
      <c r="E753" s="144"/>
      <c r="F753" s="146">
        <v>200</v>
      </c>
      <c r="G753" s="379">
        <v>100000</v>
      </c>
      <c r="H753" s="150">
        <v>-58592</v>
      </c>
      <c r="I753" s="152">
        <f t="shared" si="175"/>
        <v>41408</v>
      </c>
    </row>
    <row r="754" spans="1:9" ht="63">
      <c r="A754" s="148" t="str">
        <f>IF(B754&gt;0,VLOOKUP(B754,КВСР!A329:B1494,2),IF(C754&gt;0,VLOOKUP(C754,КФСР!A329:B1841,2),IF(D754&gt;0,VLOOKUP(D754,Программа!A$1:B$5091,2),IF(F754&gt;0,VLOOKUP(F754,КВР!A$1:B$5001,2),IF(E754&gt;0,VLOOKUP(E754,Направление!A$1:B$4750,2))))))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754" s="149"/>
      <c r="C754" s="144"/>
      <c r="D754" s="146" t="s">
        <v>496</v>
      </c>
      <c r="E754" s="144"/>
      <c r="F754" s="146"/>
      <c r="G754" s="150">
        <f>G755+G758</f>
        <v>1562620</v>
      </c>
      <c r="H754" s="150">
        <f>H755+H758</f>
        <v>0</v>
      </c>
      <c r="I754" s="152">
        <f t="shared" si="175"/>
        <v>1562620</v>
      </c>
    </row>
    <row r="755" spans="1:9" ht="31.5">
      <c r="A755" s="148" t="str">
        <f>IF(B755&gt;0,VLOOKUP(B755,КВСР!A330:B1495,2),IF(C755&gt;0,VLOOKUP(C755,КФСР!A330:B1842,2),IF(D755&gt;0,VLOOKUP(D755,Программа!A$1:B$5091,2),IF(F755&gt;0,VLOOKUP(F755,КВР!A$1:B$5001,2),IF(E755&gt;0,VLOOKUP(E755,Направление!A$1:B$4750,2))))))</f>
        <v>Бесперебойное функционирование информационных систем</v>
      </c>
      <c r="B755" s="149"/>
      <c r="C755" s="144"/>
      <c r="D755" s="146" t="s">
        <v>532</v>
      </c>
      <c r="E755" s="144"/>
      <c r="F755" s="146"/>
      <c r="G755" s="150">
        <f>G756</f>
        <v>1462620</v>
      </c>
      <c r="H755" s="150">
        <f>H756</f>
        <v>0</v>
      </c>
      <c r="I755" s="152">
        <f t="shared" si="175"/>
        <v>1462620</v>
      </c>
    </row>
    <row r="756" spans="1:9" ht="31.5">
      <c r="A756" s="148" t="str">
        <f>IF(B756&gt;0,VLOOKUP(B756,КВСР!A331:B1496,2),IF(C756&gt;0,VLOOKUP(C756,КФСР!A331:B1843,2),IF(D756&gt;0,VLOOKUP(D756,Программа!A$1:B$5091,2),IF(F756&gt;0,VLOOKUP(F756,КВР!A$1:B$5001,2),IF(E756&gt;0,VLOOKUP(E756,Направление!A$1:B$4750,2))))))</f>
        <v>Расходы на проведение мероприятий по информатизации</v>
      </c>
      <c r="B756" s="149"/>
      <c r="C756" s="144"/>
      <c r="D756" s="146"/>
      <c r="E756" s="144">
        <v>12210</v>
      </c>
      <c r="F756" s="146"/>
      <c r="G756" s="150">
        <f>G757</f>
        <v>1462620</v>
      </c>
      <c r="H756" s="150">
        <f>H757</f>
        <v>0</v>
      </c>
      <c r="I756" s="152">
        <f t="shared" si="175"/>
        <v>1462620</v>
      </c>
    </row>
    <row r="757" spans="1:9" ht="63">
      <c r="A757" s="148" t="str">
        <f>IF(B757&gt;0,VLOOKUP(B757,КВСР!A332:B1497,2),IF(C757&gt;0,VLOOKUP(C757,КФСР!A332:B1844,2),IF(D757&gt;0,VLOOKUP(D757,Программа!A$1:B$5091,2),IF(F757&gt;0,VLOOKUP(F757,КВР!A$1:B$5001,2),IF(E757&gt;0,VLOOKUP(E757,Направление!A$1:B$4750,2))))))</f>
        <v xml:space="preserve">Закупка товаров, работ и услуг для обеспечения государственных (муниципальных) нужд
</v>
      </c>
      <c r="B757" s="149"/>
      <c r="C757" s="144"/>
      <c r="D757" s="146"/>
      <c r="E757" s="144"/>
      <c r="F757" s="146">
        <v>200</v>
      </c>
      <c r="G757" s="379">
        <v>1462620</v>
      </c>
      <c r="H757" s="151"/>
      <c r="I757" s="152">
        <f t="shared" si="175"/>
        <v>1462620</v>
      </c>
    </row>
    <row r="758" spans="1:9" ht="78.75">
      <c r="A758" s="148" t="str">
        <f>IF(B758&gt;0,VLOOKUP(B758,КВСР!A333:B1498,2),IF(C758&gt;0,VLOOKUP(C758,КФСР!A333:B1845,2),IF(D758&gt;0,VLOOKUP(D758,Программа!A$1:B$5091,2),IF(F758&gt;0,VLOOKUP(F758,КВР!A$1:B$5001,2),IF(E758&gt;0,VLOOKUP(E758,Направление!A$1:B$4750,2))))))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758" s="149"/>
      <c r="C758" s="144"/>
      <c r="D758" s="146" t="s">
        <v>498</v>
      </c>
      <c r="E758" s="144"/>
      <c r="F758" s="146"/>
      <c r="G758" s="379">
        <f>G759</f>
        <v>100000</v>
      </c>
      <c r="H758" s="150">
        <f>H759</f>
        <v>0</v>
      </c>
      <c r="I758" s="152">
        <f t="shared" si="175"/>
        <v>100000</v>
      </c>
    </row>
    <row r="759" spans="1:9" ht="31.5">
      <c r="A759" s="148" t="str">
        <f>IF(B759&gt;0,VLOOKUP(B759,КВСР!A334:B1499,2),IF(C759&gt;0,VLOOKUP(C759,КФСР!A334:B1846,2),IF(D759&gt;0,VLOOKUP(D759,Программа!A$1:B$5091,2),IF(F759&gt;0,VLOOKUP(F759,КВР!A$1:B$5001,2),IF(E759&gt;0,VLOOKUP(E759,Направление!A$1:B$4750,2))))))</f>
        <v>Расходы на проведение мероприятий по информатизации</v>
      </c>
      <c r="B759" s="149"/>
      <c r="C759" s="144"/>
      <c r="D759" s="146"/>
      <c r="E759" s="144">
        <v>12210</v>
      </c>
      <c r="F759" s="146"/>
      <c r="G759" s="379">
        <f>G760</f>
        <v>100000</v>
      </c>
      <c r="H759" s="150">
        <f>H760</f>
        <v>0</v>
      </c>
      <c r="I759" s="152">
        <f t="shared" si="175"/>
        <v>100000</v>
      </c>
    </row>
    <row r="760" spans="1:9" ht="63">
      <c r="A760" s="148" t="str">
        <f>IF(B760&gt;0,VLOOKUP(B760,КВСР!A335:B1500,2),IF(C760&gt;0,VLOOKUP(C760,КФСР!A335:B1847,2),IF(D760&gt;0,VLOOKUP(D760,Программа!A$1:B$5091,2),IF(F760&gt;0,VLOOKUP(F760,КВР!A$1:B$5001,2),IF(E760&gt;0,VLOOKUP(E760,Направление!A$1:B$4750,2))))))</f>
        <v xml:space="preserve">Закупка товаров, работ и услуг для обеспечения государственных (муниципальных) нужд
</v>
      </c>
      <c r="B760" s="149"/>
      <c r="C760" s="144"/>
      <c r="D760" s="146"/>
      <c r="E760" s="144"/>
      <c r="F760" s="146">
        <v>200</v>
      </c>
      <c r="G760" s="379">
        <v>100000</v>
      </c>
      <c r="H760" s="151"/>
      <c r="I760" s="152">
        <f t="shared" si="175"/>
        <v>100000</v>
      </c>
    </row>
    <row r="761" spans="1:9">
      <c r="A761" s="148" t="str">
        <f>IF(B761&gt;0,VLOOKUP(B761,КВСР!A336:B1501,2),IF(C761&gt;0,VLOOKUP(C761,КФСР!A336:B1848,2),IF(D761&gt;0,VLOOKUP(D761,Программа!A$1:B$5091,2),IF(F761&gt;0,VLOOKUP(F761,КВР!A$1:B$5001,2),IF(E761&gt;0,VLOOKUP(E761,Направление!A$1:B$4750,2))))))</f>
        <v>Непрограммные расходы бюджета</v>
      </c>
      <c r="B761" s="149"/>
      <c r="C761" s="144"/>
      <c r="D761" s="146" t="s">
        <v>480</v>
      </c>
      <c r="E761" s="144"/>
      <c r="F761" s="146"/>
      <c r="G761" s="347">
        <f t="shared" ref="G761:I761" si="176">G762+G764</f>
        <v>9301048</v>
      </c>
      <c r="H761" s="347">
        <f t="shared" si="176"/>
        <v>-34000</v>
      </c>
      <c r="I761" s="347">
        <f t="shared" si="176"/>
        <v>9267048</v>
      </c>
    </row>
    <row r="762" spans="1:9" ht="31.5">
      <c r="A762" s="148" t="str">
        <f>IF(B762&gt;0,VLOOKUP(B762,КВСР!A337:B1502,2),IF(C762&gt;0,VLOOKUP(C762,КФСР!A337:B1849,2),IF(D762&gt;0,VLOOKUP(D762,Программа!A$1:B$5091,2),IF(F762&gt;0,VLOOKUP(F762,КВР!A$1:B$5001,2),IF(E762&gt;0,VLOOKUP(E762,Направление!A$1:B$4750,2))))))</f>
        <v>Выполнение других обязательств органов местного самоуправления</v>
      </c>
      <c r="B762" s="149"/>
      <c r="C762" s="144"/>
      <c r="D762" s="146"/>
      <c r="E762" s="144">
        <v>12080</v>
      </c>
      <c r="F762" s="146"/>
      <c r="G762" s="379">
        <f>G763</f>
        <v>300000</v>
      </c>
      <c r="H762" s="379">
        <f t="shared" ref="H762:I762" si="177">H763</f>
        <v>0</v>
      </c>
      <c r="I762" s="379">
        <f t="shared" si="177"/>
        <v>300000</v>
      </c>
    </row>
    <row r="763" spans="1:9" ht="63">
      <c r="A763" s="148" t="str">
        <f>IF(B763&gt;0,VLOOKUP(B763,КВСР!A338:B1503,2),IF(C763&gt;0,VLOOKUP(C763,КФСР!A338:B1850,2),IF(D763&gt;0,VLOOKUP(D763,Программа!A$1:B$5091,2),IF(F763&gt;0,VLOOKUP(F763,КВР!A$1:B$5001,2),IF(E763&gt;0,VLOOKUP(E763,Направление!A$1:B$4750,2))))))</f>
        <v xml:space="preserve">Закупка товаров, работ и услуг для обеспечения государственных (муниципальных) нужд
</v>
      </c>
      <c r="B763" s="149"/>
      <c r="C763" s="144"/>
      <c r="D763" s="146"/>
      <c r="E763" s="144"/>
      <c r="F763" s="146">
        <v>200</v>
      </c>
      <c r="G763" s="379">
        <v>300000</v>
      </c>
      <c r="H763" s="151"/>
      <c r="I763" s="152">
        <f t="shared" si="175"/>
        <v>300000</v>
      </c>
    </row>
    <row r="764" spans="1:9" ht="47.25">
      <c r="A764" s="148" t="str">
        <f>IF(B764&gt;0,VLOOKUP(B764,КВСР!A339:B1504,2),IF(C764&gt;0,VLOOKUP(C764,КФСР!A339:B1851,2),IF(D764&gt;0,VLOOKUP(D764,Программа!A$1:B$5091,2),IF(F764&gt;0,VLOOKUP(F764,КВР!A$1:B$5001,2),IF(E764&gt;0,VLOOKUP(E764,Направление!A$1:B$4750,2))))))</f>
        <v>Обеспечение деятельности подведомственных учреждений органов местного самоуправления</v>
      </c>
      <c r="B764" s="149"/>
      <c r="C764" s="144"/>
      <c r="D764" s="146"/>
      <c r="E764" s="144">
        <v>12100</v>
      </c>
      <c r="F764" s="146"/>
      <c r="G764" s="379">
        <f>G765+G766</f>
        <v>9001048</v>
      </c>
      <c r="H764" s="347">
        <f t="shared" ref="H764:I764" si="178">H765+H766</f>
        <v>-34000</v>
      </c>
      <c r="I764" s="347">
        <f t="shared" si="178"/>
        <v>8967048</v>
      </c>
    </row>
    <row r="765" spans="1:9" ht="126">
      <c r="A765" s="148" t="str">
        <f>IF(B765&gt;0,VLOOKUP(B765,КВСР!A340:B1505,2),IF(C765&gt;0,VLOOKUP(C765,КФСР!A340:B1852,2),IF(D765&gt;0,VLOOKUP(D765,Программа!A$1:B$5091,2),IF(F765&gt;0,VLOOKUP(F765,КВР!A$1:B$5001,2),IF(E765&gt;0,VLOOKUP(E765,Направление!A$1:B$4750,2))))))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5" s="149"/>
      <c r="C765" s="144"/>
      <c r="D765" s="146"/>
      <c r="E765" s="144"/>
      <c r="F765" s="146">
        <v>100</v>
      </c>
      <c r="G765" s="379">
        <v>7843248</v>
      </c>
      <c r="H765" s="151">
        <f>-3000+35471-32471</f>
        <v>0</v>
      </c>
      <c r="I765" s="152">
        <f>G765+H765</f>
        <v>7843248</v>
      </c>
    </row>
    <row r="766" spans="1:9" ht="63">
      <c r="A766" s="148" t="str">
        <f>IF(B766&gt;0,VLOOKUP(B766,КВСР!A340:B1505,2),IF(C766&gt;0,VLOOKUP(C766,КФСР!A340:B1852,2),IF(D766&gt;0,VLOOKUP(D766,Программа!A$1:B$5091,2),IF(F766&gt;0,VLOOKUP(F766,КВР!A$1:B$5001,2),IF(E766&gt;0,VLOOKUP(E766,Направление!A$1:B$4750,2))))))</f>
        <v xml:space="preserve">Закупка товаров, работ и услуг для обеспечения государственных (муниципальных) нужд
</v>
      </c>
      <c r="B766" s="149"/>
      <c r="C766" s="144"/>
      <c r="D766" s="146"/>
      <c r="E766" s="144"/>
      <c r="F766" s="146">
        <v>200</v>
      </c>
      <c r="G766" s="379">
        <v>1157800</v>
      </c>
      <c r="H766" s="151">
        <v>-34000</v>
      </c>
      <c r="I766" s="152">
        <f>G766+H766</f>
        <v>1123800</v>
      </c>
    </row>
    <row r="767" spans="1:9" ht="31.5" hidden="1">
      <c r="A767" s="148" t="str">
        <f>IF(B767&gt;0,VLOOKUP(B767,КВСР!A334:B1499,2),IF(C767&gt;0,VLOOKUP(C767,КФСР!A334:B1846,2),IF(D767&gt;0,VLOOKUP(D767,Программа!A$1:B$5091,2),IF(F767&gt;0,VLOOKUP(F767,КВР!A$1:B$5001,2),IF(E767&gt;0,VLOOKUP(E767,Направление!A$1:B$4750,2))))))</f>
        <v>Мобилизационная и вневойсковая подготовка</v>
      </c>
      <c r="B767" s="149"/>
      <c r="C767" s="144">
        <v>203</v>
      </c>
      <c r="D767" s="145"/>
      <c r="E767" s="144"/>
      <c r="F767" s="146"/>
      <c r="G767" s="379">
        <f t="shared" ref="G767:H769" si="179">G768</f>
        <v>0</v>
      </c>
      <c r="H767" s="150">
        <f t="shared" si="179"/>
        <v>0</v>
      </c>
      <c r="I767" s="152">
        <f t="shared" si="175"/>
        <v>0</v>
      </c>
    </row>
    <row r="768" spans="1:9" ht="31.5" hidden="1">
      <c r="A768" s="148" t="str">
        <f>IF(B768&gt;0,VLOOKUP(B768,КВСР!A335:B1500,2),IF(C768&gt;0,VLOOKUP(C768,КФСР!A335:B1847,2),IF(D768&gt;0,VLOOKUP(D768,Программа!A$1:B$5091,2),IF(F768&gt;0,VLOOKUP(F768,КВР!A$1:B$5001,2),IF(E768&gt;0,VLOOKUP(E768,Направление!A$1:B$4750,2))))))</f>
        <v>Межбюджетные трансферты  поселениям района</v>
      </c>
      <c r="B768" s="149"/>
      <c r="C768" s="144"/>
      <c r="D768" s="145" t="s">
        <v>653</v>
      </c>
      <c r="E768" s="144"/>
      <c r="F768" s="146"/>
      <c r="G768" s="379">
        <f t="shared" si="179"/>
        <v>0</v>
      </c>
      <c r="H768" s="150">
        <f t="shared" si="179"/>
        <v>0</v>
      </c>
      <c r="I768" s="152">
        <f t="shared" si="175"/>
        <v>0</v>
      </c>
    </row>
    <row r="769" spans="1:9" ht="63" hidden="1">
      <c r="A769" s="148" t="str">
        <f>IF(B769&gt;0,VLOOKUP(B769,КВСР!A336:B1501,2),IF(C769&gt;0,VLOOKUP(C769,КФСР!A336:B1848,2),IF(D769&gt;0,VLOOKUP(D769,Программа!A$1:B$5091,2),IF(F769&gt;0,VLOOKUP(F769,КВР!A$1:B$5001,2),IF(E769&gt;0,VLOOKUP(E769,Направление!A$1:B$4750,2))))))</f>
        <v>Субвенция  на осуществление первичного воинского учета на территориях, где отсутствуют военные комиссариаты</v>
      </c>
      <c r="B769" s="149"/>
      <c r="C769" s="144"/>
      <c r="D769" s="145"/>
      <c r="E769" s="144">
        <v>51180</v>
      </c>
      <c r="F769" s="146"/>
      <c r="G769" s="379">
        <f t="shared" si="179"/>
        <v>0</v>
      </c>
      <c r="H769" s="150">
        <f t="shared" si="179"/>
        <v>0</v>
      </c>
      <c r="I769" s="152">
        <f t="shared" si="175"/>
        <v>0</v>
      </c>
    </row>
    <row r="770" spans="1:9" hidden="1">
      <c r="A770" s="148" t="str">
        <f>IF(B770&gt;0,VLOOKUP(B770,КВСР!A337:B1502,2),IF(C770&gt;0,VLOOKUP(C770,КФСР!A337:B1849,2),IF(D770&gt;0,VLOOKUP(D770,Программа!A$1:B$5091,2),IF(F770&gt;0,VLOOKUP(F770,КВР!A$1:B$5001,2),IF(E770&gt;0,VLOOKUP(E770,Направление!A$1:B$4750,2))))))</f>
        <v xml:space="preserve"> Межбюджетные трансферты</v>
      </c>
      <c r="B770" s="149"/>
      <c r="C770" s="144"/>
      <c r="D770" s="146"/>
      <c r="E770" s="144"/>
      <c r="F770" s="146">
        <v>500</v>
      </c>
      <c r="G770" s="379">
        <v>0</v>
      </c>
      <c r="H770" s="151"/>
      <c r="I770" s="152">
        <f t="shared" si="175"/>
        <v>0</v>
      </c>
    </row>
    <row r="771" spans="1:9" ht="47.25">
      <c r="A771" s="148" t="str">
        <f>IF(B771&gt;0,VLOOKUP(B771,КВСР!A338:B1503,2),IF(C771&gt;0,VLOOKUP(C771,КФСР!A338:B1850,2),IF(D771&gt;0,VLOOKUP(D771,Программа!A$1:B$5091,2),IF(F771&gt;0,VLOOKUP(F771,КВР!A$1:B$5001,2),IF(E771&gt;0,VLOOKUP(E771,Направление!A$1:B$4750,2))))))</f>
        <v>Профессиональная подготовка, переподготовка и повышение квалификации</v>
      </c>
      <c r="B771" s="149"/>
      <c r="C771" s="144">
        <v>705</v>
      </c>
      <c r="D771" s="146"/>
      <c r="E771" s="144"/>
      <c r="F771" s="146"/>
      <c r="G771" s="379">
        <f>G772+G776</f>
        <v>0</v>
      </c>
      <c r="H771" s="379">
        <f t="shared" ref="H771:I771" si="180">H772+H776</f>
        <v>68000</v>
      </c>
      <c r="I771" s="379">
        <f t="shared" si="180"/>
        <v>68000</v>
      </c>
    </row>
    <row r="772" spans="1:9" ht="94.5">
      <c r="A772" s="148" t="str">
        <f>IF(B772&gt;0,VLOOKUP(B772,КВСР!A339:B1504,2),IF(C772&gt;0,VLOOKUP(C772,КФСР!A339:B1851,2),IF(D772&gt;0,VLOOKUP(D772,Программа!A$1:B$5091,2),IF(F772&gt;0,VLOOKUP(F772,КВР!A$1:B$5001,2),IF(E772&gt;0,VLOOKUP(E772,Направление!A$1:B$4750,2))))))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72" s="149"/>
      <c r="C772" s="144"/>
      <c r="D772" s="146" t="s">
        <v>492</v>
      </c>
      <c r="E772" s="144"/>
      <c r="F772" s="146"/>
      <c r="G772" s="379">
        <f>G773</f>
        <v>0</v>
      </c>
      <c r="H772" s="379">
        <f t="shared" ref="H772:I774" si="181">H773</f>
        <v>34000</v>
      </c>
      <c r="I772" s="379">
        <f t="shared" si="181"/>
        <v>34000</v>
      </c>
    </row>
    <row r="773" spans="1:9" ht="78.75">
      <c r="A773" s="148" t="str">
        <f>IF(B773&gt;0,VLOOKUP(B773,КВСР!A340:B1505,2),IF(C773&gt;0,VLOOKUP(C773,КФСР!A340:B1852,2),IF(D773&gt;0,VLOOKUP(D773,Программа!A$1:B$5091,2),IF(F773&gt;0,VLOOKUP(F773,КВР!A$1:B$5001,2),IF(E773&gt;0,VLOOKUP(E773,Направление!A$1:B$4750,2))))))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73" s="149"/>
      <c r="C773" s="144"/>
      <c r="D773" s="146" t="s">
        <v>493</v>
      </c>
      <c r="E773" s="144"/>
      <c r="F773" s="146"/>
      <c r="G773" s="379">
        <f>G774</f>
        <v>0</v>
      </c>
      <c r="H773" s="379">
        <f t="shared" si="181"/>
        <v>34000</v>
      </c>
      <c r="I773" s="379">
        <f t="shared" si="181"/>
        <v>34000</v>
      </c>
    </row>
    <row r="774" spans="1:9" ht="31.5">
      <c r="A774" s="148" t="str">
        <f>IF(B774&gt;0,VLOOKUP(B774,КВСР!A341:B1506,2),IF(C774&gt;0,VLOOKUP(C774,КФСР!A341:B1853,2),IF(D774&gt;0,VLOOKUP(D774,Программа!A$1:B$5091,2),IF(F774&gt;0,VLOOKUP(F774,КВР!A$1:B$5001,2),IF(E774&gt;0,VLOOKUP(E774,Направление!A$1:B$4750,2))))))</f>
        <v>Расходы на развитие муниципальной службы</v>
      </c>
      <c r="B774" s="149"/>
      <c r="C774" s="144"/>
      <c r="D774" s="146"/>
      <c r="E774" s="144">
        <v>12200</v>
      </c>
      <c r="F774" s="146"/>
      <c r="G774" s="379">
        <f>G775</f>
        <v>0</v>
      </c>
      <c r="H774" s="379">
        <f t="shared" si="181"/>
        <v>34000</v>
      </c>
      <c r="I774" s="379">
        <f t="shared" si="181"/>
        <v>34000</v>
      </c>
    </row>
    <row r="775" spans="1:9" ht="63">
      <c r="A775" s="148" t="str">
        <f>IF(B775&gt;0,VLOOKUP(B775,КВСР!A342:B1507,2),IF(C775&gt;0,VLOOKUP(C775,КФСР!A342:B1854,2),IF(D775&gt;0,VLOOKUP(D775,Программа!A$1:B$5091,2),IF(F775&gt;0,VLOOKUP(F775,КВР!A$1:B$5001,2),IF(E775&gt;0,VLOOKUP(E775,Направление!A$1:B$4750,2))))))</f>
        <v xml:space="preserve">Закупка товаров, работ и услуг для обеспечения государственных (муниципальных) нужд
</v>
      </c>
      <c r="B775" s="149"/>
      <c r="C775" s="144"/>
      <c r="D775" s="146"/>
      <c r="E775" s="144"/>
      <c r="F775" s="146">
        <v>200</v>
      </c>
      <c r="G775" s="379"/>
      <c r="H775" s="151">
        <v>34000</v>
      </c>
      <c r="I775" s="152">
        <f>G775+H775</f>
        <v>34000</v>
      </c>
    </row>
    <row r="776" spans="1:9">
      <c r="A776" s="148" t="str">
        <f>IF(B776&gt;0,VLOOKUP(B776,КВСР!A343:B1508,2),IF(C776&gt;0,VLOOKUP(C776,КФСР!A343:B1855,2),IF(D776&gt;0,VLOOKUP(D776,Программа!A$1:B$5091,2),IF(F776&gt;0,VLOOKUP(F776,КВР!A$1:B$5001,2),IF(E776&gt;0,VLOOKUP(E776,Направление!A$1:B$4750,2))))))</f>
        <v>Непрограммные расходы бюджета</v>
      </c>
      <c r="B776" s="149"/>
      <c r="C776" s="144"/>
      <c r="D776" s="146" t="s">
        <v>480</v>
      </c>
      <c r="E776" s="144"/>
      <c r="F776" s="146"/>
      <c r="G776" s="379">
        <f>G777</f>
        <v>0</v>
      </c>
      <c r="H776" s="379">
        <f t="shared" ref="H776:I777" si="182">H777</f>
        <v>34000</v>
      </c>
      <c r="I776" s="379">
        <f t="shared" si="182"/>
        <v>34000</v>
      </c>
    </row>
    <row r="777" spans="1:9" ht="47.25">
      <c r="A777" s="148" t="str">
        <f>IF(B777&gt;0,VLOOKUP(B777,КВСР!A344:B1509,2),IF(C777&gt;0,VLOOKUP(C777,КФСР!A344:B1856,2),IF(D777&gt;0,VLOOKUP(D777,Программа!A$1:B$5091,2),IF(F777&gt;0,VLOOKUP(F777,КВР!A$1:B$5001,2),IF(E777&gt;0,VLOOKUP(E777,Направление!A$1:B$4750,2))))))</f>
        <v>Обеспечение деятельности подведомственных учреждений органов местного самоуправления</v>
      </c>
      <c r="B777" s="149"/>
      <c r="C777" s="144"/>
      <c r="D777" s="146"/>
      <c r="E777" s="144">
        <v>12100</v>
      </c>
      <c r="F777" s="146"/>
      <c r="G777" s="379">
        <f>G778</f>
        <v>0</v>
      </c>
      <c r="H777" s="379">
        <f t="shared" si="182"/>
        <v>34000</v>
      </c>
      <c r="I777" s="379">
        <f t="shared" si="182"/>
        <v>34000</v>
      </c>
    </row>
    <row r="778" spans="1:9" ht="63">
      <c r="A778" s="148" t="str">
        <f>IF(B778&gt;0,VLOOKUP(B778,КВСР!A345:B1510,2),IF(C778&gt;0,VLOOKUP(C778,КФСР!A345:B1857,2),IF(D778&gt;0,VLOOKUP(D778,Программа!A$1:B$5091,2),IF(F778&gt;0,VLOOKUP(F778,КВР!A$1:B$5001,2),IF(E778&gt;0,VLOOKUP(E778,Направление!A$1:B$4750,2))))))</f>
        <v xml:space="preserve">Закупка товаров, работ и услуг для обеспечения государственных (муниципальных) нужд
</v>
      </c>
      <c r="B778" s="149"/>
      <c r="C778" s="144"/>
      <c r="D778" s="146"/>
      <c r="E778" s="144"/>
      <c r="F778" s="146">
        <v>200</v>
      </c>
      <c r="G778" s="379"/>
      <c r="H778" s="151">
        <v>34000</v>
      </c>
      <c r="I778" s="152">
        <f>G778+H778</f>
        <v>34000</v>
      </c>
    </row>
    <row r="779" spans="1:9" ht="47.25">
      <c r="A779" s="148" t="str">
        <f>IF(B779&gt;0,VLOOKUP(B779,КВСР!A338:B1503,2),IF(C779&gt;0,VLOOKUP(C779,КФСР!A338:B1850,2),IF(D779&gt;0,VLOOKUP(D779,Программа!A$1:B$5091,2),IF(F779&gt;0,VLOOKUP(F779,КВР!A$1:B$5001,2),IF(E779&gt;0,VLOOKUP(E779,Направление!A$1:B$4750,2))))))</f>
        <v>Обслуживание внутреннего государственного и муниципального долга</v>
      </c>
      <c r="B779" s="149"/>
      <c r="C779" s="144">
        <v>1301</v>
      </c>
      <c r="D779" s="145"/>
      <c r="E779" s="144"/>
      <c r="F779" s="146"/>
      <c r="G779" s="337">
        <f>G780</f>
        <v>400000</v>
      </c>
      <c r="H779" s="442">
        <f t="shared" ref="H779:I779" si="183">H780</f>
        <v>0</v>
      </c>
      <c r="I779" s="442">
        <f t="shared" si="183"/>
        <v>400000</v>
      </c>
    </row>
    <row r="780" spans="1:9">
      <c r="A780" s="148" t="str">
        <f>IF(B780&gt;0,VLOOKUP(B780,КВСР!A339:B1504,2),IF(C780&gt;0,VLOOKUP(C780,КФСР!A339:B1851,2),IF(D780&gt;0,VLOOKUP(D780,Программа!A$1:B$5091,2),IF(F780&gt;0,VLOOKUP(F780,КВР!A$1:B$5001,2),IF(E780&gt;0,VLOOKUP(E780,Направление!A$1:B$4750,2))))))</f>
        <v>Непрограммные расходы бюджета</v>
      </c>
      <c r="B780" s="149"/>
      <c r="C780" s="144"/>
      <c r="D780" s="145" t="s">
        <v>480</v>
      </c>
      <c r="E780" s="144"/>
      <c r="F780" s="146"/>
      <c r="G780" s="337">
        <f>G781</f>
        <v>400000</v>
      </c>
      <c r="H780" s="442">
        <f t="shared" ref="H780:I780" si="184">H781</f>
        <v>0</v>
      </c>
      <c r="I780" s="442">
        <f t="shared" si="184"/>
        <v>400000</v>
      </c>
    </row>
    <row r="781" spans="1:9" ht="47.25">
      <c r="A781" s="148" t="str">
        <f>IF(B781&gt;0,VLOOKUP(B781,КВСР!A340:B1505,2),IF(C781&gt;0,VLOOKUP(C781,КФСР!A340:B1852,2),IF(D781&gt;0,VLOOKUP(D781,Программа!A$1:B$5091,2),IF(F781&gt;0,VLOOKUP(F781,КВР!A$1:B$5001,2),IF(E781&gt;0,VLOOKUP(E781,Направление!A$1:B$4750,2))))))</f>
        <v>Процентные платежи по обслуживанию муниципального долга</v>
      </c>
      <c r="B781" s="149"/>
      <c r="C781" s="144"/>
      <c r="D781" s="145"/>
      <c r="E781" s="144">
        <v>12800</v>
      </c>
      <c r="F781" s="146"/>
      <c r="G781" s="337">
        <f t="shared" ref="G781:H781" si="185">G782</f>
        <v>400000</v>
      </c>
      <c r="H781" s="152">
        <f t="shared" si="185"/>
        <v>0</v>
      </c>
      <c r="I781" s="152">
        <f t="shared" si="175"/>
        <v>400000</v>
      </c>
    </row>
    <row r="782" spans="1:9" ht="31.5">
      <c r="A782" s="148" t="str">
        <f>IF(B782&gt;0,VLOOKUP(B782,КВСР!A341:B1506,2),IF(C782&gt;0,VLOOKUP(C782,КФСР!A341:B1853,2),IF(D782&gt;0,VLOOKUP(D782,Программа!A$1:B$5091,2),IF(F782&gt;0,VLOOKUP(F782,КВР!A$1:B$5001,2),IF(E782&gt;0,VLOOKUP(E782,Направление!A$1:B$4750,2))))))</f>
        <v>Обслуживание государственного долга Российской Федерации</v>
      </c>
      <c r="B782" s="149"/>
      <c r="C782" s="144"/>
      <c r="D782" s="146"/>
      <c r="E782" s="144"/>
      <c r="F782" s="146">
        <v>700</v>
      </c>
      <c r="G782" s="379">
        <v>400000</v>
      </c>
      <c r="H782" s="151"/>
      <c r="I782" s="152">
        <f t="shared" si="175"/>
        <v>400000</v>
      </c>
    </row>
    <row r="783" spans="1:9" ht="63">
      <c r="A783" s="148" t="str">
        <f>IF(B783&gt;0,VLOOKUP(B783,КВСР!A342:B1507,2),IF(C783&gt;0,VLOOKUP(C783,КФСР!A342:B1854,2),IF(D783&gt;0,VLOOKUP(D783,Программа!A$1:B$5091,2),IF(F783&gt;0,VLOOKUP(F783,КВР!A$1:B$5001,2),IF(E783&gt;0,VLOOKUP(E783,Направление!A$1:B$4750,2))))))</f>
        <v>Дотации на выравнивание бюджетной обеспеченности субъектов Российской Федерации и муниципальных образований</v>
      </c>
      <c r="B783" s="149"/>
      <c r="C783" s="144">
        <v>1401</v>
      </c>
      <c r="D783" s="145"/>
      <c r="E783" s="144"/>
      <c r="F783" s="146"/>
      <c r="G783" s="337">
        <f>G784</f>
        <v>337000</v>
      </c>
      <c r="H783" s="442">
        <f t="shared" ref="H783:I783" si="186">H784</f>
        <v>0</v>
      </c>
      <c r="I783" s="442">
        <f t="shared" si="186"/>
        <v>337000</v>
      </c>
    </row>
    <row r="784" spans="1:9" ht="31.5">
      <c r="A784" s="148" t="str">
        <f>IF(B784&gt;0,VLOOKUP(B784,КВСР!A343:B1508,2),IF(C784&gt;0,VLOOKUP(C784,КФСР!A343:B1855,2),IF(D784&gt;0,VLOOKUP(D784,Программа!A$1:B$5091,2),IF(F784&gt;0,VLOOKUP(F784,КВР!A$1:B$5001,2),IF(E784&gt;0,VLOOKUP(E784,Направление!A$1:B$4750,2))))))</f>
        <v>Межбюджетные трансферты  поселениям района</v>
      </c>
      <c r="B784" s="149"/>
      <c r="C784" s="144"/>
      <c r="D784" s="145" t="s">
        <v>653</v>
      </c>
      <c r="E784" s="144"/>
      <c r="F784" s="146"/>
      <c r="G784" s="337">
        <f>G785+G787</f>
        <v>337000</v>
      </c>
      <c r="H784" s="442">
        <f t="shared" ref="H784:I784" si="187">H785+H787</f>
        <v>0</v>
      </c>
      <c r="I784" s="442">
        <f t="shared" si="187"/>
        <v>337000</v>
      </c>
    </row>
    <row r="785" spans="1:9" ht="47.25">
      <c r="A785" s="148" t="str">
        <f>IF(B785&gt;0,VLOOKUP(B785,КВСР!A347:B1512,2),IF(C785&gt;0,VLOOKUP(C785,КФСР!A347:B1859,2),IF(D785&gt;0,VLOOKUP(D785,Программа!A$1:B$5091,2),IF(F785&gt;0,VLOOKUP(F785,КВР!A$1:B$5001,2),IF(E785&gt;0,VLOOKUP(E785,Направление!A$1:B$4750,2))))))</f>
        <v>Дотации поселениям района  на выравнивание бюджетной обеспеченности</v>
      </c>
      <c r="B785" s="149"/>
      <c r="C785" s="144"/>
      <c r="D785" s="145"/>
      <c r="E785" s="144">
        <v>10800</v>
      </c>
      <c r="F785" s="146"/>
      <c r="G785" s="337">
        <f>G786</f>
        <v>337000</v>
      </c>
      <c r="H785" s="152">
        <f>H786</f>
        <v>0</v>
      </c>
      <c r="I785" s="152">
        <f t="shared" si="175"/>
        <v>337000</v>
      </c>
    </row>
    <row r="786" spans="1:9">
      <c r="A786" s="148" t="str">
        <f>IF(B786&gt;0,VLOOKUP(B786,КВСР!A348:B1513,2),IF(C786&gt;0,VLOOKUP(C786,КФСР!A348:B1860,2),IF(D786&gt;0,VLOOKUP(D786,Программа!A$1:B$5091,2),IF(F786&gt;0,VLOOKUP(F786,КВР!A$1:B$5001,2),IF(E786&gt;0,VLOOKUP(E786,Направление!A$1:B$4750,2))))))</f>
        <v xml:space="preserve"> Межбюджетные трансферты</v>
      </c>
      <c r="B786" s="149"/>
      <c r="C786" s="144"/>
      <c r="D786" s="146"/>
      <c r="E786" s="144"/>
      <c r="F786" s="146">
        <v>500</v>
      </c>
      <c r="G786" s="337">
        <v>337000</v>
      </c>
      <c r="H786" s="153"/>
      <c r="I786" s="152">
        <f t="shared" si="175"/>
        <v>337000</v>
      </c>
    </row>
    <row r="787" spans="1:9" ht="47.25" hidden="1">
      <c r="A787" s="148" t="str">
        <f>IF(B787&gt;0,VLOOKUP(B787,КВСР!A350:B1515,2),IF(C787&gt;0,VLOOKUP(C787,КФСР!A350:B1862,2),IF(D787&gt;0,VLOOKUP(D787,Программа!A$1:B$5091,2),IF(F787&gt;0,VLOOKUP(F787,КВР!A$1:B$5001,2),IF(E787&gt;0,VLOOKUP(E787,Направление!A$1:B$4750,2))))))</f>
        <v>Дотации поселениям Ярославской области на выравнивание бюджетной обеспеченности</v>
      </c>
      <c r="B787" s="149"/>
      <c r="C787" s="144"/>
      <c r="D787" s="145"/>
      <c r="E787" s="144">
        <v>72970</v>
      </c>
      <c r="F787" s="146"/>
      <c r="G787" s="337">
        <f>G788</f>
        <v>0</v>
      </c>
      <c r="H787" s="152">
        <f>H788</f>
        <v>0</v>
      </c>
      <c r="I787" s="152">
        <f t="shared" si="175"/>
        <v>0</v>
      </c>
    </row>
    <row r="788" spans="1:9" hidden="1">
      <c r="A788" s="148" t="str">
        <f>IF(B788&gt;0,VLOOKUP(B788,КВСР!A351:B1516,2),IF(C788&gt;0,VLOOKUP(C788,КФСР!A351:B1863,2),IF(D788&gt;0,VLOOKUP(D788,Программа!A$1:B$5091,2),IF(F788&gt;0,VLOOKUP(F788,КВР!A$1:B$5001,2),IF(E788&gt;0,VLOOKUP(E788,Направление!A$1:B$4750,2))))))</f>
        <v xml:space="preserve"> Межбюджетные трансферты</v>
      </c>
      <c r="B788" s="149"/>
      <c r="C788" s="144"/>
      <c r="D788" s="146"/>
      <c r="E788" s="144"/>
      <c r="F788" s="146">
        <v>500</v>
      </c>
      <c r="G788" s="337">
        <v>0</v>
      </c>
      <c r="H788" s="153"/>
      <c r="I788" s="152">
        <f t="shared" si="175"/>
        <v>0</v>
      </c>
    </row>
    <row r="789" spans="1:9" ht="47.25">
      <c r="A789" s="142" t="str">
        <f>IF(B789&gt;0,VLOOKUP(B789,КВСР!A352:B1517,2),IF(C789&gt;0,VLOOKUP(C789,КФСР!A352:B1864,2),IF(D789&gt;0,VLOOKUP(D789,Программа!A$1:B$5091,2),IF(F789&gt;0,VLOOKUP(F789,КВР!A$1:B$5001,2),IF(E789&gt;0,VLOOKUP(E789,Направление!A$1:B$4750,2))))))</f>
        <v>Департамент культуры, туризма и молодежной политики Администрации ТМР</v>
      </c>
      <c r="B789" s="143">
        <v>956</v>
      </c>
      <c r="C789" s="144"/>
      <c r="D789" s="145"/>
      <c r="E789" s="144"/>
      <c r="F789" s="146"/>
      <c r="G789" s="555">
        <f>G795+G799+G814+G844+G892+G937+G790</f>
        <v>180760587</v>
      </c>
      <c r="H789" s="555">
        <f>H795+H799+H814+H844+H892+H937+H790</f>
        <v>6775482</v>
      </c>
      <c r="I789" s="555">
        <f>I795+I799+I814+I844+I892+I937+I790</f>
        <v>187536069</v>
      </c>
    </row>
    <row r="790" spans="1:9" ht="47.25">
      <c r="A790" s="148" t="str">
        <f>IF(B790&gt;0,VLOOKUP(B790,КВСР!A349:B1514,2),IF(C790&gt;0,VLOOKUP(C790,КФСР!A349:B1861,2),IF(D790&gt;0,VLOOKUP(D790,Программа!A$1:B$5091,2),IF(F790&gt;0,VLOOKUP(F790,КВР!A$1:B$5001,2),IF(E790&gt;0,VLOOKUP(E790,Направление!A$1:B$4750,2))))))</f>
        <v>Другие вопросы в области национальной безопасности и правоохранительной деятельности</v>
      </c>
      <c r="B790" s="143"/>
      <c r="C790" s="144">
        <v>314</v>
      </c>
      <c r="D790" s="145"/>
      <c r="E790" s="144"/>
      <c r="F790" s="146"/>
      <c r="G790" s="671">
        <f>G791</f>
        <v>150000</v>
      </c>
      <c r="H790" s="671">
        <f t="shared" ref="H790:I793" si="188">H791</f>
        <v>0</v>
      </c>
      <c r="I790" s="671">
        <f t="shared" si="188"/>
        <v>150000</v>
      </c>
    </row>
    <row r="791" spans="1:9" ht="63">
      <c r="A791" s="148" t="str">
        <f>IF(B791&gt;0,VLOOKUP(B791,КВСР!A350:B1515,2),IF(C791&gt;0,VLOOKUP(C791,КФСР!A350:B1862,2),IF(D791&gt;0,VLOOKUP(D791,Программа!A$1:B$5091,2),IF(F791&gt;0,VLOOKUP(F791,КВР!A$1:B$5001,2),IF(E791&gt;0,VLOOKUP(E791,Направление!A$1:B$4750,2))))))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91" s="143"/>
      <c r="C791" s="144"/>
      <c r="D791" s="145" t="s">
        <v>600</v>
      </c>
      <c r="E791" s="144"/>
      <c r="F791" s="146"/>
      <c r="G791" s="671">
        <f>G792</f>
        <v>150000</v>
      </c>
      <c r="H791" s="671">
        <f t="shared" si="188"/>
        <v>0</v>
      </c>
      <c r="I791" s="671">
        <f t="shared" si="188"/>
        <v>150000</v>
      </c>
    </row>
    <row r="792" spans="1:9" ht="31.5">
      <c r="A792" s="148" t="str">
        <f>IF(B792&gt;0,VLOOKUP(B792,КВСР!A351:B1516,2),IF(C792&gt;0,VLOOKUP(C792,КФСР!A351:B1863,2),IF(D792&gt;0,VLOOKUP(D792,Программа!A$1:B$5091,2),IF(F792&gt;0,VLOOKUP(F792,КВР!A$1:B$5001,2),IF(E792&gt;0,VLOOKUP(E792,Направление!A$1:B$4750,2))))))</f>
        <v>Реализация мероприятий по профилактике правонарушений</v>
      </c>
      <c r="B792" s="143"/>
      <c r="C792" s="144"/>
      <c r="D792" s="145" t="s">
        <v>602</v>
      </c>
      <c r="E792" s="144"/>
      <c r="F792" s="146"/>
      <c r="G792" s="671">
        <f>G793</f>
        <v>150000</v>
      </c>
      <c r="H792" s="671">
        <f t="shared" si="188"/>
        <v>0</v>
      </c>
      <c r="I792" s="671">
        <f t="shared" si="188"/>
        <v>150000</v>
      </c>
    </row>
    <row r="793" spans="1:9" ht="31.5">
      <c r="A793" s="148" t="str">
        <f>IF(B793&gt;0,VLOOKUP(B793,КВСР!A352:B1517,2),IF(C793&gt;0,VLOOKUP(C793,КФСР!A352:B1864,2),IF(D793&gt;0,VLOOKUP(D793,Программа!A$1:B$5091,2),IF(F793&gt;0,VLOOKUP(F793,КВР!A$1:B$5001,2),IF(E793&gt;0,VLOOKUP(E793,Направление!A$1:B$4750,2))))))</f>
        <v>Обеспечение деятельности народных дружин</v>
      </c>
      <c r="B793" s="143"/>
      <c r="C793" s="144"/>
      <c r="D793" s="145"/>
      <c r="E793" s="144">
        <v>29486</v>
      </c>
      <c r="F793" s="146"/>
      <c r="G793" s="671">
        <f>G794</f>
        <v>150000</v>
      </c>
      <c r="H793" s="671">
        <f t="shared" si="188"/>
        <v>0</v>
      </c>
      <c r="I793" s="671">
        <f t="shared" si="188"/>
        <v>150000</v>
      </c>
    </row>
    <row r="794" spans="1:9" ht="63">
      <c r="A794" s="148" t="str">
        <f>IF(B794&gt;0,VLOOKUP(B794,КВСР!A353:B1518,2),IF(C794&gt;0,VLOOKUP(C794,КФСР!A353:B1865,2),IF(D794&gt;0,VLOOKUP(D794,Программа!A$1:B$5091,2),IF(F794&gt;0,VLOOKUP(F794,КВР!A$1:B$5001,2),IF(E794&gt;0,VLOOKUP(E794,Направление!A$1:B$4750,2))))))</f>
        <v>Предоставление субсидий бюджетным, автономным учреждениям и иным некоммерческим организациям</v>
      </c>
      <c r="B794" s="143"/>
      <c r="C794" s="144"/>
      <c r="D794" s="145"/>
      <c r="E794" s="144"/>
      <c r="F794" s="146">
        <v>600</v>
      </c>
      <c r="G794" s="671">
        <v>150000</v>
      </c>
      <c r="H794" s="672"/>
      <c r="I794" s="672">
        <f>G794+H794</f>
        <v>150000</v>
      </c>
    </row>
    <row r="795" spans="1:9" hidden="1">
      <c r="A795" s="148" t="str">
        <f>IF(B795&gt;0,VLOOKUP(B795,КВСР!A353:B1518,2),IF(C795&gt;0,VLOOKUP(C795,КФСР!A353:B1865,2),IF(D795&gt;0,VLOOKUP(D795,Программа!A$1:B$5091,2),IF(F795&gt;0,VLOOKUP(F795,КВР!A$1:B$5001,2),IF(E795&gt;0,VLOOKUP(E795,Направление!A$1:B$4750,2))))))</f>
        <v>Благоустройство</v>
      </c>
      <c r="B795" s="143"/>
      <c r="C795" s="144">
        <v>503</v>
      </c>
      <c r="D795" s="146"/>
      <c r="E795" s="144"/>
      <c r="F795" s="146"/>
      <c r="G795" s="379">
        <f>G796</f>
        <v>0</v>
      </c>
      <c r="H795" s="158">
        <f>H796</f>
        <v>0</v>
      </c>
      <c r="I795" s="152">
        <f t="shared" si="175"/>
        <v>0</v>
      </c>
    </row>
    <row r="796" spans="1:9" ht="31.5" hidden="1">
      <c r="A796" s="148" t="str">
        <f>IF(B796&gt;0,VLOOKUP(B796,КВСР!A354:B1519,2),IF(C796&gt;0,VLOOKUP(C796,КФСР!A354:B1866,2),IF(D796&gt;0,VLOOKUP(D796,Программа!A$1:B$5091,2),IF(F796&gt;0,VLOOKUP(F796,КВР!A$1:B$5001,2),IF(E796&gt;0,VLOOKUP(E796,Направление!A$1:B$4750,2))))))</f>
        <v>Межбюджетные трансферты  поселениям района</v>
      </c>
      <c r="B796" s="143"/>
      <c r="C796" s="144"/>
      <c r="D796" s="145" t="s">
        <v>653</v>
      </c>
      <c r="E796" s="144"/>
      <c r="F796" s="146"/>
      <c r="G796" s="379">
        <f>G797</f>
        <v>0</v>
      </c>
      <c r="H796" s="158">
        <f>H797</f>
        <v>0</v>
      </c>
      <c r="I796" s="152">
        <f t="shared" si="175"/>
        <v>0</v>
      </c>
    </row>
    <row r="797" spans="1:9" ht="94.5" hidden="1">
      <c r="A797" s="148" t="str">
        <f>IF(B797&gt;0,VLOOKUP(B797,КВСР!A355:B1520,2),IF(C797&gt;0,VLOOKUP(C797,КФСР!A355:B1867,2),IF(D797&gt;0,VLOOKUP(D797,Программа!A$1:B$5091,2),IF(F797&gt;0,VLOOKUP(F797,КВР!A$1:B$5001,2),IF(E797&gt;0,VLOOKUP(E797,Направление!A$1:B$4750,2))))))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797" s="143"/>
      <c r="C797" s="144"/>
      <c r="D797" s="146"/>
      <c r="E797" s="144">
        <v>71750</v>
      </c>
      <c r="F797" s="146"/>
      <c r="G797" s="379">
        <f>SUM(G798:G798)</f>
        <v>0</v>
      </c>
      <c r="H797" s="158">
        <f>SUM(H798:H798)</f>
        <v>0</v>
      </c>
      <c r="I797" s="152">
        <f t="shared" si="175"/>
        <v>0</v>
      </c>
    </row>
    <row r="798" spans="1:9" hidden="1">
      <c r="A798" s="148" t="str">
        <f>IF(B798&gt;0,VLOOKUP(B798,КВСР!A357:B1522,2),IF(C798&gt;0,VLOOKUP(C798,КФСР!A357:B1869,2),IF(D798&gt;0,VLOOKUP(D798,Программа!A$1:B$5091,2),IF(F798&gt;0,VLOOKUP(F798,КВР!A$1:B$5001,2),IF(E798&gt;0,VLOOKUP(E798,Направление!A$1:B$4750,2))))))</f>
        <v xml:space="preserve"> Межбюджетные трансферты</v>
      </c>
      <c r="B798" s="143"/>
      <c r="C798" s="144"/>
      <c r="D798" s="146"/>
      <c r="E798" s="144"/>
      <c r="F798" s="146">
        <v>500</v>
      </c>
      <c r="G798" s="379"/>
      <c r="H798" s="151"/>
      <c r="I798" s="152">
        <f t="shared" si="175"/>
        <v>0</v>
      </c>
    </row>
    <row r="799" spans="1:9" s="171" customFormat="1">
      <c r="A799" s="148" t="str">
        <f>IF(B799&gt;0,VLOOKUP(B799,КВСР!A358:B1523,2),IF(C799&gt;0,VLOOKUP(C799,КФСР!A358:B1870,2),IF(D799&gt;0,VLOOKUP(D799,Программа!A$1:B$5091,2),IF(F799&gt;0,VLOOKUP(F799,КВР!A$1:B$5001,2),IF(E799&gt;0,VLOOKUP(E799,Направление!A$1:B$4750,2))))))</f>
        <v>Дополнительное образование детей</v>
      </c>
      <c r="B799" s="149"/>
      <c r="C799" s="144">
        <v>703</v>
      </c>
      <c r="D799" s="145"/>
      <c r="E799" s="144"/>
      <c r="F799" s="146"/>
      <c r="G799" s="337">
        <f>G800+G809</f>
        <v>32556062</v>
      </c>
      <c r="H799" s="152">
        <f>H800+H809</f>
        <v>0</v>
      </c>
      <c r="I799" s="152">
        <f t="shared" si="175"/>
        <v>32556062</v>
      </c>
    </row>
    <row r="800" spans="1:9" s="171" customFormat="1" ht="63">
      <c r="A800" s="148" t="str">
        <f>IF(B800&gt;0,VLOOKUP(B800,КВСР!A359:B1524,2),IF(C800&gt;0,VLOOKUP(C800,КФСР!A359:B1871,2),IF(D800&gt;0,VLOOKUP(D800,Программа!A$1:B$5091,2),IF(F800&gt;0,VLOOKUP(F800,КВР!A$1:B$5001,2),IF(E800&gt;0,VLOOKUP(E800,Направление!A$1:B$4750,2))))))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800" s="149"/>
      <c r="C800" s="144"/>
      <c r="D800" s="163" t="s">
        <v>569</v>
      </c>
      <c r="E800" s="161"/>
      <c r="F800" s="146"/>
      <c r="G800" s="337">
        <f>G802</f>
        <v>32536562</v>
      </c>
      <c r="H800" s="152">
        <f>H802</f>
        <v>0</v>
      </c>
      <c r="I800" s="152">
        <f t="shared" si="175"/>
        <v>32536562</v>
      </c>
    </row>
    <row r="801" spans="1:9" s="171" customFormat="1" ht="63">
      <c r="A801" s="148" t="str">
        <f>IF(B801&gt;0,VLOOKUP(B801,КВСР!A360:B1525,2),IF(C801&gt;0,VLOOKUP(C801,КФСР!A360:B1872,2),IF(D801&gt;0,VLOOKUP(D801,Программа!A$1:B$5091,2),IF(F801&gt;0,VLOOKUP(F801,КВР!A$1:B$5001,2),IF(E801&gt;0,VLOOKUP(E801,Направление!A$1:B$4750,2))))))</f>
        <v>Ведомственная целевая программа «Сохранение и развитие культуры Тутаевского муниципального района»</v>
      </c>
      <c r="B801" s="149"/>
      <c r="C801" s="144"/>
      <c r="D801" s="163" t="s">
        <v>671</v>
      </c>
      <c r="E801" s="161"/>
      <c r="F801" s="146"/>
      <c r="G801" s="337">
        <f>G802</f>
        <v>32536562</v>
      </c>
      <c r="H801" s="152">
        <f>H802</f>
        <v>0</v>
      </c>
      <c r="I801" s="152">
        <f t="shared" si="175"/>
        <v>32536562</v>
      </c>
    </row>
    <row r="802" spans="1:9" s="171" customFormat="1" ht="47.25">
      <c r="A802" s="148" t="str">
        <f>IF(B802&gt;0,VLOOKUP(B802,КВСР!A361:B1526,2),IF(C802&gt;0,VLOOKUP(C802,КФСР!A361:B1873,2),IF(D802&gt;0,VLOOKUP(D802,Программа!A$1:B$5091,2),IF(F802&gt;0,VLOOKUP(F802,КВР!A$1:B$5001,2),IF(E802&gt;0,VLOOKUP(E802,Направление!A$1:B$4750,2))))))</f>
        <v>Реализация дополнительных образовательных программ в сфере культуры</v>
      </c>
      <c r="B802" s="149"/>
      <c r="C802" s="144"/>
      <c r="D802" s="145" t="s">
        <v>673</v>
      </c>
      <c r="E802" s="144"/>
      <c r="F802" s="146"/>
      <c r="G802" s="337">
        <f>G805+G807+G803</f>
        <v>32536562</v>
      </c>
      <c r="H802" s="152">
        <f>H805+H807+H803</f>
        <v>0</v>
      </c>
      <c r="I802" s="152">
        <f t="shared" si="175"/>
        <v>32536562</v>
      </c>
    </row>
    <row r="803" spans="1:9" s="171" customFormat="1" ht="31.5">
      <c r="A803" s="148" t="str">
        <f>IF(B803&gt;0,VLOOKUP(B803,КВСР!A361:B1526,2),IF(C803&gt;0,VLOOKUP(C803,КФСР!A361:B1873,2),IF(D803&gt;0,VLOOKUP(D803,Программа!A$1:B$5091,2),IF(F803&gt;0,VLOOKUP(F803,КВР!A$1:B$5001,2),IF(E803&gt;0,VLOOKUP(E803,Направление!A$1:B$4750,2))))))</f>
        <v xml:space="preserve">Выплата ежемесячных и разовых стипендий главы </v>
      </c>
      <c r="B803" s="149"/>
      <c r="C803" s="144"/>
      <c r="D803" s="145"/>
      <c r="E803" s="144">
        <v>12700</v>
      </c>
      <c r="F803" s="146"/>
      <c r="G803" s="337">
        <f>G804</f>
        <v>40000</v>
      </c>
      <c r="H803" s="152">
        <f>H804</f>
        <v>0</v>
      </c>
      <c r="I803" s="152">
        <f t="shared" si="175"/>
        <v>40000</v>
      </c>
    </row>
    <row r="804" spans="1:9" s="171" customFormat="1" ht="63">
      <c r="A804" s="148" t="str">
        <f>IF(B804&gt;0,VLOOKUP(B804,КВСР!A362:B1527,2),IF(C804&gt;0,VLOOKUP(C804,КФСР!A362:B1874,2),IF(D804&gt;0,VLOOKUP(D804,Программа!A$1:B$5091,2),IF(F804&gt;0,VLOOKUP(F804,КВР!A$1:B$5001,2),IF(E804&gt;0,VLOOKUP(E804,Направление!A$1:B$4750,2))))))</f>
        <v>Предоставление субсидий бюджетным, автономным учреждениям и иным некоммерческим организациям</v>
      </c>
      <c r="B804" s="149"/>
      <c r="C804" s="144"/>
      <c r="D804" s="146"/>
      <c r="E804" s="144"/>
      <c r="F804" s="146">
        <v>600</v>
      </c>
      <c r="G804" s="337">
        <v>40000</v>
      </c>
      <c r="H804" s="154"/>
      <c r="I804" s="152">
        <f t="shared" si="175"/>
        <v>40000</v>
      </c>
    </row>
    <row r="805" spans="1:9" s="171" customFormat="1" ht="47.25">
      <c r="A805" s="148" t="str">
        <f>IF(B805&gt;0,VLOOKUP(B805,КВСР!A361:B1526,2),IF(C805&gt;0,VLOOKUP(C805,КФСР!A361:B1873,2),IF(D805&gt;0,VLOOKUP(D805,Программа!A$1:B$5091,2),IF(F805&gt;0,VLOOKUP(F805,КВР!A$1:B$5001,2),IF(E805&gt;0,VLOOKUP(E805,Направление!A$1:B$4750,2))))))</f>
        <v>Обеспечение деятельности учреждений дополнительного образования</v>
      </c>
      <c r="B805" s="149"/>
      <c r="C805" s="144"/>
      <c r="D805" s="145"/>
      <c r="E805" s="144">
        <v>13210</v>
      </c>
      <c r="F805" s="146"/>
      <c r="G805" s="379">
        <f>G806</f>
        <v>32496562</v>
      </c>
      <c r="H805" s="150">
        <f>H806</f>
        <v>0</v>
      </c>
      <c r="I805" s="152">
        <f t="shared" si="175"/>
        <v>32496562</v>
      </c>
    </row>
    <row r="806" spans="1:9" s="171" customFormat="1" ht="63">
      <c r="A806" s="148" t="str">
        <f>IF(B806&gt;0,VLOOKUP(B806,КВСР!A362:B1527,2),IF(C806&gt;0,VLOOKUP(C806,КФСР!A362:B1874,2),IF(D806&gt;0,VLOOKUP(D806,Программа!A$1:B$5091,2),IF(F806&gt;0,VLOOKUP(F806,КВР!A$1:B$5001,2),IF(E806&gt;0,VLOOKUP(E806,Направление!A$1:B$4750,2))))))</f>
        <v>Предоставление субсидий бюджетным, автономным учреждениям и иным некоммерческим организациям</v>
      </c>
      <c r="B806" s="149"/>
      <c r="C806" s="144"/>
      <c r="D806" s="146"/>
      <c r="E806" s="144"/>
      <c r="F806" s="146">
        <v>600</v>
      </c>
      <c r="G806" s="379">
        <v>32496562</v>
      </c>
      <c r="H806" s="151"/>
      <c r="I806" s="152">
        <f t="shared" si="175"/>
        <v>32496562</v>
      </c>
    </row>
    <row r="807" spans="1:9" s="171" customFormat="1" hidden="1">
      <c r="A807" s="148" t="str">
        <f>IF(B807&gt;0,VLOOKUP(B807,КВСР!A363:B1528,2),IF(C807&gt;0,VLOOKUP(C807,КФСР!A363:B1875,2),IF(D807&gt;0,VLOOKUP(D807,Программа!A$1:B$5091,2),IF(F807&gt;0,VLOOKUP(F807,КВР!A$1:B$5001,2),IF(E807&gt;0,VLOOKUP(E807,Направление!A$1:B$4750,2))))))</f>
        <v>Мероприятия в сфере культуры</v>
      </c>
      <c r="B807" s="149"/>
      <c r="C807" s="144"/>
      <c r="D807" s="145"/>
      <c r="E807" s="144">
        <v>15220</v>
      </c>
      <c r="F807" s="146"/>
      <c r="G807" s="379">
        <f>G808</f>
        <v>0</v>
      </c>
      <c r="H807" s="150">
        <f>H808</f>
        <v>0</v>
      </c>
      <c r="I807" s="152">
        <f t="shared" si="175"/>
        <v>0</v>
      </c>
    </row>
    <row r="808" spans="1:9" s="171" customFormat="1" ht="63" hidden="1">
      <c r="A808" s="148" t="str">
        <f>IF(B808&gt;0,VLOOKUP(B808,КВСР!A364:B1529,2),IF(C808&gt;0,VLOOKUP(C808,КФСР!A364:B1876,2),IF(D808&gt;0,VLOOKUP(D808,Программа!A$1:B$5091,2),IF(F808&gt;0,VLOOKUP(F808,КВР!A$1:B$5001,2),IF(E808&gt;0,VLOOKUP(E808,Направление!A$1:B$4750,2))))))</f>
        <v>Предоставление субсидий бюджетным, автономным учреждениям и иным некоммерческим организациям</v>
      </c>
      <c r="B808" s="149"/>
      <c r="C808" s="144"/>
      <c r="D808" s="146"/>
      <c r="E808" s="144"/>
      <c r="F808" s="146">
        <v>600</v>
      </c>
      <c r="G808" s="379"/>
      <c r="H808" s="151"/>
      <c r="I808" s="152">
        <f t="shared" si="175"/>
        <v>0</v>
      </c>
    </row>
    <row r="809" spans="1:9" s="171" customFormat="1" ht="47.25">
      <c r="A809" s="148" t="str">
        <f>IF(B809&gt;0,VLOOKUP(B809,КВСР!A365:B1530,2),IF(C809&gt;0,VLOOKUP(C809,КФСР!A365:B1877,2),IF(D809&gt;0,VLOOKUP(D809,Программа!A$1:B$5091,2),IF(F809&gt;0,VLOOKUP(F809,КВР!A$1:B$5001,2),IF(E809&gt;0,VLOOKUP(E809,Направление!A$1:B$4750,2))))))</f>
        <v>Муниципальная программа "Социальная поддержка населения Тутаевского муниципального района"</v>
      </c>
      <c r="B809" s="149"/>
      <c r="C809" s="144"/>
      <c r="D809" s="146" t="s">
        <v>548</v>
      </c>
      <c r="E809" s="144"/>
      <c r="F809" s="146"/>
      <c r="G809" s="379">
        <f t="shared" ref="G809:H812" si="189">G810</f>
        <v>19500</v>
      </c>
      <c r="H809" s="379">
        <f t="shared" si="189"/>
        <v>0</v>
      </c>
      <c r="I809" s="152">
        <f t="shared" si="175"/>
        <v>19500</v>
      </c>
    </row>
    <row r="810" spans="1:9" s="171" customFormat="1" ht="63">
      <c r="A810" s="148" t="str">
        <f>IF(B810&gt;0,VLOOKUP(B810,КВСР!A366:B1531,2),IF(C810&gt;0,VLOOKUP(C810,КФСР!A366:B1878,2),IF(D810&gt;0,VLOOKUP(D810,Программа!A$1:B$5091,2),IF(F810&gt;0,VLOOKUP(F810,КВР!A$1:B$5001,2),IF(E810&gt;0,VLOOKUP(E810,Направление!A$1:B$4750,2))))))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810" s="149"/>
      <c r="C810" s="144"/>
      <c r="D810" s="145" t="s">
        <v>550</v>
      </c>
      <c r="E810" s="144"/>
      <c r="F810" s="146"/>
      <c r="G810" s="379">
        <f t="shared" si="189"/>
        <v>19500</v>
      </c>
      <c r="H810" s="379">
        <f t="shared" si="189"/>
        <v>0</v>
      </c>
      <c r="I810" s="152">
        <f t="shared" si="175"/>
        <v>19500</v>
      </c>
    </row>
    <row r="811" spans="1:9" s="171" customFormat="1" ht="63">
      <c r="A811" s="148" t="str">
        <f>IF(B811&gt;0,VLOOKUP(B811,КВСР!A366:B1531,2),IF(C811&gt;0,VLOOKUP(C811,КФСР!A366:B1878,2),IF(D811&gt;0,VLOOKUP(D811,Программа!A$1:B$5091,2),IF(F811&gt;0,VLOOKUP(F811,КВР!A$1:B$5001,2),IF(E811&gt;0,VLOOKUP(E811,Направление!A$1:B$4750,2))))))</f>
        <v>Превентивные меры, направленные на снижение производственного травматизма и профессиональной заболеваемости</v>
      </c>
      <c r="B811" s="149"/>
      <c r="C811" s="144"/>
      <c r="D811" s="145" t="s">
        <v>1846</v>
      </c>
      <c r="E811" s="144"/>
      <c r="F811" s="146"/>
      <c r="G811" s="379">
        <f t="shared" si="189"/>
        <v>19500</v>
      </c>
      <c r="H811" s="379">
        <f t="shared" si="189"/>
        <v>0</v>
      </c>
      <c r="I811" s="152">
        <f t="shared" si="175"/>
        <v>19500</v>
      </c>
    </row>
    <row r="812" spans="1:9" s="171" customFormat="1" ht="31.5">
      <c r="A812" s="148" t="str">
        <f>IF(B812&gt;0,VLOOKUP(B812,КВСР!A367:B1532,2),IF(C812&gt;0,VLOOKUP(C812,КФСР!A367:B1879,2),IF(D812&gt;0,VLOOKUP(D812,Программа!A$1:B$5091,2),IF(F812&gt;0,VLOOKUP(F812,КВР!A$1:B$5001,2),IF(E812&gt;0,VLOOKUP(E812,Направление!A$1:B$4750,2))))))</f>
        <v>Расходы на реализацию МЦП "Улучшение условий и охраны труда"</v>
      </c>
      <c r="B812" s="149"/>
      <c r="C812" s="144"/>
      <c r="D812" s="146"/>
      <c r="E812" s="144">
        <v>16150</v>
      </c>
      <c r="F812" s="146"/>
      <c r="G812" s="379">
        <f t="shared" si="189"/>
        <v>19500</v>
      </c>
      <c r="H812" s="379">
        <f t="shared" si="189"/>
        <v>0</v>
      </c>
      <c r="I812" s="152">
        <f t="shared" si="175"/>
        <v>19500</v>
      </c>
    </row>
    <row r="813" spans="1:9" s="171" customFormat="1" ht="63">
      <c r="A813" s="148" t="str">
        <f>IF(B813&gt;0,VLOOKUP(B813,КВСР!A368:B1533,2),IF(C813&gt;0,VLOOKUP(C813,КФСР!A368:B1880,2),IF(D813&gt;0,VLOOKUP(D813,Программа!A$1:B$5091,2),IF(F813&gt;0,VLOOKUP(F813,КВР!A$1:B$5001,2),IF(E813&gt;0,VLOOKUP(E813,Направление!A$1:B$4750,2))))))</f>
        <v>Предоставление субсидий бюджетным, автономным учреждениям и иным некоммерческим организациям</v>
      </c>
      <c r="B813" s="149"/>
      <c r="C813" s="144"/>
      <c r="D813" s="146"/>
      <c r="E813" s="144"/>
      <c r="F813" s="146">
        <v>600</v>
      </c>
      <c r="G813" s="379">
        <v>19500</v>
      </c>
      <c r="H813" s="151"/>
      <c r="I813" s="152">
        <f t="shared" si="175"/>
        <v>19500</v>
      </c>
    </row>
    <row r="814" spans="1:9" s="171" customFormat="1">
      <c r="A814" s="148" t="str">
        <f>IF(B814&gt;0,VLOOKUP(B814,КВСР!A362:B1527,2),IF(C814&gt;0,VLOOKUP(C814,КФСР!A362:B1874,2),IF(D814&gt;0,VLOOKUP(D814,Программа!A$1:B$5091,2),IF(F814&gt;0,VLOOKUP(F814,КВР!A$1:B$5001,2),IF(E814&gt;0,VLOOKUP(E814,Направление!A$1:B$4750,2))))))</f>
        <v>Молодежная политика</v>
      </c>
      <c r="B814" s="149"/>
      <c r="C814" s="144">
        <v>707</v>
      </c>
      <c r="D814" s="145"/>
      <c r="E814" s="144"/>
      <c r="F814" s="146"/>
      <c r="G814" s="337">
        <f>G815+G839</f>
        <v>10145000</v>
      </c>
      <c r="H814" s="152">
        <f>H815+H839</f>
        <v>4300000</v>
      </c>
      <c r="I814" s="152">
        <f t="shared" si="175"/>
        <v>14445000</v>
      </c>
    </row>
    <row r="815" spans="1:9" s="171" customFormat="1" ht="63">
      <c r="A815" s="148" t="str">
        <f>IF(B815&gt;0,VLOOKUP(B815,КВСР!A363:B1528,2),IF(C815&gt;0,VLOOKUP(C815,КФСР!A363:B1875,2),IF(D815&gt;0,VLOOKUP(D815,Программа!A$1:B$5091,2),IF(F815&gt;0,VLOOKUP(F815,КВР!A$1:B$5001,2),IF(E815&gt;0,VLOOKUP(E815,Направление!A$1:B$4750,2))))))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815" s="149"/>
      <c r="C815" s="144"/>
      <c r="D815" s="145" t="s">
        <v>569</v>
      </c>
      <c r="E815" s="144"/>
      <c r="F815" s="146"/>
      <c r="G815" s="337">
        <f>G816+G831+G835</f>
        <v>10140000</v>
      </c>
      <c r="H815" s="152">
        <f>H816+H831+H835</f>
        <v>4300000</v>
      </c>
      <c r="I815" s="152">
        <f t="shared" si="175"/>
        <v>14440000</v>
      </c>
    </row>
    <row r="816" spans="1:9" s="171" customFormat="1" ht="31.5">
      <c r="A816" s="148" t="str">
        <f>IF(B816&gt;0,VLOOKUP(B816,КВСР!A364:B1529,2),IF(C816&gt;0,VLOOKUP(C816,КФСР!A364:B1876,2),IF(D816&gt;0,VLOOKUP(D816,Программа!A$1:B$5091,2),IF(F816&gt;0,VLOOKUP(F816,КВР!A$1:B$5001,2),IF(E816&gt;0,VLOOKUP(E816,Направление!A$1:B$4750,2))))))</f>
        <v>Ведомственная целевая программа «Молодежь»</v>
      </c>
      <c r="B816" s="149"/>
      <c r="C816" s="144"/>
      <c r="D816" s="145" t="s">
        <v>676</v>
      </c>
      <c r="E816" s="144"/>
      <c r="F816" s="146"/>
      <c r="G816" s="337">
        <f>G817+G826</f>
        <v>9860000</v>
      </c>
      <c r="H816" s="152">
        <f>H817+H826</f>
        <v>4300000</v>
      </c>
      <c r="I816" s="152">
        <f t="shared" si="175"/>
        <v>14160000</v>
      </c>
    </row>
    <row r="817" spans="1:9" s="171" customFormat="1" ht="78.75">
      <c r="A817" s="148" t="str">
        <f>IF(B817&gt;0,VLOOKUP(B817,КВСР!A364:B1529,2),IF(C817&gt;0,VLOOKUP(C817,КФСР!A364:B1876,2),IF(D817&gt;0,VLOOKUP(D817,Программа!A$1:B$5091,2),IF(F817&gt;0,VLOOKUP(F817,КВР!A$1:B$5001,2),IF(E817&gt;0,VLOOKUP(E817,Направление!A$1:B$4750,2))))))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17" s="149"/>
      <c r="C817" s="144"/>
      <c r="D817" s="145" t="s">
        <v>678</v>
      </c>
      <c r="E817" s="144"/>
      <c r="F817" s="146"/>
      <c r="G817" s="337">
        <f>G818+G820+G824+G822</f>
        <v>9770000</v>
      </c>
      <c r="H817" s="442">
        <f t="shared" ref="H817:I817" si="190">H818+H820+H824+H822</f>
        <v>4300000</v>
      </c>
      <c r="I817" s="442">
        <f t="shared" si="190"/>
        <v>14070000</v>
      </c>
    </row>
    <row r="818" spans="1:9" s="171" customFormat="1" ht="47.25">
      <c r="A818" s="148" t="str">
        <f>IF(B818&gt;0,VLOOKUP(B818,КВСР!A365:B1530,2),IF(C818&gt;0,VLOOKUP(C818,КФСР!A365:B1877,2),IF(D818&gt;0,VLOOKUP(D818,Программа!A$1:B$5091,2),IF(F818&gt;0,VLOOKUP(F818,КВР!A$1:B$5001,2),IF(E818&gt;0,VLOOKUP(E818,Направление!A$1:B$4750,2))))))</f>
        <v xml:space="preserve">Обеспечение деятельности учреждений в сфере молодежной политики </v>
      </c>
      <c r="B818" s="149"/>
      <c r="C818" s="144"/>
      <c r="D818" s="145"/>
      <c r="E818" s="144">
        <v>14510</v>
      </c>
      <c r="F818" s="146"/>
      <c r="G818" s="379">
        <f>G819</f>
        <v>9770000</v>
      </c>
      <c r="H818" s="150">
        <f>H819</f>
        <v>0</v>
      </c>
      <c r="I818" s="152">
        <f t="shared" si="175"/>
        <v>9770000</v>
      </c>
    </row>
    <row r="819" spans="1:9" s="171" customFormat="1" ht="63">
      <c r="A819" s="148" t="str">
        <f>IF(B819&gt;0,VLOOKUP(B819,КВСР!A366:B1531,2),IF(C819&gt;0,VLOOKUP(C819,КФСР!A366:B1878,2),IF(D819&gt;0,VLOOKUP(D819,Программа!A$1:B$5091,2),IF(F819&gt;0,VLOOKUP(F819,КВР!A$1:B$5001,2),IF(E819&gt;0,VLOOKUP(E819,Направление!A$1:B$4750,2))))))</f>
        <v>Предоставление субсидий бюджетным, автономным учреждениям и иным некоммерческим организациям</v>
      </c>
      <c r="B819" s="149"/>
      <c r="C819" s="144"/>
      <c r="D819" s="146"/>
      <c r="E819" s="144"/>
      <c r="F819" s="146">
        <v>600</v>
      </c>
      <c r="G819" s="379">
        <v>9770000</v>
      </c>
      <c r="H819" s="151"/>
      <c r="I819" s="152">
        <f t="shared" si="175"/>
        <v>9770000</v>
      </c>
    </row>
    <row r="820" spans="1:9" s="171" customFormat="1" ht="63">
      <c r="A820" s="148" t="str">
        <f>IF(B820&gt;0,VLOOKUP(B820,КВСР!A367:B1532,2),IF(C820&gt;0,VLOOKUP(C820,КФСР!A367:B1879,2),IF(D820&gt;0,VLOOKUP(D820,Программа!A$1:B$5091,2),IF(F820&gt;0,VLOOKUP(F820,КВР!A$1:B$5001,2),IF(E820&gt;0,VLOOKUP(E820,Направление!A$1:B$4750,2))))))</f>
        <v>Расходы на обеспечение трудоустройства несовершеннолетних граждан на временные рабочие места</v>
      </c>
      <c r="B820" s="149"/>
      <c r="C820" s="144"/>
      <c r="D820" s="145"/>
      <c r="E820" s="144">
        <v>16151</v>
      </c>
      <c r="F820" s="146"/>
      <c r="G820" s="337">
        <f>G821</f>
        <v>0</v>
      </c>
      <c r="H820" s="152">
        <f>H821</f>
        <v>50000</v>
      </c>
      <c r="I820" s="152">
        <f t="shared" si="175"/>
        <v>50000</v>
      </c>
    </row>
    <row r="821" spans="1:9" s="171" customFormat="1" ht="63">
      <c r="A821" s="148" t="str">
        <f>IF(B821&gt;0,VLOOKUP(B821,КВСР!A368:B1533,2),IF(C821&gt;0,VLOOKUP(C821,КФСР!A368:B1880,2),IF(D821&gt;0,VLOOKUP(D821,Программа!A$1:B$5091,2),IF(F821&gt;0,VLOOKUP(F821,КВР!A$1:B$5001,2),IF(E821&gt;0,VLOOKUP(E821,Направление!A$1:B$4750,2))))))</f>
        <v>Предоставление субсидий бюджетным, автономным учреждениям и иным некоммерческим организациям</v>
      </c>
      <c r="B821" s="149"/>
      <c r="C821" s="144"/>
      <c r="D821" s="146"/>
      <c r="E821" s="144"/>
      <c r="F821" s="146">
        <v>600</v>
      </c>
      <c r="G821" s="379"/>
      <c r="H821" s="151">
        <v>50000</v>
      </c>
      <c r="I821" s="152">
        <f t="shared" si="175"/>
        <v>50000</v>
      </c>
    </row>
    <row r="822" spans="1:9" s="171" customFormat="1" ht="63" hidden="1">
      <c r="A822" s="148" t="str">
        <f>IF(B822&gt;0,VLOOKUP(B822,КВСР!A369:B1534,2),IF(C822&gt;0,VLOOKUP(C822,КФСР!A369:B1881,2),IF(D822&gt;0,VLOOKUP(D822,Программа!A$1:B$5091,2),IF(F822&gt;0,VLOOKUP(F822,КВР!A$1:B$5001,2),IF(E822&gt;0,VLOOKUP(E822,Направление!A$1:B$4750,2))))))</f>
        <v>Расходы на обеспечение трудоустройства несовершеннолетних граждан на временные рабочие места</v>
      </c>
      <c r="B822" s="149"/>
      <c r="C822" s="144"/>
      <c r="D822" s="146"/>
      <c r="E822" s="144">
        <v>76150</v>
      </c>
      <c r="F822" s="146"/>
      <c r="G822" s="379">
        <f>G823</f>
        <v>0</v>
      </c>
      <c r="H822" s="150">
        <f>H823</f>
        <v>0</v>
      </c>
      <c r="I822" s="152">
        <f t="shared" si="175"/>
        <v>0</v>
      </c>
    </row>
    <row r="823" spans="1:9" s="171" customFormat="1" ht="63" hidden="1">
      <c r="A823" s="148" t="str">
        <f>IF(B823&gt;0,VLOOKUP(B823,КВСР!A370:B1535,2),IF(C823&gt;0,VLOOKUP(C823,КФСР!A370:B1882,2),IF(D823&gt;0,VLOOKUP(D823,Программа!A$1:B$5091,2),IF(F823&gt;0,VLOOKUP(F823,КВР!A$1:B$5001,2),IF(E823&gt;0,VLOOKUP(E823,Направление!A$1:B$4750,2))))))</f>
        <v>Предоставление субсидий бюджетным, автономным учреждениям и иным некоммерческим организациям</v>
      </c>
      <c r="B823" s="149"/>
      <c r="C823" s="144"/>
      <c r="D823" s="145"/>
      <c r="E823" s="144"/>
      <c r="F823" s="146">
        <v>600</v>
      </c>
      <c r="G823" s="379"/>
      <c r="H823" s="151"/>
      <c r="I823" s="152">
        <f t="shared" si="175"/>
        <v>0</v>
      </c>
    </row>
    <row r="824" spans="1:9" s="171" customFormat="1" ht="94.5">
      <c r="A824" s="148" t="str">
        <f>IF(B824&gt;0,VLOOKUP(B824,КВСР!A371:B1536,2),IF(C824&gt;0,VLOOKUP(C824,КФСР!A371:B1883,2),IF(D824&gt;0,VLOOKUP(D824,Программа!A$1:B$5091,2),IF(F824&gt;0,VLOOKUP(F824,КВР!A$1:B$5001,2),IF(E824&gt;0,VLOOKUP(E824,Направление!A$1:B$4750,2))))))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824" s="149"/>
      <c r="C824" s="144"/>
      <c r="D824" s="145"/>
      <c r="E824" s="144">
        <v>75870</v>
      </c>
      <c r="F824" s="146"/>
      <c r="G824" s="379">
        <f>G825</f>
        <v>0</v>
      </c>
      <c r="H824" s="150">
        <f>H825</f>
        <v>4250000</v>
      </c>
      <c r="I824" s="152">
        <f t="shared" si="175"/>
        <v>4250000</v>
      </c>
    </row>
    <row r="825" spans="1:9" s="171" customFormat="1" ht="63">
      <c r="A825" s="148" t="str">
        <f>IF(B825&gt;0,VLOOKUP(B825,КВСР!A370:B1535,2),IF(C825&gt;0,VLOOKUP(C825,КФСР!A370:B1882,2),IF(D825&gt;0,VLOOKUP(D825,Программа!A$1:B$5091,2),IF(F825&gt;0,VLOOKUP(F825,КВР!A$1:B$5001,2),IF(E825&gt;0,VLOOKUP(E825,Направление!A$1:B$4750,2))))))</f>
        <v>Предоставление субсидий бюджетным, автономным учреждениям и иным некоммерческим организациям</v>
      </c>
      <c r="B825" s="149"/>
      <c r="C825" s="144"/>
      <c r="D825" s="145"/>
      <c r="E825" s="144"/>
      <c r="F825" s="146">
        <v>600</v>
      </c>
      <c r="G825" s="337"/>
      <c r="H825" s="153">
        <v>4250000</v>
      </c>
      <c r="I825" s="152">
        <f t="shared" si="175"/>
        <v>4250000</v>
      </c>
    </row>
    <row r="826" spans="1:9" s="171" customFormat="1" ht="47.25">
      <c r="A826" s="148" t="str">
        <f>IF(B826&gt;0,VLOOKUP(B826,КВСР!A371:B1536,2),IF(C826&gt;0,VLOOKUP(C826,КФСР!A371:B1883,2),IF(D826&gt;0,VLOOKUP(D826,Программа!A$1:B$5091,2),IF(F826&gt;0,VLOOKUP(F826,КВР!A$1:B$5001,2),IF(E826&gt;0,VLOOKUP(E826,Направление!A$1:B$4750,2))))))</f>
        <v>Обеспечение качества и доступности услуг(работ) в сфере молодежной политики</v>
      </c>
      <c r="B826" s="149"/>
      <c r="C826" s="144"/>
      <c r="D826" s="145" t="s">
        <v>1300</v>
      </c>
      <c r="E826" s="144"/>
      <c r="F826" s="146"/>
      <c r="G826" s="337">
        <f>G827+G829</f>
        <v>90000</v>
      </c>
      <c r="H826" s="337">
        <f>H827+H829</f>
        <v>0</v>
      </c>
      <c r="I826" s="152">
        <f t="shared" si="175"/>
        <v>90000</v>
      </c>
    </row>
    <row r="827" spans="1:9" s="171" customFormat="1" ht="31.5">
      <c r="A827" s="148" t="str">
        <f>IF(B827&gt;0,VLOOKUP(B827,КВСР!A372:B1537,2),IF(C827&gt;0,VLOOKUP(C827,КФСР!A372:B1884,2),IF(D827&gt;0,VLOOKUP(D827,Программа!A$1:B$5091,2),IF(F827&gt;0,VLOOKUP(F827,КВР!A$1:B$5001,2),IF(E827&gt;0,VLOOKUP(E827,Направление!A$1:B$4750,2))))))</f>
        <v xml:space="preserve">Выплата ежемесячных и разовых стипендий главы </v>
      </c>
      <c r="B827" s="149"/>
      <c r="C827" s="144"/>
      <c r="D827" s="145"/>
      <c r="E827" s="144">
        <v>12700</v>
      </c>
      <c r="F827" s="146"/>
      <c r="G827" s="337">
        <f>G828</f>
        <v>90000</v>
      </c>
      <c r="H827" s="337">
        <f>H828</f>
        <v>0</v>
      </c>
      <c r="I827" s="152">
        <f t="shared" si="175"/>
        <v>90000</v>
      </c>
    </row>
    <row r="828" spans="1:9" s="171" customFormat="1" ht="63">
      <c r="A828" s="148" t="str">
        <f>IF(B828&gt;0,VLOOKUP(B828,КВСР!A373:B1538,2),IF(C828&gt;0,VLOOKUP(C828,КФСР!A373:B1885,2),IF(D828&gt;0,VLOOKUP(D828,Программа!A$1:B$5091,2),IF(F828&gt;0,VLOOKUP(F828,КВР!A$1:B$5001,2),IF(E828&gt;0,VLOOKUP(E828,Направление!A$1:B$4750,2))))))</f>
        <v>Предоставление субсидий бюджетным, автономным учреждениям и иным некоммерческим организациям</v>
      </c>
      <c r="B828" s="149"/>
      <c r="C828" s="144"/>
      <c r="D828" s="145"/>
      <c r="E828" s="144"/>
      <c r="F828" s="146">
        <v>600</v>
      </c>
      <c r="G828" s="337">
        <v>90000</v>
      </c>
      <c r="H828" s="153"/>
      <c r="I828" s="152">
        <f t="shared" si="175"/>
        <v>90000</v>
      </c>
    </row>
    <row r="829" spans="1:9" s="171" customFormat="1" ht="47.25" hidden="1">
      <c r="A829" s="148" t="str">
        <f>IF(B829&gt;0,VLOOKUP(B829,КВСР!A374:B1539,2),IF(C829&gt;0,VLOOKUP(C829,КФСР!A374:B1886,2),IF(D829&gt;0,VLOOKUP(D829,Программа!A$1:B$5091,2),IF(F829&gt;0,VLOOKUP(F829,КВР!A$1:B$5001,2),IF(E829&gt;0,VLOOKUP(E829,Направление!A$1:B$4750,2))))))</f>
        <v xml:space="preserve">Обеспечение деятельности учреждений в сфере молодежной политики </v>
      </c>
      <c r="B829" s="149"/>
      <c r="C829" s="144"/>
      <c r="D829" s="145"/>
      <c r="E829" s="144">
        <v>14510</v>
      </c>
      <c r="F829" s="146"/>
      <c r="G829" s="337">
        <f>G830</f>
        <v>0</v>
      </c>
      <c r="H829" s="337">
        <f>H830</f>
        <v>0</v>
      </c>
      <c r="I829" s="152">
        <f t="shared" ref="I829:I910" si="191">SUM(G829:H829)</f>
        <v>0</v>
      </c>
    </row>
    <row r="830" spans="1:9" s="171" customFormat="1" ht="63" hidden="1">
      <c r="A830" s="148" t="str">
        <f>IF(B830&gt;0,VLOOKUP(B830,КВСР!A374:B1539,2),IF(C830&gt;0,VLOOKUP(C830,КФСР!A374:B1886,2),IF(D830&gt;0,VLOOKUP(D830,Программа!A$1:B$5091,2),IF(F830&gt;0,VLOOKUP(F830,КВР!A$1:B$5001,2),IF(E830&gt;0,VLOOKUP(E830,Направление!A$1:B$4750,2))))))</f>
        <v>Предоставление субсидий бюджетным, автономным учреждениям и иным некоммерческим организациям</v>
      </c>
      <c r="B830" s="149"/>
      <c r="C830" s="144"/>
      <c r="D830" s="145"/>
      <c r="E830" s="144"/>
      <c r="F830" s="146">
        <v>600</v>
      </c>
      <c r="G830" s="337"/>
      <c r="H830" s="153"/>
      <c r="I830" s="152">
        <f t="shared" si="191"/>
        <v>0</v>
      </c>
    </row>
    <row r="831" spans="1:9" s="171" customFormat="1" ht="94.5">
      <c r="A831" s="148" t="str">
        <f>IF(B831&gt;0,VLOOKUP(B831,КВСР!A371:B1536,2),IF(C831&gt;0,VLOOKUP(C831,КФСР!A371:B1883,2),IF(D831&gt;0,VLOOKUP(D831,Программа!A$1:B$5091,2),IF(F831&gt;0,VLOOKUP(F831,КВР!A$1:B$5001,2),IF(E831&gt;0,VLOOKUP(E831,Направление!A$1:B$4750,2))))))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31" s="149"/>
      <c r="C831" s="144"/>
      <c r="D831" s="145" t="s">
        <v>571</v>
      </c>
      <c r="E831" s="144"/>
      <c r="F831" s="146"/>
      <c r="G831" s="337">
        <f t="shared" ref="G831:H833" si="192">G832</f>
        <v>200000</v>
      </c>
      <c r="H831" s="152">
        <f t="shared" si="192"/>
        <v>0</v>
      </c>
      <c r="I831" s="152">
        <f t="shared" si="191"/>
        <v>200000</v>
      </c>
    </row>
    <row r="832" spans="1:9" s="171" customFormat="1" ht="94.5">
      <c r="A832" s="148" t="str">
        <f>IF(B832&gt;0,VLOOKUP(B832,КВСР!A372:B1537,2),IF(C832&gt;0,VLOOKUP(C832,КФСР!A372:B1884,2),IF(D832&gt;0,VLOOKUP(D832,Программа!A$1:B$5091,2),IF(F832&gt;0,VLOOKUP(F832,КВР!A$1:B$5001,2),IF(E832&gt;0,VLOOKUP(E832,Направление!A$1:B$4750,2))))))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32" s="149"/>
      <c r="C832" s="144"/>
      <c r="D832" s="145" t="s">
        <v>573</v>
      </c>
      <c r="E832" s="144"/>
      <c r="F832" s="146"/>
      <c r="G832" s="337">
        <f t="shared" si="192"/>
        <v>200000</v>
      </c>
      <c r="H832" s="152">
        <f t="shared" si="192"/>
        <v>0</v>
      </c>
      <c r="I832" s="152">
        <f t="shared" si="191"/>
        <v>200000</v>
      </c>
    </row>
    <row r="833" spans="1:9" s="171" customFormat="1" ht="31.5">
      <c r="A833" s="148" t="str">
        <f>IF(B833&gt;0,VLOOKUP(B833,КВСР!A374:B1539,2),IF(C833&gt;0,VLOOKUP(C833,КФСР!A374:B1886,2),IF(D833&gt;0,VLOOKUP(D833,Программа!A$1:B$5091,2),IF(F833&gt;0,VLOOKUP(F833,КВР!A$1:B$5001,2),IF(E833&gt;0,VLOOKUP(E833,Направление!A$1:B$4750,2))))))</f>
        <v>Мероприятия по патриотическому воспитанию граждан</v>
      </c>
      <c r="B833" s="149"/>
      <c r="C833" s="144"/>
      <c r="D833" s="145"/>
      <c r="E833" s="144">
        <v>14880</v>
      </c>
      <c r="F833" s="146"/>
      <c r="G833" s="337">
        <f t="shared" si="192"/>
        <v>200000</v>
      </c>
      <c r="H833" s="152">
        <f t="shared" si="192"/>
        <v>0</v>
      </c>
      <c r="I833" s="152">
        <f t="shared" si="191"/>
        <v>200000</v>
      </c>
    </row>
    <row r="834" spans="1:9" s="171" customFormat="1" ht="63">
      <c r="A834" s="148" t="str">
        <f>IF(B834&gt;0,VLOOKUP(B834,КВСР!A375:B1540,2),IF(C834&gt;0,VLOOKUP(C834,КФСР!A375:B1887,2),IF(D834&gt;0,VLOOKUP(D834,Программа!A$1:B$5091,2),IF(F834&gt;0,VLOOKUP(F834,КВР!A$1:B$5001,2),IF(E834&gt;0,VLOOKUP(E834,Направление!A$1:B$4750,2))))))</f>
        <v>Предоставление субсидий бюджетным, автономным учреждениям и иным некоммерческим организациям</v>
      </c>
      <c r="B834" s="149"/>
      <c r="C834" s="144"/>
      <c r="D834" s="145"/>
      <c r="E834" s="144"/>
      <c r="F834" s="146">
        <v>600</v>
      </c>
      <c r="G834" s="337">
        <v>200000</v>
      </c>
      <c r="H834" s="153"/>
      <c r="I834" s="152">
        <f t="shared" si="191"/>
        <v>200000</v>
      </c>
    </row>
    <row r="835" spans="1:9" s="171" customFormat="1" ht="78.75">
      <c r="A835" s="148" t="str">
        <f>IF(B835&gt;0,VLOOKUP(B835,КВСР!A376:B1541,2),IF(C835&gt;0,VLOOKUP(C835,КФСР!A376:B1888,2),IF(D835&gt;0,VLOOKUP(D835,Программа!A$1:B$5091,2),IF(F835&gt;0,VLOOKUP(F835,КВР!A$1:B$5001,2),IF(E835&gt;0,VLOOKUP(E835,Направление!A$1:B$4750,2))))))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835" s="149"/>
      <c r="C835" s="144"/>
      <c r="D835" s="145" t="s">
        <v>576</v>
      </c>
      <c r="E835" s="144"/>
      <c r="F835" s="146"/>
      <c r="G835" s="337">
        <f t="shared" ref="G835:H837" si="193">G836</f>
        <v>80000</v>
      </c>
      <c r="H835" s="152">
        <f t="shared" si="193"/>
        <v>0</v>
      </c>
      <c r="I835" s="152">
        <f t="shared" si="191"/>
        <v>80000</v>
      </c>
    </row>
    <row r="836" spans="1:9" s="171" customFormat="1" ht="47.25">
      <c r="A836" s="148" t="str">
        <f>IF(B836&gt;0,VLOOKUP(B836,КВСР!A377:B1542,2),IF(C836&gt;0,VLOOKUP(C836,КФСР!A377:B1889,2),IF(D836&gt;0,VLOOKUP(D836,Программа!A$1:B$5091,2),IF(F836&gt;0,VLOOKUP(F836,КВР!A$1:B$5001,2),IF(E836&gt;0,VLOOKUP(E836,Направление!A$1:B$4750,2))))))</f>
        <v>Развитие системы профилактики немедицинского потребления наркотиков</v>
      </c>
      <c r="B836" s="149"/>
      <c r="C836" s="144"/>
      <c r="D836" s="145" t="s">
        <v>578</v>
      </c>
      <c r="E836" s="144"/>
      <c r="F836" s="146"/>
      <c r="G836" s="337">
        <f t="shared" si="193"/>
        <v>80000</v>
      </c>
      <c r="H836" s="152">
        <f t="shared" si="193"/>
        <v>0</v>
      </c>
      <c r="I836" s="152">
        <f t="shared" si="191"/>
        <v>80000</v>
      </c>
    </row>
    <row r="837" spans="1:9" s="171" customFormat="1" ht="78.75">
      <c r="A837" s="148" t="str">
        <f>IF(B837&gt;0,VLOOKUP(B837,КВСР!A378:B1543,2),IF(C837&gt;0,VLOOKUP(C837,КФСР!A378:B1890,2),IF(D837&gt;0,VLOOKUP(D837,Программа!A$1:B$5091,2),IF(F837&gt;0,VLOOKUP(F837,КВР!A$1:B$5001,2),IF(E837&gt;0,VLOOKUP(E837,Направление!A$1:B$4750,2))))))</f>
        <v>Расходы на реализацию  МЦП "Комплексные меры противодействия злоупотреблению наркотиками и их незаконному обороту"</v>
      </c>
      <c r="B837" s="173"/>
      <c r="C837" s="168"/>
      <c r="D837" s="167"/>
      <c r="E837" s="168">
        <v>13820</v>
      </c>
      <c r="F837" s="170"/>
      <c r="G837" s="379">
        <f t="shared" si="193"/>
        <v>80000</v>
      </c>
      <c r="H837" s="150">
        <f t="shared" si="193"/>
        <v>0</v>
      </c>
      <c r="I837" s="152">
        <f t="shared" si="191"/>
        <v>80000</v>
      </c>
    </row>
    <row r="838" spans="1:9" s="171" customFormat="1" ht="63">
      <c r="A838" s="148" t="str">
        <f>IF(B838&gt;0,VLOOKUP(B838,КВСР!A379:B1544,2),IF(C838&gt;0,VLOOKUP(C838,КФСР!A379:B1891,2),IF(D838&gt;0,VLOOKUP(D838,Программа!A$1:B$5091,2),IF(F838&gt;0,VLOOKUP(F838,КВР!A$1:B$5001,2),IF(E838&gt;0,VLOOKUP(E838,Направление!A$1:B$4750,2))))))</f>
        <v>Предоставление субсидий бюджетным, автономным учреждениям и иным некоммерческим организациям</v>
      </c>
      <c r="B838" s="149"/>
      <c r="C838" s="144"/>
      <c r="D838" s="145"/>
      <c r="E838" s="144"/>
      <c r="F838" s="146">
        <v>600</v>
      </c>
      <c r="G838" s="337">
        <v>80000</v>
      </c>
      <c r="H838" s="153"/>
      <c r="I838" s="152">
        <f t="shared" si="191"/>
        <v>80000</v>
      </c>
    </row>
    <row r="839" spans="1:9" s="171" customFormat="1" ht="47.25">
      <c r="A839" s="148" t="str">
        <f>IF(B839&gt;0,VLOOKUP(B839,КВСР!A376:B1541,2),IF(C839&gt;0,VLOOKUP(C839,КФСР!A376:B1888,2),IF(D839&gt;0,VLOOKUP(D839,Программа!A$1:B$5091,2),IF(F839&gt;0,VLOOKUP(F839,КВР!A$1:B$5001,2),IF(E839&gt;0,VLOOKUP(E839,Направление!A$1:B$4750,2))))))</f>
        <v>Муниципальная программа "Социальная поддержка населения Тутаевского муниципального района"</v>
      </c>
      <c r="B839" s="149"/>
      <c r="C839" s="144"/>
      <c r="D839" s="145" t="s">
        <v>548</v>
      </c>
      <c r="E839" s="144"/>
      <c r="F839" s="146"/>
      <c r="G839" s="337">
        <f t="shared" ref="G839:H842" si="194">G840</f>
        <v>5000</v>
      </c>
      <c r="H839" s="152">
        <f t="shared" si="194"/>
        <v>0</v>
      </c>
      <c r="I839" s="152">
        <f t="shared" si="191"/>
        <v>5000</v>
      </c>
    </row>
    <row r="840" spans="1:9" s="171" customFormat="1" ht="63">
      <c r="A840" s="148" t="str">
        <f>IF(B840&gt;0,VLOOKUP(B840,КВСР!A377:B1542,2),IF(C840&gt;0,VLOOKUP(C840,КФСР!A377:B1889,2),IF(D840&gt;0,VLOOKUP(D840,Программа!A$1:B$5091,2),IF(F840&gt;0,VLOOKUP(F840,КВР!A$1:B$5001,2),IF(E840&gt;0,VLOOKUP(E840,Направление!A$1:B$4750,2))))))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840" s="149"/>
      <c r="C840" s="144"/>
      <c r="D840" s="145" t="s">
        <v>550</v>
      </c>
      <c r="E840" s="144"/>
      <c r="F840" s="146"/>
      <c r="G840" s="337">
        <f>G842</f>
        <v>5000</v>
      </c>
      <c r="H840" s="152">
        <f>H842</f>
        <v>0</v>
      </c>
      <c r="I840" s="152">
        <f t="shared" si="191"/>
        <v>5000</v>
      </c>
    </row>
    <row r="841" spans="1:9" s="171" customFormat="1" ht="63">
      <c r="A841" s="148" t="str">
        <f>IF(B841&gt;0,VLOOKUP(B841,КВСР!A378:B1543,2),IF(C841&gt;0,VLOOKUP(C841,КФСР!A378:B1890,2),IF(D841&gt;0,VLOOKUP(D841,Программа!A$1:B$5091,2),IF(F841&gt;0,VLOOKUP(F841,КВР!A$1:B$5001,2),IF(E841&gt;0,VLOOKUP(E841,Направление!A$1:B$4750,2))))))</f>
        <v>Превентивные меры, направленные на снижение производственного травматизма и профессиональной заболеваемости</v>
      </c>
      <c r="B841" s="149"/>
      <c r="C841" s="144"/>
      <c r="D841" s="145" t="s">
        <v>1846</v>
      </c>
      <c r="E841" s="144"/>
      <c r="F841" s="146"/>
      <c r="G841" s="337">
        <f>G842</f>
        <v>5000</v>
      </c>
      <c r="H841" s="337">
        <f t="shared" ref="H841:I841" si="195">H842</f>
        <v>0</v>
      </c>
      <c r="I841" s="337">
        <f t="shared" si="195"/>
        <v>5000</v>
      </c>
    </row>
    <row r="842" spans="1:9" s="171" customFormat="1" ht="31.5">
      <c r="A842" s="148" t="str">
        <f>IF(B842&gt;0,VLOOKUP(B842,КВСР!A378:B1543,2),IF(C842&gt;0,VLOOKUP(C842,КФСР!A378:B1890,2),IF(D842&gt;0,VLOOKUP(D842,Программа!A$1:B$5091,2),IF(F842&gt;0,VLOOKUP(F842,КВР!A$1:B$5001,2),IF(E842&gt;0,VLOOKUP(E842,Направление!A$1:B$4750,2))))))</f>
        <v>Расходы на реализацию МЦП "Улучшение условий и охраны труда"</v>
      </c>
      <c r="B842" s="149"/>
      <c r="C842" s="144"/>
      <c r="D842" s="145"/>
      <c r="E842" s="144">
        <v>16150</v>
      </c>
      <c r="F842" s="146"/>
      <c r="G842" s="337">
        <f t="shared" si="194"/>
        <v>5000</v>
      </c>
      <c r="H842" s="152">
        <f t="shared" si="194"/>
        <v>0</v>
      </c>
      <c r="I842" s="152">
        <f t="shared" si="191"/>
        <v>5000</v>
      </c>
    </row>
    <row r="843" spans="1:9" s="171" customFormat="1" ht="63">
      <c r="A843" s="148" t="str">
        <f>IF(B843&gt;0,VLOOKUP(B843,КВСР!A379:B1544,2),IF(C843&gt;0,VLOOKUP(C843,КФСР!A379:B1891,2),IF(D843&gt;0,VLOOKUP(D843,Программа!A$1:B$5091,2),IF(F843&gt;0,VLOOKUP(F843,КВР!A$1:B$5001,2),IF(E843&gt;0,VLOOKUP(E843,Направление!A$1:B$4750,2))))))</f>
        <v>Предоставление субсидий бюджетным, автономным учреждениям и иным некоммерческим организациям</v>
      </c>
      <c r="B843" s="149"/>
      <c r="C843" s="144"/>
      <c r="D843" s="146"/>
      <c r="E843" s="144"/>
      <c r="F843" s="146">
        <v>600</v>
      </c>
      <c r="G843" s="337">
        <v>5000</v>
      </c>
      <c r="H843" s="153"/>
      <c r="I843" s="152">
        <f t="shared" si="191"/>
        <v>5000</v>
      </c>
    </row>
    <row r="844" spans="1:9" s="171" customFormat="1">
      <c r="A844" s="148" t="str">
        <f>IF(B844&gt;0,VLOOKUP(B844,КВСР!A386:B1551,2),IF(C844&gt;0,VLOOKUP(C844,КФСР!A386:B1898,2),IF(D844&gt;0,VLOOKUP(D844,Программа!A$1:B$5091,2),IF(F844&gt;0,VLOOKUP(F844,КВР!A$1:B$5001,2),IF(E844&gt;0,VLOOKUP(E844,Направление!A$1:B$4750,2))))))</f>
        <v>Культура</v>
      </c>
      <c r="B844" s="149"/>
      <c r="C844" s="144">
        <v>801</v>
      </c>
      <c r="D844" s="163"/>
      <c r="E844" s="161"/>
      <c r="F844" s="162"/>
      <c r="G844" s="337">
        <f>G845+G888+G877</f>
        <v>104082317</v>
      </c>
      <c r="H844" s="152">
        <f>H845+H888+H877</f>
        <v>2535482</v>
      </c>
      <c r="I844" s="152">
        <f t="shared" si="191"/>
        <v>106617799</v>
      </c>
    </row>
    <row r="845" spans="1:9" s="171" customFormat="1" ht="63">
      <c r="A845" s="148" t="str">
        <f>IF(B845&gt;0,VLOOKUP(B845,КВСР!A387:B1552,2),IF(C845&gt;0,VLOOKUP(C845,КФСР!A387:B1899,2),IF(D845&gt;0,VLOOKUP(D845,Программа!A$1:B$5091,2),IF(F845&gt;0,VLOOKUP(F845,КВР!A$1:B$5001,2),IF(E845&gt;0,VLOOKUP(E845,Направление!A$1:B$4750,2))))))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845" s="149"/>
      <c r="C845" s="144"/>
      <c r="D845" s="163" t="s">
        <v>569</v>
      </c>
      <c r="E845" s="161"/>
      <c r="F845" s="162"/>
      <c r="G845" s="337">
        <f>G850+G846</f>
        <v>103828817</v>
      </c>
      <c r="H845" s="337">
        <f t="shared" ref="H845:I845" si="196">H850+H846</f>
        <v>2540482</v>
      </c>
      <c r="I845" s="337">
        <f t="shared" si="196"/>
        <v>106369299</v>
      </c>
    </row>
    <row r="846" spans="1:9" s="171" customFormat="1" ht="94.5">
      <c r="A846" s="148" t="str">
        <f>IF(B846&gt;0,VLOOKUP(B846,КВСР!A388:B1553,2),IF(C846&gt;0,VLOOKUP(C846,КФСР!A388:B1900,2),IF(D846&gt;0,VLOOKUP(D846,Программа!A$1:B$5091,2),IF(F846&gt;0,VLOOKUP(F846,КВР!A$1:B$5001,2),IF(E846&gt;0,VLOOKUP(E846,Направление!A$1:B$4750,2))))))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46" s="149"/>
      <c r="C846" s="144"/>
      <c r="D846" s="163" t="s">
        <v>571</v>
      </c>
      <c r="E846" s="161"/>
      <c r="F846" s="162"/>
      <c r="G846" s="337">
        <f>G847</f>
        <v>300000</v>
      </c>
      <c r="H846" s="337">
        <f t="shared" ref="H846:I848" si="197">H847</f>
        <v>0</v>
      </c>
      <c r="I846" s="337">
        <f t="shared" si="197"/>
        <v>300000</v>
      </c>
    </row>
    <row r="847" spans="1:9" s="171" customFormat="1" ht="94.5">
      <c r="A847" s="148" t="str">
        <f>IF(B847&gt;0,VLOOKUP(B847,КВСР!A389:B1554,2),IF(C847&gt;0,VLOOKUP(C847,КФСР!A389:B1901,2),IF(D847&gt;0,VLOOKUP(D847,Программа!A$1:B$5091,2),IF(F847&gt;0,VLOOKUP(F847,КВР!A$1:B$5001,2),IF(E847&gt;0,VLOOKUP(E847,Направление!A$1:B$4750,2))))))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47" s="149"/>
      <c r="C847" s="144"/>
      <c r="D847" s="163" t="s">
        <v>573</v>
      </c>
      <c r="E847" s="161"/>
      <c r="F847" s="162"/>
      <c r="G847" s="337">
        <f>G848</f>
        <v>300000</v>
      </c>
      <c r="H847" s="337">
        <f t="shared" si="197"/>
        <v>0</v>
      </c>
      <c r="I847" s="337">
        <f t="shared" si="197"/>
        <v>300000</v>
      </c>
    </row>
    <row r="848" spans="1:9" s="171" customFormat="1" ht="47.25">
      <c r="A848" s="148" t="str">
        <f>IF(B848&gt;0,VLOOKUP(B848,КВСР!A390:B1555,2),IF(C848&gt;0,VLOOKUP(C848,КФСР!A390:B1902,2),IF(D848&gt;0,VLOOKUP(D848,Программа!A$1:B$5091,2),IF(F848&gt;0,VLOOKUP(F848,КВР!A$1:B$5001,2),IF(E848&gt;0,VLOOKUP(E848,Направление!A$1:B$4750,2))))))</f>
        <v>Обеспечение мероприятий по содержанию  военно-мемориального комплекса пл.Юности</v>
      </c>
      <c r="B848" s="149"/>
      <c r="C848" s="144"/>
      <c r="D848" s="163"/>
      <c r="E848" s="161">
        <v>29686</v>
      </c>
      <c r="F848" s="162"/>
      <c r="G848" s="337">
        <f>G849</f>
        <v>300000</v>
      </c>
      <c r="H848" s="337">
        <f t="shared" si="197"/>
        <v>0</v>
      </c>
      <c r="I848" s="337">
        <f t="shared" si="197"/>
        <v>300000</v>
      </c>
    </row>
    <row r="849" spans="1:9" s="171" customFormat="1" ht="63">
      <c r="A849" s="148" t="str">
        <f>IF(B849&gt;0,VLOOKUP(B849,КВСР!A391:B1556,2),IF(C849&gt;0,VLOOKUP(C849,КФСР!A391:B1903,2),IF(D849&gt;0,VLOOKUP(D849,Программа!A$1:B$5091,2),IF(F849&gt;0,VLOOKUP(F849,КВР!A$1:B$5001,2),IF(E849&gt;0,VLOOKUP(E849,Направление!A$1:B$4750,2))))))</f>
        <v>Предоставление субсидий бюджетным, автономным учреждениям и иным некоммерческим организациям</v>
      </c>
      <c r="B849" s="149"/>
      <c r="C849" s="144"/>
      <c r="D849" s="163"/>
      <c r="E849" s="161"/>
      <c r="F849" s="162">
        <v>600</v>
      </c>
      <c r="G849" s="337">
        <v>300000</v>
      </c>
      <c r="H849" s="152"/>
      <c r="I849" s="152">
        <f>G849+H849</f>
        <v>300000</v>
      </c>
    </row>
    <row r="850" spans="1:9" s="171" customFormat="1" ht="63">
      <c r="A850" s="148" t="str">
        <f>IF(B850&gt;0,VLOOKUP(B850,КВСР!A388:B1553,2),IF(C850&gt;0,VLOOKUP(C850,КФСР!A388:B1900,2),IF(D850&gt;0,VLOOKUP(D850,Программа!A$1:B$5091,2),IF(F850&gt;0,VLOOKUP(F850,КВР!A$1:B$5001,2),IF(E850&gt;0,VLOOKUP(E850,Направление!A$1:B$4750,2))))))</f>
        <v>Ведомственная целевая программа «Сохранение и развитие культуры Тутаевского муниципального района»</v>
      </c>
      <c r="B850" s="149"/>
      <c r="C850" s="144"/>
      <c r="D850" s="163" t="s">
        <v>671</v>
      </c>
      <c r="E850" s="161"/>
      <c r="F850" s="162"/>
      <c r="G850" s="337">
        <f>G851+G866</f>
        <v>103528817</v>
      </c>
      <c r="H850" s="152">
        <f>H851+H866</f>
        <v>2540482</v>
      </c>
      <c r="I850" s="152">
        <f t="shared" si="191"/>
        <v>106069299</v>
      </c>
    </row>
    <row r="851" spans="1:9" s="171" customFormat="1" ht="31.5">
      <c r="A851" s="148" t="str">
        <f>IF(B851&gt;0,VLOOKUP(B851,КВСР!A389:B1554,2),IF(C851&gt;0,VLOOKUP(C851,КФСР!A389:B1901,2),IF(D851&gt;0,VLOOKUP(D851,Программа!A$1:B$5091,2),IF(F851&gt;0,VLOOKUP(F851,КВР!A$1:B$5001,2),IF(E851&gt;0,VLOOKUP(E851,Направление!A$1:B$4750,2))))))</f>
        <v>Содействие доступу граждан к культурным ценностям</v>
      </c>
      <c r="B851" s="149"/>
      <c r="C851" s="144"/>
      <c r="D851" s="163" t="s">
        <v>690</v>
      </c>
      <c r="E851" s="161"/>
      <c r="F851" s="162"/>
      <c r="G851" s="337">
        <f>G854+G860+G852+G856+G864+G858+G862</f>
        <v>81414942</v>
      </c>
      <c r="H851" s="337">
        <f t="shared" ref="H851:I851" si="198">H854+H860+H852+H856+H864+H858+H862</f>
        <v>2399982</v>
      </c>
      <c r="I851" s="337">
        <f t="shared" si="198"/>
        <v>83814924</v>
      </c>
    </row>
    <row r="852" spans="1:9" s="171" customFormat="1" ht="31.5">
      <c r="A852" s="148" t="str">
        <f>IF(B852&gt;0,VLOOKUP(B852,КВСР!A389:B1554,2),IF(C852&gt;0,VLOOKUP(C852,КФСР!A389:B1901,2),IF(D852&gt;0,VLOOKUP(D852,Программа!A$1:B$5091,2),IF(F852&gt;0,VLOOKUP(F852,КВР!A$1:B$5001,2),IF(E852&gt;0,VLOOKUP(E852,Направление!A$1:B$4750,2))))))</f>
        <v xml:space="preserve">Выплата ежемесячных и разовых стипендий главы </v>
      </c>
      <c r="B852" s="149"/>
      <c r="C852" s="144"/>
      <c r="D852" s="163"/>
      <c r="E852" s="161">
        <v>12700</v>
      </c>
      <c r="F852" s="162"/>
      <c r="G852" s="337">
        <f>G853</f>
        <v>40000</v>
      </c>
      <c r="H852" s="152">
        <f>H853</f>
        <v>0</v>
      </c>
      <c r="I852" s="152">
        <f t="shared" si="191"/>
        <v>40000</v>
      </c>
    </row>
    <row r="853" spans="1:9" s="171" customFormat="1" ht="63">
      <c r="A853" s="148" t="str">
        <f>IF(B853&gt;0,VLOOKUP(B853,КВСР!A390:B1555,2),IF(C853&gt;0,VLOOKUP(C853,КФСР!A390:B1902,2),IF(D853&gt;0,VLOOKUP(D853,Программа!A$1:B$5091,2),IF(F853&gt;0,VLOOKUP(F853,КВР!A$1:B$5001,2),IF(E853&gt;0,VLOOKUP(E853,Направление!A$1:B$4750,2))))))</f>
        <v>Предоставление субсидий бюджетным, автономным учреждениям и иным некоммерческим организациям</v>
      </c>
      <c r="B853" s="149"/>
      <c r="C853" s="144"/>
      <c r="D853" s="162"/>
      <c r="E853" s="161"/>
      <c r="F853" s="162">
        <v>600</v>
      </c>
      <c r="G853" s="337">
        <v>40000</v>
      </c>
      <c r="H853" s="154"/>
      <c r="I853" s="152">
        <f t="shared" si="191"/>
        <v>40000</v>
      </c>
    </row>
    <row r="854" spans="1:9" s="171" customFormat="1" ht="47.25">
      <c r="A854" s="148" t="str">
        <f>IF(B854&gt;0,VLOOKUP(B854,КВСР!A389:B1554,2),IF(C854&gt;0,VLOOKUP(C854,КФСР!A389:B1901,2),IF(D854&gt;0,VLOOKUP(D854,Программа!A$1:B$5091,2),IF(F854&gt;0,VLOOKUP(F854,КВР!A$1:B$5001,2),IF(E854&gt;0,VLOOKUP(E854,Направление!A$1:B$4750,2))))))</f>
        <v>Обеспечение деятельности учреждений по организации досуга в сфере культуры</v>
      </c>
      <c r="B854" s="149"/>
      <c r="C854" s="144"/>
      <c r="D854" s="163"/>
      <c r="E854" s="161">
        <v>15010</v>
      </c>
      <c r="F854" s="162"/>
      <c r="G854" s="337">
        <f>G855</f>
        <v>77916500</v>
      </c>
      <c r="H854" s="152">
        <f>H855</f>
        <v>188486</v>
      </c>
      <c r="I854" s="152">
        <f t="shared" si="191"/>
        <v>78104986</v>
      </c>
    </row>
    <row r="855" spans="1:9" s="171" customFormat="1" ht="63">
      <c r="A855" s="148" t="str">
        <f>IF(B855&gt;0,VLOOKUP(B855,КВСР!A390:B1555,2),IF(C855&gt;0,VLOOKUP(C855,КФСР!A390:B1902,2),IF(D855&gt;0,VLOOKUP(D855,Программа!A$1:B$5091,2),IF(F855&gt;0,VLOOKUP(F855,КВР!A$1:B$5001,2),IF(E855&gt;0,VLOOKUP(E855,Направление!A$1:B$4750,2))))))</f>
        <v>Предоставление субсидий бюджетным, автономным учреждениям и иным некоммерческим организациям</v>
      </c>
      <c r="B855" s="149"/>
      <c r="C855" s="144"/>
      <c r="D855" s="162"/>
      <c r="E855" s="161"/>
      <c r="F855" s="162">
        <v>600</v>
      </c>
      <c r="G855" s="337">
        <v>77916500</v>
      </c>
      <c r="H855" s="153">
        <f>440000-251514</f>
        <v>188486</v>
      </c>
      <c r="I855" s="152">
        <f t="shared" si="191"/>
        <v>78104986</v>
      </c>
    </row>
    <row r="856" spans="1:9" s="171" customFormat="1">
      <c r="A856" s="148" t="str">
        <f>IF(B856&gt;0,VLOOKUP(B856,КВСР!A393:B1558,2),IF(C856&gt;0,VLOOKUP(C856,КФСР!A393:B1905,2),IF(D856&gt;0,VLOOKUP(D856,Программа!A$1:B$5091,2),IF(F856&gt;0,VLOOKUP(F856,КВР!A$1:B$5001,2),IF(E856&gt;0,VLOOKUP(E856,Направление!A$1:B$4750,2))))))</f>
        <v>Мероприятия в сфере культуры</v>
      </c>
      <c r="B856" s="149"/>
      <c r="C856" s="144"/>
      <c r="D856" s="163"/>
      <c r="E856" s="161">
        <v>15220</v>
      </c>
      <c r="F856" s="162"/>
      <c r="G856" s="337">
        <f>G857</f>
        <v>2528442</v>
      </c>
      <c r="H856" s="152">
        <f>H857</f>
        <v>330000</v>
      </c>
      <c r="I856" s="152">
        <f t="shared" si="191"/>
        <v>2858442</v>
      </c>
    </row>
    <row r="857" spans="1:9" s="171" customFormat="1" ht="63">
      <c r="A857" s="148" t="str">
        <f>IF(B857&gt;0,VLOOKUP(B857,КВСР!A394:B1559,2),IF(C857&gt;0,VLOOKUP(C857,КФСР!A394:B1906,2),IF(D857&gt;0,VLOOKUP(D857,Программа!A$1:B$5091,2),IF(F857&gt;0,VLOOKUP(F857,КВР!A$1:B$5001,2),IF(E857&gt;0,VLOOKUP(E857,Направление!A$1:B$4750,2))))))</f>
        <v>Предоставление субсидий бюджетным, автономным учреждениям и иным некоммерческим организациям</v>
      </c>
      <c r="B857" s="149"/>
      <c r="C857" s="144"/>
      <c r="D857" s="163"/>
      <c r="E857" s="161"/>
      <c r="F857" s="162">
        <v>600</v>
      </c>
      <c r="G857" s="337">
        <v>2528442</v>
      </c>
      <c r="H857" s="153">
        <f>230000+100000</f>
        <v>330000</v>
      </c>
      <c r="I857" s="152">
        <f t="shared" si="191"/>
        <v>2858442</v>
      </c>
    </row>
    <row r="858" spans="1:9" s="171" customFormat="1" ht="63">
      <c r="A858" s="148" t="str">
        <f>IF(B858&gt;0,VLOOKUP(B858,КВСР!A395:B1560,2),IF(C858&gt;0,VLOOKUP(C858,КФСР!A395:B1907,2),IF(D858&gt;0,VLOOKUP(D858,Программа!A$1:B$5091,2),IF(F858&gt;0,VLOOKUP(F858,КВР!A$1:B$5001,2),IF(E858&gt;0,VLOOKUP(E858,Направление!A$1:B$4750,2))))))</f>
        <v>Расходы на реализацию мероприятий инициативного бюджетирования на территории Ярославской области</v>
      </c>
      <c r="B858" s="149"/>
      <c r="C858" s="144"/>
      <c r="D858" s="163"/>
      <c r="E858" s="161">
        <v>15350</v>
      </c>
      <c r="F858" s="162"/>
      <c r="G858" s="337">
        <f>G859</f>
        <v>0</v>
      </c>
      <c r="H858" s="337">
        <f t="shared" ref="H858:I858" si="199">H859</f>
        <v>149514</v>
      </c>
      <c r="I858" s="337">
        <f t="shared" si="199"/>
        <v>149514</v>
      </c>
    </row>
    <row r="859" spans="1:9" s="171" customFormat="1" ht="63">
      <c r="A859" s="148" t="str">
        <f>IF(B859&gt;0,VLOOKUP(B859,КВСР!A396:B1561,2),IF(C859&gt;0,VLOOKUP(C859,КФСР!A396:B1908,2),IF(D859&gt;0,VLOOKUP(D859,Программа!A$1:B$5091,2),IF(F859&gt;0,VLOOKUP(F859,КВР!A$1:B$5001,2),IF(E859&gt;0,VLOOKUP(E859,Направление!A$1:B$4750,2))))))</f>
        <v>Предоставление субсидий бюджетным, автономным учреждениям и иным некоммерческим организациям</v>
      </c>
      <c r="B859" s="149"/>
      <c r="C859" s="144"/>
      <c r="D859" s="163"/>
      <c r="E859" s="161"/>
      <c r="F859" s="162">
        <v>600</v>
      </c>
      <c r="G859" s="337"/>
      <c r="H859" s="153">
        <v>149514</v>
      </c>
      <c r="I859" s="152">
        <f t="shared" si="191"/>
        <v>149514</v>
      </c>
    </row>
    <row r="860" spans="1:9" s="171" customFormat="1" ht="37.5" customHeight="1">
      <c r="A860" s="148" t="str">
        <f>IF(B860&gt;0,VLOOKUP(B860,КВСР!A391:B1556,2),IF(C860&gt;0,VLOOKUP(C860,КФСР!A391:B1903,2),IF(D860&gt;0,VLOOKUP(D860,Программа!A$1:B$5091,2),IF(F860&gt;0,VLOOKUP(F860,КВР!A$1:B$5001,2),IF(E860&gt;0,VLOOKUP(E860,Направление!A$1:B$4750,2))))))</f>
        <v xml:space="preserve">Обеспечение культурно-досуговых мероприятий </v>
      </c>
      <c r="B860" s="149"/>
      <c r="C860" s="144"/>
      <c r="D860" s="163"/>
      <c r="E860" s="161">
        <v>29216</v>
      </c>
      <c r="F860" s="162"/>
      <c r="G860" s="337">
        <f>G861</f>
        <v>930000</v>
      </c>
      <c r="H860" s="152">
        <f>H861</f>
        <v>400000</v>
      </c>
      <c r="I860" s="152">
        <f t="shared" si="191"/>
        <v>1330000</v>
      </c>
    </row>
    <row r="861" spans="1:9" s="171" customFormat="1" ht="63">
      <c r="A861" s="148" t="str">
        <f>IF(B861&gt;0,VLOOKUP(B861,КВСР!A392:B1557,2),IF(C861&gt;0,VLOOKUP(C861,КФСР!A392:B1904,2),IF(D861&gt;0,VLOOKUP(D861,Программа!A$1:B$5091,2),IF(F861&gt;0,VLOOKUP(F861,КВР!A$1:B$5001,2),IF(E861&gt;0,VLOOKUP(E861,Направление!A$1:B$4750,2))))))</f>
        <v>Предоставление субсидий бюджетным, автономным учреждениям и иным некоммерческим организациям</v>
      </c>
      <c r="B861" s="149"/>
      <c r="C861" s="144"/>
      <c r="D861" s="145"/>
      <c r="E861" s="144"/>
      <c r="F861" s="146">
        <v>600</v>
      </c>
      <c r="G861" s="337">
        <v>930000</v>
      </c>
      <c r="H861" s="153">
        <v>400000</v>
      </c>
      <c r="I861" s="152">
        <f t="shared" si="191"/>
        <v>1330000</v>
      </c>
    </row>
    <row r="862" spans="1:9" s="171" customFormat="1" ht="63">
      <c r="A862" s="148" t="str">
        <f>IF(B862&gt;0,VLOOKUP(B862,КВСР!A393:B1558,2),IF(C862&gt;0,VLOOKUP(C862,КФСР!A393:B1905,2),IF(D862&gt;0,VLOOKUP(D862,Программа!A$1:B$5091,2),IF(F862&gt;0,VLOOKUP(F862,КВР!A$1:B$5001,2),IF(E862&gt;0,VLOOKUP(E862,Направление!A$1:B$4750,2))))))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862" s="149"/>
      <c r="C862" s="144"/>
      <c r="D862" s="145"/>
      <c r="E862" s="144">
        <v>29556</v>
      </c>
      <c r="F862" s="146"/>
      <c r="G862" s="337">
        <f>G863</f>
        <v>0</v>
      </c>
      <c r="H862" s="337">
        <f t="shared" ref="H862:I862" si="200">H863</f>
        <v>200000</v>
      </c>
      <c r="I862" s="337">
        <f t="shared" si="200"/>
        <v>200000</v>
      </c>
    </row>
    <row r="863" spans="1:9" s="171" customFormat="1" ht="63">
      <c r="A863" s="148" t="str">
        <f>IF(B863&gt;0,VLOOKUP(B863,КВСР!A394:B1559,2),IF(C863&gt;0,VLOOKUP(C863,КФСР!A394:B1906,2),IF(D863&gt;0,VLOOKUP(D863,Программа!A$1:B$5091,2),IF(F863&gt;0,VLOOKUP(F863,КВР!A$1:B$5001,2),IF(E863&gt;0,VLOOKUP(E863,Направление!A$1:B$4750,2))))))</f>
        <v>Предоставление субсидий бюджетным, автономным учреждениям и иным некоммерческим организациям</v>
      </c>
      <c r="B863" s="149"/>
      <c r="C863" s="144"/>
      <c r="D863" s="145"/>
      <c r="E863" s="144"/>
      <c r="F863" s="146">
        <v>600</v>
      </c>
      <c r="G863" s="337"/>
      <c r="H863" s="153">
        <v>200000</v>
      </c>
      <c r="I863" s="152">
        <f>G863+H863</f>
        <v>200000</v>
      </c>
    </row>
    <row r="864" spans="1:9" s="171" customFormat="1" ht="63">
      <c r="A864" s="148" t="str">
        <f>IF(B864&gt;0,VLOOKUP(B864,КВСР!A393:B1558,2),IF(C864&gt;0,VLOOKUP(C864,КФСР!A393:B1905,2),IF(D864&gt;0,VLOOKUP(D864,Программа!A$1:B$5091,2),IF(F864&gt;0,VLOOKUP(F864,КВР!A$1:B$5001,2),IF(E864&gt;0,VLOOKUP(E864,Направление!A$1:B$4750,2))))))</f>
        <v>Расходы на реализацию мероприятий инициативного бюджетирования на территории Ярославской области</v>
      </c>
      <c r="B864" s="149"/>
      <c r="C864" s="144"/>
      <c r="D864" s="145"/>
      <c r="E864" s="144">
        <v>75350</v>
      </c>
      <c r="F864" s="146"/>
      <c r="G864" s="337">
        <f>G865</f>
        <v>0</v>
      </c>
      <c r="H864" s="152">
        <f>H865</f>
        <v>1131982</v>
      </c>
      <c r="I864" s="152">
        <f t="shared" si="191"/>
        <v>1131982</v>
      </c>
    </row>
    <row r="865" spans="1:9" s="171" customFormat="1" ht="63">
      <c r="A865" s="148" t="str">
        <f>IF(B865&gt;0,VLOOKUP(B865,КВСР!A394:B1559,2),IF(C865&gt;0,VLOOKUP(C865,КФСР!A394:B1906,2),IF(D865&gt;0,VLOOKUP(D865,Программа!A$1:B$5091,2),IF(F865&gt;0,VLOOKUP(F865,КВР!A$1:B$5001,2),IF(E865&gt;0,VLOOKUP(E865,Направление!A$1:B$4750,2))))))</f>
        <v>Предоставление субсидий бюджетным, автономным учреждениям и иным некоммерческим организациям</v>
      </c>
      <c r="B865" s="149"/>
      <c r="C865" s="144"/>
      <c r="D865" s="145"/>
      <c r="E865" s="144"/>
      <c r="F865" s="146">
        <v>600</v>
      </c>
      <c r="G865" s="337"/>
      <c r="H865" s="153">
        <v>1131982</v>
      </c>
      <c r="I865" s="152">
        <f t="shared" si="191"/>
        <v>1131982</v>
      </c>
    </row>
    <row r="866" spans="1:9" s="171" customFormat="1" ht="47.25">
      <c r="A866" s="148" t="str">
        <f>IF(B866&gt;0,VLOOKUP(B866,КВСР!A395:B1560,2),IF(C866&gt;0,VLOOKUP(C866,КФСР!A395:B1907,2),IF(D866&gt;0,VLOOKUP(D866,Программа!A$1:B$5091,2),IF(F866&gt;0,VLOOKUP(F866,КВР!A$1:B$5001,2),IF(E866&gt;0,VLOOKUP(E866,Направление!A$1:B$4750,2))))))</f>
        <v>Поддержка доступа граждан к информационно-библиотечным ресурсам</v>
      </c>
      <c r="B866" s="149"/>
      <c r="C866" s="144"/>
      <c r="D866" s="145" t="s">
        <v>695</v>
      </c>
      <c r="E866" s="144"/>
      <c r="F866" s="146"/>
      <c r="G866" s="337">
        <f>G867+G869+G873+G871+G875</f>
        <v>22113875</v>
      </c>
      <c r="H866" s="337">
        <f t="shared" ref="H866:I866" si="201">H867+H869+H873+H871+H875</f>
        <v>140500</v>
      </c>
      <c r="I866" s="337">
        <f t="shared" si="201"/>
        <v>22254375</v>
      </c>
    </row>
    <row r="867" spans="1:9" s="171" customFormat="1" ht="31.5">
      <c r="A867" s="148" t="str">
        <f>IF(B867&gt;0,VLOOKUP(B867,КВСР!A396:B1561,2),IF(C867&gt;0,VLOOKUP(C867,КФСР!A396:B1908,2),IF(D867&gt;0,VLOOKUP(D867,Программа!A$1:B$5091,2),IF(F867&gt;0,VLOOKUP(F867,КВР!A$1:B$5001,2),IF(E867&gt;0,VLOOKUP(E867,Направление!A$1:B$4750,2))))))</f>
        <v>Обеспечение деятельности библиотек</v>
      </c>
      <c r="B867" s="149"/>
      <c r="C867" s="144"/>
      <c r="D867" s="145"/>
      <c r="E867" s="144">
        <v>15110</v>
      </c>
      <c r="F867" s="146"/>
      <c r="G867" s="337">
        <f>G868</f>
        <v>21733875</v>
      </c>
      <c r="H867" s="152">
        <f>H868</f>
        <v>108500</v>
      </c>
      <c r="I867" s="152">
        <f t="shared" si="191"/>
        <v>21842375</v>
      </c>
    </row>
    <row r="868" spans="1:9" s="171" customFormat="1" ht="63">
      <c r="A868" s="148" t="str">
        <f>IF(B868&gt;0,VLOOKUP(B868,КВСР!A397:B1562,2),IF(C868&gt;0,VLOOKUP(C868,КФСР!A397:B1909,2),IF(D868&gt;0,VLOOKUP(D868,Программа!A$1:B$5091,2),IF(F868&gt;0,VLOOKUP(F868,КВР!A$1:B$5001,2),IF(E868&gt;0,VLOOKUP(E868,Направление!A$1:B$4750,2))))))</f>
        <v>Предоставление субсидий бюджетным, автономным учреждениям и иным некоммерческим организациям</v>
      </c>
      <c r="B868" s="149"/>
      <c r="C868" s="144"/>
      <c r="D868" s="145"/>
      <c r="E868" s="144"/>
      <c r="F868" s="146">
        <v>600</v>
      </c>
      <c r="G868" s="337">
        <v>21733875</v>
      </c>
      <c r="H868" s="153">
        <v>108500</v>
      </c>
      <c r="I868" s="152">
        <f t="shared" si="191"/>
        <v>21842375</v>
      </c>
    </row>
    <row r="869" spans="1:9" s="171" customFormat="1">
      <c r="A869" s="148" t="str">
        <f>IF(B869&gt;0,VLOOKUP(B869,КВСР!A398:B1563,2),IF(C869&gt;0,VLOOKUP(C869,КФСР!A398:B1910,2),IF(D869&gt;0,VLOOKUP(D869,Программа!A$1:B$5091,2),IF(F869&gt;0,VLOOKUP(F869,КВР!A$1:B$5001,2),IF(E869&gt;0,VLOOKUP(E869,Направление!A$1:B$4750,2))))))</f>
        <v>Мероприятия в сфере культуры</v>
      </c>
      <c r="B869" s="149"/>
      <c r="C869" s="144"/>
      <c r="D869" s="145"/>
      <c r="E869" s="144">
        <v>15220</v>
      </c>
      <c r="F869" s="146"/>
      <c r="G869" s="337">
        <f>G870</f>
        <v>250000</v>
      </c>
      <c r="H869" s="337">
        <f>H870</f>
        <v>0</v>
      </c>
      <c r="I869" s="152">
        <f t="shared" si="191"/>
        <v>250000</v>
      </c>
    </row>
    <row r="870" spans="1:9" s="171" customFormat="1" ht="63">
      <c r="A870" s="148" t="str">
        <f>IF(B870&gt;0,VLOOKUP(B870,КВСР!A399:B1564,2),IF(C870&gt;0,VLOOKUP(C870,КФСР!A399:B1911,2),IF(D870&gt;0,VLOOKUP(D870,Программа!A$1:B$5091,2),IF(F870&gt;0,VLOOKUP(F870,КВР!A$1:B$5001,2),IF(E870&gt;0,VLOOKUP(E870,Направление!A$1:B$4750,2))))))</f>
        <v>Предоставление субсидий бюджетным, автономным учреждениям и иным некоммерческим организациям</v>
      </c>
      <c r="B870" s="149"/>
      <c r="C870" s="144"/>
      <c r="D870" s="145"/>
      <c r="E870" s="144"/>
      <c r="F870" s="146">
        <v>600</v>
      </c>
      <c r="G870" s="337">
        <v>250000</v>
      </c>
      <c r="H870" s="153"/>
      <c r="I870" s="152">
        <f t="shared" si="191"/>
        <v>250000</v>
      </c>
    </row>
    <row r="871" spans="1:9" s="171" customFormat="1" ht="63">
      <c r="A871" s="148" t="str">
        <f>IF(B871&gt;0,VLOOKUP(B871,КВСР!A400:B1565,2),IF(C871&gt;0,VLOOKUP(C871,КФСР!A400:B1912,2),IF(D871&gt;0,VLOOKUP(D871,Программа!A$1:B$5091,2),IF(F871&gt;0,VLOOKUP(F871,КВР!A$1:B$5001,2),IF(E871&gt;0,VLOOKUP(E871,Направление!A$1:B$4750,2))))))</f>
        <v>Расходы на реализацию мероприятий инициативного бюджетирования на территории Ярославской области</v>
      </c>
      <c r="B871" s="149"/>
      <c r="C871" s="144"/>
      <c r="D871" s="145"/>
      <c r="E871" s="144">
        <v>15350</v>
      </c>
      <c r="F871" s="146"/>
      <c r="G871" s="337">
        <f>G872</f>
        <v>0</v>
      </c>
      <c r="H871" s="337">
        <f t="shared" ref="H871:I871" si="202">H872</f>
        <v>2000</v>
      </c>
      <c r="I871" s="337">
        <f t="shared" si="202"/>
        <v>2000</v>
      </c>
    </row>
    <row r="872" spans="1:9" s="171" customFormat="1" ht="63">
      <c r="A872" s="148" t="str">
        <f>IF(B872&gt;0,VLOOKUP(B872,КВСР!A401:B1566,2),IF(C872&gt;0,VLOOKUP(C872,КФСР!A401:B1913,2),IF(D872&gt;0,VLOOKUP(D872,Программа!A$1:B$5091,2),IF(F872&gt;0,VLOOKUP(F872,КВР!A$1:B$5001,2),IF(E872&gt;0,VLOOKUP(E872,Направление!A$1:B$4750,2))))))</f>
        <v>Предоставление субсидий бюджетным, автономным учреждениям и иным некоммерческим организациям</v>
      </c>
      <c r="B872" s="149"/>
      <c r="C872" s="144"/>
      <c r="D872" s="145"/>
      <c r="E872" s="144"/>
      <c r="F872" s="146">
        <v>600</v>
      </c>
      <c r="G872" s="337"/>
      <c r="H872" s="153">
        <v>2000</v>
      </c>
      <c r="I872" s="152">
        <f t="shared" si="191"/>
        <v>2000</v>
      </c>
    </row>
    <row r="873" spans="1:9" s="171" customFormat="1" ht="31.5">
      <c r="A873" s="148" t="str">
        <f>IF(B873&gt;0,VLOOKUP(B873,КВСР!A400:B1565,2),IF(C873&gt;0,VLOOKUP(C873,КФСР!A400:B1912,2),IF(D873&gt;0,VLOOKUP(D873,Программа!A$1:B$5091,2),IF(F873&gt;0,VLOOKUP(F873,КВР!A$1:B$5001,2),IF(E873&gt;0,VLOOKUP(E873,Направление!A$1:B$4750,2))))))</f>
        <v xml:space="preserve">Обеспечение культурно-досуговых мероприятий </v>
      </c>
      <c r="B873" s="149"/>
      <c r="C873" s="144"/>
      <c r="D873" s="145"/>
      <c r="E873" s="144">
        <v>29216</v>
      </c>
      <c r="F873" s="146"/>
      <c r="G873" s="337">
        <f>G874</f>
        <v>130000</v>
      </c>
      <c r="H873" s="337">
        <f t="shared" ref="H873:I873" si="203">H874</f>
        <v>0</v>
      </c>
      <c r="I873" s="337">
        <f t="shared" si="203"/>
        <v>130000</v>
      </c>
    </row>
    <row r="874" spans="1:9" s="171" customFormat="1" ht="67.5" customHeight="1">
      <c r="A874" s="148" t="str">
        <f>IF(B874&gt;0,VLOOKUP(B874,КВСР!A401:B1566,2),IF(C874&gt;0,VLOOKUP(C874,КФСР!A401:B1913,2),IF(D874&gt;0,VLOOKUP(D874,Программа!A$1:B$5091,2),IF(F874&gt;0,VLOOKUP(F874,КВР!A$1:B$5001,2),IF(E874&gt;0,VLOOKUP(E874,Направление!A$1:B$4750,2))))))</f>
        <v>Предоставление субсидий бюджетным, автономным учреждениям и иным некоммерческим организациям</v>
      </c>
      <c r="B874" s="149"/>
      <c r="C874" s="144"/>
      <c r="D874" s="145"/>
      <c r="E874" s="144"/>
      <c r="F874" s="146">
        <v>600</v>
      </c>
      <c r="G874" s="337">
        <v>130000</v>
      </c>
      <c r="H874" s="153"/>
      <c r="I874" s="152">
        <f>G874+H874</f>
        <v>130000</v>
      </c>
    </row>
    <row r="875" spans="1:9" s="171" customFormat="1" ht="67.5" customHeight="1">
      <c r="A875" s="148" t="str">
        <f>IF(B875&gt;0,VLOOKUP(B875,КВСР!A402:B1567,2),IF(C875&gt;0,VLOOKUP(C875,КФСР!A402:B1914,2),IF(D875&gt;0,VLOOKUP(D875,Программа!A$1:B$5091,2),IF(F875&gt;0,VLOOKUP(F875,КВР!A$1:B$5001,2),IF(E875&gt;0,VLOOKUP(E875,Направление!A$1:B$4750,2))))))</f>
        <v>Расходы на реализацию мероприятий инициативного бюджетирования на территории Ярославской области</v>
      </c>
      <c r="B875" s="149"/>
      <c r="C875" s="144"/>
      <c r="D875" s="145"/>
      <c r="E875" s="144">
        <v>75350</v>
      </c>
      <c r="F875" s="146"/>
      <c r="G875" s="337">
        <f>G876</f>
        <v>0</v>
      </c>
      <c r="H875" s="337">
        <f t="shared" ref="H875:I875" si="204">H876</f>
        <v>30000</v>
      </c>
      <c r="I875" s="337">
        <f t="shared" si="204"/>
        <v>30000</v>
      </c>
    </row>
    <row r="876" spans="1:9" s="171" customFormat="1" ht="67.5" customHeight="1">
      <c r="A876" s="148" t="str">
        <f>IF(B876&gt;0,VLOOKUP(B876,КВСР!A403:B1568,2),IF(C876&gt;0,VLOOKUP(C876,КФСР!A403:B1915,2),IF(D876&gt;0,VLOOKUP(D876,Программа!A$1:B$5091,2),IF(F876&gt;0,VLOOKUP(F876,КВР!A$1:B$5001,2),IF(E876&gt;0,VLOOKUP(E876,Направление!A$1:B$4750,2))))))</f>
        <v>Предоставление субсидий бюджетным, автономным учреждениям и иным некоммерческим организациям</v>
      </c>
      <c r="B876" s="149"/>
      <c r="C876" s="144"/>
      <c r="D876" s="145"/>
      <c r="E876" s="144"/>
      <c r="F876" s="146">
        <v>600</v>
      </c>
      <c r="G876" s="337"/>
      <c r="H876" s="153">
        <v>30000</v>
      </c>
      <c r="I876" s="152">
        <f t="shared" ref="I876" si="205">G876+H876</f>
        <v>30000</v>
      </c>
    </row>
    <row r="877" spans="1:9" s="171" customFormat="1" ht="47.25">
      <c r="A877" s="148" t="str">
        <f>IF(B877&gt;0,VLOOKUP(B877,КВСР!A398:B1563,2),IF(C877&gt;0,VLOOKUP(C877,КФСР!A398:B1910,2),IF(D877&gt;0,VLOOKUP(D877,Программа!A$1:B$5091,2),IF(F877&gt;0,VLOOKUP(F877,КВР!A$1:B$5001,2),IF(E877&gt;0,VLOOKUP(E877,Направление!A$1:B$4750,2))))))</f>
        <v>Муниципальная программа "Социальная поддержка населения Тутаевского муниципального района"</v>
      </c>
      <c r="B877" s="149"/>
      <c r="C877" s="144"/>
      <c r="D877" s="145" t="s">
        <v>548</v>
      </c>
      <c r="E877" s="144"/>
      <c r="F877" s="146"/>
      <c r="G877" s="337">
        <f>G878</f>
        <v>253500</v>
      </c>
      <c r="H877" s="152">
        <f>H878</f>
        <v>-5000</v>
      </c>
      <c r="I877" s="152">
        <f t="shared" si="191"/>
        <v>248500</v>
      </c>
    </row>
    <row r="878" spans="1:9" s="171" customFormat="1" ht="63">
      <c r="A878" s="148" t="str">
        <f>IF(B878&gt;0,VLOOKUP(B878,КВСР!A399:B1564,2),IF(C878&gt;0,VLOOKUP(C878,КФСР!A399:B1911,2),IF(D878&gt;0,VLOOKUP(D878,Программа!A$1:B$5091,2),IF(F878&gt;0,VLOOKUP(F878,КВР!A$1:B$5001,2),IF(E878&gt;0,VLOOKUP(E878,Направление!A$1:B$4750,2))))))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878" s="149"/>
      <c r="C878" s="144"/>
      <c r="D878" s="145" t="s">
        <v>550</v>
      </c>
      <c r="E878" s="144"/>
      <c r="F878" s="146"/>
      <c r="G878" s="337">
        <f>G879+G885+G882</f>
        <v>253500</v>
      </c>
      <c r="H878" s="337">
        <f t="shared" ref="H878:I878" si="206">H879+H885+H882</f>
        <v>-5000</v>
      </c>
      <c r="I878" s="337">
        <f t="shared" si="206"/>
        <v>248500</v>
      </c>
    </row>
    <row r="879" spans="1:9" s="171" customFormat="1" ht="63">
      <c r="A879" s="148" t="str">
        <f>IF(B879&gt;0,VLOOKUP(B879,КВСР!A400:B1565,2),IF(C879&gt;0,VLOOKUP(C879,КФСР!A400:B1912,2),IF(D879&gt;0,VLOOKUP(D879,Программа!A$1:B$5091,2),IF(F879&gt;0,VLOOKUP(F879,КВР!A$1:B$5001,2),IF(E879&gt;0,VLOOKUP(E879,Направление!A$1:B$4750,2))))))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79" s="149"/>
      <c r="C879" s="144"/>
      <c r="D879" s="145" t="s">
        <v>551</v>
      </c>
      <c r="E879" s="144"/>
      <c r="F879" s="146"/>
      <c r="G879" s="337">
        <f>G880</f>
        <v>253500</v>
      </c>
      <c r="H879" s="152">
        <f>H880</f>
        <v>-190500</v>
      </c>
      <c r="I879" s="152">
        <f t="shared" si="191"/>
        <v>63000</v>
      </c>
    </row>
    <row r="880" spans="1:9" s="171" customFormat="1" ht="31.5">
      <c r="A880" s="148" t="str">
        <f>IF(B880&gt;0,VLOOKUP(B880,КВСР!A401:B1566,2),IF(C880&gt;0,VLOOKUP(C880,КФСР!A401:B1913,2),IF(D880&gt;0,VLOOKUP(D880,Программа!A$1:B$5091,2),IF(F880&gt;0,VLOOKUP(F880,КВР!A$1:B$5001,2),IF(E880&gt;0,VLOOKUP(E880,Направление!A$1:B$4750,2))))))</f>
        <v>Расходы на реализацию МЦП "Улучшение условий и охраны труда"</v>
      </c>
      <c r="B880" s="149"/>
      <c r="C880" s="144"/>
      <c r="D880" s="145"/>
      <c r="E880" s="144">
        <v>16150</v>
      </c>
      <c r="F880" s="146"/>
      <c r="G880" s="337">
        <f>G881</f>
        <v>253500</v>
      </c>
      <c r="H880" s="152">
        <f>H881</f>
        <v>-190500</v>
      </c>
      <c r="I880" s="152">
        <f t="shared" si="191"/>
        <v>63000</v>
      </c>
    </row>
    <row r="881" spans="1:9" s="171" customFormat="1" ht="63">
      <c r="A881" s="148" t="str">
        <f>IF(B881&gt;0,VLOOKUP(B881,КВСР!A402:B1567,2),IF(C881&gt;0,VLOOKUP(C881,КФСР!A402:B1914,2),IF(D881&gt;0,VLOOKUP(D881,Программа!A$1:B$5091,2),IF(F881&gt;0,VLOOKUP(F881,КВР!A$1:B$5001,2),IF(E881&gt;0,VLOOKUP(E881,Направление!A$1:B$4750,2))))))</f>
        <v>Предоставление субсидий бюджетным, автономным учреждениям и иным некоммерческим организациям</v>
      </c>
      <c r="B881" s="149"/>
      <c r="C881" s="144"/>
      <c r="D881" s="145"/>
      <c r="E881" s="144"/>
      <c r="F881" s="146">
        <v>600</v>
      </c>
      <c r="G881" s="337">
        <v>253500</v>
      </c>
      <c r="H881" s="153">
        <v>-190500</v>
      </c>
      <c r="I881" s="152">
        <f t="shared" si="191"/>
        <v>63000</v>
      </c>
    </row>
    <row r="882" spans="1:9" s="171" customFormat="1" ht="63">
      <c r="A882" s="148" t="str">
        <f>IF(B882&gt;0,VLOOKUP(B882,КВСР!A403:B1568,2),IF(C882&gt;0,VLOOKUP(C882,КФСР!A403:B1915,2),IF(D882&gt;0,VLOOKUP(D882,Программа!A$1:B$5091,2),IF(F882&gt;0,VLOOKUP(F882,КВР!A$1:B$5001,2),IF(E882&gt;0,VLOOKUP(E882,Направление!A$1:B$4750,2))))))</f>
        <v>Превентивные меры, направленные на снижение производственного травматизма и профессиональной заболеваемости</v>
      </c>
      <c r="B882" s="149"/>
      <c r="C882" s="144"/>
      <c r="D882" s="145" t="s">
        <v>1846</v>
      </c>
      <c r="E882" s="144"/>
      <c r="F882" s="146"/>
      <c r="G882" s="337">
        <f>G883</f>
        <v>0</v>
      </c>
      <c r="H882" s="337">
        <f t="shared" ref="H882:I883" si="207">H883</f>
        <v>100500</v>
      </c>
      <c r="I882" s="337">
        <f t="shared" si="207"/>
        <v>100500</v>
      </c>
    </row>
    <row r="883" spans="1:9" s="171" customFormat="1" ht="31.5">
      <c r="A883" s="148" t="str">
        <f>IF(B883&gt;0,VLOOKUP(B883,КВСР!A404:B1569,2),IF(C883&gt;0,VLOOKUP(C883,КФСР!A404:B1916,2),IF(D883&gt;0,VLOOKUP(D883,Программа!A$1:B$5091,2),IF(F883&gt;0,VLOOKUP(F883,КВР!A$1:B$5001,2),IF(E883&gt;0,VLOOKUP(E883,Направление!A$1:B$4750,2))))))</f>
        <v>Расходы на реализацию МЦП "Улучшение условий и охраны труда"</v>
      </c>
      <c r="B883" s="149"/>
      <c r="C883" s="144"/>
      <c r="D883" s="145"/>
      <c r="E883" s="144">
        <v>16150</v>
      </c>
      <c r="F883" s="146"/>
      <c r="G883" s="337">
        <f>G884</f>
        <v>0</v>
      </c>
      <c r="H883" s="337">
        <f t="shared" si="207"/>
        <v>100500</v>
      </c>
      <c r="I883" s="337">
        <f t="shared" si="207"/>
        <v>100500</v>
      </c>
    </row>
    <row r="884" spans="1:9" s="171" customFormat="1" ht="63">
      <c r="A884" s="148" t="str">
        <f>IF(B884&gt;0,VLOOKUP(B884,КВСР!A405:B1570,2),IF(C884&gt;0,VLOOKUP(C884,КФСР!A405:B1917,2),IF(D884&gt;0,VLOOKUP(D884,Программа!A$1:B$5091,2),IF(F884&gt;0,VLOOKUP(F884,КВР!A$1:B$5001,2),IF(E884&gt;0,VLOOKUP(E884,Направление!A$1:B$4750,2))))))</f>
        <v>Предоставление субсидий бюджетным, автономным учреждениям и иным некоммерческим организациям</v>
      </c>
      <c r="B884" s="149"/>
      <c r="C884" s="144"/>
      <c r="D884" s="145"/>
      <c r="E884" s="144"/>
      <c r="F884" s="146">
        <v>600</v>
      </c>
      <c r="G884" s="337"/>
      <c r="H884" s="153">
        <v>100500</v>
      </c>
      <c r="I884" s="152">
        <f t="shared" si="191"/>
        <v>100500</v>
      </c>
    </row>
    <row r="885" spans="1:9" s="171" customFormat="1" ht="47.25">
      <c r="A885" s="148" t="str">
        <f>IF(B885&gt;0,VLOOKUP(B885,КВСР!A403:B1568,2),IF(C885&gt;0,VLOOKUP(C885,КФСР!A403:B1915,2),IF(D885&gt;0,VLOOKUP(D885,Программа!A$1:B$5091,2),IF(F885&gt;0,VLOOKUP(F885,КВР!A$1:B$5001,2),IF(E885&gt;0,VLOOKUP(E885,Направление!A$1:B$4750,2))))))</f>
        <v>Обучение по охране труда работников организаций Тутаевского муниципального района</v>
      </c>
      <c r="B885" s="149"/>
      <c r="C885" s="144"/>
      <c r="D885" s="145" t="s">
        <v>1234</v>
      </c>
      <c r="E885" s="144"/>
      <c r="F885" s="146"/>
      <c r="G885" s="337">
        <f>G886</f>
        <v>0</v>
      </c>
      <c r="H885" s="337">
        <f>H886</f>
        <v>85000</v>
      </c>
      <c r="I885" s="152">
        <f t="shared" si="191"/>
        <v>85000</v>
      </c>
    </row>
    <row r="886" spans="1:9" s="171" customFormat="1" ht="31.5">
      <c r="A886" s="148" t="str">
        <f>IF(B886&gt;0,VLOOKUP(B886,КВСР!A404:B1569,2),IF(C886&gt;0,VLOOKUP(C886,КФСР!A404:B1916,2),IF(D886&gt;0,VLOOKUP(D886,Программа!A$1:B$5091,2),IF(F886&gt;0,VLOOKUP(F886,КВР!A$1:B$5001,2),IF(E886&gt;0,VLOOKUP(E886,Направление!A$1:B$4750,2))))))</f>
        <v>Расходы на реализацию МЦП "Улучшение условий и охраны труда"</v>
      </c>
      <c r="B886" s="149"/>
      <c r="C886" s="144"/>
      <c r="D886" s="145"/>
      <c r="E886" s="144">
        <v>16150</v>
      </c>
      <c r="F886" s="146"/>
      <c r="G886" s="337">
        <f>G887</f>
        <v>0</v>
      </c>
      <c r="H886" s="337">
        <f>H887</f>
        <v>85000</v>
      </c>
      <c r="I886" s="152">
        <f t="shared" si="191"/>
        <v>85000</v>
      </c>
    </row>
    <row r="887" spans="1:9" s="171" customFormat="1" ht="63">
      <c r="A887" s="148" t="str">
        <f>IF(B887&gt;0,VLOOKUP(B887,КВСР!A405:B1570,2),IF(C887&gt;0,VLOOKUP(C887,КФСР!A405:B1917,2),IF(D887&gt;0,VLOOKUP(D887,Программа!A$1:B$5091,2),IF(F887&gt;0,VLOOKUP(F887,КВР!A$1:B$5001,2),IF(E887&gt;0,VLOOKUP(E887,Направление!A$1:B$4750,2))))))</f>
        <v>Предоставление субсидий бюджетным, автономным учреждениям и иным некоммерческим организациям</v>
      </c>
      <c r="B887" s="149"/>
      <c r="C887" s="144"/>
      <c r="D887" s="145"/>
      <c r="E887" s="144"/>
      <c r="F887" s="146">
        <v>600</v>
      </c>
      <c r="G887" s="337"/>
      <c r="H887" s="153">
        <v>85000</v>
      </c>
      <c r="I887" s="152">
        <f t="shared" si="191"/>
        <v>85000</v>
      </c>
    </row>
    <row r="888" spans="1:9" s="171" customFormat="1" ht="31.5" hidden="1">
      <c r="A888" s="148" t="str">
        <f>IF(B888&gt;0,VLOOKUP(B888,КВСР!A401:B1566,2),IF(C888&gt;0,VLOOKUP(C888,КФСР!A401:B1913,2),IF(D888&gt;0,VLOOKUP(D888,Программа!A$1:B$5091,2),IF(F888&gt;0,VLOOKUP(F888,КВР!A$1:B$5001,2),IF(E888&gt;0,VLOOKUP(E888,Направление!A$1:B$4750,2))))))</f>
        <v>Муниципальная программа "Доступная среда "</v>
      </c>
      <c r="B888" s="149"/>
      <c r="C888" s="144"/>
      <c r="D888" s="145" t="s">
        <v>685</v>
      </c>
      <c r="E888" s="144"/>
      <c r="F888" s="146"/>
      <c r="G888" s="337">
        <f t="shared" ref="G888:H890" si="208">G889</f>
        <v>0</v>
      </c>
      <c r="H888" s="152">
        <f t="shared" si="208"/>
        <v>0</v>
      </c>
      <c r="I888" s="152">
        <f t="shared" si="191"/>
        <v>0</v>
      </c>
    </row>
    <row r="889" spans="1:9" s="171" customFormat="1" ht="78.75" hidden="1">
      <c r="A889" s="148" t="str">
        <f>IF(B889&gt;0,VLOOKUP(B889,КВСР!A396:B1561,2),IF(C889&gt;0,VLOOKUP(C889,КФСР!A396:B1908,2),IF(D889&gt;0,VLOOKUP(D889,Программа!A$1:B$5091,2),IF(F889&gt;0,VLOOKUP(F889,КВР!A$1:B$5001,2),IF(E889&gt;0,VLOOKUP(E889,Направление!A$1:B$4750,2))))))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889" s="149"/>
      <c r="C889" s="144"/>
      <c r="D889" s="145" t="s">
        <v>687</v>
      </c>
      <c r="E889" s="144"/>
      <c r="F889" s="146"/>
      <c r="G889" s="337">
        <f t="shared" si="208"/>
        <v>0</v>
      </c>
      <c r="H889" s="152">
        <f t="shared" si="208"/>
        <v>0</v>
      </c>
      <c r="I889" s="152">
        <f t="shared" si="191"/>
        <v>0</v>
      </c>
    </row>
    <row r="890" spans="1:9" s="171" customFormat="1" ht="63" hidden="1">
      <c r="A890" s="148" t="str">
        <f>IF(B890&gt;0,VLOOKUP(B890,КВСР!A397:B1562,2),IF(C890&gt;0,VLOOKUP(C890,КФСР!A397:B1909,2),IF(D890&gt;0,VLOOKUP(D890,Программа!A$1:B$5091,2),IF(F890&gt;0,VLOOKUP(F890,КВР!A$1:B$5001,2),IF(E890&gt;0,VLOOKUP(E890,Направление!A$1:B$4750,2))))))</f>
        <v>Расходы на оборудование социально значимых объектов с целью обеспечения доступности для инвалидов</v>
      </c>
      <c r="B890" s="149"/>
      <c r="C890" s="144"/>
      <c r="D890" s="145"/>
      <c r="E890" s="144">
        <v>16250</v>
      </c>
      <c r="F890" s="146"/>
      <c r="G890" s="337">
        <f t="shared" si="208"/>
        <v>0</v>
      </c>
      <c r="H890" s="152">
        <f t="shared" si="208"/>
        <v>0</v>
      </c>
      <c r="I890" s="152">
        <f t="shared" si="191"/>
        <v>0</v>
      </c>
    </row>
    <row r="891" spans="1:9" s="171" customFormat="1" ht="63" hidden="1">
      <c r="A891" s="148" t="str">
        <f>IF(B891&gt;0,VLOOKUP(B891,КВСР!A398:B1563,2),IF(C891&gt;0,VLOOKUP(C891,КФСР!A398:B1910,2),IF(D891&gt;0,VLOOKUP(D891,Программа!A$1:B$5091,2),IF(F891&gt;0,VLOOKUP(F891,КВР!A$1:B$5001,2),IF(E891&gt;0,VLOOKUP(E891,Направление!A$1:B$4750,2))))))</f>
        <v>Предоставление субсидий бюджетным, автономным учреждениям и иным некоммерческим организациям</v>
      </c>
      <c r="B891" s="149"/>
      <c r="C891" s="144"/>
      <c r="D891" s="146"/>
      <c r="E891" s="144"/>
      <c r="F891" s="146">
        <v>600</v>
      </c>
      <c r="G891" s="337"/>
      <c r="H891" s="153"/>
      <c r="I891" s="152">
        <f t="shared" si="191"/>
        <v>0</v>
      </c>
    </row>
    <row r="892" spans="1:9" s="171" customFormat="1" ht="31.5">
      <c r="A892" s="148" t="str">
        <f>IF(B892&gt;0,VLOOKUP(B892,КВСР!A402:B1567,2),IF(C892&gt;0,VLOOKUP(C892,КФСР!A402:B1914,2),IF(D892&gt;0,VLOOKUP(D892,Программа!A$1:B$5091,2),IF(F892&gt;0,VLOOKUP(F892,КВР!A$1:B$5001,2),IF(E892&gt;0,VLOOKUP(E892,Направление!A$1:B$4750,2))))))</f>
        <v>Другие вопросы в области культуры, кинематографии</v>
      </c>
      <c r="B892" s="149"/>
      <c r="C892" s="144">
        <v>804</v>
      </c>
      <c r="D892" s="145"/>
      <c r="E892" s="144"/>
      <c r="F892" s="146"/>
      <c r="G892" s="337">
        <f>G893+G933+G915+G920+G925+G929</f>
        <v>30597208</v>
      </c>
      <c r="H892" s="152">
        <f>H893+H933+H915+H920+H925+H929</f>
        <v>5000</v>
      </c>
      <c r="I892" s="152">
        <f t="shared" si="191"/>
        <v>30602208</v>
      </c>
    </row>
    <row r="893" spans="1:9" s="171" customFormat="1" ht="63">
      <c r="A893" s="148" t="str">
        <f>IF(B893&gt;0,VLOOKUP(B893,КВСР!A403:B1568,2),IF(C893&gt;0,VLOOKUP(C893,КФСР!A403:B1915,2),IF(D893&gt;0,VLOOKUP(D893,Программа!A$1:B$5091,2),IF(F893&gt;0,VLOOKUP(F893,КВР!A$1:B$5001,2),IF(E893&gt;0,VLOOKUP(E893,Направление!A$1:B$4750,2))))))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893" s="149"/>
      <c r="C893" s="144"/>
      <c r="D893" s="145" t="s">
        <v>569</v>
      </c>
      <c r="E893" s="144"/>
      <c r="F893" s="146"/>
      <c r="G893" s="337">
        <f>G902+G898+G894</f>
        <v>30597208</v>
      </c>
      <c r="H893" s="152">
        <f>H902+H898+H894</f>
        <v>0</v>
      </c>
      <c r="I893" s="152">
        <f t="shared" si="191"/>
        <v>30597208</v>
      </c>
    </row>
    <row r="894" spans="1:9" s="171" customFormat="1" ht="94.5" hidden="1">
      <c r="A894" s="148" t="str">
        <f>IF(B894&gt;0,VLOOKUP(B894,КВСР!A404:B1569,2),IF(C894&gt;0,VLOOKUP(C894,КФСР!A404:B1916,2),IF(D894&gt;0,VLOOKUP(D894,Программа!A$1:B$5091,2),IF(F894&gt;0,VLOOKUP(F894,КВР!A$1:B$5001,2),IF(E894&gt;0,VLOOKUP(E894,Направление!A$1:B$4750,2))))))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94" s="149"/>
      <c r="C894" s="144"/>
      <c r="D894" s="145" t="s">
        <v>571</v>
      </c>
      <c r="E894" s="144"/>
      <c r="F894" s="146"/>
      <c r="G894" s="337">
        <f t="shared" ref="G894:H896" si="209">G895</f>
        <v>0</v>
      </c>
      <c r="H894" s="152">
        <f t="shared" si="209"/>
        <v>0</v>
      </c>
      <c r="I894" s="152">
        <f t="shared" si="191"/>
        <v>0</v>
      </c>
    </row>
    <row r="895" spans="1:9" s="171" customFormat="1" ht="94.5" hidden="1">
      <c r="A895" s="148" t="str">
        <f>IF(B895&gt;0,VLOOKUP(B895,КВСР!A405:B1570,2),IF(C895&gt;0,VLOOKUP(C895,КФСР!A405:B1917,2),IF(D895&gt;0,VLOOKUP(D895,Программа!A$1:B$5091,2),IF(F895&gt;0,VLOOKUP(F895,КВР!A$1:B$5001,2),IF(E895&gt;0,VLOOKUP(E895,Направление!A$1:B$4750,2))))))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95" s="149"/>
      <c r="C895" s="144"/>
      <c r="D895" s="145" t="s">
        <v>573</v>
      </c>
      <c r="E895" s="144"/>
      <c r="F895" s="146"/>
      <c r="G895" s="337">
        <f t="shared" si="209"/>
        <v>0</v>
      </c>
      <c r="H895" s="152">
        <f t="shared" si="209"/>
        <v>0</v>
      </c>
      <c r="I895" s="152">
        <f t="shared" si="191"/>
        <v>0</v>
      </c>
    </row>
    <row r="896" spans="1:9" s="171" customFormat="1" ht="47.25" hidden="1">
      <c r="A896" s="148" t="str">
        <f>IF(B896&gt;0,VLOOKUP(B896,КВСР!A406:B1571,2),IF(C896&gt;0,VLOOKUP(C896,КФСР!A406:B1918,2),IF(D896&gt;0,VLOOKUP(D896,Программа!A$1:B$5091,2),IF(F896&gt;0,VLOOKUP(F896,КВР!A$1:B$5001,2),IF(E896&gt;0,VLOOKUP(E896,Направление!A$1:B$4750,2))))))</f>
        <v>Расходы на реализацию мероприятий патриотического воспитания молодежи</v>
      </c>
      <c r="B896" s="149"/>
      <c r="C896" s="144"/>
      <c r="D896" s="145"/>
      <c r="E896" s="144">
        <v>14560</v>
      </c>
      <c r="F896" s="146"/>
      <c r="G896" s="337">
        <f t="shared" si="209"/>
        <v>0</v>
      </c>
      <c r="H896" s="152">
        <f t="shared" si="209"/>
        <v>0</v>
      </c>
      <c r="I896" s="152">
        <f t="shared" si="191"/>
        <v>0</v>
      </c>
    </row>
    <row r="897" spans="1:9" s="171" customFormat="1" ht="63" hidden="1">
      <c r="A897" s="148" t="str">
        <f>IF(B897&gt;0,VLOOKUP(B897,КВСР!A407:B1572,2),IF(C897&gt;0,VLOOKUP(C897,КФСР!A407:B1919,2),IF(D897&gt;0,VLOOKUP(D897,Программа!A$1:B$5091,2),IF(F897&gt;0,VLOOKUP(F897,КВР!A$1:B$5001,2),IF(E897&gt;0,VLOOKUP(E897,Направление!A$1:B$4750,2))))))</f>
        <v>Предоставление субсидий бюджетным, автономным учреждениям и иным некоммерческим организациям</v>
      </c>
      <c r="B897" s="149"/>
      <c r="C897" s="144"/>
      <c r="D897" s="145"/>
      <c r="E897" s="144"/>
      <c r="F897" s="146">
        <v>600</v>
      </c>
      <c r="G897" s="337"/>
      <c r="H897" s="390"/>
      <c r="I897" s="152">
        <f t="shared" si="191"/>
        <v>0</v>
      </c>
    </row>
    <row r="898" spans="1:9" s="171" customFormat="1" ht="78.75" hidden="1">
      <c r="A898" s="148" t="str">
        <f>IF(B898&gt;0,VLOOKUP(B898,КВСР!A404:B1569,2),IF(C898&gt;0,VLOOKUP(C898,КФСР!A404:B1916,2),IF(D898&gt;0,VLOOKUP(D898,Программа!A$1:B$5091,2),IF(F898&gt;0,VLOOKUP(F898,КВР!A$1:B$5001,2),IF(E898&gt;0,VLOOKUP(E898,Направление!A$1:B$4750,2))))))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898" s="149"/>
      <c r="C898" s="144"/>
      <c r="D898" s="145" t="s">
        <v>576</v>
      </c>
      <c r="E898" s="144"/>
      <c r="F898" s="146"/>
      <c r="G898" s="337">
        <f t="shared" ref="G898:H900" si="210">G899</f>
        <v>0</v>
      </c>
      <c r="H898" s="152">
        <f t="shared" si="210"/>
        <v>0</v>
      </c>
      <c r="I898" s="152">
        <f t="shared" si="191"/>
        <v>0</v>
      </c>
    </row>
    <row r="899" spans="1:9" s="171" customFormat="1" ht="47.25" hidden="1">
      <c r="A899" s="148" t="str">
        <f>IF(B899&gt;0,VLOOKUP(B899,КВСР!A405:B1570,2),IF(C899&gt;0,VLOOKUP(C899,КФСР!A405:B1917,2),IF(D899&gt;0,VLOOKUP(D899,Программа!A$1:B$5091,2),IF(F899&gt;0,VLOOKUP(F899,КВР!A$1:B$5001,2),IF(E899&gt;0,VLOOKUP(E899,Направление!A$1:B$4750,2))))))</f>
        <v>Развитие системы профилактики немедицинского потребления наркотиков</v>
      </c>
      <c r="B899" s="149"/>
      <c r="C899" s="144"/>
      <c r="D899" s="145" t="s">
        <v>578</v>
      </c>
      <c r="E899" s="144"/>
      <c r="F899" s="146"/>
      <c r="G899" s="337">
        <f t="shared" si="210"/>
        <v>0</v>
      </c>
      <c r="H899" s="152">
        <f t="shared" si="210"/>
        <v>0</v>
      </c>
      <c r="I899" s="152">
        <f t="shared" si="191"/>
        <v>0</v>
      </c>
    </row>
    <row r="900" spans="1:9" s="171" customFormat="1" ht="78.75" hidden="1">
      <c r="A900" s="148" t="str">
        <f>IF(B900&gt;0,VLOOKUP(B900,КВСР!A406:B1571,2),IF(C900&gt;0,VLOOKUP(C900,КФСР!A406:B1918,2),IF(D900&gt;0,VLOOKUP(D900,Программа!A$1:B$5091,2),IF(F900&gt;0,VLOOKUP(F900,КВР!A$1:B$5001,2),IF(E900&gt;0,VLOOKUP(E900,Направление!A$1:B$4750,2))))))</f>
        <v>Расходы на реализацию  МЦП "Комплексные меры противодействия злоупотреблению наркотиками и их незаконному обороту"</v>
      </c>
      <c r="B900" s="173"/>
      <c r="C900" s="168"/>
      <c r="D900" s="167"/>
      <c r="E900" s="168">
        <v>13820</v>
      </c>
      <c r="F900" s="170"/>
      <c r="G900" s="379">
        <f t="shared" si="210"/>
        <v>0</v>
      </c>
      <c r="H900" s="150">
        <f t="shared" si="210"/>
        <v>0</v>
      </c>
      <c r="I900" s="152">
        <f t="shared" si="191"/>
        <v>0</v>
      </c>
    </row>
    <row r="901" spans="1:9" s="171" customFormat="1" ht="63" hidden="1">
      <c r="A901" s="148" t="str">
        <f>IF(B901&gt;0,VLOOKUP(B901,КВСР!A407:B1572,2),IF(C901&gt;0,VLOOKUP(C901,КФСР!A407:B1919,2),IF(D901&gt;0,VLOOKUP(D901,Программа!A$1:B$5091,2),IF(F901&gt;0,VLOOKUP(F901,КВР!A$1:B$5001,2),IF(E901&gt;0,VLOOKUP(E901,Направление!A$1:B$4750,2))))))</f>
        <v>Предоставление субсидий бюджетным, автономным учреждениям и иным некоммерческим организациям</v>
      </c>
      <c r="B901" s="149"/>
      <c r="C901" s="144"/>
      <c r="D901" s="145"/>
      <c r="E901" s="144"/>
      <c r="F901" s="146">
        <v>600</v>
      </c>
      <c r="G901" s="337"/>
      <c r="H901" s="174"/>
      <c r="I901" s="152">
        <f t="shared" si="191"/>
        <v>0</v>
      </c>
    </row>
    <row r="902" spans="1:9" s="171" customFormat="1" ht="63">
      <c r="A902" s="148" t="str">
        <f>IF(B902&gt;0,VLOOKUP(B902,КВСР!A404:B1569,2),IF(C902&gt;0,VLOOKUP(C902,КФСР!A404:B1916,2),IF(D902&gt;0,VLOOKUP(D902,Программа!A$1:B$5091,2),IF(F902&gt;0,VLOOKUP(F902,КВР!A$1:B$5001,2),IF(E902&gt;0,VLOOKUP(E902,Направление!A$1:B$4750,2))))))</f>
        <v>Ведомственная целевая программа «Сохранение и развитие культуры Тутаевского муниципального района»</v>
      </c>
      <c r="B902" s="149"/>
      <c r="C902" s="144"/>
      <c r="D902" s="145" t="s">
        <v>671</v>
      </c>
      <c r="E902" s="144"/>
      <c r="F902" s="146"/>
      <c r="G902" s="337">
        <f>G903</f>
        <v>30597208</v>
      </c>
      <c r="H902" s="152">
        <f>H903</f>
        <v>0</v>
      </c>
      <c r="I902" s="152">
        <f t="shared" si="191"/>
        <v>30597208</v>
      </c>
    </row>
    <row r="903" spans="1:9" s="171" customFormat="1" ht="31.5">
      <c r="A903" s="148" t="str">
        <f>IF(B903&gt;0,VLOOKUP(B903,КВСР!A405:B1570,2),IF(C903&gt;0,VLOOKUP(C903,КФСР!A405:B1917,2),IF(D903&gt;0,VLOOKUP(D903,Программа!A$1:B$5091,2),IF(F903&gt;0,VLOOKUP(F903,КВР!A$1:B$5001,2),IF(E903&gt;0,VLOOKUP(E903,Направление!A$1:B$4750,2))))))</f>
        <v>Обеспечение эффективности управления системой культуры</v>
      </c>
      <c r="B903" s="149"/>
      <c r="C903" s="144"/>
      <c r="D903" s="145" t="s">
        <v>698</v>
      </c>
      <c r="E903" s="144"/>
      <c r="F903" s="146"/>
      <c r="G903" s="337">
        <f>G904+G908+G912</f>
        <v>30597208</v>
      </c>
      <c r="H903" s="152">
        <f>H904+H908+H912</f>
        <v>0</v>
      </c>
      <c r="I903" s="152">
        <f t="shared" si="191"/>
        <v>30597208</v>
      </c>
    </row>
    <row r="904" spans="1:9" s="171" customFormat="1">
      <c r="A904" s="148" t="str">
        <f>IF(B904&gt;0,VLOOKUP(B904,КВСР!A405:B1570,2),IF(C904&gt;0,VLOOKUP(C904,КФСР!A405:B1917,2),IF(D904&gt;0,VLOOKUP(D904,Программа!A$1:B$5091,2),IF(F904&gt;0,VLOOKUP(F904,КВР!A$1:B$5001,2),IF(E904&gt;0,VLOOKUP(E904,Направление!A$1:B$4750,2))))))</f>
        <v>Содержание центрального аппарата</v>
      </c>
      <c r="B904" s="149"/>
      <c r="C904" s="144"/>
      <c r="D904" s="145"/>
      <c r="E904" s="144">
        <v>12010</v>
      </c>
      <c r="F904" s="146"/>
      <c r="G904" s="379">
        <f>G905+G906+G907</f>
        <v>4180578</v>
      </c>
      <c r="H904" s="150">
        <f>H905+H906+H907</f>
        <v>0</v>
      </c>
      <c r="I904" s="152">
        <f t="shared" si="191"/>
        <v>4180578</v>
      </c>
    </row>
    <row r="905" spans="1:9" s="171" customFormat="1" ht="126">
      <c r="A905" s="148" t="str">
        <f>IF(B905&gt;0,VLOOKUP(B905,КВСР!A406:B1571,2),IF(C905&gt;0,VLOOKUP(C905,КФСР!A406:B1918,2),IF(D905&gt;0,VLOOKUP(D905,Программа!A$1:B$5091,2),IF(F905&gt;0,VLOOKUP(F905,КВР!A$1:B$5001,2),IF(E905&gt;0,VLOOKUP(E905,Направление!A$1:B$4750,2))))))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5" s="149"/>
      <c r="C905" s="144"/>
      <c r="D905" s="146"/>
      <c r="E905" s="144"/>
      <c r="F905" s="146">
        <v>100</v>
      </c>
      <c r="G905" s="379">
        <v>3690578</v>
      </c>
      <c r="H905" s="151"/>
      <c r="I905" s="152">
        <f t="shared" si="191"/>
        <v>3690578</v>
      </c>
    </row>
    <row r="906" spans="1:9" s="171" customFormat="1" ht="63">
      <c r="A906" s="148" t="str">
        <f>IF(B906&gt;0,VLOOKUP(B906,КВСР!A407:B1572,2),IF(C906&gt;0,VLOOKUP(C906,КФСР!A407:B1919,2),IF(D906&gt;0,VLOOKUP(D906,Программа!A$1:B$5091,2),IF(F906&gt;0,VLOOKUP(F906,КВР!A$1:B$5001,2),IF(E906&gt;0,VLOOKUP(E906,Направление!A$1:B$4750,2))))))</f>
        <v xml:space="preserve">Закупка товаров, работ и услуг для обеспечения государственных (муниципальных) нужд
</v>
      </c>
      <c r="B906" s="149"/>
      <c r="C906" s="144"/>
      <c r="D906" s="146"/>
      <c r="E906" s="144"/>
      <c r="F906" s="146">
        <v>200</v>
      </c>
      <c r="G906" s="379">
        <f>490000-56000</f>
        <v>434000</v>
      </c>
      <c r="H906" s="151"/>
      <c r="I906" s="152">
        <f t="shared" si="191"/>
        <v>434000</v>
      </c>
    </row>
    <row r="907" spans="1:9" s="171" customFormat="1">
      <c r="A907" s="148" t="str">
        <f>IF(B907&gt;0,VLOOKUP(B907,КВСР!A408:B1573,2),IF(C907&gt;0,VLOOKUP(C907,КФСР!A408:B1920,2),IF(D907&gt;0,VLOOKUP(D907,Программа!A$1:B$5091,2),IF(F907&gt;0,VLOOKUP(F907,КВР!A$1:B$5001,2),IF(E907&gt;0,VLOOKUP(E907,Направление!A$1:B$4750,2))))))</f>
        <v>Иные бюджетные ассигнования</v>
      </c>
      <c r="B907" s="149"/>
      <c r="C907" s="144"/>
      <c r="D907" s="146"/>
      <c r="E907" s="144"/>
      <c r="F907" s="146">
        <v>800</v>
      </c>
      <c r="G907" s="379">
        <v>56000</v>
      </c>
      <c r="H907" s="151"/>
      <c r="I907" s="152">
        <f t="shared" si="191"/>
        <v>56000</v>
      </c>
    </row>
    <row r="908" spans="1:9" s="171" customFormat="1" ht="31.5">
      <c r="A908" s="148" t="str">
        <f>IF(B908&gt;0,VLOOKUP(B908,КВСР!A409:B1574,2),IF(C908&gt;0,VLOOKUP(C908,КФСР!A409:B1921,2),IF(D908&gt;0,VLOOKUP(D908,Программа!A$1:B$5091,2),IF(F908&gt;0,VLOOKUP(F908,КВР!A$1:B$5001,2),IF(E908&gt;0,VLOOKUP(E908,Направление!A$1:B$4750,2))))))</f>
        <v>Обеспечение деятельности прочих учреждений в сфере культуры</v>
      </c>
      <c r="B908" s="149"/>
      <c r="C908" s="144"/>
      <c r="D908" s="145"/>
      <c r="E908" s="144">
        <v>15210</v>
      </c>
      <c r="F908" s="146"/>
      <c r="G908" s="379">
        <f>G909+G910+G911</f>
        <v>26416630</v>
      </c>
      <c r="H908" s="150">
        <f>H909+H910+H911</f>
        <v>0</v>
      </c>
      <c r="I908" s="152">
        <f t="shared" si="191"/>
        <v>26416630</v>
      </c>
    </row>
    <row r="909" spans="1:9" s="171" customFormat="1" ht="126">
      <c r="A909" s="148" t="str">
        <f>IF(B909&gt;0,VLOOKUP(B909,КВСР!A410:B1575,2),IF(C909&gt;0,VLOOKUP(C909,КФСР!A410:B1922,2),IF(D909&gt;0,VLOOKUP(D909,Программа!A$1:B$5091,2),IF(F909&gt;0,VLOOKUP(F909,КВР!A$1:B$5001,2),IF(E909&gt;0,VLOOKUP(E909,Направление!A$1:B$4750,2))))))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9" s="149"/>
      <c r="C909" s="144"/>
      <c r="D909" s="146"/>
      <c r="E909" s="144"/>
      <c r="F909" s="146">
        <v>100</v>
      </c>
      <c r="G909" s="337">
        <v>25731773</v>
      </c>
      <c r="H909" s="153"/>
      <c r="I909" s="152">
        <f t="shared" si="191"/>
        <v>25731773</v>
      </c>
    </row>
    <row r="910" spans="1:9" s="171" customFormat="1" ht="63">
      <c r="A910" s="148" t="str">
        <f>IF(B910&gt;0,VLOOKUP(B910,КВСР!A411:B1576,2),IF(C910&gt;0,VLOOKUP(C910,КФСР!A411:B1923,2),IF(D910&gt;0,VLOOKUP(D910,Программа!A$1:B$5091,2),IF(F910&gt;0,VLOOKUP(F910,КВР!A$1:B$5001,2),IF(E910&gt;0,VLOOKUP(E910,Направление!A$1:B$4750,2))))))</f>
        <v xml:space="preserve">Закупка товаров, работ и услуг для обеспечения государственных (муниципальных) нужд
</v>
      </c>
      <c r="B910" s="149"/>
      <c r="C910" s="144"/>
      <c r="D910" s="146"/>
      <c r="E910" s="144"/>
      <c r="F910" s="146">
        <v>200</v>
      </c>
      <c r="G910" s="337">
        <v>620857</v>
      </c>
      <c r="H910" s="153"/>
      <c r="I910" s="152">
        <f t="shared" si="191"/>
        <v>620857</v>
      </c>
    </row>
    <row r="911" spans="1:9" s="171" customFormat="1">
      <c r="A911" s="148" t="str">
        <f>IF(B911&gt;0,VLOOKUP(B911,КВСР!A412:B1577,2),IF(C911&gt;0,VLOOKUP(C911,КФСР!A412:B1924,2),IF(D911&gt;0,VLOOKUP(D911,Программа!A$1:B$5091,2),IF(F911&gt;0,VLOOKUP(F911,КВР!A$1:B$5001,2),IF(E911&gt;0,VLOOKUP(E911,Направление!A$1:B$4750,2))))))</f>
        <v>Иные бюджетные ассигнования</v>
      </c>
      <c r="B911" s="149"/>
      <c r="C911" s="144"/>
      <c r="D911" s="146"/>
      <c r="E911" s="144"/>
      <c r="F911" s="146">
        <v>800</v>
      </c>
      <c r="G911" s="337">
        <v>64000</v>
      </c>
      <c r="H911" s="153"/>
      <c r="I911" s="152">
        <f t="shared" ref="I911:I940" si="211">SUM(G911:H911)</f>
        <v>64000</v>
      </c>
    </row>
    <row r="912" spans="1:9" s="171" customFormat="1" ht="47.25" hidden="1">
      <c r="A912" s="148" t="str">
        <f>IF(B912&gt;0,VLOOKUP(B912,КВСР!A412:B1577,2),IF(C912&gt;0,VLOOKUP(C912,КФСР!A412:B1924,2),IF(D912&gt;0,VLOOKUP(D912,Программа!A$1:B$5091,2),IF(F912&gt;0,VLOOKUP(F912,КВР!A$1:B$5001,2),IF(E912&gt;0,VLOOKUP(E912,Направление!A$1:B$4750,2))))))</f>
        <v>Содержание органов местного самоуправления за счет средств поселений</v>
      </c>
      <c r="B912" s="149"/>
      <c r="C912" s="144"/>
      <c r="D912" s="145"/>
      <c r="E912" s="144">
        <v>29016</v>
      </c>
      <c r="F912" s="146"/>
      <c r="G912" s="337">
        <f>G913+G914</f>
        <v>0</v>
      </c>
      <c r="H912" s="152">
        <f>H913+H914</f>
        <v>0</v>
      </c>
      <c r="I912" s="152">
        <f t="shared" si="211"/>
        <v>0</v>
      </c>
    </row>
    <row r="913" spans="1:9" s="171" customFormat="1" ht="126" hidden="1">
      <c r="A913" s="148" t="str">
        <f>IF(B913&gt;0,VLOOKUP(B913,КВСР!A413:B1578,2),IF(C913&gt;0,VLOOKUP(C913,КФСР!A413:B1925,2),IF(D913&gt;0,VLOOKUP(D913,Программа!A$1:B$5091,2),IF(F913&gt;0,VLOOKUP(F913,КВР!A$1:B$5001,2),IF(E913&gt;0,VLOOKUP(E913,Направление!A$1:B$4750,2))))))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3" s="149"/>
      <c r="C913" s="144"/>
      <c r="D913" s="146"/>
      <c r="E913" s="144"/>
      <c r="F913" s="146">
        <v>100</v>
      </c>
      <c r="G913" s="337"/>
      <c r="H913" s="153"/>
      <c r="I913" s="152">
        <f t="shared" si="211"/>
        <v>0</v>
      </c>
    </row>
    <row r="914" spans="1:9" s="171" customFormat="1" ht="63" hidden="1">
      <c r="A914" s="148" t="str">
        <f>IF(B914&gt;0,VLOOKUP(B914,КВСР!A414:B1579,2),IF(C914&gt;0,VLOOKUP(C914,КФСР!A414:B1926,2),IF(D914&gt;0,VLOOKUP(D914,Программа!A$1:B$5091,2),IF(F914&gt;0,VLOOKUP(F914,КВР!A$1:B$5001,2),IF(E914&gt;0,VLOOKUP(E914,Направление!A$1:B$4750,2))))))</f>
        <v xml:space="preserve">Закупка товаров, работ и услуг для обеспечения государственных (муниципальных) нужд
</v>
      </c>
      <c r="B914" s="149"/>
      <c r="C914" s="144"/>
      <c r="D914" s="146"/>
      <c r="E914" s="144"/>
      <c r="F914" s="146">
        <v>200</v>
      </c>
      <c r="G914" s="337"/>
      <c r="H914" s="153"/>
      <c r="I914" s="152">
        <f t="shared" si="211"/>
        <v>0</v>
      </c>
    </row>
    <row r="915" spans="1:9" s="171" customFormat="1" ht="63" hidden="1">
      <c r="A915" s="148" t="str">
        <f>IF(B915&gt;0,VLOOKUP(B915,КВСР!A415:B1580,2),IF(C915&gt;0,VLOOKUP(C915,КФСР!A415:B1927,2),IF(D915&gt;0,VLOOKUP(D915,Программа!A$1:B$5091,2),IF(F915&gt;0,VLOOKUP(F915,КВР!A$1:B$5001,2),IF(E915&gt;0,VLOOKUP(E915,Направление!A$1:B$4750,2))))))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915" s="149"/>
      <c r="C915" s="144"/>
      <c r="D915" s="145" t="s">
        <v>539</v>
      </c>
      <c r="E915" s="144"/>
      <c r="F915" s="146"/>
      <c r="G915" s="337">
        <f t="shared" ref="G915:H918" si="212">G916</f>
        <v>0</v>
      </c>
      <c r="H915" s="152">
        <f t="shared" si="212"/>
        <v>0</v>
      </c>
      <c r="I915" s="152">
        <f t="shared" si="211"/>
        <v>0</v>
      </c>
    </row>
    <row r="916" spans="1:9" s="171" customFormat="1" ht="63" hidden="1">
      <c r="A916" s="148" t="str">
        <f>IF(B916&gt;0,VLOOKUP(B916,КВСР!A416:B1581,2),IF(C916&gt;0,VLOOKUP(C916,КФСР!A416:B1928,2),IF(D916&gt;0,VLOOKUP(D916,Программа!A$1:B$5091,2),IF(F916&gt;0,VLOOKUP(F916,КВР!A$1:B$5001,2),IF(E916&gt;0,VLOOKUP(E916,Направление!A$1:B$4750,2))))))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916" s="149"/>
      <c r="C916" s="144"/>
      <c r="D916" s="145" t="s">
        <v>592</v>
      </c>
      <c r="E916" s="144"/>
      <c r="F916" s="146"/>
      <c r="G916" s="337">
        <f t="shared" si="212"/>
        <v>0</v>
      </c>
      <c r="H916" s="152">
        <f t="shared" si="212"/>
        <v>0</v>
      </c>
      <c r="I916" s="152">
        <f t="shared" si="211"/>
        <v>0</v>
      </c>
    </row>
    <row r="917" spans="1:9" s="171" customFormat="1" ht="63" hidden="1">
      <c r="A917" s="148" t="str">
        <f>IF(B917&gt;0,VLOOKUP(B917,КВСР!A417:B1582,2),IF(C917&gt;0,VLOOKUP(C917,КФСР!A417:B1929,2),IF(D917&gt;0,VLOOKUP(D917,Программа!A$1:B$5091,2),IF(F917&gt;0,VLOOKUP(F917,КВР!A$1:B$5001,2),IF(E917&gt;0,VLOOKUP(E917,Направление!A$1:B$4750,2))))))</f>
        <v>Реализация мер по созданию целостной системы духовно-нравственного воспитания и просвещения населения</v>
      </c>
      <c r="B917" s="149"/>
      <c r="C917" s="144"/>
      <c r="D917" s="145" t="s">
        <v>594</v>
      </c>
      <c r="E917" s="144"/>
      <c r="F917" s="146"/>
      <c r="G917" s="337">
        <f t="shared" si="212"/>
        <v>0</v>
      </c>
      <c r="H917" s="152">
        <f t="shared" si="212"/>
        <v>0</v>
      </c>
      <c r="I917" s="152">
        <f t="shared" si="211"/>
        <v>0</v>
      </c>
    </row>
    <row r="918" spans="1:9" s="171" customFormat="1" ht="47.25" hidden="1">
      <c r="A918" s="148" t="str">
        <f>IF(B918&gt;0,VLOOKUP(B918,КВСР!A418:B1583,2),IF(C918&gt;0,VLOOKUP(C918,КФСР!A418:B1930,2),IF(D918&gt;0,VLOOKUP(D918,Программа!A$1:B$5091,2),IF(F918&gt;0,VLOOKUP(F918,КВР!A$1:B$5001,2),IF(E918&gt;0,VLOOKUP(E918,Направление!A$1:B$4750,2))))))</f>
        <v>Расходы на реализацию МЦП "Духовно - нравственное воспитание и просвещение населения ТМР"</v>
      </c>
      <c r="B918" s="149"/>
      <c r="C918" s="144"/>
      <c r="D918" s="145"/>
      <c r="E918" s="144">
        <v>13810</v>
      </c>
      <c r="F918" s="146"/>
      <c r="G918" s="337">
        <f t="shared" si="212"/>
        <v>0</v>
      </c>
      <c r="H918" s="152">
        <f t="shared" si="212"/>
        <v>0</v>
      </c>
      <c r="I918" s="152">
        <f t="shared" si="211"/>
        <v>0</v>
      </c>
    </row>
    <row r="919" spans="1:9" s="171" customFormat="1" ht="63" hidden="1">
      <c r="A919" s="148" t="str">
        <f>IF(B919&gt;0,VLOOKUP(B919,КВСР!A418:B1583,2),IF(C919&gt;0,VLOOKUP(C919,КФСР!A418:B1930,2),IF(D919&gt;0,VLOOKUP(D919,Программа!A$1:B$5091,2),IF(F919&gt;0,VLOOKUP(F919,КВР!A$1:B$5001,2),IF(E919&gt;0,VLOOKUP(E919,Направление!A$1:B$4750,2))))))</f>
        <v xml:space="preserve">Закупка товаров, работ и услуг для обеспечения государственных (муниципальных) нужд
</v>
      </c>
      <c r="B919" s="149"/>
      <c r="C919" s="144"/>
      <c r="D919" s="146"/>
      <c r="E919" s="144"/>
      <c r="F919" s="146">
        <v>200</v>
      </c>
      <c r="G919" s="337"/>
      <c r="H919" s="153"/>
      <c r="I919" s="152">
        <f t="shared" si="211"/>
        <v>0</v>
      </c>
    </row>
    <row r="920" spans="1:9" s="171" customFormat="1" ht="47.25">
      <c r="A920" s="148" t="str">
        <f>IF(B920&gt;0,VLOOKUP(B920,КВСР!A419:B1584,2),IF(C920&gt;0,VLOOKUP(C920,КФСР!A419:B1931,2),IF(D920&gt;0,VLOOKUP(D920,Программа!A$1:B$5091,2),IF(F920&gt;0,VLOOKUP(F920,КВР!A$1:B$5001,2),IF(E920&gt;0,VLOOKUP(E920,Направление!A$1:B$4750,2))))))</f>
        <v>Муниципальная программа "Социальная поддержка населения Тутаевского муниципального района"</v>
      </c>
      <c r="B920" s="149"/>
      <c r="C920" s="144"/>
      <c r="D920" s="145" t="s">
        <v>548</v>
      </c>
      <c r="E920" s="144"/>
      <c r="F920" s="146"/>
      <c r="G920" s="337">
        <f t="shared" ref="G920:H923" si="213">G921</f>
        <v>0</v>
      </c>
      <c r="H920" s="152">
        <f t="shared" si="213"/>
        <v>5000</v>
      </c>
      <c r="I920" s="152">
        <f t="shared" si="211"/>
        <v>5000</v>
      </c>
    </row>
    <row r="921" spans="1:9" s="171" customFormat="1" ht="63">
      <c r="A921" s="148" t="str">
        <f>IF(B921&gt;0,VLOOKUP(B921,КВСР!A420:B1585,2),IF(C921&gt;0,VLOOKUP(C921,КФСР!A420:B1932,2),IF(D921&gt;0,VLOOKUP(D921,Программа!A$1:B$5091,2),IF(F921&gt;0,VLOOKUP(F921,КВР!A$1:B$5001,2),IF(E921&gt;0,VLOOKUP(E921,Направление!A$1:B$4750,2))))))</f>
        <v>Муниципальная целевая программа "Улучшение условий и охраны труда" по Тутаевскому муниципальному району</v>
      </c>
      <c r="B921" s="149"/>
      <c r="C921" s="144"/>
      <c r="D921" s="145" t="s">
        <v>550</v>
      </c>
      <c r="E921" s="144"/>
      <c r="F921" s="146"/>
      <c r="G921" s="337">
        <f t="shared" si="213"/>
        <v>0</v>
      </c>
      <c r="H921" s="152">
        <f t="shared" si="213"/>
        <v>5000</v>
      </c>
      <c r="I921" s="152">
        <f t="shared" si="211"/>
        <v>5000</v>
      </c>
    </row>
    <row r="922" spans="1:9" s="171" customFormat="1" ht="47.25">
      <c r="A922" s="148" t="str">
        <f>IF(B922&gt;0,VLOOKUP(B922,КВСР!A421:B1586,2),IF(C922&gt;0,VLOOKUP(C922,КФСР!A421:B1933,2),IF(D922&gt;0,VLOOKUP(D922,Программа!A$1:B$5091,2),IF(F922&gt;0,VLOOKUP(F922,КВР!A$1:B$5001,2),IF(E922&gt;0,VLOOKUP(E922,Направление!A$1:B$4750,2))))))</f>
        <v>Обучение по охране труда работников организаций Тутаевского муниципального района</v>
      </c>
      <c r="B922" s="149"/>
      <c r="C922" s="144"/>
      <c r="D922" s="145" t="s">
        <v>1234</v>
      </c>
      <c r="E922" s="144"/>
      <c r="F922" s="146"/>
      <c r="G922" s="337">
        <f t="shared" si="213"/>
        <v>0</v>
      </c>
      <c r="H922" s="152">
        <f t="shared" si="213"/>
        <v>5000</v>
      </c>
      <c r="I922" s="152">
        <f t="shared" si="211"/>
        <v>5000</v>
      </c>
    </row>
    <row r="923" spans="1:9" s="171" customFormat="1" ht="31.5">
      <c r="A923" s="148" t="str">
        <f>IF(B923&gt;0,VLOOKUP(B923,КВСР!A422:B1587,2),IF(C923&gt;0,VLOOKUP(C923,КФСР!A422:B1934,2),IF(D923&gt;0,VLOOKUP(D923,Программа!A$1:B$5091,2),IF(F923&gt;0,VLOOKUP(F923,КВР!A$1:B$5001,2),IF(E923&gt;0,VLOOKUP(E923,Направление!A$1:B$4750,2))))))</f>
        <v>Расходы на реализацию МЦП "Улучшение условий и охраны труда"</v>
      </c>
      <c r="B923" s="149"/>
      <c r="C923" s="144"/>
      <c r="D923" s="145"/>
      <c r="E923" s="144">
        <v>16150</v>
      </c>
      <c r="F923" s="146"/>
      <c r="G923" s="337">
        <f t="shared" si="213"/>
        <v>0</v>
      </c>
      <c r="H923" s="152">
        <f t="shared" si="213"/>
        <v>5000</v>
      </c>
      <c r="I923" s="152">
        <f t="shared" si="211"/>
        <v>5000</v>
      </c>
    </row>
    <row r="924" spans="1:9" s="171" customFormat="1" ht="63">
      <c r="A924" s="148" t="str">
        <f>IF(B924&gt;0,VLOOKUP(B924,КВСР!A423:B1588,2),IF(C924&gt;0,VLOOKUP(C924,КФСР!A423:B1935,2),IF(D924&gt;0,VLOOKUP(D924,Программа!A$1:B$5091,2),IF(F924&gt;0,VLOOKUP(F924,КВР!A$1:B$5001,2),IF(E924&gt;0,VLOOKUP(E924,Направление!A$1:B$4750,2))))))</f>
        <v>Предоставление субсидий бюджетным, автономным учреждениям и иным некоммерческим организациям</v>
      </c>
      <c r="B924" s="149"/>
      <c r="C924" s="144"/>
      <c r="D924" s="145"/>
      <c r="E924" s="144"/>
      <c r="F924" s="146">
        <v>600</v>
      </c>
      <c r="G924" s="337"/>
      <c r="H924" s="153">
        <v>5000</v>
      </c>
      <c r="I924" s="152">
        <f t="shared" si="211"/>
        <v>5000</v>
      </c>
    </row>
    <row r="925" spans="1:9" s="171" customFormat="1" ht="94.5" hidden="1">
      <c r="A925" s="148" t="str">
        <f>IF(B925&gt;0,VLOOKUP(B925,КВСР!A424:B1589,2),IF(C925&gt;0,VLOOKUP(C925,КФСР!A424:B1936,2),IF(D925&gt;0,VLOOKUP(D925,Программа!A$1:B$5091,2),IF(F925&gt;0,VLOOKUP(F925,КВР!A$1:B$5001,2),IF(E925&gt;0,VLOOKUP(E925,Направление!A$1:B$4750,2))))))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925" s="149"/>
      <c r="C925" s="144"/>
      <c r="D925" s="145" t="s">
        <v>492</v>
      </c>
      <c r="E925" s="144"/>
      <c r="F925" s="146"/>
      <c r="G925" s="337">
        <f t="shared" ref="G925:H927" si="214">G926</f>
        <v>0</v>
      </c>
      <c r="H925" s="337">
        <f t="shared" si="214"/>
        <v>0</v>
      </c>
      <c r="I925" s="152">
        <f t="shared" si="211"/>
        <v>0</v>
      </c>
    </row>
    <row r="926" spans="1:9" s="171" customFormat="1" ht="78.75" hidden="1">
      <c r="A926" s="148" t="str">
        <f>IF(B926&gt;0,VLOOKUP(B926,КВСР!A425:B1590,2),IF(C926&gt;0,VLOOKUP(C926,КФСР!A425:B1937,2),IF(D926&gt;0,VLOOKUP(D926,Программа!A$1:B$5091,2),IF(F926&gt;0,VLOOKUP(F926,КВР!A$1:B$5001,2),IF(E926&gt;0,VLOOKUP(E926,Направление!A$1:B$4750,2))))))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26" s="149"/>
      <c r="C926" s="144"/>
      <c r="D926" s="145" t="s">
        <v>493</v>
      </c>
      <c r="E926" s="144"/>
      <c r="F926" s="146"/>
      <c r="G926" s="337">
        <f t="shared" si="214"/>
        <v>0</v>
      </c>
      <c r="H926" s="337">
        <f t="shared" si="214"/>
        <v>0</v>
      </c>
      <c r="I926" s="152">
        <f t="shared" si="211"/>
        <v>0</v>
      </c>
    </row>
    <row r="927" spans="1:9" s="171" customFormat="1" ht="31.5" hidden="1">
      <c r="A927" s="148" t="str">
        <f>IF(B927&gt;0,VLOOKUP(B927,КВСР!A426:B1591,2),IF(C927&gt;0,VLOOKUP(C927,КФСР!A426:B1938,2),IF(D927&gt;0,VLOOKUP(D927,Программа!A$1:B$5091,2),IF(F927&gt;0,VLOOKUP(F927,КВР!A$1:B$5001,2),IF(E927&gt;0,VLOOKUP(E927,Направление!A$1:B$4750,2))))))</f>
        <v>Расходы на развитие муниципальной службы</v>
      </c>
      <c r="B927" s="149"/>
      <c r="C927" s="144"/>
      <c r="D927" s="145"/>
      <c r="E927" s="144">
        <v>12200</v>
      </c>
      <c r="F927" s="146"/>
      <c r="G927" s="337">
        <f t="shared" si="214"/>
        <v>0</v>
      </c>
      <c r="H927" s="337">
        <f t="shared" si="214"/>
        <v>0</v>
      </c>
      <c r="I927" s="152">
        <f t="shared" si="211"/>
        <v>0</v>
      </c>
    </row>
    <row r="928" spans="1:9" s="171" customFormat="1" ht="63" hidden="1">
      <c r="A928" s="148" t="str">
        <f>IF(B928&gt;0,VLOOKUP(B928,КВСР!A427:B1592,2),IF(C928&gt;0,VLOOKUP(C928,КФСР!A427:B1939,2),IF(D928&gt;0,VLOOKUP(D928,Программа!A$1:B$5091,2),IF(F928&gt;0,VLOOKUP(F928,КВР!A$1:B$5001,2),IF(E928&gt;0,VLOOKUP(E928,Направление!A$1:B$4750,2))))))</f>
        <v xml:space="preserve">Закупка товаров, работ и услуг для обеспечения государственных (муниципальных) нужд
</v>
      </c>
      <c r="B928" s="149"/>
      <c r="C928" s="144"/>
      <c r="D928" s="145"/>
      <c r="E928" s="144"/>
      <c r="F928" s="146">
        <v>200</v>
      </c>
      <c r="G928" s="337"/>
      <c r="H928" s="153"/>
      <c r="I928" s="152">
        <f t="shared" si="211"/>
        <v>0</v>
      </c>
    </row>
    <row r="929" spans="1:9" s="171" customFormat="1" ht="63" hidden="1">
      <c r="A929" s="148" t="str">
        <f>IF(B929&gt;0,VLOOKUP(B929,КВСР!A428:B1593,2),IF(C929&gt;0,VLOOKUP(C929,КФСР!A428:B1940,2),IF(D929&gt;0,VLOOKUP(D929,Программа!A$1:B$5091,2),IF(F929&gt;0,VLOOKUP(F929,КВР!A$1:B$5001,2),IF(E929&gt;0,VLOOKUP(E929,Направление!A$1:B$4750,2))))))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929" s="149"/>
      <c r="C929" s="144"/>
      <c r="D929" s="145" t="s">
        <v>496</v>
      </c>
      <c r="E929" s="144"/>
      <c r="F929" s="146"/>
      <c r="G929" s="337">
        <f t="shared" ref="G929:H931" si="215">G930</f>
        <v>0</v>
      </c>
      <c r="H929" s="337">
        <f t="shared" si="215"/>
        <v>0</v>
      </c>
      <c r="I929" s="152">
        <f t="shared" si="211"/>
        <v>0</v>
      </c>
    </row>
    <row r="930" spans="1:9" s="171" customFormat="1" ht="31.5" hidden="1">
      <c r="A930" s="148" t="str">
        <f>IF(B930&gt;0,VLOOKUP(B930,КВСР!A429:B1594,2),IF(C930&gt;0,VLOOKUP(C930,КФСР!A429:B1941,2),IF(D930&gt;0,VLOOKUP(D930,Программа!A$1:B$5091,2),IF(F930&gt;0,VLOOKUP(F930,КВР!A$1:B$5001,2),IF(E930&gt;0,VLOOKUP(E930,Направление!A$1:B$4750,2))))))</f>
        <v>Бесперебойное функционирование информационных систем</v>
      </c>
      <c r="B930" s="149"/>
      <c r="C930" s="144"/>
      <c r="D930" s="145" t="s">
        <v>532</v>
      </c>
      <c r="E930" s="144"/>
      <c r="F930" s="146"/>
      <c r="G930" s="337">
        <f t="shared" si="215"/>
        <v>0</v>
      </c>
      <c r="H930" s="337">
        <f t="shared" si="215"/>
        <v>0</v>
      </c>
      <c r="I930" s="152">
        <f t="shared" si="211"/>
        <v>0</v>
      </c>
    </row>
    <row r="931" spans="1:9" s="171" customFormat="1" ht="31.5" hidden="1">
      <c r="A931" s="148" t="str">
        <f>IF(B931&gt;0,VLOOKUP(B931,КВСР!A430:B1595,2),IF(C931&gt;0,VLOOKUP(C931,КФСР!A430:B1942,2),IF(D931&gt;0,VLOOKUP(D931,Программа!A$1:B$5091,2),IF(F931&gt;0,VLOOKUP(F931,КВР!A$1:B$5001,2),IF(E931&gt;0,VLOOKUP(E931,Направление!A$1:B$4750,2))))))</f>
        <v>Расходы на проведение мероприятий по информатизации</v>
      </c>
      <c r="B931" s="149"/>
      <c r="C931" s="144"/>
      <c r="D931" s="145"/>
      <c r="E931" s="144">
        <v>12210</v>
      </c>
      <c r="F931" s="146"/>
      <c r="G931" s="337">
        <f t="shared" si="215"/>
        <v>0</v>
      </c>
      <c r="H931" s="337">
        <f t="shared" si="215"/>
        <v>0</v>
      </c>
      <c r="I931" s="152">
        <f t="shared" si="211"/>
        <v>0</v>
      </c>
    </row>
    <row r="932" spans="1:9" s="171" customFormat="1" ht="63" hidden="1">
      <c r="A932" s="148" t="str">
        <f>IF(B932&gt;0,VLOOKUP(B932,КВСР!A431:B1596,2),IF(C932&gt;0,VLOOKUP(C932,КФСР!A431:B1943,2),IF(D932&gt;0,VLOOKUP(D932,Программа!A$1:B$5091,2),IF(F932&gt;0,VLOOKUP(F932,КВР!A$1:B$5001,2),IF(E932&gt;0,VLOOKUP(E932,Направление!A$1:B$4750,2))))))</f>
        <v xml:space="preserve">Закупка товаров, работ и услуг для обеспечения государственных (муниципальных) нужд
</v>
      </c>
      <c r="B932" s="149"/>
      <c r="C932" s="144"/>
      <c r="D932" s="145"/>
      <c r="E932" s="144"/>
      <c r="F932" s="146">
        <v>200</v>
      </c>
      <c r="G932" s="337"/>
      <c r="H932" s="153"/>
      <c r="I932" s="152">
        <f t="shared" si="211"/>
        <v>0</v>
      </c>
    </row>
    <row r="933" spans="1:9" ht="63" hidden="1">
      <c r="A933" s="148" t="str">
        <f>IF(B933&gt;0,VLOOKUP(B933,КВСР!A433:B1598,2),IF(C933&gt;0,VLOOKUP(C933,КФСР!A433:B1945,2),IF(D933&gt;0,VLOOKUP(D933,Программа!A$1:B$5091,2),IF(F933&gt;0,VLOOKUP(F933,КВР!A$1:B$5001,2),IF(E933&gt;0,VLOOKUP(E933,Направление!A$1:B$4750,2))))))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33" s="149"/>
      <c r="C933" s="144"/>
      <c r="D933" s="145" t="s">
        <v>600</v>
      </c>
      <c r="E933" s="144"/>
      <c r="F933" s="146"/>
      <c r="G933" s="337">
        <f t="shared" ref="G933:H935" si="216">G934</f>
        <v>0</v>
      </c>
      <c r="H933" s="152">
        <f t="shared" si="216"/>
        <v>0</v>
      </c>
      <c r="I933" s="152">
        <f t="shared" si="211"/>
        <v>0</v>
      </c>
    </row>
    <row r="934" spans="1:9" ht="31.5" hidden="1">
      <c r="A934" s="148" t="str">
        <f>IF(B934&gt;0,VLOOKUP(B934,КВСР!A434:B1599,2),IF(C934&gt;0,VLOOKUP(C934,КФСР!A434:B1946,2),IF(D934&gt;0,VLOOKUP(D934,Программа!A$1:B$5091,2),IF(F934&gt;0,VLOOKUP(F934,КВР!A$1:B$5001,2),IF(E934&gt;0,VLOOKUP(E934,Направление!A$1:B$4750,2))))))</f>
        <v>Реализация мероприятий по профилактике правонарушений</v>
      </c>
      <c r="B934" s="149"/>
      <c r="C934" s="144"/>
      <c r="D934" s="145" t="s">
        <v>602</v>
      </c>
      <c r="E934" s="144"/>
      <c r="F934" s="146"/>
      <c r="G934" s="337">
        <f t="shared" si="216"/>
        <v>0</v>
      </c>
      <c r="H934" s="152">
        <f t="shared" si="216"/>
        <v>0</v>
      </c>
      <c r="I934" s="152">
        <f t="shared" si="211"/>
        <v>0</v>
      </c>
    </row>
    <row r="935" spans="1:9" ht="47.25" hidden="1">
      <c r="A935" s="148" t="str">
        <f>IF(B935&gt;0,VLOOKUP(B935,КВСР!A435:B1600,2),IF(C935&gt;0,VLOOKUP(C935,КФСР!A435:B1947,2),IF(D935&gt;0,VLOOKUP(D935,Программа!A$1:B$5091,2),IF(F935&gt;0,VLOOKUP(F935,КВР!A$1:B$5001,2),IF(E935&gt;0,VLOOKUP(E935,Направление!A$1:B$4750,2))))))</f>
        <v>Расходы на профилактику правонарушений и усиления борьбы с преступностью</v>
      </c>
      <c r="B935" s="149"/>
      <c r="C935" s="144"/>
      <c r="D935" s="145"/>
      <c r="E935" s="144">
        <v>12250</v>
      </c>
      <c r="F935" s="146"/>
      <c r="G935" s="337">
        <f t="shared" si="216"/>
        <v>0</v>
      </c>
      <c r="H935" s="152">
        <f t="shared" si="216"/>
        <v>0</v>
      </c>
      <c r="I935" s="152">
        <f t="shared" si="211"/>
        <v>0</v>
      </c>
    </row>
    <row r="936" spans="1:9" ht="63" hidden="1">
      <c r="A936" s="148" t="str">
        <f>IF(B936&gt;0,VLOOKUP(B936,КВСР!A436:B1601,2),IF(C936&gt;0,VLOOKUP(C936,КФСР!A436:B1948,2),IF(D936&gt;0,VLOOKUP(D936,Программа!A$1:B$5091,2),IF(F936&gt;0,VLOOKUP(F936,КВР!A$1:B$5001,2),IF(E936&gt;0,VLOOKUP(E936,Направление!A$1:B$4750,2))))))</f>
        <v>Предоставление субсидий бюджетным, автономным учреждениям и иным некоммерческим организациям</v>
      </c>
      <c r="B936" s="149"/>
      <c r="C936" s="144"/>
      <c r="D936" s="146"/>
      <c r="E936" s="144"/>
      <c r="F936" s="146">
        <v>600</v>
      </c>
      <c r="G936" s="337"/>
      <c r="H936" s="153"/>
      <c r="I936" s="152">
        <f t="shared" si="211"/>
        <v>0</v>
      </c>
    </row>
    <row r="937" spans="1:9">
      <c r="A937" s="148" t="str">
        <f>IF(B937&gt;0,VLOOKUP(B937,КВСР!A436:B1601,2),IF(C937&gt;0,VLOOKUP(C937,КФСР!A436:B1948,2),IF(D937&gt;0,VLOOKUP(D937,Программа!A$1:B$5091,2),IF(F937&gt;0,VLOOKUP(F937,КВР!A$1:B$5001,2),IF(E937&gt;0,VLOOKUP(E937,Направление!A$1:B$4750,2))))))</f>
        <v>Периодическая печать и издательства</v>
      </c>
      <c r="B937" s="149"/>
      <c r="C937" s="144">
        <v>1202</v>
      </c>
      <c r="D937" s="145"/>
      <c r="E937" s="144"/>
      <c r="F937" s="146"/>
      <c r="G937" s="337">
        <f t="shared" ref="G937:H939" si="217">G938</f>
        <v>3230000</v>
      </c>
      <c r="H937" s="152">
        <f t="shared" si="217"/>
        <v>-65000</v>
      </c>
      <c r="I937" s="152">
        <f t="shared" si="211"/>
        <v>3165000</v>
      </c>
    </row>
    <row r="938" spans="1:9">
      <c r="A938" s="148" t="str">
        <f>IF(B938&gt;0,VLOOKUP(B938,КВСР!A437:B1602,2),IF(C938&gt;0,VLOOKUP(C938,КФСР!A437:B1949,2),IF(D938&gt;0,VLOOKUP(D938,Программа!A$1:B$5091,2),IF(F938&gt;0,VLOOKUP(F938,КВР!A$1:B$5001,2),IF(E938&gt;0,VLOOKUP(E938,Направление!A$1:B$4750,2))))))</f>
        <v>Непрограммные расходы бюджета</v>
      </c>
      <c r="B938" s="149"/>
      <c r="C938" s="144"/>
      <c r="D938" s="145" t="s">
        <v>480</v>
      </c>
      <c r="E938" s="144"/>
      <c r="F938" s="146"/>
      <c r="G938" s="337">
        <f t="shared" si="217"/>
        <v>3230000</v>
      </c>
      <c r="H938" s="152">
        <f t="shared" si="217"/>
        <v>-65000</v>
      </c>
      <c r="I938" s="152">
        <f t="shared" si="211"/>
        <v>3165000</v>
      </c>
    </row>
    <row r="939" spans="1:9">
      <c r="A939" s="148" t="str">
        <f>IF(B939&gt;0,VLOOKUP(B939,КВСР!A438:B1603,2),IF(C939&gt;0,VLOOKUP(C939,КФСР!A438:B1950,2),IF(D939&gt;0,VLOOKUP(D939,Программа!A$1:B$5091,2),IF(F939&gt;0,VLOOKUP(F939,КВР!A$1:B$5001,2),IF(E939&gt;0,VLOOKUP(E939,Направление!A$1:B$4750,2))))))</f>
        <v xml:space="preserve">Поддержка периодических изданий </v>
      </c>
      <c r="B939" s="149"/>
      <c r="C939" s="144"/>
      <c r="D939" s="145"/>
      <c r="E939" s="144">
        <v>12750</v>
      </c>
      <c r="F939" s="146"/>
      <c r="G939" s="337">
        <f t="shared" si="217"/>
        <v>3230000</v>
      </c>
      <c r="H939" s="152">
        <f t="shared" si="217"/>
        <v>-65000</v>
      </c>
      <c r="I939" s="152">
        <f t="shared" si="211"/>
        <v>3165000</v>
      </c>
    </row>
    <row r="940" spans="1:9" ht="63">
      <c r="A940" s="148" t="str">
        <f>IF(B940&gt;0,VLOOKUP(B940,КВСР!A439:B1604,2),IF(C940&gt;0,VLOOKUP(C940,КФСР!A439:B1951,2),IF(D940&gt;0,VLOOKUP(D940,Программа!A$1:B$5091,2),IF(F940&gt;0,VLOOKUP(F940,КВР!A$1:B$5001,2),IF(E940&gt;0,VLOOKUP(E940,Направление!A$1:B$4750,2))))))</f>
        <v>Предоставление субсидий бюджетным, автономным учреждениям и иным некоммерческим организациям</v>
      </c>
      <c r="B940" s="149"/>
      <c r="C940" s="144"/>
      <c r="D940" s="146"/>
      <c r="E940" s="144"/>
      <c r="F940" s="146">
        <v>600</v>
      </c>
      <c r="G940" s="379">
        <v>3230000</v>
      </c>
      <c r="H940" s="151">
        <v>-65000</v>
      </c>
      <c r="I940" s="152">
        <f t="shared" si="211"/>
        <v>3165000</v>
      </c>
    </row>
    <row r="941" spans="1:9" ht="47.25">
      <c r="A941" s="142" t="str">
        <f>IF(B941&gt;0,VLOOKUP(B941,КВСР!A440:B1605,2),IF(C941&gt;0,VLOOKUP(C941,КФСР!A440:B1952,2),IF(D941&gt;0,VLOOKUP(D941,Программа!A$1:B$5091,2),IF(F941&gt;0,VLOOKUP(F941,КВР!A$1:B$5001,2),IF(E941&gt;0,VLOOKUP(E941,Направление!A$1:B$4750,2))))))</f>
        <v>Департамент ЖКХ и строительства Администрации ТМР</v>
      </c>
      <c r="B941" s="143">
        <v>958</v>
      </c>
      <c r="C941" s="144"/>
      <c r="D941" s="145"/>
      <c r="E941" s="144"/>
      <c r="F941" s="146"/>
      <c r="G941" s="555">
        <f>G942+G948</f>
        <v>826658</v>
      </c>
      <c r="H941" s="555">
        <f t="shared" ref="H941:I941" si="218">H942+H948</f>
        <v>0</v>
      </c>
      <c r="I941" s="555">
        <f t="shared" si="218"/>
        <v>826658</v>
      </c>
    </row>
    <row r="942" spans="1:9" ht="31.5">
      <c r="A942" s="148" t="str">
        <f>IF(B942&gt;0,VLOOKUP(B942,КВСР!A481:B1646,2),IF(C942&gt;0,VLOOKUP(C942,КФСР!A481:B1993,2),IF(D942&gt;0,VLOOKUP(D942,Программа!A$1:B$5091,2),IF(F942&gt;0,VLOOKUP(F942,КВР!A$1:B$5001,2),IF(E942&gt;0,VLOOKUP(E942,Направление!A$1:B$4750,2))))))</f>
        <v>Другие вопросы в области жилищно-коммунального хозяйства</v>
      </c>
      <c r="B942" s="145"/>
      <c r="C942" s="144">
        <v>505</v>
      </c>
      <c r="D942" s="145"/>
      <c r="E942" s="144"/>
      <c r="F942" s="146"/>
      <c r="G942" s="379">
        <f>G943</f>
        <v>794576</v>
      </c>
      <c r="H942" s="379">
        <f t="shared" ref="H942:I943" si="219">H943</f>
        <v>0</v>
      </c>
      <c r="I942" s="379">
        <f t="shared" si="219"/>
        <v>794576</v>
      </c>
    </row>
    <row r="943" spans="1:9">
      <c r="A943" s="148" t="str">
        <f>IF(B943&gt;0,VLOOKUP(B943,КВСР!A482:B1647,2),IF(C943&gt;0,VLOOKUP(C943,КФСР!A482:B1994,2),IF(D943&gt;0,VLOOKUP(D943,Программа!A$1:B$5091,2),IF(F943&gt;0,VLOOKUP(F943,КВР!A$1:B$5001,2),IF(E943&gt;0,VLOOKUP(E943,Направление!A$1:B$4750,2))))))</f>
        <v>Непрограммные расходы бюджета</v>
      </c>
      <c r="B943" s="149"/>
      <c r="C943" s="144"/>
      <c r="D943" s="145" t="s">
        <v>480</v>
      </c>
      <c r="E943" s="144"/>
      <c r="F943" s="146"/>
      <c r="G943" s="379">
        <f>G944</f>
        <v>794576</v>
      </c>
      <c r="H943" s="379">
        <f t="shared" si="219"/>
        <v>0</v>
      </c>
      <c r="I943" s="379">
        <f t="shared" si="219"/>
        <v>794576</v>
      </c>
    </row>
    <row r="944" spans="1:9">
      <c r="A944" s="148" t="str">
        <f>IF(B944&gt;0,VLOOKUP(B944,КВСР!A483:B1648,2),IF(C944&gt;0,VLOOKUP(C944,КФСР!A483:B1995,2),IF(D944&gt;0,VLOOKUP(D944,Программа!A$1:B$5091,2),IF(F944&gt;0,VLOOKUP(F944,КВР!A$1:B$5001,2),IF(E944&gt;0,VLOOKUP(E944,Направление!A$1:B$4750,2))))))</f>
        <v>Содержание центрального аппарата</v>
      </c>
      <c r="B944" s="149"/>
      <c r="C944" s="144"/>
      <c r="D944" s="145"/>
      <c r="E944" s="144">
        <v>12010</v>
      </c>
      <c r="F944" s="146"/>
      <c r="G944" s="379">
        <f>G945+G946+G947</f>
        <v>794576</v>
      </c>
      <c r="H944" s="379">
        <f t="shared" ref="H944:I944" si="220">H945+H946+H947</f>
        <v>0</v>
      </c>
      <c r="I944" s="379">
        <f t="shared" si="220"/>
        <v>794576</v>
      </c>
    </row>
    <row r="945" spans="1:9" ht="63">
      <c r="A945" s="148" t="str">
        <f>IF(B945&gt;0,VLOOKUP(B945,КВСР!A485:B1650,2),IF(C945&gt;0,VLOOKUP(C945,КФСР!A485:B1997,2),IF(D945&gt;0,VLOOKUP(D945,Программа!A$1:B$5091,2),IF(F945&gt;0,VLOOKUP(F945,КВР!A$1:B$5001,2),IF(E945&gt;0,VLOOKUP(E945,Направление!A$1:B$4750,2))))))</f>
        <v xml:space="preserve">Закупка товаров, работ и услуг для обеспечения государственных (муниципальных) нужд
</v>
      </c>
      <c r="B945" s="149"/>
      <c r="C945" s="144"/>
      <c r="D945" s="146"/>
      <c r="E945" s="144"/>
      <c r="F945" s="146">
        <v>200</v>
      </c>
      <c r="G945" s="379">
        <v>171166</v>
      </c>
      <c r="H945" s="151">
        <v>-16500</v>
      </c>
      <c r="I945" s="152">
        <f t="shared" ref="I945:I946" si="221">SUM(G945:H945)</f>
        <v>154666</v>
      </c>
    </row>
    <row r="946" spans="1:9" ht="31.5">
      <c r="A946" s="148" t="str">
        <f>IF(B946&gt;0,VLOOKUP(B946,КВСР!A486:B1651,2),IF(C946&gt;0,VLOOKUP(C946,КФСР!A486:B1998,2),IF(D946&gt;0,VLOOKUP(D946,Программа!A$1:B$5091,2),IF(F946&gt;0,VLOOKUP(F946,КВР!A$1:B$5001,2),IF(E946&gt;0,VLOOKUP(E946,Направление!A$1:B$4750,2))))))</f>
        <v>Социальное обеспечение и иные выплаты населению</v>
      </c>
      <c r="B946" s="149"/>
      <c r="C946" s="144"/>
      <c r="D946" s="146"/>
      <c r="E946" s="144"/>
      <c r="F946" s="146">
        <v>300</v>
      </c>
      <c r="G946" s="379">
        <v>594000</v>
      </c>
      <c r="H946" s="151"/>
      <c r="I946" s="152">
        <f t="shared" si="221"/>
        <v>594000</v>
      </c>
    </row>
    <row r="947" spans="1:9">
      <c r="A947" s="148" t="str">
        <f>IF(B947&gt;0,VLOOKUP(B947,КВСР!A487:B1652,2),IF(C947&gt;0,VLOOKUP(C947,КФСР!A487:B1999,2),IF(D947&gt;0,VLOOKUP(D947,Программа!A$1:B$5091,2),IF(F947&gt;0,VLOOKUP(F947,КВР!A$1:B$5001,2),IF(E947&gt;0,VLOOKUP(E947,Направление!A$1:B$4750,2))))))</f>
        <v>Иные бюджетные ассигнования</v>
      </c>
      <c r="B947" s="149"/>
      <c r="C947" s="144"/>
      <c r="D947" s="146"/>
      <c r="E947" s="144"/>
      <c r="F947" s="146">
        <v>800</v>
      </c>
      <c r="G947" s="379">
        <v>29410</v>
      </c>
      <c r="H947" s="153">
        <v>16500</v>
      </c>
      <c r="I947" s="152">
        <f>G947+H947</f>
        <v>45910</v>
      </c>
    </row>
    <row r="948" spans="1:9">
      <c r="A948" s="148" t="str">
        <f>IF(B948&gt;0,VLOOKUP(B948,КВСР!A504:B1669,2),IF(C948&gt;0,VLOOKUP(C948,КФСР!A504:B2016,2),IF(D948&gt;0,VLOOKUP(D948,Программа!A$1:B$5091,2),IF(F948&gt;0,VLOOKUP(F948,КВР!A$1:B$5001,2),IF(E948&gt;0,VLOOKUP(E948,Направление!A$1:B$4750,2))))))</f>
        <v>Социальное обеспечение населения</v>
      </c>
      <c r="B948" s="149"/>
      <c r="C948" s="144">
        <v>1003</v>
      </c>
      <c r="D948" s="146"/>
      <c r="E948" s="144"/>
      <c r="F948" s="146"/>
      <c r="G948" s="337">
        <f>G949</f>
        <v>32082</v>
      </c>
      <c r="H948" s="371">
        <f>H949</f>
        <v>0</v>
      </c>
      <c r="I948" s="152">
        <f t="shared" ref="I948:I966" si="222">SUM(G948:H948)</f>
        <v>32082</v>
      </c>
    </row>
    <row r="949" spans="1:9" ht="47.25">
      <c r="A949" s="148" t="str">
        <f>IF(B949&gt;0,VLOOKUP(B949,КВСР!A505:B1670,2),IF(C949&gt;0,VLOOKUP(C949,КФСР!A505:B2017,2),IF(D949&gt;0,VLOOKUP(D949,Программа!A$1:B$5091,2),IF(F949&gt;0,VLOOKUP(F949,КВР!A$1:B$5001,2),IF(E949&gt;0,VLOOKUP(E949,Направление!A$1:B$4750,2))))))</f>
        <v>Муниципальная программа "Социальная поддержка населения Тутаевского муниципального района"</v>
      </c>
      <c r="B949" s="149"/>
      <c r="C949" s="144"/>
      <c r="D949" s="146" t="s">
        <v>548</v>
      </c>
      <c r="E949" s="144"/>
      <c r="F949" s="146"/>
      <c r="G949" s="337">
        <f>G950</f>
        <v>32082</v>
      </c>
      <c r="H949" s="337">
        <f t="shared" ref="H949:I949" si="223">H950</f>
        <v>0</v>
      </c>
      <c r="I949" s="337">
        <f t="shared" si="223"/>
        <v>32082</v>
      </c>
    </row>
    <row r="950" spans="1:9" ht="63">
      <c r="A950" s="148" t="str">
        <f>IF(B950&gt;0,VLOOKUP(B950,КВСР!A506:B1671,2),IF(C950&gt;0,VLOOKUP(C950,КФСР!A506:B2018,2),IF(D950&gt;0,VLOOKUP(D950,Программа!A$1:B$5091,2),IF(F950&gt;0,VLOOKUP(F950,КВР!A$1:B$5001,2),IF(E950&gt;0,VLOOKUP(E950,Направление!A$1:B$4750,2))))))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950" s="149"/>
      <c r="C950" s="144"/>
      <c r="D950" s="145" t="s">
        <v>620</v>
      </c>
      <c r="E950" s="144"/>
      <c r="F950" s="146"/>
      <c r="G950" s="379">
        <f>G951</f>
        <v>32082</v>
      </c>
      <c r="H950" s="379">
        <f t="shared" ref="H950:I950" si="224">H951</f>
        <v>0</v>
      </c>
      <c r="I950" s="379">
        <f t="shared" si="224"/>
        <v>32082</v>
      </c>
    </row>
    <row r="951" spans="1:9" ht="47.25">
      <c r="A951" s="148" t="str">
        <f>IF(B951&gt;0,VLOOKUP(B951,КВСР!A509:B1674,2),IF(C951&gt;0,VLOOKUP(C951,КФСР!A509:B2021,2),IF(D951&gt;0,VLOOKUP(D951,Программа!A$1:B$5091,2),IF(F951&gt;0,VLOOKUP(F951,КВР!A$1:B$5001,2),IF(E951&gt;0,VLOOKUP(E951,Направление!A$1:B$4750,2))))))</f>
        <v>Исполнение публичных обязательств по предоставлению выплат, пособий и компенсаций</v>
      </c>
      <c r="B951" s="149"/>
      <c r="C951" s="144"/>
      <c r="D951" s="145" t="s">
        <v>622</v>
      </c>
      <c r="E951" s="144"/>
      <c r="F951" s="146"/>
      <c r="G951" s="379">
        <f>G952</f>
        <v>32082</v>
      </c>
      <c r="H951" s="158">
        <f>H952</f>
        <v>0</v>
      </c>
      <c r="I951" s="152">
        <f t="shared" si="222"/>
        <v>32082</v>
      </c>
    </row>
    <row r="952" spans="1:9" ht="84" customHeight="1">
      <c r="A952" s="148" t="str">
        <f>IF(B952&gt;0,VLOOKUP(B952,КВСР!A510:B1675,2),IF(C952&gt;0,VLOOKUP(C952,КФСР!A510:B2022,2),IF(D952&gt;0,VLOOKUP(D952,Программа!A$1:B$5091,2),IF(F952&gt;0,VLOOKUP(F952,КВР!A$1:B$5001,2),IF(E952&gt;0,VLOOKUP(E952,Направление!A$1:B$4750,2))))))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952" s="149"/>
      <c r="C952" s="144"/>
      <c r="D952" s="146"/>
      <c r="E952" s="144">
        <v>72560</v>
      </c>
      <c r="F952" s="146"/>
      <c r="G952" s="379">
        <f>G953</f>
        <v>32082</v>
      </c>
      <c r="H952" s="158">
        <f>H953</f>
        <v>0</v>
      </c>
      <c r="I952" s="152">
        <f t="shared" si="222"/>
        <v>32082</v>
      </c>
    </row>
    <row r="953" spans="1:9">
      <c r="A953" s="148" t="str">
        <f>IF(B953&gt;0,VLOOKUP(B953,КВСР!A511:B1676,2),IF(C953&gt;0,VLOOKUP(C953,КФСР!A511:B2023,2),IF(D953&gt;0,VLOOKUP(D953,Программа!A$1:B$5091,2),IF(F953&gt;0,VLOOKUP(F953,КВР!A$1:B$5001,2),IF(E953&gt;0,VLOOKUP(E953,Направление!A$1:B$4750,2))))))</f>
        <v>Иные бюджетные ассигнования</v>
      </c>
      <c r="B953" s="149"/>
      <c r="C953" s="144"/>
      <c r="D953" s="146"/>
      <c r="E953" s="144"/>
      <c r="F953" s="146">
        <v>800</v>
      </c>
      <c r="G953" s="379">
        <v>32082</v>
      </c>
      <c r="H953" s="151"/>
      <c r="I953" s="152">
        <f t="shared" si="222"/>
        <v>32082</v>
      </c>
    </row>
    <row r="954" spans="1:9" ht="31.5">
      <c r="A954" s="142" t="str">
        <f>IF(B954&gt;0,VLOOKUP(B954,КВСР!A527:B1692,2),IF(C954&gt;0,VLOOKUP(C954,КФСР!A527:B2039,2),IF(D954&gt;0,VLOOKUP(D954,Программа!A$1:B$5091,2),IF(F954&gt;0,VLOOKUP(F954,КВР!A$1:B$5001,2),IF(E954&gt;0,VLOOKUP(E954,Направление!A$1:B$4750,2))))))</f>
        <v>МУ Контрольно-счетная палата ТМР</v>
      </c>
      <c r="B954" s="143">
        <v>982</v>
      </c>
      <c r="C954" s="176"/>
      <c r="D954" s="177"/>
      <c r="E954" s="176"/>
      <c r="F954" s="178"/>
      <c r="G954" s="147">
        <f>G955</f>
        <v>1365144</v>
      </c>
      <c r="H954" s="147">
        <f>H955</f>
        <v>0</v>
      </c>
      <c r="I954" s="445">
        <f t="shared" si="222"/>
        <v>1365144</v>
      </c>
    </row>
    <row r="955" spans="1:9" ht="78.75">
      <c r="A955" s="148" t="str">
        <f>IF(B955&gt;0,VLOOKUP(B955,КВСР!A528:B1693,2),IF(C955&gt;0,VLOOKUP(C955,КФСР!A528:B2040,2),IF(D955&gt;0,VLOOKUP(D955,Программа!A$1:B$5091,2),IF(F955&gt;0,VLOOKUP(F955,КВР!A$1:B$5001,2),IF(E955&gt;0,VLOOKUP(E955,Направление!A$1:B$4750,2))))))</f>
        <v>Обеспечение деятельности финансовых, налоговых и таможенных органов и органов финансового (финансово-бюджетного) надзора</v>
      </c>
      <c r="B955" s="173"/>
      <c r="C955" s="144">
        <v>106</v>
      </c>
      <c r="D955" s="167"/>
      <c r="E955" s="168"/>
      <c r="F955" s="170"/>
      <c r="G955" s="150">
        <f>G956</f>
        <v>1365144</v>
      </c>
      <c r="H955" s="150">
        <f>H956</f>
        <v>0</v>
      </c>
      <c r="I955" s="152">
        <f t="shared" si="222"/>
        <v>1365144</v>
      </c>
    </row>
    <row r="956" spans="1:9">
      <c r="A956" s="148" t="str">
        <f>IF(B956&gt;0,VLOOKUP(B956,КВСР!A529:B1694,2),IF(C956&gt;0,VLOOKUP(C956,КФСР!A529:B2041,2),IF(D956&gt;0,VLOOKUP(D956,Программа!A$1:B$5091,2),IF(F956&gt;0,VLOOKUP(F956,КВР!A$1:B$5001,2),IF(E956&gt;0,VLOOKUP(E956,Направление!A$1:B$4750,2))))))</f>
        <v>Непрограммные расходы бюджета</v>
      </c>
      <c r="B956" s="173"/>
      <c r="C956" s="144"/>
      <c r="D956" s="167" t="s">
        <v>480</v>
      </c>
      <c r="E956" s="168"/>
      <c r="F956" s="170"/>
      <c r="G956" s="150">
        <f>G957+G962+G964</f>
        <v>1365144</v>
      </c>
      <c r="H956" s="150">
        <f>H957+H962+H964</f>
        <v>0</v>
      </c>
      <c r="I956" s="152">
        <f t="shared" si="222"/>
        <v>1365144</v>
      </c>
    </row>
    <row r="957" spans="1:9">
      <c r="A957" s="148" t="str">
        <f>IF(B957&gt;0,VLOOKUP(B957,КВСР!A530:B1695,2),IF(C957&gt;0,VLOOKUP(C957,КФСР!A530:B2042,2),IF(D957&gt;0,VLOOKUP(D957,Программа!A$1:B$5091,2),IF(F957&gt;0,VLOOKUP(F957,КВР!A$1:B$5001,2),IF(E957&gt;0,VLOOKUP(E957,Направление!A$1:B$4750,2))))))</f>
        <v>Содержание центрального аппарата</v>
      </c>
      <c r="B957" s="173"/>
      <c r="C957" s="168"/>
      <c r="D957" s="145"/>
      <c r="E957" s="144">
        <v>12010</v>
      </c>
      <c r="F957" s="170"/>
      <c r="G957" s="150">
        <f>G958+G959+G960+G961</f>
        <v>444004</v>
      </c>
      <c r="H957" s="150">
        <f>H958+H959+H960+H961</f>
        <v>0</v>
      </c>
      <c r="I957" s="152">
        <f t="shared" si="222"/>
        <v>444004</v>
      </c>
    </row>
    <row r="958" spans="1:9" ht="126">
      <c r="A958" s="148" t="str">
        <f>IF(B958&gt;0,VLOOKUP(B958,КВСР!A531:B1696,2),IF(C958&gt;0,VLOOKUP(C958,КФСР!A531:B2043,2),IF(D958&gt;0,VLOOKUP(D958,Программа!A$1:B$5091,2),IF(F958&gt;0,VLOOKUP(F958,КВР!A$1:B$5001,2),IF(E958&gt;0,VLOOKUP(E958,Направление!A$1:B$4750,2))))))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8" s="173"/>
      <c r="C958" s="168"/>
      <c r="D958" s="170"/>
      <c r="E958" s="168"/>
      <c r="F958" s="170">
        <v>100</v>
      </c>
      <c r="G958" s="379">
        <v>406841</v>
      </c>
      <c r="H958" s="151"/>
      <c r="I958" s="152">
        <f t="shared" si="222"/>
        <v>406841</v>
      </c>
    </row>
    <row r="959" spans="1:9" ht="63">
      <c r="A959" s="148" t="str">
        <f>IF(B959&gt;0,VLOOKUP(B959,КВСР!A532:B1697,2),IF(C959&gt;0,VLOOKUP(C959,КФСР!A532:B2044,2),IF(D959&gt;0,VLOOKUP(D959,Программа!A$1:B$5091,2),IF(F959&gt;0,VLOOKUP(F959,КВР!A$1:B$5001,2),IF(E959&gt;0,VLOOKUP(E959,Направление!A$1:B$4750,2))))))</f>
        <v xml:space="preserve">Закупка товаров, работ и услуг для обеспечения государственных (муниципальных) нужд
</v>
      </c>
      <c r="B959" s="173"/>
      <c r="C959" s="168"/>
      <c r="D959" s="170"/>
      <c r="E959" s="168"/>
      <c r="F959" s="170">
        <v>200</v>
      </c>
      <c r="G959" s="379">
        <v>5000</v>
      </c>
      <c r="H959" s="151"/>
      <c r="I959" s="152">
        <f t="shared" si="222"/>
        <v>5000</v>
      </c>
    </row>
    <row r="960" spans="1:9" ht="31.5">
      <c r="A960" s="148" t="str">
        <f>IF(B960&gt;0,VLOOKUP(B960,КВСР!A533:B1698,2),IF(C960&gt;0,VLOOKUP(C960,КФСР!A533:B2045,2),IF(D960&gt;0,VLOOKUP(D960,Программа!A$1:B$5091,2),IF(F960&gt;0,VLOOKUP(F960,КВР!A$1:B$5001,2),IF(E960&gt;0,VLOOKUP(E960,Направление!A$1:B$4750,2))))))</f>
        <v>Социальное обеспечение и иные выплаты населению</v>
      </c>
      <c r="B960" s="173"/>
      <c r="C960" s="168"/>
      <c r="D960" s="170"/>
      <c r="E960" s="168"/>
      <c r="F960" s="170">
        <v>300</v>
      </c>
      <c r="G960" s="379">
        <v>24504</v>
      </c>
      <c r="H960" s="151"/>
      <c r="I960" s="152">
        <f t="shared" si="222"/>
        <v>24504</v>
      </c>
    </row>
    <row r="961" spans="1:9">
      <c r="A961" s="148" t="str">
        <f>IF(B961&gt;0,VLOOKUP(B961,КВСР!A534:B1699,2),IF(C961&gt;0,VLOOKUP(C961,КФСР!A534:B2046,2),IF(D961&gt;0,VLOOKUP(D961,Программа!A$1:B$5091,2),IF(F961&gt;0,VLOOKUP(F961,КВР!A$1:B$5001,2),IF(E961&gt;0,VLOOKUP(E961,Направление!A$1:B$4750,2))))))</f>
        <v>Иные бюджетные ассигнования</v>
      </c>
      <c r="B961" s="173"/>
      <c r="C961" s="168"/>
      <c r="D961" s="170"/>
      <c r="E961" s="168"/>
      <c r="F961" s="170">
        <v>800</v>
      </c>
      <c r="G961" s="379">
        <v>7659</v>
      </c>
      <c r="H961" s="151"/>
      <c r="I961" s="152">
        <f t="shared" si="222"/>
        <v>7659</v>
      </c>
    </row>
    <row r="962" spans="1:9" ht="63">
      <c r="A962" s="148" t="str">
        <f>IF(B962&gt;0,VLOOKUP(B962,КВСР!A534:B1699,2),IF(C962&gt;0,VLOOKUP(C962,КФСР!A534:B2046,2),IF(D962&gt;0,VLOOKUP(D962,Программа!A$1:B$5091,2),IF(F962&gt;0,VLOOKUP(F962,КВР!A$1:B$5001,2),IF(E962&gt;0,VLOOKUP(E962,Направление!A$1:B$4750,2))))))</f>
        <v>Содержание руководителя контрольно-счетной палаты муниципального образования и его заместителей</v>
      </c>
      <c r="B962" s="173"/>
      <c r="C962" s="168"/>
      <c r="D962" s="167"/>
      <c r="E962" s="168">
        <v>12030</v>
      </c>
      <c r="F962" s="170"/>
      <c r="G962" s="379">
        <f>G963</f>
        <v>868045</v>
      </c>
      <c r="H962" s="150">
        <f>H963</f>
        <v>0</v>
      </c>
      <c r="I962" s="152">
        <f t="shared" si="222"/>
        <v>868045</v>
      </c>
    </row>
    <row r="963" spans="1:9" ht="126">
      <c r="A963" s="148" t="str">
        <f>IF(B963&gt;0,VLOOKUP(B963,КВСР!A535:B1700,2),IF(C963&gt;0,VLOOKUP(C963,КФСР!A535:B2047,2),IF(D963&gt;0,VLOOKUP(D963,Программа!A$1:B$5091,2),IF(F963&gt;0,VLOOKUP(F963,КВР!A$1:B$5001,2),IF(E963&gt;0,VLOOKUP(E963,Направление!A$1:B$4750,2))))))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3" s="173"/>
      <c r="C963" s="168"/>
      <c r="D963" s="170"/>
      <c r="E963" s="168"/>
      <c r="F963" s="170">
        <v>100</v>
      </c>
      <c r="G963" s="379">
        <v>868045</v>
      </c>
      <c r="H963" s="151"/>
      <c r="I963" s="152">
        <f t="shared" si="222"/>
        <v>868045</v>
      </c>
    </row>
    <row r="964" spans="1:9" ht="47.25">
      <c r="A964" s="148" t="str">
        <f>IF(B964&gt;0,VLOOKUP(B964,КВСР!A536:B1701,2),IF(C964&gt;0,VLOOKUP(C964,КФСР!A536:B2048,2),IF(D964&gt;0,VLOOKUP(D964,Программа!A$1:B$5091,2),IF(F964&gt;0,VLOOKUP(F964,КВР!A$1:B$5001,2),IF(E964&gt;0,VLOOKUP(E964,Направление!A$1:B$4750,2))))))</f>
        <v>Содержание органов местного самоуправления за счет средств поселений</v>
      </c>
      <c r="B964" s="173"/>
      <c r="C964" s="168"/>
      <c r="D964" s="170"/>
      <c r="E964" s="168">
        <v>29016</v>
      </c>
      <c r="F964" s="170"/>
      <c r="G964" s="379">
        <f>G966+G965</f>
        <v>53095</v>
      </c>
      <c r="H964" s="150">
        <f>H966+H965</f>
        <v>0</v>
      </c>
      <c r="I964" s="152">
        <f t="shared" si="222"/>
        <v>53095</v>
      </c>
    </row>
    <row r="965" spans="1:9" ht="126">
      <c r="A965" s="148" t="str">
        <f>IF(B965&gt;0,VLOOKUP(B965,КВСР!A537:B1702,2),IF(C965&gt;0,VLOOKUP(C965,КФСР!A537:B2049,2),IF(D965&gt;0,VLOOKUP(D965,Программа!A$1:B$5091,2),IF(F965&gt;0,VLOOKUP(F965,КВР!A$1:B$5001,2),IF(E965&gt;0,VLOOKUP(E965,Направление!A$1:B$4750,2))))))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5" s="173"/>
      <c r="C965" s="168"/>
      <c r="D965" s="170"/>
      <c r="E965" s="168"/>
      <c r="F965" s="170">
        <v>100</v>
      </c>
      <c r="G965" s="379">
        <v>48268</v>
      </c>
      <c r="H965" s="164"/>
      <c r="I965" s="152">
        <f t="shared" si="222"/>
        <v>48268</v>
      </c>
    </row>
    <row r="966" spans="1:9" ht="63">
      <c r="A966" s="148" t="str">
        <f>IF(B966&gt;0,VLOOKUP(B966,КВСР!A537:B1702,2),IF(C966&gt;0,VLOOKUP(C966,КФСР!A537:B2049,2),IF(D966&gt;0,VLOOKUP(D966,Программа!A$1:B$5091,2),IF(F966&gt;0,VLOOKUP(F966,КВР!A$1:B$5001,2),IF(E966&gt;0,VLOOKUP(E966,Направление!A$1:B$4750,2))))))</f>
        <v xml:space="preserve">Закупка товаров, работ и услуг для обеспечения государственных (муниципальных) нужд
</v>
      </c>
      <c r="B966" s="173"/>
      <c r="C966" s="168"/>
      <c r="D966" s="170"/>
      <c r="E966" s="168"/>
      <c r="F966" s="170">
        <v>200</v>
      </c>
      <c r="G966" s="379">
        <v>4827</v>
      </c>
      <c r="H966" s="151"/>
      <c r="I966" s="152">
        <f t="shared" si="222"/>
        <v>4827</v>
      </c>
    </row>
    <row r="967" spans="1:9">
      <c r="A967" s="179" t="s">
        <v>165</v>
      </c>
      <c r="B967" s="145"/>
      <c r="C967" s="145"/>
      <c r="D967" s="146"/>
      <c r="E967" s="144"/>
      <c r="F967" s="145"/>
      <c r="G967" s="555">
        <f>SUM(G10+G313+G360+G606+G742+G789+G941+G954)</f>
        <v>2125452745</v>
      </c>
      <c r="H967" s="147">
        <f>SUM(H10+H313+H360+H606+H742+H789+H941+H954)</f>
        <v>28316985</v>
      </c>
      <c r="I967" s="445">
        <f t="shared" ref="I967" si="225">SUM(G967:H967)</f>
        <v>2153769730</v>
      </c>
    </row>
    <row r="971" spans="1:9">
      <c r="G971" s="180"/>
    </row>
  </sheetData>
  <autoFilter ref="A8:I967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7"/>
  <sheetViews>
    <sheetView showGridLines="0" view="pageBreakPreview" zoomScaleSheetLayoutView="100" workbookViewId="0">
      <selection activeCell="A2" sqref="A2:L2"/>
    </sheetView>
  </sheetViews>
  <sheetFormatPr defaultColWidth="9.140625" defaultRowHeight="12.75"/>
  <cols>
    <col min="1" max="1" width="32.85546875" style="43" customWidth="1"/>
    <col min="2" max="2" width="7.5703125" style="43" customWidth="1"/>
    <col min="3" max="3" width="6.85546875" style="43" customWidth="1"/>
    <col min="4" max="4" width="12" style="181" customWidth="1"/>
    <col min="5" max="5" width="7.5703125" style="182" bestFit="1" customWidth="1"/>
    <col min="6" max="6" width="7.28515625" style="43" customWidth="1"/>
    <col min="7" max="7" width="14" style="413" hidden="1" customWidth="1"/>
    <col min="8" max="8" width="15.85546875" style="43" hidden="1" customWidth="1"/>
    <col min="9" max="9" width="14.140625" style="43" customWidth="1"/>
    <col min="10" max="10" width="14.140625" style="413" hidden="1" customWidth="1"/>
    <col min="11" max="11" width="14.140625" style="43" hidden="1" customWidth="1"/>
    <col min="12" max="12" width="14.140625" style="43" customWidth="1"/>
    <col min="13" max="16384" width="9.140625" style="43"/>
  </cols>
  <sheetData>
    <row r="1" spans="1:12" ht="15.75">
      <c r="A1" s="682" t="s">
        <v>435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</row>
    <row r="2" spans="1:12" ht="15.75">
      <c r="A2" s="682" t="s">
        <v>1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</row>
    <row r="3" spans="1:12" ht="15.75">
      <c r="A3" s="682" t="s">
        <v>2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</row>
    <row r="4" spans="1:12" ht="15.75">
      <c r="A4" s="682" t="s">
        <v>1821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</row>
    <row r="5" spans="1:12" ht="15.75">
      <c r="A5" s="133"/>
      <c r="B5" s="134"/>
      <c r="C5" s="134"/>
      <c r="D5" s="135"/>
      <c r="E5" s="136"/>
      <c r="F5" s="134"/>
      <c r="G5" s="698"/>
      <c r="H5" s="698"/>
      <c r="I5" s="698"/>
      <c r="J5" s="698"/>
      <c r="K5" s="698"/>
      <c r="L5" s="698"/>
    </row>
    <row r="6" spans="1:12" ht="39" customHeight="1">
      <c r="A6" s="783" t="s">
        <v>1435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</row>
    <row r="7" spans="1:12" ht="15.75">
      <c r="A7" s="129"/>
      <c r="B7" s="130"/>
      <c r="C7" s="130"/>
      <c r="D7" s="131"/>
      <c r="E7" s="132"/>
      <c r="F7" s="130"/>
      <c r="G7" s="784"/>
      <c r="H7" s="784"/>
      <c r="I7" s="784"/>
      <c r="J7" s="784"/>
      <c r="K7" s="784"/>
      <c r="L7" s="784"/>
    </row>
    <row r="8" spans="1:12" ht="25.5" customHeight="1">
      <c r="A8" s="778" t="s">
        <v>177</v>
      </c>
      <c r="B8" s="781" t="s">
        <v>472</v>
      </c>
      <c r="C8" s="781" t="s">
        <v>473</v>
      </c>
      <c r="D8" s="782" t="s">
        <v>474</v>
      </c>
      <c r="E8" s="782"/>
      <c r="F8" s="781" t="s">
        <v>475</v>
      </c>
      <c r="G8" s="785" t="s">
        <v>1606</v>
      </c>
      <c r="H8" s="778" t="s">
        <v>843</v>
      </c>
      <c r="I8" s="778" t="s">
        <v>1606</v>
      </c>
      <c r="J8" s="785" t="s">
        <v>1607</v>
      </c>
      <c r="K8" s="778" t="s">
        <v>843</v>
      </c>
      <c r="L8" s="778" t="s">
        <v>1607</v>
      </c>
    </row>
    <row r="9" spans="1:12" ht="25.5" customHeight="1">
      <c r="A9" s="778"/>
      <c r="B9" s="781"/>
      <c r="C9" s="781"/>
      <c r="D9" s="139" t="s">
        <v>476</v>
      </c>
      <c r="E9" s="140" t="s">
        <v>477</v>
      </c>
      <c r="F9" s="781"/>
      <c r="G9" s="786"/>
      <c r="H9" s="779"/>
      <c r="I9" s="779"/>
      <c r="J9" s="786"/>
      <c r="K9" s="779"/>
      <c r="L9" s="779"/>
    </row>
    <row r="10" spans="1:12" ht="47.25">
      <c r="A10" s="142" t="str">
        <f>IF(B10&gt;0,VLOOKUP(B10,КВСР!A1:B1166,2),IF(C10&gt;0,VLOOKUP(C10,КФСР!A1:B1513,2),IF(D10&gt;0,VLOOKUP(D10,Программа!A$1:B$5091,2),IF(F10&gt;0,VLOOKUP(F10,КВР!A$1:B$5001,2),IF(E10&gt;0,VLOOKUP(E10,Направление!A$1:B$4750,2))))))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61">
        <f>G11+G15+G27+G31+G58+G67+G77+G103+G139+G145+G23+G97+G117+G53</f>
        <v>142915651</v>
      </c>
      <c r="H10" s="561">
        <f t="shared" ref="H10:L10" si="0">H11+H15+H27+H31+H58+H67+H77+H103+H139+H145+H23+H97+H117+H53</f>
        <v>112841667</v>
      </c>
      <c r="I10" s="561">
        <f t="shared" si="0"/>
        <v>255757318</v>
      </c>
      <c r="J10" s="561">
        <f t="shared" si="0"/>
        <v>118037221</v>
      </c>
      <c r="K10" s="561">
        <f t="shared" si="0"/>
        <v>112072818</v>
      </c>
      <c r="L10" s="561">
        <f t="shared" si="0"/>
        <v>230110039</v>
      </c>
    </row>
    <row r="11" spans="1:12" ht="94.5">
      <c r="A11" s="148" t="str">
        <f>IF(B11&gt;0,VLOOKUP(B11,КВСР!A2:B1167,2),IF(C11&gt;0,VLOOKUP(C11,КФСР!A2:B1514,2),IF(D11&gt;0,VLOOKUP(D11,Программа!A$1:B$5091,2),IF(F11&gt;0,VLOOKUP(F11,КВР!A$1:B$5001,2),IF(E11&gt;0,VLOOKUP(E11,Направление!A$1:B$4750,2))))))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562">
        <f t="shared" ref="G11:H13" si="1">G12</f>
        <v>1569248</v>
      </c>
      <c r="H11" s="563">
        <f t="shared" si="1"/>
        <v>0</v>
      </c>
      <c r="I11" s="563">
        <f t="shared" ref="I11:I14" si="2">SUM(G11:H11)</f>
        <v>1569248</v>
      </c>
      <c r="J11" s="562">
        <f>J12</f>
        <v>1569248</v>
      </c>
      <c r="K11" s="150">
        <f t="shared" ref="K11:K13" si="3">K12</f>
        <v>0</v>
      </c>
      <c r="L11" s="150">
        <f t="shared" ref="L11:L14" si="4">SUM(J11:K11)</f>
        <v>1569248</v>
      </c>
    </row>
    <row r="12" spans="1:12" ht="31.5">
      <c r="A12" s="148" t="str">
        <f>IF(B12&gt;0,VLOOKUP(B12,КВСР!A3:B1168,2),IF(C12&gt;0,VLOOKUP(C12,КФСР!A3:B1515,2),IF(D12&gt;0,VLOOKUP(D12,Программа!A$1:B$5091,2),IF(F12&gt;0,VLOOKUP(F12,КВР!A$1:B$5001,2),IF(E12&gt;0,VLOOKUP(E12,Направление!A$1:B$4750,2))))))</f>
        <v>Непрограммные расходы бюджета</v>
      </c>
      <c r="B12" s="149"/>
      <c r="C12" s="144"/>
      <c r="D12" s="145" t="s">
        <v>480</v>
      </c>
      <c r="E12" s="144"/>
      <c r="F12" s="146"/>
      <c r="G12" s="562">
        <f t="shared" si="1"/>
        <v>1569248</v>
      </c>
      <c r="H12" s="563">
        <f t="shared" si="1"/>
        <v>0</v>
      </c>
      <c r="I12" s="563">
        <f t="shared" si="2"/>
        <v>1569248</v>
      </c>
      <c r="J12" s="562">
        <f>J13</f>
        <v>1569248</v>
      </c>
      <c r="K12" s="150">
        <f t="shared" si="3"/>
        <v>0</v>
      </c>
      <c r="L12" s="150">
        <f t="shared" si="4"/>
        <v>1569248</v>
      </c>
    </row>
    <row r="13" spans="1:12" ht="19.5" customHeight="1">
      <c r="A13" s="148" t="str">
        <f>IF(B13&gt;0,VLOOKUP(B13,КВСР!A4:B1169,2),IF(C13&gt;0,VLOOKUP(C13,КФСР!A4:B1516,2),IF(D13&gt;0,VLOOKUP(D13,Программа!A$1:B$5091,2),IF(F13&gt;0,VLOOKUP(F13,КВР!A$1:B$5001,2),IF(E13&gt;0,VLOOKUP(E13,Направление!A$1:B$4750,2))))))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562">
        <f t="shared" si="1"/>
        <v>1569248</v>
      </c>
      <c r="H13" s="563">
        <f t="shared" si="1"/>
        <v>0</v>
      </c>
      <c r="I13" s="563">
        <f t="shared" si="2"/>
        <v>1569248</v>
      </c>
      <c r="J13" s="562">
        <f>J14</f>
        <v>1569248</v>
      </c>
      <c r="K13" s="150">
        <f t="shared" si="3"/>
        <v>0</v>
      </c>
      <c r="L13" s="150">
        <f t="shared" si="4"/>
        <v>1569248</v>
      </c>
    </row>
    <row r="14" spans="1:12" ht="173.25">
      <c r="A14" s="148" t="str">
        <f>IF(B14&gt;0,VLOOKUP(B14,КВСР!A5:B1170,2),IF(C14&gt;0,VLOOKUP(C14,КФСР!A5:B1517,2),IF(D14&gt;0,VLOOKUP(D14,Программа!A$1:B$5091,2),IF(F14&gt;0,VLOOKUP(F14,КВР!A$1:B$5001,2),IF(E14&gt;0,VLOOKUP(E14,Направление!A$1:B$4750,2))))))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5"/>
      <c r="E14" s="144"/>
      <c r="F14" s="146">
        <v>100</v>
      </c>
      <c r="G14" s="564">
        <v>1569248</v>
      </c>
      <c r="H14" s="565"/>
      <c r="I14" s="563">
        <f t="shared" si="2"/>
        <v>1569248</v>
      </c>
      <c r="J14" s="564">
        <v>1569248</v>
      </c>
      <c r="K14" s="183"/>
      <c r="L14" s="150">
        <f t="shared" si="4"/>
        <v>1569248</v>
      </c>
    </row>
    <row r="15" spans="1:12" ht="126">
      <c r="A15" s="148" t="str">
        <f>IF(B15&gt;0,VLOOKUP(B15,КВСР!A7:B1172,2),IF(C15&gt;0,VLOOKUP(C15,КФСР!A7:B1519,2),IF(D15&gt;0,VLOOKUP(D15,Программа!A$1:B$5091,2),IF(F15&gt;0,VLOOKUP(F15,КВР!A$1:B$5001,2),IF(E15&gt;0,VLOOKUP(E15,Направление!A$1:B$4750,2))))))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562">
        <f>G16</f>
        <v>46478010</v>
      </c>
      <c r="H15" s="562">
        <f t="shared" ref="H15:J15" si="5">H16</f>
        <v>0</v>
      </c>
      <c r="I15" s="562">
        <f t="shared" si="5"/>
        <v>46478010</v>
      </c>
      <c r="J15" s="562">
        <f t="shared" si="5"/>
        <v>46478010</v>
      </c>
      <c r="K15" s="562">
        <f t="shared" ref="K15" si="6">K16</f>
        <v>0</v>
      </c>
      <c r="L15" s="562">
        <f t="shared" ref="L15" si="7">L16</f>
        <v>46478010</v>
      </c>
    </row>
    <row r="16" spans="1:12" ht="31.5">
      <c r="A16" s="148" t="str">
        <f>IF(B16&gt;0,VLOOKUP(B16,КВСР!A8:B1173,2),IF(C16&gt;0,VLOOKUP(C16,КФСР!A8:B1520,2),IF(D16&gt;0,VLOOKUP(D16,Программа!A$1:B$5091,2),IF(F16&gt;0,VLOOKUP(F16,КВР!A$1:B$5001,2),IF(E16&gt;0,VLOOKUP(E16,Направление!A$1:B$4750,2))))))</f>
        <v>Непрограммные расходы бюджета</v>
      </c>
      <c r="B16" s="149"/>
      <c r="C16" s="144"/>
      <c r="D16" s="145" t="s">
        <v>480</v>
      </c>
      <c r="E16" s="144"/>
      <c r="F16" s="146"/>
      <c r="G16" s="562">
        <f>G17+G21</f>
        <v>46478010</v>
      </c>
      <c r="H16" s="562">
        <f t="shared" ref="H16:J16" si="8">H17+H21</f>
        <v>0</v>
      </c>
      <c r="I16" s="562">
        <f t="shared" si="8"/>
        <v>46478010</v>
      </c>
      <c r="J16" s="562">
        <f t="shared" si="8"/>
        <v>46478010</v>
      </c>
      <c r="K16" s="562">
        <f t="shared" ref="K16" si="9">K17+K21</f>
        <v>0</v>
      </c>
      <c r="L16" s="562">
        <f t="shared" ref="L16" si="10">L17+L21</f>
        <v>46478010</v>
      </c>
    </row>
    <row r="17" spans="1:12" ht="31.5">
      <c r="A17" s="148" t="str">
        <f>IF(B17&gt;0,VLOOKUP(B17,КВСР!A9:B1174,2),IF(C17&gt;0,VLOOKUP(C17,КФСР!A9:B1521,2),IF(D17&gt;0,VLOOKUP(D17,Программа!A$1:B$5091,2),IF(F17&gt;0,VLOOKUP(F17,КВР!A$1:B$5001,2),IF(E17&gt;0,VLOOKUP(E17,Направление!A$1:B$4750,2))))))</f>
        <v>Содержание центрального аппарата</v>
      </c>
      <c r="B17" s="149"/>
      <c r="C17" s="144"/>
      <c r="D17" s="145"/>
      <c r="E17" s="144">
        <v>12010</v>
      </c>
      <c r="F17" s="146"/>
      <c r="G17" s="562">
        <f>G18+G19+G20</f>
        <v>29796929</v>
      </c>
      <c r="H17" s="562">
        <f t="shared" ref="H17:L17" si="11">H18+H19+H20</f>
        <v>0</v>
      </c>
      <c r="I17" s="562">
        <f t="shared" si="11"/>
        <v>29796929</v>
      </c>
      <c r="J17" s="562">
        <f t="shared" si="11"/>
        <v>29796929</v>
      </c>
      <c r="K17" s="348">
        <f t="shared" si="11"/>
        <v>0</v>
      </c>
      <c r="L17" s="348">
        <f t="shared" si="11"/>
        <v>29796929</v>
      </c>
    </row>
    <row r="18" spans="1:12" ht="173.25">
      <c r="A18" s="148" t="str">
        <f>IF(B18&gt;0,VLOOKUP(B18,КВСР!A10:B1175,2),IF(C18&gt;0,VLOOKUP(C18,КФСР!A10:B1522,2),IF(D18&gt;0,VLOOKUP(D18,Программа!A$1:B$5091,2),IF(F18&gt;0,VLOOKUP(F18,КВР!A$1:B$5001,2),IF(E18&gt;0,VLOOKUP(E18,Направление!A$1:B$4750,2))))))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49"/>
      <c r="C18" s="144"/>
      <c r="D18" s="145"/>
      <c r="E18" s="144"/>
      <c r="F18" s="146">
        <v>100</v>
      </c>
      <c r="G18" s="564">
        <v>25722037</v>
      </c>
      <c r="H18" s="565"/>
      <c r="I18" s="563">
        <f t="shared" ref="I18:I209" si="12">SUM(G18:H18)</f>
        <v>25722037</v>
      </c>
      <c r="J18" s="564">
        <v>25722037</v>
      </c>
      <c r="K18" s="183"/>
      <c r="L18" s="150">
        <f t="shared" ref="L18:L209" si="13">SUM(J18:K18)</f>
        <v>25722037</v>
      </c>
    </row>
    <row r="19" spans="1:12" ht="78.75">
      <c r="A19" s="148" t="str">
        <f>IF(B19&gt;0,VLOOKUP(B19,КВСР!A13:B1178,2),IF(C19&gt;0,VLOOKUP(C19,КФСР!A13:B1525,2),IF(D19&gt;0,VLOOKUP(D19,Программа!A$1:B$5091,2),IF(F19&gt;0,VLOOKUP(F19,КВР!A$1:B$5001,2),IF(E19&gt;0,VLOOKUP(E19,Направление!A$1:B$4750,2))))))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564">
        <v>3616552</v>
      </c>
      <c r="H19" s="565"/>
      <c r="I19" s="563">
        <f t="shared" si="12"/>
        <v>3616552</v>
      </c>
      <c r="J19" s="564">
        <v>3616552</v>
      </c>
      <c r="K19" s="183"/>
      <c r="L19" s="150">
        <f t="shared" si="13"/>
        <v>3616552</v>
      </c>
    </row>
    <row r="20" spans="1:12" ht="31.5">
      <c r="A20" s="148" t="str">
        <f>IF(B20&gt;0,VLOOKUP(B20,КВСР!A14:B1179,2),IF(C20&gt;0,VLOOKUP(C20,КФСР!A14:B1526,2),IF(D20&gt;0,VLOOKUP(D20,Программа!A$1:B$5091,2),IF(F20&gt;0,VLOOKUP(F20,КВР!A$1:B$5001,2),IF(E20&gt;0,VLOOKUP(E20,Направление!A$1:B$4750,2))))))</f>
        <v>Иные бюджетные ассигнования</v>
      </c>
      <c r="B20" s="149"/>
      <c r="C20" s="144"/>
      <c r="D20" s="145"/>
      <c r="E20" s="144"/>
      <c r="F20" s="146">
        <v>800</v>
      </c>
      <c r="G20" s="564">
        <v>458340</v>
      </c>
      <c r="H20" s="565"/>
      <c r="I20" s="563">
        <f t="shared" si="12"/>
        <v>458340</v>
      </c>
      <c r="J20" s="564">
        <v>458340</v>
      </c>
      <c r="K20" s="183"/>
      <c r="L20" s="150">
        <f t="shared" si="13"/>
        <v>458340</v>
      </c>
    </row>
    <row r="21" spans="1:12" ht="63">
      <c r="A21" s="148" t="str">
        <f>IF(B21&gt;0,VLOOKUP(B21,КВСР!A15:B1180,2),IF(C21&gt;0,VLOOKUP(C21,КФСР!A15:B1527,2),IF(D21&gt;0,VLOOKUP(D21,Программа!A$1:B$5091,2),IF(F21&gt;0,VLOOKUP(F21,КВР!A$1:B$5001,2),IF(E21&gt;0,VLOOKUP(E21,Направление!A$1:B$4750,2))))))</f>
        <v>Субсидия на ремонт дорожных объектов муниципальной собственности</v>
      </c>
      <c r="B21" s="149"/>
      <c r="C21" s="144"/>
      <c r="D21" s="145"/>
      <c r="E21" s="144">
        <v>26016</v>
      </c>
      <c r="F21" s="146"/>
      <c r="G21" s="564">
        <f>G22</f>
        <v>16681081</v>
      </c>
      <c r="H21" s="564">
        <f t="shared" ref="H21:L21" si="14">H22</f>
        <v>0</v>
      </c>
      <c r="I21" s="564">
        <f t="shared" si="14"/>
        <v>16681081</v>
      </c>
      <c r="J21" s="564">
        <f t="shared" si="14"/>
        <v>16681081</v>
      </c>
      <c r="K21" s="340">
        <f t="shared" si="14"/>
        <v>0</v>
      </c>
      <c r="L21" s="340">
        <f t="shared" si="14"/>
        <v>16681081</v>
      </c>
    </row>
    <row r="22" spans="1:12" ht="173.25">
      <c r="A22" s="148" t="str">
        <f>IF(B22&gt;0,VLOOKUP(B22,КВСР!A16:B1181,2),IF(C22&gt;0,VLOOKUP(C22,КФСР!A16:B1528,2),IF(D22&gt;0,VLOOKUP(D22,Программа!A$1:B$5091,2),IF(F22&gt;0,VLOOKUP(F22,КВР!A$1:B$5001,2),IF(E22&gt;0,VLOOKUP(E22,Направление!A$1:B$4750,2))))))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5"/>
      <c r="E22" s="144"/>
      <c r="F22" s="146">
        <v>100</v>
      </c>
      <c r="G22" s="564">
        <v>16681081</v>
      </c>
      <c r="H22" s="565"/>
      <c r="I22" s="563">
        <f>G22+H22</f>
        <v>16681081</v>
      </c>
      <c r="J22" s="564">
        <v>16681081</v>
      </c>
      <c r="K22" s="183"/>
      <c r="L22" s="150">
        <f>J22+K22</f>
        <v>16681081</v>
      </c>
    </row>
    <row r="23" spans="1:12" ht="15.75">
      <c r="A23" s="148" t="str">
        <f>IF(B23&gt;0,VLOOKUP(B23,КВСР!A17:B1182,2),IF(C23&gt;0,VLOOKUP(C23,КФСР!A17:B1529,2),IF(D23&gt;0,VLOOKUP(D23,Программа!A$1:B$5091,2),IF(F23&gt;0,VLOOKUP(F23,КВР!A$1:B$5001,2),IF(E23&gt;0,VLOOKUP(E23,Направление!A$1:B$4750,2))))))</f>
        <v>Судебная система</v>
      </c>
      <c r="B23" s="149"/>
      <c r="C23" s="144">
        <v>105</v>
      </c>
      <c r="D23" s="145"/>
      <c r="E23" s="144"/>
      <c r="F23" s="146"/>
      <c r="G23" s="564">
        <f>G24</f>
        <v>6415</v>
      </c>
      <c r="H23" s="564">
        <f t="shared" ref="H23:L25" si="15">H24</f>
        <v>0</v>
      </c>
      <c r="I23" s="564">
        <f t="shared" si="15"/>
        <v>6415</v>
      </c>
      <c r="J23" s="564">
        <f t="shared" si="15"/>
        <v>6740</v>
      </c>
      <c r="K23" s="340">
        <f t="shared" si="15"/>
        <v>0</v>
      </c>
      <c r="L23" s="340">
        <f t="shared" si="15"/>
        <v>6740</v>
      </c>
    </row>
    <row r="24" spans="1:12" ht="31.5">
      <c r="A24" s="148" t="str">
        <f>IF(B24&gt;0,VLOOKUP(B24,КВСР!A18:B1183,2),IF(C24&gt;0,VLOOKUP(C24,КФСР!A18:B1530,2),IF(D24&gt;0,VLOOKUP(D24,Программа!A$1:B$5091,2),IF(F24&gt;0,VLOOKUP(F24,КВР!A$1:B$5001,2),IF(E24&gt;0,VLOOKUP(E24,Направление!A$1:B$4750,2))))))</f>
        <v>Непрограммные расходы бюджета</v>
      </c>
      <c r="B24" s="149"/>
      <c r="C24" s="144"/>
      <c r="D24" s="145" t="s">
        <v>480</v>
      </c>
      <c r="E24" s="144"/>
      <c r="F24" s="146"/>
      <c r="G24" s="564">
        <f>G25</f>
        <v>6415</v>
      </c>
      <c r="H24" s="564">
        <f t="shared" si="15"/>
        <v>0</v>
      </c>
      <c r="I24" s="564">
        <f t="shared" si="15"/>
        <v>6415</v>
      </c>
      <c r="J24" s="564">
        <f t="shared" si="15"/>
        <v>6740</v>
      </c>
      <c r="K24" s="340">
        <f t="shared" si="15"/>
        <v>0</v>
      </c>
      <c r="L24" s="340">
        <f t="shared" si="15"/>
        <v>6740</v>
      </c>
    </row>
    <row r="25" spans="1:12" ht="126">
      <c r="A25" s="148" t="str">
        <f>IF(B25&gt;0,VLOOKUP(B25,КВСР!A19:B1184,2),IF(C25&gt;0,VLOOKUP(C25,КФСР!A19:B1531,2),IF(D25&gt;0,VLOOKUP(D25,Программа!A$1:B$5091,2),IF(F25&gt;0,VLOOKUP(F25,КВР!A$1:B$5001,2),IF(E25&gt;0,VLOOKUP(E25,Направление!A$1:B$4750,2))))))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49"/>
      <c r="C25" s="144"/>
      <c r="D25" s="145"/>
      <c r="E25" s="144">
        <v>51200</v>
      </c>
      <c r="F25" s="146"/>
      <c r="G25" s="564">
        <f>G26</f>
        <v>6415</v>
      </c>
      <c r="H25" s="564">
        <f t="shared" si="15"/>
        <v>0</v>
      </c>
      <c r="I25" s="564">
        <f t="shared" si="15"/>
        <v>6415</v>
      </c>
      <c r="J25" s="564">
        <f t="shared" si="15"/>
        <v>6740</v>
      </c>
      <c r="K25" s="340">
        <f t="shared" si="15"/>
        <v>0</v>
      </c>
      <c r="L25" s="340">
        <f t="shared" si="15"/>
        <v>6740</v>
      </c>
    </row>
    <row r="26" spans="1:12" ht="78.75">
      <c r="A26" s="148" t="str">
        <f>IF(B26&gt;0,VLOOKUP(B26,КВСР!A20:B1185,2),IF(C26&gt;0,VLOOKUP(C26,КФСР!A20:B1532,2),IF(D26&gt;0,VLOOKUP(D26,Программа!A$1:B$5091,2),IF(F26&gt;0,VLOOKUP(F26,КВР!A$1:B$5001,2),IF(E26&gt;0,VLOOKUP(E26,Направление!A$1:B$4750,2))))))</f>
        <v xml:space="preserve">Закупка товаров, работ и услуг для обеспечения государственных (муниципальных) нужд
</v>
      </c>
      <c r="B26" s="149"/>
      <c r="C26" s="144"/>
      <c r="D26" s="145"/>
      <c r="E26" s="144"/>
      <c r="F26" s="146">
        <v>200</v>
      </c>
      <c r="G26" s="564">
        <v>6415</v>
      </c>
      <c r="H26" s="565"/>
      <c r="I26" s="563">
        <f>G26+H26</f>
        <v>6415</v>
      </c>
      <c r="J26" s="564">
        <v>6740</v>
      </c>
      <c r="K26" s="183"/>
      <c r="L26" s="150">
        <f>J26+K26</f>
        <v>6740</v>
      </c>
    </row>
    <row r="27" spans="1:12" ht="15.75">
      <c r="A27" s="148" t="str">
        <f>IF(B27&gt;0,VLOOKUP(B27,КВСР!A14:B1179,2),IF(C27&gt;0,VLOOKUP(C27,КФСР!A14:B1526,2),IF(D27&gt;0,VLOOKUP(D27,Программа!A$1:B$5091,2),IF(F27&gt;0,VLOOKUP(F27,КВР!A$1:B$5001,2),IF(E27&gt;0,VLOOKUP(E27,Направление!A$1:B$4750,2))))))</f>
        <v>Резервные фонды</v>
      </c>
      <c r="B27" s="149"/>
      <c r="C27" s="144">
        <v>111</v>
      </c>
      <c r="D27" s="145"/>
      <c r="E27" s="144"/>
      <c r="F27" s="146"/>
      <c r="G27" s="562">
        <f t="shared" ref="G27:H29" si="16">G28</f>
        <v>3000000</v>
      </c>
      <c r="H27" s="563">
        <f t="shared" si="16"/>
        <v>0</v>
      </c>
      <c r="I27" s="563">
        <f t="shared" si="12"/>
        <v>3000000</v>
      </c>
      <c r="J27" s="562">
        <f>J28</f>
        <v>3000000</v>
      </c>
      <c r="K27" s="150">
        <f t="shared" ref="K27:K29" si="17">K28</f>
        <v>0</v>
      </c>
      <c r="L27" s="150">
        <f t="shared" si="13"/>
        <v>3000000</v>
      </c>
    </row>
    <row r="28" spans="1:12" ht="31.5">
      <c r="A28" s="148" t="str">
        <f>IF(B28&gt;0,VLOOKUP(B28,КВСР!A22:B1187,2),IF(C28&gt;0,VLOOKUP(C28,КФСР!A22:B1534,2),IF(D28&gt;0,VLOOKUP(D28,Программа!A$1:B$5091,2),IF(F28&gt;0,VLOOKUP(F28,КВР!A$1:B$5001,2),IF(E28&gt;0,VLOOKUP(E28,Направление!A$1:B$4750,2))))))</f>
        <v>Непрограммные расходы бюджета</v>
      </c>
      <c r="B28" s="149"/>
      <c r="C28" s="144"/>
      <c r="D28" s="145" t="s">
        <v>480</v>
      </c>
      <c r="E28" s="144"/>
      <c r="F28" s="146"/>
      <c r="G28" s="562">
        <f t="shared" si="16"/>
        <v>3000000</v>
      </c>
      <c r="H28" s="563">
        <f t="shared" si="16"/>
        <v>0</v>
      </c>
      <c r="I28" s="563">
        <f t="shared" si="12"/>
        <v>3000000</v>
      </c>
      <c r="J28" s="562">
        <f>J29</f>
        <v>3000000</v>
      </c>
      <c r="K28" s="150">
        <f t="shared" si="17"/>
        <v>0</v>
      </c>
      <c r="L28" s="150">
        <f t="shared" si="13"/>
        <v>3000000</v>
      </c>
    </row>
    <row r="29" spans="1:12" ht="31.5">
      <c r="A29" s="148" t="str">
        <f>IF(B29&gt;0,VLOOKUP(B29,КВСР!A23:B1188,2),IF(C29&gt;0,VLOOKUP(C29,КФСР!A23:B1535,2),IF(D29&gt;0,VLOOKUP(D29,Программа!A$1:B$5091,2),IF(F29&gt;0,VLOOKUP(F29,КВР!A$1:B$5001,2),IF(E29&gt;0,VLOOKUP(E29,Направление!A$1:B$4750,2))))))</f>
        <v>Резервные фонды местных администраций</v>
      </c>
      <c r="B29" s="149"/>
      <c r="C29" s="144"/>
      <c r="D29" s="145"/>
      <c r="E29" s="144">
        <v>12900</v>
      </c>
      <c r="F29" s="146"/>
      <c r="G29" s="562">
        <f t="shared" si="16"/>
        <v>3000000</v>
      </c>
      <c r="H29" s="563">
        <f t="shared" si="16"/>
        <v>0</v>
      </c>
      <c r="I29" s="563">
        <f t="shared" si="12"/>
        <v>3000000</v>
      </c>
      <c r="J29" s="562">
        <f>J30</f>
        <v>3000000</v>
      </c>
      <c r="K29" s="150">
        <f t="shared" si="17"/>
        <v>0</v>
      </c>
      <c r="L29" s="150">
        <f t="shared" si="13"/>
        <v>3000000</v>
      </c>
    </row>
    <row r="30" spans="1:12" ht="31.5">
      <c r="A30" s="148" t="str">
        <f>IF(B30&gt;0,VLOOKUP(B30,КВСР!A24:B1189,2),IF(C30&gt;0,VLOOKUP(C30,КФСР!A24:B1536,2),IF(D30&gt;0,VLOOKUP(D30,Программа!A$1:B$5091,2),IF(F30&gt;0,VLOOKUP(F30,КВР!A$1:B$5001,2),IF(E30&gt;0,VLOOKUP(E30,Направление!A$1:B$4750,2))))))</f>
        <v>Иные бюджетные ассигнования</v>
      </c>
      <c r="B30" s="149"/>
      <c r="C30" s="144"/>
      <c r="D30" s="145"/>
      <c r="E30" s="144"/>
      <c r="F30" s="146">
        <v>800</v>
      </c>
      <c r="G30" s="564">
        <v>3000000</v>
      </c>
      <c r="H30" s="565"/>
      <c r="I30" s="563">
        <f t="shared" si="12"/>
        <v>3000000</v>
      </c>
      <c r="J30" s="564">
        <v>3000000</v>
      </c>
      <c r="K30" s="183"/>
      <c r="L30" s="150">
        <f t="shared" si="13"/>
        <v>3000000</v>
      </c>
    </row>
    <row r="31" spans="1:12" ht="47.25">
      <c r="A31" s="148" t="str">
        <f>IF(B31&gt;0,VLOOKUP(B31,КВСР!A25:B1190,2),IF(C31&gt;0,VLOOKUP(C31,КФСР!A25:B1537,2),IF(D31&gt;0,VLOOKUP(D31,Программа!A$1:B$5091,2),IF(F31&gt;0,VLOOKUP(F31,КВР!A$1:B$5001,2),IF(E31&gt;0,VLOOKUP(E31,Направление!A$1:B$4750,2))))))</f>
        <v>Другие общегосударственные вопросы</v>
      </c>
      <c r="B31" s="149"/>
      <c r="C31" s="144">
        <v>113</v>
      </c>
      <c r="D31" s="145"/>
      <c r="E31" s="144"/>
      <c r="F31" s="146"/>
      <c r="G31" s="562">
        <f>G36+G32</f>
        <v>39659541</v>
      </c>
      <c r="H31" s="562">
        <f t="shared" ref="H31:L31" si="18">H36+H32</f>
        <v>899900</v>
      </c>
      <c r="I31" s="562">
        <f t="shared" si="18"/>
        <v>40559441</v>
      </c>
      <c r="J31" s="562">
        <f t="shared" si="18"/>
        <v>38271183</v>
      </c>
      <c r="K31" s="348">
        <f t="shared" si="18"/>
        <v>0</v>
      </c>
      <c r="L31" s="348">
        <f t="shared" si="18"/>
        <v>38271183</v>
      </c>
    </row>
    <row r="32" spans="1:12" ht="126">
      <c r="A32" s="148" t="str">
        <f>IF(B32&gt;0,VLOOKUP(B32,КВСР!A26:B1191,2),IF(C32&gt;0,VLOOKUP(C32,КФСР!A26:B1538,2),IF(D32&gt;0,VLOOKUP(D32,Программа!A$1:B$5091,2),IF(F32&gt;0,VLOOKUP(F32,КВР!A$1:B$5001,2),IF(E32&gt;0,VLOOKUP(E32,Направление!A$1:B$4750,2))))))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2" s="149"/>
      <c r="C32" s="144"/>
      <c r="D32" s="145" t="s">
        <v>1373</v>
      </c>
      <c r="E32" s="144"/>
      <c r="F32" s="146"/>
      <c r="G32" s="562">
        <f>G33</f>
        <v>300000</v>
      </c>
      <c r="H32" s="562">
        <f t="shared" ref="H32:L34" si="19">H33</f>
        <v>0</v>
      </c>
      <c r="I32" s="562">
        <f t="shared" si="19"/>
        <v>300000</v>
      </c>
      <c r="J32" s="562">
        <f t="shared" si="19"/>
        <v>0</v>
      </c>
      <c r="K32" s="348">
        <f t="shared" si="19"/>
        <v>0</v>
      </c>
      <c r="L32" s="348">
        <f t="shared" si="19"/>
        <v>0</v>
      </c>
    </row>
    <row r="33" spans="1:12" ht="47.25">
      <c r="A33" s="148" t="str">
        <f>IF(B33&gt;0,VLOOKUP(B33,КВСР!A27:B1192,2),IF(C33&gt;0,VLOOKUP(C33,КФСР!A27:B1539,2),IF(D33&gt;0,VLOOKUP(D33,Программа!A$1:B$5091,2),IF(F33&gt;0,VLOOKUP(F33,КВР!A$1:B$5001,2),IF(E33&gt;0,VLOOKUP(E33,Направление!A$1:B$4750,2))))))</f>
        <v>Мероприятия по обеспечению безопасности жителей района</v>
      </c>
      <c r="B33" s="149"/>
      <c r="C33" s="144"/>
      <c r="D33" s="145" t="s">
        <v>1374</v>
      </c>
      <c r="E33" s="144"/>
      <c r="F33" s="146"/>
      <c r="G33" s="562">
        <f>G34</f>
        <v>300000</v>
      </c>
      <c r="H33" s="562">
        <f t="shared" si="19"/>
        <v>0</v>
      </c>
      <c r="I33" s="562">
        <f t="shared" si="19"/>
        <v>300000</v>
      </c>
      <c r="J33" s="562">
        <f t="shared" si="19"/>
        <v>0</v>
      </c>
      <c r="K33" s="348">
        <f t="shared" si="19"/>
        <v>0</v>
      </c>
      <c r="L33" s="348">
        <f t="shared" si="19"/>
        <v>0</v>
      </c>
    </row>
    <row r="34" spans="1:12" ht="47.25">
      <c r="A34" s="148" t="str">
        <f>IF(B34&gt;0,VLOOKUP(B34,КВСР!A28:B1193,2),IF(C34&gt;0,VLOOKUP(C34,КФСР!A28:B1540,2),IF(D34&gt;0,VLOOKUP(D34,Программа!A$1:B$5091,2),IF(F34&gt;0,VLOOKUP(F34,КВР!A$1:B$5001,2),IF(E34&gt;0,VLOOKUP(E34,Направление!A$1:B$4750,2))))))</f>
        <v>Расходы на обеспечение безопасности жителей района</v>
      </c>
      <c r="B34" s="149"/>
      <c r="C34" s="144"/>
      <c r="D34" s="145"/>
      <c r="E34" s="144">
        <v>12270</v>
      </c>
      <c r="F34" s="146"/>
      <c r="G34" s="562">
        <f>G35</f>
        <v>300000</v>
      </c>
      <c r="H34" s="562">
        <f t="shared" si="19"/>
        <v>0</v>
      </c>
      <c r="I34" s="562">
        <f t="shared" si="19"/>
        <v>300000</v>
      </c>
      <c r="J34" s="562">
        <f t="shared" si="19"/>
        <v>0</v>
      </c>
      <c r="K34" s="348">
        <f t="shared" si="19"/>
        <v>0</v>
      </c>
      <c r="L34" s="348">
        <f t="shared" si="19"/>
        <v>0</v>
      </c>
    </row>
    <row r="35" spans="1:12" ht="78.75">
      <c r="A35" s="148" t="str">
        <f>IF(B35&gt;0,VLOOKUP(B35,КВСР!A29:B1194,2),IF(C35&gt;0,VLOOKUP(C35,КФСР!A29:B1541,2),IF(D35&gt;0,VLOOKUP(D35,Программа!A$1:B$5091,2),IF(F35&gt;0,VLOOKUP(F35,КВР!A$1:B$5001,2),IF(E35&gt;0,VLOOKUP(E35,Направление!A$1:B$4750,2))))))</f>
        <v xml:space="preserve">Закупка товаров, работ и услуг для обеспечения государственных (муниципальных) нужд
</v>
      </c>
      <c r="B35" s="149"/>
      <c r="C35" s="144"/>
      <c r="D35" s="145"/>
      <c r="E35" s="144"/>
      <c r="F35" s="146">
        <v>200</v>
      </c>
      <c r="G35" s="562">
        <v>300000</v>
      </c>
      <c r="H35" s="563"/>
      <c r="I35" s="562">
        <f>G35+H35</f>
        <v>300000</v>
      </c>
      <c r="J35" s="562">
        <v>0</v>
      </c>
      <c r="K35" s="150"/>
      <c r="L35" s="150">
        <f>J35+K35</f>
        <v>0</v>
      </c>
    </row>
    <row r="36" spans="1:12" ht="31.5">
      <c r="A36" s="148" t="str">
        <f>IF(B36&gt;0,VLOOKUP(B36,КВСР!A38:B1203,2),IF(C36&gt;0,VLOOKUP(C36,КФСР!A38:B1550,2),IF(D36&gt;0,VLOOKUP(D36,Программа!A$1:B$5091,2),IF(F36&gt;0,VLOOKUP(F36,КВР!A$1:B$5001,2),IF(E36&gt;0,VLOOKUP(E36,Направление!A$1:B$4750,2))))))</f>
        <v>Непрограммные расходы бюджета</v>
      </c>
      <c r="B36" s="149"/>
      <c r="C36" s="144"/>
      <c r="D36" s="145" t="s">
        <v>480</v>
      </c>
      <c r="E36" s="144"/>
      <c r="F36" s="146"/>
      <c r="G36" s="562">
        <f>G47+G50+G37+G42+G44</f>
        <v>39359541</v>
      </c>
      <c r="H36" s="562">
        <f t="shared" ref="H36:L36" si="20">H47+H50+H37+H42+H44</f>
        <v>899900</v>
      </c>
      <c r="I36" s="562">
        <f t="shared" si="20"/>
        <v>40259441</v>
      </c>
      <c r="J36" s="562">
        <f t="shared" si="20"/>
        <v>38271183</v>
      </c>
      <c r="K36" s="348">
        <f t="shared" si="20"/>
        <v>0</v>
      </c>
      <c r="L36" s="348">
        <f t="shared" si="20"/>
        <v>38271183</v>
      </c>
    </row>
    <row r="37" spans="1:12" ht="63">
      <c r="A37" s="148" t="str">
        <f>IF(B37&gt;0,VLOOKUP(B37,КВСР!A39:B1204,2),IF(C37&gt;0,VLOOKUP(C37,КФСР!A39:B1551,2),IF(D37&gt;0,VLOOKUP(D37,Программа!A$1:B$5091,2),IF(F37&gt;0,VLOOKUP(F37,КВР!A$1:B$5001,2),IF(E37&gt;0,VLOOKUP(E37,Направление!A$1:B$4750,2))))))</f>
        <v>Обеспечение деятельности подведомственных учреждений органов местного самоуправления</v>
      </c>
      <c r="B37" s="149"/>
      <c r="C37" s="144"/>
      <c r="D37" s="145"/>
      <c r="E37" s="144">
        <v>12100</v>
      </c>
      <c r="F37" s="146"/>
      <c r="G37" s="562">
        <f>G38+G39+G40+G41</f>
        <v>32595314</v>
      </c>
      <c r="H37" s="562">
        <f t="shared" ref="H37:L37" si="21">H38+H39+H40+H41</f>
        <v>0</v>
      </c>
      <c r="I37" s="562">
        <f t="shared" si="21"/>
        <v>32595314</v>
      </c>
      <c r="J37" s="562">
        <f t="shared" si="21"/>
        <v>32595314</v>
      </c>
      <c r="K37" s="348">
        <f t="shared" si="21"/>
        <v>0</v>
      </c>
      <c r="L37" s="348">
        <f t="shared" si="21"/>
        <v>32595314</v>
      </c>
    </row>
    <row r="38" spans="1:12" ht="173.25">
      <c r="A38" s="148" t="str">
        <f>IF(B38&gt;0,VLOOKUP(B38,КВСР!A40:B1205,2),IF(C38&gt;0,VLOOKUP(C38,КФСР!A40:B1552,2),IF(D38&gt;0,VLOOKUP(D38,Программа!A$1:B$5091,2),IF(F38&gt;0,VLOOKUP(F38,КВР!A$1:B$5001,2),IF(E38&gt;0,VLOOKUP(E38,Направление!A$1:B$4750,2))))))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49"/>
      <c r="C38" s="144"/>
      <c r="D38" s="145"/>
      <c r="E38" s="144"/>
      <c r="F38" s="146">
        <v>100</v>
      </c>
      <c r="G38" s="566">
        <v>9786231</v>
      </c>
      <c r="H38" s="567"/>
      <c r="I38" s="563">
        <f t="shared" si="12"/>
        <v>9786231</v>
      </c>
      <c r="J38" s="566">
        <v>9786231</v>
      </c>
      <c r="K38" s="184"/>
      <c r="L38" s="150">
        <f t="shared" si="13"/>
        <v>9786231</v>
      </c>
    </row>
    <row r="39" spans="1:12" ht="78.75">
      <c r="A39" s="148" t="str">
        <f>IF(B39&gt;0,VLOOKUP(B39,КВСР!A41:B1206,2),IF(C39&gt;0,VLOOKUP(C39,КФСР!A41:B1553,2),IF(D39&gt;0,VLOOKUP(D39,Программа!A$1:B$5091,2),IF(F39&gt;0,VLOOKUP(F39,КВР!A$1:B$5001,2),IF(E39&gt;0,VLOOKUP(E39,Направление!A$1:B$4750,2))))))</f>
        <v xml:space="preserve">Закупка товаров, работ и услуг для обеспечения государственных (муниципальных) нужд
</v>
      </c>
      <c r="B39" s="149"/>
      <c r="C39" s="144"/>
      <c r="D39" s="145"/>
      <c r="E39" s="144"/>
      <c r="F39" s="146">
        <v>200</v>
      </c>
      <c r="G39" s="566">
        <v>3938083</v>
      </c>
      <c r="H39" s="567"/>
      <c r="I39" s="563">
        <f t="shared" si="12"/>
        <v>3938083</v>
      </c>
      <c r="J39" s="566">
        <v>3938083</v>
      </c>
      <c r="K39" s="184"/>
      <c r="L39" s="150">
        <f t="shared" si="13"/>
        <v>3938083</v>
      </c>
    </row>
    <row r="40" spans="1:12" ht="78.75">
      <c r="A40" s="148" t="str">
        <f>IF(B40&gt;0,VLOOKUP(B40,КВСР!A42:B1207,2),IF(C40&gt;0,VLOOKUP(C40,КФСР!A42:B1554,2),IF(D40&gt;0,VLOOKUP(D40,Программа!A$1:B$5091,2),IF(F40&gt;0,VLOOKUP(F40,КВР!A$1:B$5001,2),IF(E40&gt;0,VLOOKUP(E40,Направление!A$1:B$4750,2))))))</f>
        <v>Предоставление субсидий бюджетным, автономным учреждениям и иным некоммерческим организациям</v>
      </c>
      <c r="B40" s="149"/>
      <c r="C40" s="144"/>
      <c r="D40" s="145"/>
      <c r="E40" s="144"/>
      <c r="F40" s="146">
        <v>600</v>
      </c>
      <c r="G40" s="566">
        <v>18800000</v>
      </c>
      <c r="H40" s="567"/>
      <c r="I40" s="563">
        <f t="shared" si="12"/>
        <v>18800000</v>
      </c>
      <c r="J40" s="566">
        <v>18800000</v>
      </c>
      <c r="K40" s="184"/>
      <c r="L40" s="150">
        <f t="shared" si="13"/>
        <v>18800000</v>
      </c>
    </row>
    <row r="41" spans="1:12" ht="31.5">
      <c r="A41" s="148" t="str">
        <f>IF(B41&gt;0,VLOOKUP(B41,КВСР!A43:B1208,2),IF(C41&gt;0,VLOOKUP(C41,КФСР!A43:B1555,2),IF(D41&gt;0,VLOOKUP(D41,Программа!A$1:B$5091,2),IF(F41&gt;0,VLOOKUP(F41,КВР!A$1:B$5001,2),IF(E41&gt;0,VLOOKUP(E41,Направление!A$1:B$4750,2))))))</f>
        <v>Иные бюджетные ассигнования</v>
      </c>
      <c r="B41" s="149"/>
      <c r="C41" s="144"/>
      <c r="D41" s="145"/>
      <c r="E41" s="144"/>
      <c r="F41" s="146">
        <v>800</v>
      </c>
      <c r="G41" s="566">
        <v>71000</v>
      </c>
      <c r="H41" s="567"/>
      <c r="I41" s="563">
        <f t="shared" si="12"/>
        <v>71000</v>
      </c>
      <c r="J41" s="566">
        <v>71000</v>
      </c>
      <c r="K41" s="184"/>
      <c r="L41" s="150">
        <f t="shared" si="13"/>
        <v>71000</v>
      </c>
    </row>
    <row r="42" spans="1:12" ht="47.25">
      <c r="A42" s="148" t="str">
        <f>IF(B42&gt;0,VLOOKUP(B42,КВСР!A44:B1209,2),IF(C42&gt;0,VLOOKUP(C42,КФСР!A44:B1556,2),IF(D42&gt;0,VLOOKUP(D42,Программа!A$1:B$5091,2),IF(F42&gt;0,VLOOKUP(F42,КВР!A$1:B$5001,2),IF(E42&gt;0,VLOOKUP(E42,Направление!A$1:B$4750,2))))))</f>
        <v>Представительские расходы органов местного самоуправления</v>
      </c>
      <c r="B42" s="149"/>
      <c r="C42" s="144"/>
      <c r="D42" s="145"/>
      <c r="E42" s="144">
        <v>12600</v>
      </c>
      <c r="F42" s="146"/>
      <c r="G42" s="566">
        <f>G43</f>
        <v>500000</v>
      </c>
      <c r="H42" s="566">
        <f t="shared" ref="H42:J42" si="22">H43</f>
        <v>0</v>
      </c>
      <c r="I42" s="566">
        <f t="shared" si="22"/>
        <v>500000</v>
      </c>
      <c r="J42" s="566">
        <f t="shared" si="22"/>
        <v>500000</v>
      </c>
      <c r="K42" s="184"/>
      <c r="L42" s="150">
        <f t="shared" si="13"/>
        <v>500000</v>
      </c>
    </row>
    <row r="43" spans="1:12" ht="78.75">
      <c r="A43" s="148" t="str">
        <f>IF(B43&gt;0,VLOOKUP(B43,КВСР!A45:B1210,2),IF(C43&gt;0,VLOOKUP(C43,КФСР!A45:B1557,2),IF(D43&gt;0,VLOOKUP(D43,Программа!A$1:B$5091,2),IF(F43&gt;0,VLOOKUP(F43,КВР!A$1:B$5001,2),IF(E43&gt;0,VLOOKUP(E43,Направление!A$1:B$4750,2))))))</f>
        <v xml:space="preserve">Закупка товаров, работ и услуг для обеспечения государственных (муниципальных) нужд
</v>
      </c>
      <c r="B43" s="149"/>
      <c r="C43" s="144"/>
      <c r="D43" s="145"/>
      <c r="E43" s="144"/>
      <c r="F43" s="146">
        <v>200</v>
      </c>
      <c r="G43" s="566">
        <v>500000</v>
      </c>
      <c r="H43" s="567"/>
      <c r="I43" s="563">
        <f>G43+H43</f>
        <v>500000</v>
      </c>
      <c r="J43" s="566">
        <v>500000</v>
      </c>
      <c r="K43" s="184"/>
      <c r="L43" s="150">
        <f t="shared" si="13"/>
        <v>500000</v>
      </c>
    </row>
    <row r="44" spans="1:12" ht="78.75">
      <c r="A44" s="148" t="str">
        <f>IF(B44&gt;0,VLOOKUP(B44,КВСР!A46:B1211,2),IF(C44&gt;0,VLOOKUP(C44,КФСР!A46:B1558,2),IF(D44&gt;0,VLOOKUP(D44,Программа!A$1:B$5091,2),IF(F44&gt;0,VLOOKUP(F44,КВР!A$1:B$5001,2),IF(E44&gt;0,VLOOKUP(E44,Направление!A$1:B$4750,2))))))</f>
        <v>Расходы на осуществление полномочий на государственную регистрацию актов гражданского состояния</v>
      </c>
      <c r="B44" s="149"/>
      <c r="C44" s="144"/>
      <c r="D44" s="145"/>
      <c r="E44" s="144">
        <v>59300</v>
      </c>
      <c r="F44" s="146"/>
      <c r="G44" s="566">
        <f>G45+G46</f>
        <v>3651251</v>
      </c>
      <c r="H44" s="566">
        <f t="shared" ref="H44:L44" si="23">H45+H46</f>
        <v>899900</v>
      </c>
      <c r="I44" s="566">
        <f t="shared" si="23"/>
        <v>4551151</v>
      </c>
      <c r="J44" s="566">
        <f t="shared" si="23"/>
        <v>2562893</v>
      </c>
      <c r="K44" s="384">
        <f t="shared" si="23"/>
        <v>0</v>
      </c>
      <c r="L44" s="384">
        <f t="shared" si="23"/>
        <v>2562893</v>
      </c>
    </row>
    <row r="45" spans="1:12" ht="173.25">
      <c r="A45" s="148" t="str">
        <f>IF(B45&gt;0,VLOOKUP(B45,КВСР!A47:B1212,2),IF(C45&gt;0,VLOOKUP(C45,КФСР!A47:B1559,2),IF(D45&gt;0,VLOOKUP(D45,Программа!A$1:B$5091,2),IF(F45&gt;0,VLOOKUP(F45,КВР!A$1:B$5001,2),IF(E45&gt;0,VLOOKUP(E45,Направление!A$1:B$4750,2))))))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49"/>
      <c r="C45" s="144"/>
      <c r="D45" s="145"/>
      <c r="E45" s="144"/>
      <c r="F45" s="146">
        <v>100</v>
      </c>
      <c r="G45" s="566">
        <v>3112121</v>
      </c>
      <c r="H45" s="567">
        <v>899900</v>
      </c>
      <c r="I45" s="563">
        <f t="shared" ref="I45:I46" si="24">G45+H45</f>
        <v>4012021</v>
      </c>
      <c r="J45" s="566">
        <v>2562893</v>
      </c>
      <c r="K45" s="184"/>
      <c r="L45" s="150">
        <f t="shared" si="13"/>
        <v>2562893</v>
      </c>
    </row>
    <row r="46" spans="1:12" ht="78.75">
      <c r="A46" s="148" t="str">
        <f>IF(B46&gt;0,VLOOKUP(B46,КВСР!A48:B1213,2),IF(C46&gt;0,VLOOKUP(C46,КФСР!A48:B1560,2),IF(D46&gt;0,VLOOKUP(D46,Программа!A$1:B$5091,2),IF(F46&gt;0,VLOOKUP(F46,КВР!A$1:B$5001,2),IF(E46&gt;0,VLOOKUP(E46,Направление!A$1:B$4750,2))))))</f>
        <v xml:space="preserve">Закупка товаров, работ и услуг для обеспечения государственных (муниципальных) нужд
</v>
      </c>
      <c r="B46" s="149"/>
      <c r="C46" s="144"/>
      <c r="D46" s="145"/>
      <c r="E46" s="144"/>
      <c r="F46" s="146">
        <v>200</v>
      </c>
      <c r="G46" s="566">
        <v>539130</v>
      </c>
      <c r="H46" s="567"/>
      <c r="I46" s="563">
        <f t="shared" si="24"/>
        <v>539130</v>
      </c>
      <c r="J46" s="566">
        <v>0</v>
      </c>
      <c r="K46" s="184"/>
      <c r="L46" s="150">
        <f t="shared" si="13"/>
        <v>0</v>
      </c>
    </row>
    <row r="47" spans="1:12" ht="126">
      <c r="A47" s="148" t="str">
        <f>IF(B47&gt;0,VLOOKUP(B47,КВСР!A39:B1204,2),IF(C47&gt;0,VLOOKUP(C47,КФСР!A39:B1551,2),IF(D47&gt;0,VLOOKUP(D47,Программа!A$1:B$5091,2),IF(F47&gt;0,VLOOKUP(F47,КВР!A$1:B$5001,2),IF(E47&gt;0,VLOOKUP(E47,Направление!A$1:B$4750,2))))))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49"/>
      <c r="C47" s="144"/>
      <c r="D47" s="145"/>
      <c r="E47" s="144">
        <v>80190</v>
      </c>
      <c r="F47" s="146"/>
      <c r="G47" s="562">
        <f>G48+G49</f>
        <v>2378141</v>
      </c>
      <c r="H47" s="563">
        <f t="shared" ref="H47" si="25">H48+H49</f>
        <v>0</v>
      </c>
      <c r="I47" s="563">
        <f t="shared" si="12"/>
        <v>2378141</v>
      </c>
      <c r="J47" s="562">
        <f>J48+J49</f>
        <v>2378141</v>
      </c>
      <c r="K47" s="150">
        <f t="shared" ref="K47" si="26">K48+K49</f>
        <v>0</v>
      </c>
      <c r="L47" s="150">
        <f t="shared" si="13"/>
        <v>2378141</v>
      </c>
    </row>
    <row r="48" spans="1:12" ht="173.25">
      <c r="A48" s="148" t="str">
        <f>IF(B48&gt;0,VLOOKUP(B48,КВСР!A40:B1205,2),IF(C48&gt;0,VLOOKUP(C48,КФСР!A40:B1552,2),IF(D48&gt;0,VLOOKUP(D48,Программа!A$1:B$5091,2),IF(F48&gt;0,VLOOKUP(F48,КВР!A$1:B$5001,2),IF(E48&gt;0,VLOOKUP(E48,Направление!A$1:B$4750,2))))))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49"/>
      <c r="C48" s="144"/>
      <c r="D48" s="145"/>
      <c r="E48" s="144"/>
      <c r="F48" s="146">
        <v>100</v>
      </c>
      <c r="G48" s="564">
        <v>2267850</v>
      </c>
      <c r="H48" s="565"/>
      <c r="I48" s="563">
        <f t="shared" si="12"/>
        <v>2267850</v>
      </c>
      <c r="J48" s="564">
        <v>2267850</v>
      </c>
      <c r="K48" s="183"/>
      <c r="L48" s="150">
        <f t="shared" si="13"/>
        <v>2267850</v>
      </c>
    </row>
    <row r="49" spans="1:12" ht="78.75">
      <c r="A49" s="148" t="str">
        <f>IF(B49&gt;0,VLOOKUP(B49,КВСР!A41:B1206,2),IF(C49&gt;0,VLOOKUP(C49,КФСР!A41:B1553,2),IF(D49&gt;0,VLOOKUP(D49,Программа!A$1:B$5091,2),IF(F49&gt;0,VLOOKUP(F49,КВР!A$1:B$5001,2),IF(E49&gt;0,VLOOKUP(E49,Направление!A$1:B$4750,2))))))</f>
        <v xml:space="preserve">Закупка товаров, работ и услуг для обеспечения государственных (муниципальных) нужд
</v>
      </c>
      <c r="B49" s="149"/>
      <c r="C49" s="144"/>
      <c r="D49" s="145"/>
      <c r="E49" s="144"/>
      <c r="F49" s="146">
        <v>200</v>
      </c>
      <c r="G49" s="564">
        <v>110291</v>
      </c>
      <c r="H49" s="565"/>
      <c r="I49" s="563">
        <f t="shared" si="12"/>
        <v>110291</v>
      </c>
      <c r="J49" s="564">
        <v>110291</v>
      </c>
      <c r="K49" s="183"/>
      <c r="L49" s="150">
        <f t="shared" si="13"/>
        <v>110291</v>
      </c>
    </row>
    <row r="50" spans="1:12" ht="110.25">
      <c r="A50" s="148" t="str">
        <f>IF(B50&gt;0,VLOOKUP(B50,КВСР!A42:B1207,2),IF(C50&gt;0,VLOOKUP(C50,КФСР!A42:B1554,2),IF(D50&gt;0,VLOOKUP(D50,Программа!A$1:B$5091,2),IF(F50&gt;0,VLOOKUP(F50,КВР!A$1:B$5001,2),IF(E50&gt;0,VLOOKUP(E50,Направление!A$1:B$4750,2))))))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49"/>
      <c r="C50" s="144"/>
      <c r="D50" s="145"/>
      <c r="E50" s="144">
        <v>80200</v>
      </c>
      <c r="F50" s="146"/>
      <c r="G50" s="562">
        <f>G51+G52</f>
        <v>234835</v>
      </c>
      <c r="H50" s="563">
        <f t="shared" ref="H50" si="27">H51+H52</f>
        <v>0</v>
      </c>
      <c r="I50" s="563">
        <f t="shared" si="12"/>
        <v>234835</v>
      </c>
      <c r="J50" s="562">
        <f>J51+J52</f>
        <v>234835</v>
      </c>
      <c r="K50" s="150">
        <f t="shared" ref="K50" si="28">K51+K52</f>
        <v>0</v>
      </c>
      <c r="L50" s="150">
        <f t="shared" si="13"/>
        <v>234835</v>
      </c>
    </row>
    <row r="51" spans="1:12" ht="173.25">
      <c r="A51" s="148" t="str">
        <f>IF(B51&gt;0,VLOOKUP(B51,КВСР!A43:B1208,2),IF(C51&gt;0,VLOOKUP(C51,КФСР!A43:B1555,2),IF(D51&gt;0,VLOOKUP(D51,Программа!A$1:B$5091,2),IF(F51&gt;0,VLOOKUP(F51,КВР!A$1:B$5001,2),IF(E51&gt;0,VLOOKUP(E51,Направление!A$1:B$4750,2))))))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49"/>
      <c r="C51" s="144"/>
      <c r="D51" s="145"/>
      <c r="E51" s="144"/>
      <c r="F51" s="146">
        <v>100</v>
      </c>
      <c r="G51" s="564">
        <v>164835</v>
      </c>
      <c r="H51" s="565"/>
      <c r="I51" s="563">
        <f t="shared" si="12"/>
        <v>164835</v>
      </c>
      <c r="J51" s="564">
        <v>164835</v>
      </c>
      <c r="K51" s="183"/>
      <c r="L51" s="150">
        <f t="shared" si="13"/>
        <v>164835</v>
      </c>
    </row>
    <row r="52" spans="1:12" ht="78.75">
      <c r="A52" s="148" t="str">
        <f>IF(B52&gt;0,VLOOKUP(B52,КВСР!A44:B1209,2),IF(C52&gt;0,VLOOKUP(C52,КФСР!A44:B1556,2),IF(D52&gt;0,VLOOKUP(D52,Программа!A$1:B$5091,2),IF(F52&gt;0,VLOOKUP(F52,КВР!A$1:B$5001,2),IF(E52&gt;0,VLOOKUP(E52,Направление!A$1:B$4750,2))))))</f>
        <v xml:space="preserve">Закупка товаров, работ и услуг для обеспечения государственных (муниципальных) нужд
</v>
      </c>
      <c r="B52" s="149"/>
      <c r="C52" s="144"/>
      <c r="D52" s="145"/>
      <c r="E52" s="144"/>
      <c r="F52" s="146">
        <v>200</v>
      </c>
      <c r="G52" s="564">
        <v>70000</v>
      </c>
      <c r="H52" s="565"/>
      <c r="I52" s="563">
        <f t="shared" si="12"/>
        <v>70000</v>
      </c>
      <c r="J52" s="564">
        <v>70000</v>
      </c>
      <c r="K52" s="183"/>
      <c r="L52" s="150">
        <f t="shared" si="13"/>
        <v>70000</v>
      </c>
    </row>
    <row r="53" spans="1:12" ht="94.5">
      <c r="A53" s="148" t="str">
        <f>IF(B53&gt;0,VLOOKUP(B53,КВСР!A45:B1210,2),IF(C53&gt;0,VLOOKUP(C53,КФСР!A45:B1557,2),IF(D53&gt;0,VLOOKUP(D53,Программа!A$1:B$5091,2),IF(F53&gt;0,VLOOKUP(F53,КВР!A$1:B$5001,2),IF(E53&gt;0,VLOOKUP(E53,Направление!A$1:B$4750,2))))))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3" s="149"/>
      <c r="C53" s="144">
        <v>309</v>
      </c>
      <c r="D53" s="145"/>
      <c r="E53" s="144"/>
      <c r="F53" s="146"/>
      <c r="G53" s="564">
        <f>G54</f>
        <v>0</v>
      </c>
      <c r="H53" s="564">
        <f t="shared" ref="H53:L54" si="29">H54</f>
        <v>2000000</v>
      </c>
      <c r="I53" s="564">
        <f t="shared" si="29"/>
        <v>2000000</v>
      </c>
      <c r="J53" s="564">
        <f t="shared" si="29"/>
        <v>0</v>
      </c>
      <c r="K53" s="564">
        <f t="shared" si="29"/>
        <v>2000000</v>
      </c>
      <c r="L53" s="564">
        <f t="shared" si="29"/>
        <v>2000000</v>
      </c>
    </row>
    <row r="54" spans="1:12" ht="31.5">
      <c r="A54" s="148" t="str">
        <f>IF(B54&gt;0,VLOOKUP(B54,КВСР!A46:B1211,2),IF(C54&gt;0,VLOOKUP(C54,КФСР!A46:B1558,2),IF(D54&gt;0,VLOOKUP(D54,Программа!A$1:B$5091,2),IF(F54&gt;0,VLOOKUP(F54,КВР!A$1:B$5001,2),IF(E54&gt;0,VLOOKUP(E54,Направление!A$1:B$4750,2))))))</f>
        <v>Непрограммные расходы бюджета</v>
      </c>
      <c r="B54" s="149"/>
      <c r="C54" s="144"/>
      <c r="D54" s="145" t="s">
        <v>480</v>
      </c>
      <c r="E54" s="144"/>
      <c r="F54" s="146"/>
      <c r="G54" s="564">
        <f>G55</f>
        <v>0</v>
      </c>
      <c r="H54" s="564">
        <f t="shared" si="29"/>
        <v>2000000</v>
      </c>
      <c r="I54" s="564">
        <f t="shared" si="29"/>
        <v>2000000</v>
      </c>
      <c r="J54" s="564">
        <f t="shared" si="29"/>
        <v>0</v>
      </c>
      <c r="K54" s="564">
        <f t="shared" si="29"/>
        <v>2000000</v>
      </c>
      <c r="L54" s="564">
        <f t="shared" si="29"/>
        <v>2000000</v>
      </c>
    </row>
    <row r="55" spans="1:12" ht="47.25">
      <c r="A55" s="148" t="str">
        <f>IF(B55&gt;0,VLOOKUP(B55,КВСР!A47:B1212,2),IF(C55&gt;0,VLOOKUP(C55,КФСР!A47:B1559,2),IF(D55&gt;0,VLOOKUP(D55,Программа!A$1:B$5091,2),IF(F55&gt;0,VLOOKUP(F55,КВР!A$1:B$5001,2),IF(E55&gt;0,VLOOKUP(E55,Направление!A$1:B$4750,2))))))</f>
        <v>Содержание и организация деятельности аварийно-спасательных служб</v>
      </c>
      <c r="B55" s="149"/>
      <c r="C55" s="144"/>
      <c r="D55" s="145"/>
      <c r="E55" s="144">
        <v>29566</v>
      </c>
      <c r="F55" s="146"/>
      <c r="G55" s="564">
        <f>G56+G57</f>
        <v>0</v>
      </c>
      <c r="H55" s="564">
        <f t="shared" ref="H55:L55" si="30">H56+H57</f>
        <v>2000000</v>
      </c>
      <c r="I55" s="564">
        <f t="shared" si="30"/>
        <v>2000000</v>
      </c>
      <c r="J55" s="564">
        <f t="shared" si="30"/>
        <v>0</v>
      </c>
      <c r="K55" s="564">
        <f t="shared" si="30"/>
        <v>2000000</v>
      </c>
      <c r="L55" s="564">
        <f t="shared" si="30"/>
        <v>2000000</v>
      </c>
    </row>
    <row r="56" spans="1:12" ht="173.25">
      <c r="A56" s="148" t="str">
        <f>IF(B56&gt;0,VLOOKUP(B56,КВСР!A48:B1213,2),IF(C56&gt;0,VLOOKUP(C56,КФСР!A48:B1560,2),IF(D56&gt;0,VLOOKUP(D56,Программа!A$1:B$5091,2),IF(F56&gt;0,VLOOKUP(F56,КВР!A$1:B$5001,2),IF(E56&gt;0,VLOOKUP(E56,Направление!A$1:B$4750,2))))))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49"/>
      <c r="C56" s="144"/>
      <c r="D56" s="145"/>
      <c r="E56" s="144"/>
      <c r="F56" s="146">
        <v>100</v>
      </c>
      <c r="G56" s="564"/>
      <c r="H56" s="565">
        <f>1337798+404015</f>
        <v>1741813</v>
      </c>
      <c r="I56" s="563">
        <f>G56+H56</f>
        <v>1741813</v>
      </c>
      <c r="J56" s="564"/>
      <c r="K56" s="183">
        <v>1741813</v>
      </c>
      <c r="L56" s="150">
        <f>J56+K56</f>
        <v>1741813</v>
      </c>
    </row>
    <row r="57" spans="1:12" ht="80.25" customHeight="1">
      <c r="A57" s="148" t="str">
        <f>IF(B57&gt;0,VLOOKUP(B57,КВСР!A49:B1214,2),IF(C57&gt;0,VLOOKUP(C57,КФСР!A49:B1561,2),IF(D57&gt;0,VLOOKUP(D57,Программа!A$1:B$5091,2),IF(F57&gt;0,VLOOKUP(F57,КВР!A$1:B$5001,2),IF(E57&gt;0,VLOOKUP(E57,Направление!A$1:B$4750,2))))))</f>
        <v xml:space="preserve">Закупка товаров, работ и услуг для обеспечения государственных (муниципальных) нужд
</v>
      </c>
      <c r="B57" s="149"/>
      <c r="C57" s="144"/>
      <c r="D57" s="145"/>
      <c r="E57" s="144"/>
      <c r="F57" s="146">
        <v>200</v>
      </c>
      <c r="G57" s="564"/>
      <c r="H57" s="565">
        <v>258187</v>
      </c>
      <c r="I57" s="563">
        <f>G57+H57</f>
        <v>258187</v>
      </c>
      <c r="J57" s="564"/>
      <c r="K57" s="183">
        <v>258187</v>
      </c>
      <c r="L57" s="150">
        <f>J57+K57</f>
        <v>258187</v>
      </c>
    </row>
    <row r="58" spans="1:12" ht="36" customHeight="1">
      <c r="A58" s="148" t="str">
        <f>IF(B58&gt;0,VLOOKUP(B58,КВСР!A45:B1210,2),IF(C58&gt;0,VLOOKUP(C58,КФСР!A45:B1557,2),IF(D58&gt;0,VLOOKUP(D58,Программа!A$1:B$5091,2),IF(F58&gt;0,VLOOKUP(F58,КВР!A$1:B$5001,2),IF(E58&gt;0,VLOOKUP(E58,Направление!A$1:B$4750,2))))))</f>
        <v>Сельское хозяйство и рыболовство</v>
      </c>
      <c r="B58" s="149"/>
      <c r="C58" s="144">
        <v>405</v>
      </c>
      <c r="D58" s="145"/>
      <c r="E58" s="144"/>
      <c r="F58" s="146"/>
      <c r="G58" s="568">
        <f>G59+G64</f>
        <v>610360</v>
      </c>
      <c r="H58" s="568">
        <f t="shared" ref="H58:J58" si="31">H59+H64</f>
        <v>0</v>
      </c>
      <c r="I58" s="568">
        <f t="shared" si="31"/>
        <v>610360</v>
      </c>
      <c r="J58" s="568">
        <f t="shared" si="31"/>
        <v>605770</v>
      </c>
      <c r="K58" s="158">
        <f t="shared" ref="K58:K62" si="32">K59</f>
        <v>0</v>
      </c>
      <c r="L58" s="150">
        <f t="shared" si="13"/>
        <v>605770</v>
      </c>
    </row>
    <row r="59" spans="1:12" ht="126">
      <c r="A59" s="148" t="str">
        <f>IF(B59&gt;0,VLOOKUP(B59,КВСР!A46:B1211,2),IF(C59&gt;0,VLOOKUP(C59,КФСР!A46:B1558,2),IF(D59&gt;0,VLOOKUP(D59,Программа!A$1:B$5091,2),IF(F59&gt;0,VLOOKUP(F59,КВР!A$1:B$5001,2),IF(E59&gt;0,VLOOKUP(E59,Направление!A$1:B$4750,2))))))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9" s="149"/>
      <c r="C59" s="144"/>
      <c r="D59" s="145" t="s">
        <v>509</v>
      </c>
      <c r="E59" s="144"/>
      <c r="F59" s="146"/>
      <c r="G59" s="568">
        <f t="shared" ref="G59:H62" si="33">G60</f>
        <v>4590</v>
      </c>
      <c r="H59" s="568">
        <f t="shared" si="33"/>
        <v>0</v>
      </c>
      <c r="I59" s="563">
        <f t="shared" si="12"/>
        <v>4590</v>
      </c>
      <c r="J59" s="568">
        <f>J60</f>
        <v>0</v>
      </c>
      <c r="K59" s="158">
        <f t="shared" si="32"/>
        <v>0</v>
      </c>
      <c r="L59" s="150">
        <f t="shared" si="13"/>
        <v>0</v>
      </c>
    </row>
    <row r="60" spans="1:12" ht="94.5">
      <c r="A60" s="148" t="str">
        <f>IF(B60&gt;0,VLOOKUP(B60,КВСР!A47:B1212,2),IF(C60&gt;0,VLOOKUP(C60,КФСР!A47:B1559,2),IF(D60&gt;0,VLOOKUP(D60,Программа!A$1:B$5091,2),IF(F60&gt;0,VLOOKUP(F60,КВР!A$1:B$5001,2),IF(E60&gt;0,VLOOKUP(E60,Направление!A$1:B$4750,2))))))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60" s="149"/>
      <c r="C60" s="144"/>
      <c r="D60" s="145" t="s">
        <v>510</v>
      </c>
      <c r="E60" s="144"/>
      <c r="F60" s="146"/>
      <c r="G60" s="568">
        <f t="shared" si="33"/>
        <v>4590</v>
      </c>
      <c r="H60" s="568">
        <f t="shared" si="33"/>
        <v>0</v>
      </c>
      <c r="I60" s="563">
        <f t="shared" si="12"/>
        <v>4590</v>
      </c>
      <c r="J60" s="568">
        <f>J61</f>
        <v>0</v>
      </c>
      <c r="K60" s="158">
        <f t="shared" si="32"/>
        <v>0</v>
      </c>
      <c r="L60" s="150">
        <f t="shared" si="13"/>
        <v>0</v>
      </c>
    </row>
    <row r="61" spans="1:12" ht="110.25">
      <c r="A61" s="148" t="str">
        <f>IF(B61&gt;0,VLOOKUP(B61,КВСР!A48:B1213,2),IF(C61&gt;0,VLOOKUP(C61,КФСР!A48:B1560,2),IF(D61&gt;0,VLOOKUP(D61,Программа!A$1:B$5091,2),IF(F61&gt;0,VLOOKUP(F61,КВР!A$1:B$5001,2),IF(E61&gt;0,VLOOKUP(E61,Направление!A$1:B$4750,2))))))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1" s="149"/>
      <c r="C61" s="144"/>
      <c r="D61" s="145" t="s">
        <v>512</v>
      </c>
      <c r="E61" s="144"/>
      <c r="F61" s="146"/>
      <c r="G61" s="568">
        <f>G62</f>
        <v>4590</v>
      </c>
      <c r="H61" s="568">
        <f>H62</f>
        <v>0</v>
      </c>
      <c r="I61" s="563">
        <f t="shared" si="12"/>
        <v>4590</v>
      </c>
      <c r="J61" s="568">
        <f>J62</f>
        <v>0</v>
      </c>
      <c r="K61" s="158">
        <f>K62</f>
        <v>0</v>
      </c>
      <c r="L61" s="150">
        <f t="shared" si="13"/>
        <v>0</v>
      </c>
    </row>
    <row r="62" spans="1:12" ht="128.25" customHeight="1">
      <c r="A62" s="148" t="str">
        <f>IF(B62&gt;0,VLOOKUP(B62,КВСР!A49:B1214,2),IF(C62&gt;0,VLOOKUP(C62,КФСР!A49:B1561,2),IF(D62&gt;0,VLOOKUP(D62,Программа!A$1:B$5091,2),IF(F62&gt;0,VLOOKUP(F62,КВР!A$1:B$5001,2),IF(E62&gt;0,VLOOKUP(E62,Направление!A$1:B$4750,2))))))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62" s="149"/>
      <c r="C62" s="144"/>
      <c r="D62" s="145"/>
      <c r="E62" s="144">
        <v>74450</v>
      </c>
      <c r="F62" s="146"/>
      <c r="G62" s="568">
        <f t="shared" si="33"/>
        <v>4590</v>
      </c>
      <c r="H62" s="568">
        <f t="shared" si="33"/>
        <v>0</v>
      </c>
      <c r="I62" s="563">
        <f>SUM(G62:H62)</f>
        <v>4590</v>
      </c>
      <c r="J62" s="568">
        <f>J63</f>
        <v>0</v>
      </c>
      <c r="K62" s="158">
        <f t="shared" si="32"/>
        <v>0</v>
      </c>
      <c r="L62" s="150">
        <f t="shared" si="13"/>
        <v>0</v>
      </c>
    </row>
    <row r="63" spans="1:12" ht="78.75">
      <c r="A63" s="148" t="str">
        <f>IF(B63&gt;0,VLOOKUP(B63,КВСР!A50:B1215,2),IF(C63&gt;0,VLOOKUP(C63,КФСР!A50:B1562,2),IF(D63&gt;0,VLOOKUP(D63,Программа!A$1:B$5091,2),IF(F63&gt;0,VLOOKUP(F63,КВР!A$1:B$5001,2),IF(E63&gt;0,VLOOKUP(E63,Направление!A$1:B$4750,2))))))</f>
        <v xml:space="preserve">Закупка товаров, работ и услуг для обеспечения государственных (муниципальных) нужд
</v>
      </c>
      <c r="B63" s="149"/>
      <c r="C63" s="144"/>
      <c r="D63" s="145"/>
      <c r="E63" s="144"/>
      <c r="F63" s="146">
        <v>200</v>
      </c>
      <c r="G63" s="556">
        <v>4590</v>
      </c>
      <c r="H63" s="556"/>
      <c r="I63" s="556">
        <f>SUM(G63:H63)</f>
        <v>4590</v>
      </c>
      <c r="J63" s="556">
        <v>0</v>
      </c>
      <c r="K63" s="379"/>
      <c r="L63" s="379">
        <f>SUM(J63:K63)</f>
        <v>0</v>
      </c>
    </row>
    <row r="64" spans="1:12" ht="42" customHeight="1">
      <c r="A64" s="148" t="str">
        <f>IF(B64&gt;0,VLOOKUP(B64,КВСР!A51:B1216,2),IF(C64&gt;0,VLOOKUP(C64,КФСР!A51:B1563,2),IF(D64&gt;0,VLOOKUP(D64,Программа!A$1:B$5091,2),IF(F64&gt;0,VLOOKUP(F64,КВР!A$1:B$5001,2),IF(E64&gt;0,VLOOKUP(E64,Направление!A$1:B$4750,2))))))</f>
        <v>Непрограммные расходы бюджета</v>
      </c>
      <c r="B64" s="149"/>
      <c r="C64" s="144"/>
      <c r="D64" s="145" t="s">
        <v>480</v>
      </c>
      <c r="E64" s="144"/>
      <c r="F64" s="146"/>
      <c r="G64" s="556">
        <f>G65</f>
        <v>605770</v>
      </c>
      <c r="H64" s="556">
        <f t="shared" ref="H64:J65" si="34">H65</f>
        <v>0</v>
      </c>
      <c r="I64" s="556">
        <f t="shared" si="34"/>
        <v>605770</v>
      </c>
      <c r="J64" s="556">
        <f t="shared" si="34"/>
        <v>605770</v>
      </c>
      <c r="K64" s="379"/>
      <c r="L64" s="379">
        <f t="shared" ref="L64:L71" si="35">SUM(J64:K64)</f>
        <v>605770</v>
      </c>
    </row>
    <row r="65" spans="1:12" ht="60" customHeight="1">
      <c r="A65" s="148" t="str">
        <f>IF(B65&gt;0,VLOOKUP(B65,КВСР!A52:B1217,2),IF(C65&gt;0,VLOOKUP(C65,КФСР!A52:B1564,2),IF(D65&gt;0,VLOOKUP(D65,Программа!A$1:B$5091,2),IF(F65&gt;0,VLOOKUP(F65,КВР!A$1:B$5001,2),IF(E65&gt;0,VLOOKUP(E65,Направление!A$1:B$4750,2))))))</f>
        <v>Субвенция на отлов и содержание безнадзорных животных</v>
      </c>
      <c r="B65" s="149"/>
      <c r="C65" s="144"/>
      <c r="D65" s="145"/>
      <c r="E65" s="144">
        <v>74420</v>
      </c>
      <c r="F65" s="146"/>
      <c r="G65" s="556">
        <f>G66</f>
        <v>605770</v>
      </c>
      <c r="H65" s="556">
        <f t="shared" si="34"/>
        <v>0</v>
      </c>
      <c r="I65" s="556">
        <f t="shared" si="34"/>
        <v>605770</v>
      </c>
      <c r="J65" s="556">
        <f>J66</f>
        <v>605770</v>
      </c>
      <c r="K65" s="379"/>
      <c r="L65" s="379">
        <f t="shared" si="35"/>
        <v>605770</v>
      </c>
    </row>
    <row r="66" spans="1:12" ht="78.75">
      <c r="A66" s="148" t="str">
        <f>IF(B66&gt;0,VLOOKUP(B66,КВСР!A53:B1218,2),IF(C66&gt;0,VLOOKUP(C66,КФСР!A53:B1565,2),IF(D66&gt;0,VLOOKUP(D66,Программа!A$1:B$5091,2),IF(F66&gt;0,VLOOKUP(F66,КВР!A$1:B$5001,2),IF(E66&gt;0,VLOOKUP(E66,Направление!A$1:B$4750,2))))))</f>
        <v>Предоставление субсидий бюджетным, автономным учреждениям и иным некоммерческим организациям</v>
      </c>
      <c r="B66" s="149"/>
      <c r="C66" s="144"/>
      <c r="D66" s="145"/>
      <c r="E66" s="144"/>
      <c r="F66" s="146">
        <v>600</v>
      </c>
      <c r="G66" s="556">
        <v>605770</v>
      </c>
      <c r="H66" s="556"/>
      <c r="I66" s="556">
        <f>G66+H66</f>
        <v>605770</v>
      </c>
      <c r="J66" s="556">
        <v>605770</v>
      </c>
      <c r="K66" s="379"/>
      <c r="L66" s="379">
        <f t="shared" si="35"/>
        <v>605770</v>
      </c>
    </row>
    <row r="67" spans="1:12" ht="15.75">
      <c r="A67" s="148" t="str">
        <f>IF(B67&gt;0,VLOOKUP(B67,КВСР!A54:B1219,2),IF(C67&gt;0,VLOOKUP(C67,КФСР!A54:B1566,2),IF(D67&gt;0,VLOOKUP(D67,Программа!A$1:B$5091,2),IF(F67&gt;0,VLOOKUP(F67,КВР!A$1:B$5001,2),IF(E67&gt;0,VLOOKUP(E67,Направление!A$1:B$4750,2))))))</f>
        <v>Транспорт</v>
      </c>
      <c r="B67" s="149"/>
      <c r="C67" s="144">
        <v>408</v>
      </c>
      <c r="D67" s="145"/>
      <c r="E67" s="144"/>
      <c r="F67" s="146"/>
      <c r="G67" s="556">
        <f>G68</f>
        <v>10000000</v>
      </c>
      <c r="H67" s="556">
        <f t="shared" ref="H67:K70" si="36">H68</f>
        <v>6600000</v>
      </c>
      <c r="I67" s="556">
        <f>G67+H67</f>
        <v>16600000</v>
      </c>
      <c r="J67" s="556">
        <f t="shared" si="36"/>
        <v>0</v>
      </c>
      <c r="K67" s="556">
        <f t="shared" si="36"/>
        <v>7200000</v>
      </c>
      <c r="L67" s="379">
        <f t="shared" si="35"/>
        <v>7200000</v>
      </c>
    </row>
    <row r="68" spans="1:12" ht="94.5">
      <c r="A68" s="148" t="str">
        <f>IF(B68&gt;0,VLOOKUP(B68,КВСР!A55:B1220,2),IF(C68&gt;0,VLOOKUP(C68,КФСР!A55:B1567,2),IF(D68&gt;0,VLOOKUP(D68,Программа!A$1:B$5091,2),IF(F68&gt;0,VLOOKUP(F68,КВР!A$1:B$5001,2),IF(E68&gt;0,VLOOKUP(E68,Направление!A$1:B$4750,2))))))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8" s="149"/>
      <c r="C68" s="144"/>
      <c r="D68" s="145" t="s">
        <v>713</v>
      </c>
      <c r="E68" s="144"/>
      <c r="F68" s="146"/>
      <c r="G68" s="556">
        <f>G69</f>
        <v>10000000</v>
      </c>
      <c r="H68" s="556">
        <f>H69+H74</f>
        <v>6600000</v>
      </c>
      <c r="I68" s="556">
        <f t="shared" ref="I68:I71" si="37">G68+H68</f>
        <v>16600000</v>
      </c>
      <c r="J68" s="556">
        <f t="shared" si="36"/>
        <v>0</v>
      </c>
      <c r="K68" s="556">
        <f>K69+K74</f>
        <v>7200000</v>
      </c>
      <c r="L68" s="379">
        <f t="shared" si="35"/>
        <v>7200000</v>
      </c>
    </row>
    <row r="69" spans="1:12" ht="110.25">
      <c r="A69" s="148" t="str">
        <f>IF(B69&gt;0,VLOOKUP(B69,КВСР!A56:B1221,2),IF(C69&gt;0,VLOOKUP(C69,КФСР!A56:B1568,2),IF(D69&gt;0,VLOOKUP(D69,Программа!A$1:B$5091,2),IF(F69&gt;0,VLOOKUP(F69,КВР!A$1:B$5001,2),IF(E69&gt;0,VLOOKUP(E69,Направление!A$1:B$4750,2))))))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9" s="149"/>
      <c r="C69" s="144"/>
      <c r="D69" s="145" t="s">
        <v>719</v>
      </c>
      <c r="E69" s="144"/>
      <c r="F69" s="146"/>
      <c r="G69" s="556">
        <f>G70</f>
        <v>10000000</v>
      </c>
      <c r="H69" s="556">
        <f>H70+H72</f>
        <v>600000</v>
      </c>
      <c r="I69" s="556">
        <f t="shared" si="37"/>
        <v>10600000</v>
      </c>
      <c r="J69" s="556">
        <f t="shared" si="36"/>
        <v>0</v>
      </c>
      <c r="K69" s="556">
        <f>K70+K72</f>
        <v>600000</v>
      </c>
      <c r="L69" s="379">
        <f t="shared" si="35"/>
        <v>600000</v>
      </c>
    </row>
    <row r="70" spans="1:12" ht="94.5">
      <c r="A70" s="148" t="str">
        <f>IF(B70&gt;0,VLOOKUP(B70,КВСР!A57:B1222,2),IF(C70&gt;0,VLOOKUP(C70,КФСР!A57:B1569,2),IF(D70&gt;0,VLOOKUP(D70,Программа!A$1:B$5091,2),IF(F70&gt;0,VLOOKUP(F70,КВР!A$1:B$5001,2),IF(E70&gt;0,VLOOKUP(E70,Направление!A$1:B$4750,2))))))</f>
        <v>Субсидия на возмещение затрат по пассажирским перевозкам внутримуниципальным транспортом общего пользования</v>
      </c>
      <c r="B70" s="149"/>
      <c r="C70" s="144"/>
      <c r="D70" s="145"/>
      <c r="E70" s="144">
        <v>10100</v>
      </c>
      <c r="F70" s="146"/>
      <c r="G70" s="556">
        <f>G71</f>
        <v>10000000</v>
      </c>
      <c r="H70" s="556">
        <f t="shared" si="36"/>
        <v>0</v>
      </c>
      <c r="I70" s="556">
        <f t="shared" si="37"/>
        <v>10000000</v>
      </c>
      <c r="J70" s="556">
        <f t="shared" si="36"/>
        <v>0</v>
      </c>
      <c r="K70" s="379">
        <f>K71</f>
        <v>0</v>
      </c>
      <c r="L70" s="379">
        <f t="shared" si="35"/>
        <v>0</v>
      </c>
    </row>
    <row r="71" spans="1:12" ht="78.75">
      <c r="A71" s="148" t="str">
        <f>IF(B71&gt;0,VLOOKUP(B71,КВСР!A58:B1223,2),IF(C71&gt;0,VLOOKUP(C71,КФСР!A58:B1570,2),IF(D71&gt;0,VLOOKUP(D71,Программа!A$1:B$5091,2),IF(F71&gt;0,VLOOKUP(F71,КВР!A$1:B$5001,2),IF(E71&gt;0,VLOOKUP(E71,Направление!A$1:B$4750,2))))))</f>
        <v>Предоставление субсидий бюджетным, автономным учреждениям и иным некоммерческим организациям</v>
      </c>
      <c r="B71" s="149"/>
      <c r="C71" s="144"/>
      <c r="D71" s="145"/>
      <c r="E71" s="144"/>
      <c r="F71" s="146">
        <v>600</v>
      </c>
      <c r="G71" s="556">
        <v>10000000</v>
      </c>
      <c r="H71" s="556"/>
      <c r="I71" s="556">
        <f t="shared" si="37"/>
        <v>10000000</v>
      </c>
      <c r="J71" s="556">
        <v>0</v>
      </c>
      <c r="K71" s="379"/>
      <c r="L71" s="379">
        <f t="shared" si="35"/>
        <v>0</v>
      </c>
    </row>
    <row r="72" spans="1:12" ht="78.75">
      <c r="A72" s="148" t="str">
        <f>IF(B72&gt;0,VLOOKUP(B72,КВСР!A59:B1224,2),IF(C72&gt;0,VLOOKUP(C72,КФСР!A59:B1571,2),IF(D72&gt;0,VLOOKUP(D72,Программа!A$1:B$5091,2),IF(F72&gt;0,VLOOKUP(F72,КВР!A$1:B$5001,2),IF(E72&gt;0,VLOOKUP(E72,Направление!A$1:B$4750,2))))))</f>
        <v>Обеспечение мероприятий по осуществлению межсезонных пассажирских  перевозок на автомобильном  транспорте</v>
      </c>
      <c r="B72" s="149"/>
      <c r="C72" s="144"/>
      <c r="D72" s="145"/>
      <c r="E72" s="144">
        <v>29176</v>
      </c>
      <c r="F72" s="146"/>
      <c r="G72" s="556"/>
      <c r="H72" s="556">
        <f>H73</f>
        <v>600000</v>
      </c>
      <c r="I72" s="556">
        <f>SUM(G72:H72)</f>
        <v>600000</v>
      </c>
      <c r="J72" s="556"/>
      <c r="K72" s="379">
        <f>K73</f>
        <v>600000</v>
      </c>
      <c r="L72" s="379">
        <f>SUM(J72:K72)</f>
        <v>600000</v>
      </c>
    </row>
    <row r="73" spans="1:12" ht="78.75">
      <c r="A73" s="148" t="str">
        <f>IF(B73&gt;0,VLOOKUP(B73,КВСР!A60:B1225,2),IF(C73&gt;0,VLOOKUP(C73,КФСР!A60:B1572,2),IF(D73&gt;0,VLOOKUP(D73,Программа!A$1:B$5091,2),IF(F73&gt;0,VLOOKUP(F73,КВР!A$1:B$5001,2),IF(E73&gt;0,VLOOKUP(E73,Направление!A$1:B$4750,2))))))</f>
        <v>Предоставление субсидий бюджетным, автономным учреждениям и иным некоммерческим организациям</v>
      </c>
      <c r="B73" s="149"/>
      <c r="C73" s="144"/>
      <c r="D73" s="145"/>
      <c r="E73" s="144"/>
      <c r="F73" s="146">
        <v>600</v>
      </c>
      <c r="G73" s="556"/>
      <c r="H73" s="592">
        <v>600000</v>
      </c>
      <c r="I73" s="556">
        <f>SUM(G73:H73)</f>
        <v>600000</v>
      </c>
      <c r="J73" s="556"/>
      <c r="K73" s="336">
        <v>600000</v>
      </c>
      <c r="L73" s="379">
        <f>SUM(J73:K73)</f>
        <v>600000</v>
      </c>
    </row>
    <row r="74" spans="1:12" ht="78.75">
      <c r="A74" s="148" t="str">
        <f>IF(B74&gt;0,VLOOKUP(B74,КВСР!A61:B1226,2),IF(C74&gt;0,VLOOKUP(C74,КФСР!A61:B1573,2),IF(D74&gt;0,VLOOKUP(D74,Программа!A$1:B$5091,2),IF(F74&gt;0,VLOOKUP(F74,КВР!A$1:B$5001,2),IF(E74&gt;0,VLOOKUP(E74,Направление!A$1:B$4750,2))))))</f>
        <v>Организация предоставления транспортных услуг по перевозке пассажиров речным транспортом</v>
      </c>
      <c r="B74" s="149"/>
      <c r="C74" s="144"/>
      <c r="D74" s="145" t="s">
        <v>1619</v>
      </c>
      <c r="E74" s="144"/>
      <c r="F74" s="146"/>
      <c r="G74" s="556"/>
      <c r="H74" s="562">
        <f>H75</f>
        <v>6000000</v>
      </c>
      <c r="I74" s="556">
        <f t="shared" ref="I74:I76" si="38">SUM(G74:H74)</f>
        <v>6000000</v>
      </c>
      <c r="J74" s="556"/>
      <c r="K74" s="348">
        <f>K75</f>
        <v>6600000</v>
      </c>
      <c r="L74" s="379">
        <f t="shared" ref="L74:L76" si="39">SUM(J74:K74)</f>
        <v>6600000</v>
      </c>
    </row>
    <row r="75" spans="1:12" ht="78.75">
      <c r="A75" s="148" t="str">
        <f>IF(B75&gt;0,VLOOKUP(B75,КВСР!A62:B1227,2),IF(C75&gt;0,VLOOKUP(C75,КФСР!A62:B1574,2),IF(D75&gt;0,VLOOKUP(D75,Программа!A$1:B$5091,2),IF(F75&gt;0,VLOOKUP(F75,КВР!A$1:B$5001,2),IF(E75&gt;0,VLOOKUP(E75,Направление!A$1:B$4750,2))))))</f>
        <v>Обеспечение мероприятий по осуществлению грузопассажирских  перевозок на речном транспорте</v>
      </c>
      <c r="B75" s="149"/>
      <c r="C75" s="144"/>
      <c r="D75" s="145"/>
      <c r="E75" s="144">
        <v>29166</v>
      </c>
      <c r="F75" s="146"/>
      <c r="G75" s="556"/>
      <c r="H75" s="562">
        <f>H76</f>
        <v>6000000</v>
      </c>
      <c r="I75" s="556">
        <f t="shared" si="38"/>
        <v>6000000</v>
      </c>
      <c r="J75" s="556"/>
      <c r="K75" s="348">
        <f>K76</f>
        <v>6600000</v>
      </c>
      <c r="L75" s="379">
        <f t="shared" si="39"/>
        <v>6600000</v>
      </c>
    </row>
    <row r="76" spans="1:12" ht="78.75">
      <c r="A76" s="148" t="str">
        <f>IF(B76&gt;0,VLOOKUP(B76,КВСР!A63:B1228,2),IF(C76&gt;0,VLOOKUP(C76,КФСР!A63:B1575,2),IF(D76&gt;0,VLOOKUP(D76,Программа!A$1:B$5091,2),IF(F76&gt;0,VLOOKUP(F76,КВР!A$1:B$5001,2),IF(E76&gt;0,VLOOKUP(E76,Направление!A$1:B$4750,2))))))</f>
        <v>Предоставление субсидий бюджетным, автономным учреждениям и иным некоммерческим организациям</v>
      </c>
      <c r="B76" s="149"/>
      <c r="C76" s="144"/>
      <c r="D76" s="145"/>
      <c r="E76" s="144"/>
      <c r="F76" s="146">
        <v>600</v>
      </c>
      <c r="G76" s="556"/>
      <c r="H76" s="592">
        <v>6000000</v>
      </c>
      <c r="I76" s="556">
        <f t="shared" si="38"/>
        <v>6000000</v>
      </c>
      <c r="J76" s="556"/>
      <c r="K76" s="336">
        <v>6600000</v>
      </c>
      <c r="L76" s="379">
        <f t="shared" si="39"/>
        <v>6600000</v>
      </c>
    </row>
    <row r="77" spans="1:12" ht="24" customHeight="1">
      <c r="A77" s="148" t="str">
        <f>IF(B77&gt;0,VLOOKUP(B77,КВСР!A51:B1216,2),IF(C77&gt;0,VLOOKUP(C77,КФСР!A51:B1563,2),IF(D77&gt;0,VLOOKUP(D77,Программа!A$1:B$5091,2),IF(F77&gt;0,VLOOKUP(F77,КВР!A$1:B$5001,2),IF(E77&gt;0,VLOOKUP(E77,Направление!A$1:B$4750,2))))))</f>
        <v>Дорожное хозяйство</v>
      </c>
      <c r="B77" s="149"/>
      <c r="C77" s="144">
        <v>409</v>
      </c>
      <c r="D77" s="145"/>
      <c r="E77" s="144"/>
      <c r="F77" s="146"/>
      <c r="G77" s="556">
        <f>G78</f>
        <v>22202530</v>
      </c>
      <c r="H77" s="556">
        <f>H78</f>
        <v>73000000</v>
      </c>
      <c r="I77" s="556">
        <f t="shared" si="12"/>
        <v>95202530</v>
      </c>
      <c r="J77" s="556">
        <f>J78</f>
        <v>26106270</v>
      </c>
      <c r="K77" s="379">
        <f>K78</f>
        <v>70800000</v>
      </c>
      <c r="L77" s="379">
        <f>SUM(J77:K77)</f>
        <v>96906270</v>
      </c>
    </row>
    <row r="78" spans="1:12" ht="78.75">
      <c r="A78" s="148" t="str">
        <f>IF(B78&gt;0,VLOOKUP(B78,КВСР!A52:B1217,2),IF(C78&gt;0,VLOOKUP(C78,КФСР!A52:B1564,2),IF(D78&gt;0,VLOOKUP(D78,Программа!A$1:B$5091,2),IF(F78&gt;0,VLOOKUP(F78,КВР!A$1:B$5001,2),IF(E78&gt;0,VLOOKUP(E78,Направление!A$1:B$4750,2))))))</f>
        <v>Муниципальная программа "Развитие дорожного хозяйства и транспорта в Тутаевском муниципальном районе"</v>
      </c>
      <c r="B78" s="149"/>
      <c r="C78" s="144"/>
      <c r="D78" s="145" t="s">
        <v>720</v>
      </c>
      <c r="E78" s="144"/>
      <c r="F78" s="146"/>
      <c r="G78" s="556">
        <f>G79+G85</f>
        <v>22202530</v>
      </c>
      <c r="H78" s="556">
        <f>H79+H85</f>
        <v>73000000</v>
      </c>
      <c r="I78" s="556">
        <f t="shared" si="12"/>
        <v>95202530</v>
      </c>
      <c r="J78" s="556">
        <f>J79+J85</f>
        <v>26106270</v>
      </c>
      <c r="K78" s="556">
        <f>K79+K85</f>
        <v>70800000</v>
      </c>
      <c r="L78" s="379">
        <f t="shared" ref="L78:L104" si="40">SUM(J78:K78)</f>
        <v>96906270</v>
      </c>
    </row>
    <row r="79" spans="1:12" ht="97.15" customHeight="1">
      <c r="A79" s="148" t="str">
        <f>IF(B79&gt;0,VLOOKUP(B79,КВСР!A53:B1218,2),IF(C79&gt;0,VLOOKUP(C79,КФСР!A53:B1565,2),IF(D79&gt;0,VLOOKUP(D79,Программа!A$1:B$5091,2),IF(F79&gt;0,VLOOKUP(F79,КВР!A$1:B$5001,2),IF(E79&gt;0,VLOOKUP(E79,Направление!A$1:B$4750,2))))))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9" s="149"/>
      <c r="C79" s="144"/>
      <c r="D79" s="145" t="s">
        <v>722</v>
      </c>
      <c r="E79" s="144"/>
      <c r="F79" s="146"/>
      <c r="G79" s="556">
        <f>G80</f>
        <v>538300</v>
      </c>
      <c r="H79" s="556">
        <f>H80</f>
        <v>1265000</v>
      </c>
      <c r="I79" s="556">
        <f t="shared" si="12"/>
        <v>1803300</v>
      </c>
      <c r="J79" s="556">
        <f>J80</f>
        <v>1000000</v>
      </c>
      <c r="K79" s="556">
        <f>K80</f>
        <v>1265000</v>
      </c>
      <c r="L79" s="379">
        <f t="shared" si="40"/>
        <v>2265000</v>
      </c>
    </row>
    <row r="80" spans="1:12" ht="56.45" customHeight="1">
      <c r="A80" s="148" t="str">
        <f>IF(B80&gt;0,VLOOKUP(B80,КВСР!A54:B1219,2),IF(C80&gt;0,VLOOKUP(C80,КФСР!A54:B1566,2),IF(D80&gt;0,VLOOKUP(D80,Программа!A$1:B$5091,2),IF(F80&gt;0,VLOOKUP(F80,КВР!A$1:B$5001,2),IF(E80&gt;0,VLOOKUP(E80,Направление!A$1:B$4750,2))))))</f>
        <v>Повышение безопасности дорожного движения на автомобильных дорогах</v>
      </c>
      <c r="B80" s="149"/>
      <c r="C80" s="144"/>
      <c r="D80" s="145" t="s">
        <v>724</v>
      </c>
      <c r="E80" s="144"/>
      <c r="F80" s="146"/>
      <c r="G80" s="556">
        <f>G81</f>
        <v>538300</v>
      </c>
      <c r="H80" s="556">
        <f>H81+H83</f>
        <v>1265000</v>
      </c>
      <c r="I80" s="556">
        <f t="shared" si="12"/>
        <v>1803300</v>
      </c>
      <c r="J80" s="556">
        <f>J81</f>
        <v>1000000</v>
      </c>
      <c r="K80" s="556">
        <f>K81+K83</f>
        <v>1265000</v>
      </c>
      <c r="L80" s="379">
        <f t="shared" si="40"/>
        <v>2265000</v>
      </c>
    </row>
    <row r="81" spans="1:12" ht="51" customHeight="1">
      <c r="A81" s="148" t="str">
        <f>IF(B81&gt;0,VLOOKUP(B81,КВСР!A55:B1220,2),IF(C81&gt;0,VLOOKUP(C81,КФСР!A55:B1567,2),IF(D81&gt;0,VLOOKUP(D81,Программа!A$1:B$5091,2),IF(F81&gt;0,VLOOKUP(F81,КВР!A$1:B$5001,2),IF(E81&gt;0,VLOOKUP(E81,Направление!A$1:B$4750,2))))))</f>
        <v>Содержание и ремонт  автомобильных дорог общего пользования</v>
      </c>
      <c r="B81" s="149"/>
      <c r="C81" s="144"/>
      <c r="D81" s="145"/>
      <c r="E81" s="144">
        <v>10200</v>
      </c>
      <c r="F81" s="146"/>
      <c r="G81" s="556">
        <f>G82</f>
        <v>538300</v>
      </c>
      <c r="H81" s="556">
        <f>H82</f>
        <v>0</v>
      </c>
      <c r="I81" s="556">
        <f t="shared" si="12"/>
        <v>538300</v>
      </c>
      <c r="J81" s="556">
        <f>J82</f>
        <v>1000000</v>
      </c>
      <c r="K81" s="556">
        <f>K82</f>
        <v>0</v>
      </c>
      <c r="L81" s="379">
        <f t="shared" si="40"/>
        <v>1000000</v>
      </c>
    </row>
    <row r="82" spans="1:12" ht="83.45" customHeight="1">
      <c r="A82" s="148" t="str">
        <f>IF(B82&gt;0,VLOOKUP(B82,КВСР!A56:B1221,2),IF(C82&gt;0,VLOOKUP(C82,КФСР!A56:B1568,2),IF(D82&gt;0,VLOOKUP(D82,Программа!A$1:B$5091,2),IF(F82&gt;0,VLOOKUP(F82,КВР!A$1:B$5001,2),IF(E82&gt;0,VLOOKUP(E82,Направление!A$1:B$4750,2))))))</f>
        <v>Предоставление субсидий бюджетным, автономным учреждениям и иным некоммерческим организациям</v>
      </c>
      <c r="B82" s="149"/>
      <c r="C82" s="144"/>
      <c r="D82" s="145"/>
      <c r="E82" s="144"/>
      <c r="F82" s="146">
        <v>600</v>
      </c>
      <c r="G82" s="556">
        <v>538300</v>
      </c>
      <c r="H82" s="556"/>
      <c r="I82" s="556">
        <f t="shared" si="12"/>
        <v>538300</v>
      </c>
      <c r="J82" s="556">
        <v>1000000</v>
      </c>
      <c r="K82" s="379"/>
      <c r="L82" s="379">
        <f t="shared" si="40"/>
        <v>1000000</v>
      </c>
    </row>
    <row r="83" spans="1:12" ht="83.45" customHeight="1">
      <c r="A83" s="148" t="str">
        <f>IF(B83&gt;0,VLOOKUP(B83,КВСР!A57:B1222,2),IF(C83&gt;0,VLOOKUP(C83,КФСР!A57:B1569,2),IF(D83&gt;0,VLOOKUP(D83,Программа!A$1:B$5091,2),IF(F83&gt;0,VLOOKUP(F83,КВР!A$1:B$5001,2),IF(E83&gt;0,VLOOKUP(E83,Направление!A$1:B$4750,2))))))</f>
        <v>Обеспечение   мероприятий в области  дорожного хозяйства  по повышению безопасности дорожного движения</v>
      </c>
      <c r="B83" s="149"/>
      <c r="C83" s="144"/>
      <c r="D83" s="145"/>
      <c r="E83" s="144">
        <v>29096</v>
      </c>
      <c r="F83" s="146"/>
      <c r="G83" s="556"/>
      <c r="H83" s="556">
        <f>H84</f>
        <v>1265000</v>
      </c>
      <c r="I83" s="556">
        <f t="shared" si="12"/>
        <v>1265000</v>
      </c>
      <c r="J83" s="556"/>
      <c r="K83" s="379">
        <f>K84</f>
        <v>1265000</v>
      </c>
      <c r="L83" s="379">
        <f t="shared" si="40"/>
        <v>1265000</v>
      </c>
    </row>
    <row r="84" spans="1:12" ht="83.45" customHeight="1">
      <c r="A84" s="148" t="str">
        <f>IF(B84&gt;0,VLOOKUP(B84,КВСР!A58:B1223,2),IF(C84&gt;0,VLOOKUP(C84,КФСР!A58:B1570,2),IF(D84&gt;0,VLOOKUP(D84,Программа!A$1:B$5091,2),IF(F84&gt;0,VLOOKUP(F84,КВР!A$1:B$5001,2),IF(E84&gt;0,VLOOKUP(E84,Направление!A$1:B$4750,2))))))</f>
        <v>Предоставление субсидий бюджетным, автономным учреждениям и иным некоммерческим организациям</v>
      </c>
      <c r="B84" s="149"/>
      <c r="C84" s="144"/>
      <c r="D84" s="145"/>
      <c r="E84" s="144"/>
      <c r="F84" s="146">
        <v>600</v>
      </c>
      <c r="G84" s="556"/>
      <c r="H84" s="592">
        <v>1265000</v>
      </c>
      <c r="I84" s="556">
        <f>SUM(G84:H84)</f>
        <v>1265000</v>
      </c>
      <c r="J84" s="556"/>
      <c r="K84" s="336">
        <v>1265000</v>
      </c>
      <c r="L84" s="379">
        <f t="shared" si="40"/>
        <v>1265000</v>
      </c>
    </row>
    <row r="85" spans="1:12" ht="83.45" customHeight="1">
      <c r="A85" s="148" t="str">
        <f>IF(B85&gt;0,VLOOKUP(B85,КВСР!A57:B1222,2),IF(C85&gt;0,VLOOKUP(C85,КФСР!A57:B1569,2),IF(D85&gt;0,VLOOKUP(D85,Программа!A$1:B$5091,2),IF(F85&gt;0,VLOOKUP(F85,КВР!A$1:B$5001,2),IF(E85&gt;0,VLOOKUP(E85,Направление!A$1:B$4750,2))))))</f>
        <v>Муниципальная целевая программа «Сохранность автомобильных дорог общего пользования Тутаевского муниципального района»</v>
      </c>
      <c r="B85" s="149"/>
      <c r="C85" s="144"/>
      <c r="D85" s="145" t="s">
        <v>727</v>
      </c>
      <c r="E85" s="144"/>
      <c r="F85" s="146"/>
      <c r="G85" s="556">
        <f>G86</f>
        <v>21664230</v>
      </c>
      <c r="H85" s="556">
        <f>H86</f>
        <v>71735000</v>
      </c>
      <c r="I85" s="556">
        <f t="shared" si="12"/>
        <v>93399230</v>
      </c>
      <c r="J85" s="556">
        <f>J86</f>
        <v>25106270</v>
      </c>
      <c r="K85" s="379">
        <f>K86</f>
        <v>69535000</v>
      </c>
      <c r="L85" s="379">
        <f t="shared" si="40"/>
        <v>94641270</v>
      </c>
    </row>
    <row r="86" spans="1:12" ht="55.15" customHeight="1">
      <c r="A86" s="148" t="str">
        <f>IF(B86&gt;0,VLOOKUP(B86,КВСР!A58:B1223,2),IF(C86&gt;0,VLOOKUP(C86,КФСР!A58:B1570,2),IF(D86&gt;0,VLOOKUP(D86,Программа!A$1:B$5091,2),IF(F86&gt;0,VLOOKUP(F86,КВР!A$1:B$5001,2),IF(E86&gt;0,VLOOKUP(E86,Направление!A$1:B$4750,2))))))</f>
        <v>Приведение  в нормативное состояние автомобильных дорог общего пользования</v>
      </c>
      <c r="B86" s="149"/>
      <c r="C86" s="144"/>
      <c r="D86" s="145" t="s">
        <v>729</v>
      </c>
      <c r="E86" s="144"/>
      <c r="F86" s="146"/>
      <c r="G86" s="556">
        <f>G87</f>
        <v>21664230</v>
      </c>
      <c r="H86" s="556">
        <f>H87+H89+H91+H93+H95</f>
        <v>71735000</v>
      </c>
      <c r="I86" s="556">
        <f t="shared" si="12"/>
        <v>93399230</v>
      </c>
      <c r="J86" s="556">
        <f>J87</f>
        <v>25106270</v>
      </c>
      <c r="K86" s="379">
        <f>K87+K89+K91+K93+K95</f>
        <v>69535000</v>
      </c>
      <c r="L86" s="379">
        <f t="shared" si="40"/>
        <v>94641270</v>
      </c>
    </row>
    <row r="87" spans="1:12" ht="52.9" customHeight="1">
      <c r="A87" s="148" t="str">
        <f>IF(B87&gt;0,VLOOKUP(B87,КВСР!A59:B1224,2),IF(C87&gt;0,VLOOKUP(C87,КФСР!A59:B1571,2),IF(D87&gt;0,VLOOKUP(D87,Программа!A$1:B$5091,2),IF(F87&gt;0,VLOOKUP(F87,КВР!A$1:B$5001,2),IF(E87&gt;0,VLOOKUP(E87,Направление!A$1:B$4750,2))))))</f>
        <v>Содержание и ремонт  автомобильных дорог общего пользования</v>
      </c>
      <c r="B87" s="149"/>
      <c r="C87" s="144"/>
      <c r="D87" s="145"/>
      <c r="E87" s="144">
        <v>10200</v>
      </c>
      <c r="F87" s="146"/>
      <c r="G87" s="556">
        <f>G88</f>
        <v>21664230</v>
      </c>
      <c r="H87" s="556">
        <f>H88</f>
        <v>0</v>
      </c>
      <c r="I87" s="556">
        <f t="shared" si="12"/>
        <v>21664230</v>
      </c>
      <c r="J87" s="556">
        <f>J88</f>
        <v>25106270</v>
      </c>
      <c r="K87" s="379">
        <f>K88</f>
        <v>0</v>
      </c>
      <c r="L87" s="379">
        <f t="shared" si="40"/>
        <v>25106270</v>
      </c>
    </row>
    <row r="88" spans="1:12" ht="78.75">
      <c r="A88" s="148" t="str">
        <f>IF(B88&gt;0,VLOOKUP(B88,КВСР!A60:B1225,2),IF(C88&gt;0,VLOOKUP(C88,КФСР!A60:B1572,2),IF(D88&gt;0,VLOOKUP(D88,Программа!A$1:B$5091,2),IF(F88&gt;0,VLOOKUP(F88,КВР!A$1:B$5001,2),IF(E88&gt;0,VLOOKUP(E88,Направление!A$1:B$4750,2))))))</f>
        <v>Предоставление субсидий бюджетным, автономным учреждениям и иным некоммерческим организациям</v>
      </c>
      <c r="B88" s="149"/>
      <c r="C88" s="144"/>
      <c r="D88" s="145"/>
      <c r="E88" s="144"/>
      <c r="F88" s="146">
        <v>600</v>
      </c>
      <c r="G88" s="556">
        <v>21664230</v>
      </c>
      <c r="H88" s="556"/>
      <c r="I88" s="556">
        <f>SUM(G88:H88)</f>
        <v>21664230</v>
      </c>
      <c r="J88" s="556">
        <v>25106270</v>
      </c>
      <c r="K88" s="379"/>
      <c r="L88" s="379">
        <f t="shared" si="40"/>
        <v>25106270</v>
      </c>
    </row>
    <row r="89" spans="1:12" ht="94.5">
      <c r="A89" s="148" t="str">
        <f>IF(B89&gt;0,VLOOKUP(B89,КВСР!A61:B1226,2),IF(C89&gt;0,VLOOKUP(C89,КФСР!A61:B1573,2),IF(D89&gt;0,VLOOKUP(D89,Программа!A$1:B$5091,2),IF(F89&gt;0,VLOOKUP(F89,КВР!A$1:B$5001,2),IF(E89&gt;0,VLOOKUP(E89,Направление!A$1:B$4750,2))))))</f>
        <v>Мероприятия по благоустройству и ремонту дворовых территории в рамках софинансирования инициативного бюджетирования</v>
      </c>
      <c r="B89" s="149"/>
      <c r="C89" s="144"/>
      <c r="D89" s="145"/>
      <c r="E89" s="144">
        <v>25356</v>
      </c>
      <c r="F89" s="146"/>
      <c r="G89" s="556"/>
      <c r="H89" s="556">
        <f>H90</f>
        <v>500000</v>
      </c>
      <c r="I89" s="556">
        <f t="shared" ref="I89:I96" si="41">SUM(G89:H89)</f>
        <v>500000</v>
      </c>
      <c r="J89" s="556"/>
      <c r="K89" s="379">
        <f>K90</f>
        <v>500000</v>
      </c>
      <c r="L89" s="379">
        <f t="shared" si="40"/>
        <v>500000</v>
      </c>
    </row>
    <row r="90" spans="1:12" ht="78.75">
      <c r="A90" s="148" t="str">
        <f>IF(B90&gt;0,VLOOKUP(B90,КВСР!A62:B1227,2),IF(C90&gt;0,VLOOKUP(C90,КФСР!A62:B1574,2),IF(D90&gt;0,VLOOKUP(D90,Программа!A$1:B$5091,2),IF(F90&gt;0,VLOOKUP(F90,КВР!A$1:B$5001,2),IF(E90&gt;0,VLOOKUP(E90,Направление!A$1:B$4750,2))))))</f>
        <v>Предоставление субсидий бюджетным, автономным учреждениям и иным некоммерческим организациям</v>
      </c>
      <c r="B90" s="149"/>
      <c r="C90" s="144"/>
      <c r="D90" s="145"/>
      <c r="E90" s="144"/>
      <c r="F90" s="146">
        <v>600</v>
      </c>
      <c r="G90" s="556"/>
      <c r="H90" s="592">
        <v>500000</v>
      </c>
      <c r="I90" s="556">
        <f t="shared" si="41"/>
        <v>500000</v>
      </c>
      <c r="J90" s="556"/>
      <c r="K90" s="336">
        <v>500000</v>
      </c>
      <c r="L90" s="379">
        <f t="shared" si="40"/>
        <v>500000</v>
      </c>
    </row>
    <row r="91" spans="1:12" ht="78.75">
      <c r="A91" s="148" t="str">
        <f>IF(B91&gt;0,VLOOKUP(B91,КВСР!A63:B1228,2),IF(C91&gt;0,VLOOKUP(C91,КФСР!A63:B1575,2),IF(D91&gt;0,VLOOKUP(D91,Программа!A$1:B$5091,2),IF(F91&gt;0,VLOOKUP(F91,КВР!A$1:B$5001,2),IF(E91&gt;0,VLOOKUP(E91,Направление!A$1:B$4750,2))))))</f>
        <v>Обеспечение   мероприятий в области  дорожного хозяйства  на  ремонт и содержание автомобильных дорог</v>
      </c>
      <c r="B91" s="149"/>
      <c r="C91" s="144"/>
      <c r="D91" s="145"/>
      <c r="E91" s="144">
        <v>29086</v>
      </c>
      <c r="F91" s="146"/>
      <c r="G91" s="556"/>
      <c r="H91" s="556">
        <f>H92</f>
        <v>23500000</v>
      </c>
      <c r="I91" s="556">
        <f t="shared" si="41"/>
        <v>23500000</v>
      </c>
      <c r="J91" s="556"/>
      <c r="K91" s="337">
        <f>K92</f>
        <v>24500000</v>
      </c>
      <c r="L91" s="379">
        <f t="shared" si="40"/>
        <v>24500000</v>
      </c>
    </row>
    <row r="92" spans="1:12" ht="78.75">
      <c r="A92" s="148" t="str">
        <f>IF(B92&gt;0,VLOOKUP(B92,КВСР!A64:B1229,2),IF(C92&gt;0,VLOOKUP(C92,КФСР!A64:B1576,2),IF(D92&gt;0,VLOOKUP(D92,Программа!A$1:B$5091,2),IF(F92&gt;0,VLOOKUP(F92,КВР!A$1:B$5001,2),IF(E92&gt;0,VLOOKUP(E92,Направление!A$1:B$4750,2))))))</f>
        <v>Предоставление субсидий бюджетным, автономным учреждениям и иным некоммерческим организациям</v>
      </c>
      <c r="B92" s="149"/>
      <c r="C92" s="144"/>
      <c r="D92" s="145"/>
      <c r="E92" s="144"/>
      <c r="F92" s="146">
        <v>600</v>
      </c>
      <c r="G92" s="556"/>
      <c r="H92" s="592">
        <v>23500000</v>
      </c>
      <c r="I92" s="556">
        <f t="shared" si="41"/>
        <v>23500000</v>
      </c>
      <c r="J92" s="556"/>
      <c r="K92" s="336">
        <v>24500000</v>
      </c>
      <c r="L92" s="379">
        <f t="shared" si="40"/>
        <v>24500000</v>
      </c>
    </row>
    <row r="93" spans="1:12" ht="47.25">
      <c r="A93" s="148" t="str">
        <f>IF(B93&gt;0,VLOOKUP(B93,КВСР!A65:B1230,2),IF(C93&gt;0,VLOOKUP(C93,КФСР!A65:B1577,2),IF(D93&gt;0,VLOOKUP(D93,Программа!A$1:B$5091,2),IF(F93&gt;0,VLOOKUP(F93,КВР!A$1:B$5001,2),IF(E93&gt;0,VLOOKUP(E93,Направление!A$1:B$4750,2))))))</f>
        <v>Содержание и организация деятельности дорожного хозяйства</v>
      </c>
      <c r="B93" s="149"/>
      <c r="C93" s="144"/>
      <c r="D93" s="145"/>
      <c r="E93" s="144">
        <v>29696</v>
      </c>
      <c r="F93" s="146"/>
      <c r="G93" s="556"/>
      <c r="H93" s="556">
        <f>H94</f>
        <v>12735000</v>
      </c>
      <c r="I93" s="556">
        <f t="shared" si="41"/>
        <v>12735000</v>
      </c>
      <c r="J93" s="556"/>
      <c r="K93" s="379">
        <f>K94</f>
        <v>13735000</v>
      </c>
      <c r="L93" s="379">
        <f t="shared" si="40"/>
        <v>13735000</v>
      </c>
    </row>
    <row r="94" spans="1:12" ht="78.75">
      <c r="A94" s="148" t="str">
        <f>IF(B94&gt;0,VLOOKUP(B94,КВСР!A66:B1231,2),IF(C94&gt;0,VLOOKUP(C94,КФСР!A66:B1578,2),IF(D94&gt;0,VLOOKUP(D94,Программа!A$1:B$5091,2),IF(F94&gt;0,VLOOKUP(F94,КВР!A$1:B$5001,2),IF(E94&gt;0,VLOOKUP(E94,Направление!A$1:B$4750,2))))))</f>
        <v>Предоставление субсидий бюджетным, автономным учреждениям и иным некоммерческим организациям</v>
      </c>
      <c r="B94" s="149"/>
      <c r="C94" s="144"/>
      <c r="D94" s="145"/>
      <c r="E94" s="144"/>
      <c r="F94" s="146">
        <v>600</v>
      </c>
      <c r="G94" s="556"/>
      <c r="H94" s="592">
        <v>12735000</v>
      </c>
      <c r="I94" s="556">
        <f t="shared" si="41"/>
        <v>12735000</v>
      </c>
      <c r="J94" s="556"/>
      <c r="K94" s="336">
        <v>13735000</v>
      </c>
      <c r="L94" s="379">
        <f t="shared" si="40"/>
        <v>13735000</v>
      </c>
    </row>
    <row r="95" spans="1:12" ht="63">
      <c r="A95" s="148" t="str">
        <f>IF(B95&gt;0,VLOOKUP(B95,КВСР!A67:B1232,2),IF(C95&gt;0,VLOOKUP(C95,КФСР!A67:B1579,2),IF(D95&gt;0,VLOOKUP(D95,Программа!A$1:B$5091,2),IF(F95&gt;0,VLOOKUP(F95,КВР!A$1:B$5001,2),IF(E95&gt;0,VLOOKUP(E95,Направление!A$1:B$4750,2))))))</f>
        <v>Расходы на комплексное развитие транспортной инфраструктуры городской агломерации "Ярославская"</v>
      </c>
      <c r="B95" s="149"/>
      <c r="C95" s="144"/>
      <c r="D95" s="145"/>
      <c r="E95" s="144">
        <v>73906</v>
      </c>
      <c r="F95" s="146"/>
      <c r="G95" s="556"/>
      <c r="H95" s="556">
        <f>H96</f>
        <v>35000000</v>
      </c>
      <c r="I95" s="556">
        <f t="shared" si="41"/>
        <v>35000000</v>
      </c>
      <c r="J95" s="556"/>
      <c r="K95" s="379">
        <f>K96</f>
        <v>30800000</v>
      </c>
      <c r="L95" s="379">
        <f t="shared" si="40"/>
        <v>30800000</v>
      </c>
    </row>
    <row r="96" spans="1:12" ht="78.75">
      <c r="A96" s="148" t="str">
        <f>IF(B96&gt;0,VLOOKUP(B96,КВСР!A68:B1233,2),IF(C96&gt;0,VLOOKUP(C96,КФСР!A68:B1580,2),IF(D96&gt;0,VLOOKUP(D96,Программа!A$1:B$5091,2),IF(F96&gt;0,VLOOKUP(F96,КВР!A$1:B$5001,2),IF(E96&gt;0,VLOOKUP(E96,Направление!A$1:B$4750,2))))))</f>
        <v>Предоставление субсидий бюджетным, автономным учреждениям и иным некоммерческим организациям</v>
      </c>
      <c r="B96" s="149"/>
      <c r="C96" s="144"/>
      <c r="D96" s="145"/>
      <c r="E96" s="144"/>
      <c r="F96" s="146">
        <v>600</v>
      </c>
      <c r="G96" s="556"/>
      <c r="H96" s="592">
        <v>35000000</v>
      </c>
      <c r="I96" s="556">
        <f t="shared" si="41"/>
        <v>35000000</v>
      </c>
      <c r="J96" s="556"/>
      <c r="K96" s="336">
        <v>30800000</v>
      </c>
      <c r="L96" s="379">
        <f t="shared" si="40"/>
        <v>30800000</v>
      </c>
    </row>
    <row r="97" spans="1:12" ht="15.75">
      <c r="A97" s="148" t="str">
        <f>IF(B97&gt;0,VLOOKUP(B97,КВСР!A61:B1226,2),IF(C97&gt;0,VLOOKUP(C97,КФСР!A61:B1573,2),IF(D97&gt;0,VLOOKUP(D97,Программа!A$1:B$5091,2),IF(F97&gt;0,VLOOKUP(F97,КВР!A$1:B$5001,2),IF(E97&gt;0,VLOOKUP(E97,Направление!A$1:B$4750,2))))))</f>
        <v>Жилищное хозяйство</v>
      </c>
      <c r="B97" s="149"/>
      <c r="C97" s="144">
        <v>501</v>
      </c>
      <c r="D97" s="145"/>
      <c r="E97" s="144"/>
      <c r="F97" s="146"/>
      <c r="G97" s="556"/>
      <c r="H97" s="556">
        <f>H98</f>
        <v>1500000</v>
      </c>
      <c r="I97" s="556">
        <f>SUM(G97:H97)</f>
        <v>1500000</v>
      </c>
      <c r="J97" s="556"/>
      <c r="K97" s="379">
        <f>K98</f>
        <v>1500000</v>
      </c>
      <c r="L97" s="379">
        <f t="shared" si="40"/>
        <v>1500000</v>
      </c>
    </row>
    <row r="98" spans="1:12" ht="63">
      <c r="A98" s="148" t="str">
        <f>IF(B98&gt;0,VLOOKUP(B98,КВСР!A62:B1227,2),IF(C98&gt;0,VLOOKUP(C98,КФСР!A62:B1574,2),IF(D98&gt;0,VLOOKUP(D98,Программа!A$1:B$5091,2),IF(F98&gt;0,VLOOKUP(F98,КВР!A$1:B$5001,2),IF(E98&gt;0,VLOOKUP(E98,Направление!A$1:B$4750,2))))))</f>
        <v>Муниципальная программа  "Развитие жилищного хозяйства Тутаевского муниципального района"</v>
      </c>
      <c r="B98" s="149"/>
      <c r="C98" s="144"/>
      <c r="D98" s="145" t="s">
        <v>805</v>
      </c>
      <c r="E98" s="144"/>
      <c r="F98" s="146"/>
      <c r="G98" s="556"/>
      <c r="H98" s="556">
        <f>H99</f>
        <v>1500000</v>
      </c>
      <c r="I98" s="556">
        <f t="shared" ref="I98:I101" si="42">SUM(G98:H98)</f>
        <v>1500000</v>
      </c>
      <c r="J98" s="556"/>
      <c r="K98" s="556">
        <f>K99</f>
        <v>1500000</v>
      </c>
      <c r="L98" s="379">
        <f t="shared" si="40"/>
        <v>1500000</v>
      </c>
    </row>
    <row r="99" spans="1:12" ht="110.25">
      <c r="A99" s="148" t="str">
        <f>IF(B99&gt;0,VLOOKUP(B99,КВСР!A63:B1228,2),IF(C99&gt;0,VLOOKUP(C99,КФСР!A63:B1575,2),IF(D99&gt;0,VLOOKUP(D99,Программа!A$1:B$5091,2),IF(F99&gt;0,VLOOKUP(F99,КВР!A$1:B$5001,2),IF(E99&gt;0,VLOOKUP(E99,Направление!A$1:B$4750,2))))))</f>
        <v>Муниципальная целевая программа "Ремонт и содержание муниципального жилищного фонда   Тутаевского муниципального района"</v>
      </c>
      <c r="B99" s="149"/>
      <c r="C99" s="144"/>
      <c r="D99" s="145" t="s">
        <v>814</v>
      </c>
      <c r="E99" s="144"/>
      <c r="F99" s="146"/>
      <c r="G99" s="556"/>
      <c r="H99" s="556">
        <f>H100</f>
        <v>1500000</v>
      </c>
      <c r="I99" s="556">
        <f t="shared" si="42"/>
        <v>1500000</v>
      </c>
      <c r="J99" s="556"/>
      <c r="K99" s="556">
        <f>K100</f>
        <v>1500000</v>
      </c>
      <c r="L99" s="379">
        <f t="shared" si="40"/>
        <v>1500000</v>
      </c>
    </row>
    <row r="100" spans="1:12" ht="63">
      <c r="A100" s="148" t="str">
        <f>IF(B100&gt;0,VLOOKUP(B100,КВСР!A64:B1229,2),IF(C100&gt;0,VLOOKUP(C100,КФСР!A64:B1576,2),IF(D100&gt;0,VLOOKUP(D100,Программа!A$1:B$5091,2),IF(F100&gt;0,VLOOKUP(F100,КВР!A$1:B$5001,2),IF(E100&gt;0,VLOOKUP(E100,Направление!A$1:B$4750,2))))))</f>
        <v>Обеспечение мероприятий по замене приборов учета в муниципальном жилищном фонде</v>
      </c>
      <c r="B100" s="149"/>
      <c r="C100" s="144"/>
      <c r="D100" s="145" t="s">
        <v>816</v>
      </c>
      <c r="E100" s="144"/>
      <c r="F100" s="146"/>
      <c r="G100" s="556"/>
      <c r="H100" s="556">
        <f>H101</f>
        <v>1500000</v>
      </c>
      <c r="I100" s="556">
        <f t="shared" si="42"/>
        <v>1500000</v>
      </c>
      <c r="J100" s="556"/>
      <c r="K100" s="556">
        <f>K101</f>
        <v>1500000</v>
      </c>
      <c r="L100" s="379">
        <f t="shared" si="40"/>
        <v>1500000</v>
      </c>
    </row>
    <row r="101" spans="1:12" ht="94.5">
      <c r="A101" s="148" t="str">
        <f>IF(B101&gt;0,VLOOKUP(B101,КВСР!A65:B1230,2),IF(C101&gt;0,VLOOKUP(C101,КФСР!A65:B1577,2),IF(D101&gt;0,VLOOKUP(D101,Программа!A$1:B$5091,2),IF(F101&gt;0,VLOOKUP(F101,КВР!A$1:B$5001,2),IF(E101&gt;0,VLOOKUP(E101,Направление!A$1:B$4750,2))))))</f>
        <v>Обеспечение мероприятий по содержанию,  реконструкции и капитальному ремонту муниципального жилищного фонда</v>
      </c>
      <c r="B101" s="149"/>
      <c r="C101" s="144"/>
      <c r="D101" s="145"/>
      <c r="E101" s="144">
        <v>29376</v>
      </c>
      <c r="F101" s="146"/>
      <c r="G101" s="556"/>
      <c r="H101" s="556">
        <f>H102</f>
        <v>1500000</v>
      </c>
      <c r="I101" s="556">
        <f t="shared" si="42"/>
        <v>1500000</v>
      </c>
      <c r="J101" s="556"/>
      <c r="K101" s="556">
        <f>K102</f>
        <v>1500000</v>
      </c>
      <c r="L101" s="379">
        <f t="shared" si="40"/>
        <v>1500000</v>
      </c>
    </row>
    <row r="102" spans="1:12" ht="78.75">
      <c r="A102" s="148" t="str">
        <f>IF(B102&gt;0,VLOOKUP(B102,КВСР!A66:B1231,2),IF(C102&gt;0,VLOOKUP(C102,КФСР!A66:B1578,2),IF(D102&gt;0,VLOOKUP(D102,Программа!A$1:B$5091,2),IF(F102&gt;0,VLOOKUP(F102,КВР!A$1:B$5001,2),IF(E102&gt;0,VLOOKUP(E102,Направление!A$1:B$4750,2))))))</f>
        <v>Предоставление субсидий бюджетным, автономным учреждениям и иным некоммерческим организациям</v>
      </c>
      <c r="B102" s="149"/>
      <c r="C102" s="144"/>
      <c r="D102" s="145"/>
      <c r="E102" s="144"/>
      <c r="F102" s="146">
        <v>600</v>
      </c>
      <c r="G102" s="556"/>
      <c r="H102" s="592">
        <v>1500000</v>
      </c>
      <c r="I102" s="556">
        <f>SUM(G102:H102)</f>
        <v>1500000</v>
      </c>
      <c r="J102" s="556"/>
      <c r="K102" s="336">
        <v>1500000</v>
      </c>
      <c r="L102" s="379">
        <f t="shared" si="40"/>
        <v>1500000</v>
      </c>
    </row>
    <row r="103" spans="1:12" ht="15.75">
      <c r="A103" s="148" t="str">
        <f>IF(B103&gt;0,VLOOKUP(B103,КВСР!A61:B1226,2),IF(C103&gt;0,VLOOKUP(C103,КФСР!A61:B1573,2),IF(D103&gt;0,VLOOKUP(D103,Программа!A$1:B$5091,2),IF(F103&gt;0,VLOOKUP(F103,КВР!A$1:B$5001,2),IF(E103&gt;0,VLOOKUP(E103,Направление!A$1:B$4750,2))))))</f>
        <v>Коммунальное хозяйство</v>
      </c>
      <c r="B103" s="149"/>
      <c r="C103" s="144">
        <v>502</v>
      </c>
      <c r="D103" s="145"/>
      <c r="E103" s="144"/>
      <c r="F103" s="146"/>
      <c r="G103" s="556">
        <f>G104</f>
        <v>11981547</v>
      </c>
      <c r="H103" s="556">
        <f t="shared" ref="H103:J103" si="43">H104</f>
        <v>0</v>
      </c>
      <c r="I103" s="556">
        <f>G103+H103</f>
        <v>11981547</v>
      </c>
      <c r="J103" s="556">
        <f t="shared" si="43"/>
        <v>2000000</v>
      </c>
      <c r="K103" s="379"/>
      <c r="L103" s="379">
        <f t="shared" si="40"/>
        <v>2000000</v>
      </c>
    </row>
    <row r="104" spans="1:12" ht="94.5">
      <c r="A104" s="148" t="str">
        <f>IF(B104&gt;0,VLOOKUP(B104,КВСР!A62:B1227,2),IF(C104&gt;0,VLOOKUP(C104,КФСР!A62:B1574,2),IF(D104&gt;0,VLOOKUP(D104,Программа!A$1:B$5091,2),IF(F104&gt;0,VLOOKUP(F104,КВР!A$1:B$5001,2),IF(E104&gt;0,VLOOKUP(E104,Направление!A$1:B$4750,2))))))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04" s="149"/>
      <c r="C104" s="144"/>
      <c r="D104" s="145" t="s">
        <v>703</v>
      </c>
      <c r="E104" s="144"/>
      <c r="F104" s="146"/>
      <c r="G104" s="556">
        <f>G105+G113</f>
        <v>11981547</v>
      </c>
      <c r="H104" s="556">
        <f t="shared" ref="H104:K104" si="44">H105+H113</f>
        <v>0</v>
      </c>
      <c r="I104" s="556">
        <f t="shared" si="44"/>
        <v>11981547</v>
      </c>
      <c r="J104" s="556">
        <f t="shared" si="44"/>
        <v>2000000</v>
      </c>
      <c r="K104" s="379">
        <f t="shared" si="44"/>
        <v>0</v>
      </c>
      <c r="L104" s="379">
        <f t="shared" si="40"/>
        <v>2000000</v>
      </c>
    </row>
    <row r="105" spans="1:12" ht="110.25">
      <c r="A105" s="148" t="str">
        <f>IF(B105&gt;0,VLOOKUP(B105,КВСР!A63:B1228,2),IF(C105&gt;0,VLOOKUP(C105,КФСР!A63:B1575,2),IF(D105&gt;0,VLOOKUP(D105,Программа!A$1:B$5091,2),IF(F105&gt;0,VLOOKUP(F105,КВР!A$1:B$5001,2),IF(E105&gt;0,VLOOKUP(E105,Направление!A$1:B$4750,2))))))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05" s="149"/>
      <c r="C105" s="144"/>
      <c r="D105" s="145" t="s">
        <v>734</v>
      </c>
      <c r="E105" s="144"/>
      <c r="F105" s="146"/>
      <c r="G105" s="556">
        <f>G106</f>
        <v>11640000</v>
      </c>
      <c r="H105" s="556">
        <f t="shared" ref="H105:J111" si="45">H106</f>
        <v>0</v>
      </c>
      <c r="I105" s="556">
        <f t="shared" ref="I105:I116" si="46">G105+H105</f>
        <v>11640000</v>
      </c>
      <c r="J105" s="556">
        <f t="shared" si="45"/>
        <v>2000000</v>
      </c>
      <c r="K105" s="379"/>
      <c r="L105" s="379">
        <f t="shared" ref="L105:L116" si="47">J105+K105</f>
        <v>2000000</v>
      </c>
    </row>
    <row r="106" spans="1:12" ht="126">
      <c r="A106" s="148" t="str">
        <f>IF(B106&gt;0,VLOOKUP(B106,КВСР!A64:B1229,2),IF(C106&gt;0,VLOOKUP(C106,КФСР!A64:B1576,2),IF(D106&gt;0,VLOOKUP(D106,Программа!A$1:B$5091,2),IF(F106&gt;0,VLOOKUP(F106,КВР!A$1:B$5001,2),IF(E106&gt;0,VLOOKUP(E106,Направление!A$1:B$4750,2))))))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06" s="149"/>
      <c r="C106" s="144"/>
      <c r="D106" s="145" t="s">
        <v>776</v>
      </c>
      <c r="E106" s="144"/>
      <c r="F106" s="146"/>
      <c r="G106" s="556">
        <f>G111+G107+G109</f>
        <v>11640000</v>
      </c>
      <c r="H106" s="556">
        <f t="shared" ref="H106:J106" si="48">H111+H107+H109</f>
        <v>0</v>
      </c>
      <c r="I106" s="556">
        <f t="shared" si="46"/>
        <v>11640000</v>
      </c>
      <c r="J106" s="556">
        <f t="shared" si="48"/>
        <v>2000000</v>
      </c>
      <c r="K106" s="379"/>
      <c r="L106" s="379">
        <f t="shared" si="47"/>
        <v>2000000</v>
      </c>
    </row>
    <row r="107" spans="1:12" ht="78" customHeight="1">
      <c r="A107" s="148" t="str">
        <f>IF(B107&gt;0,VLOOKUP(B107,КВСР!A65:B1230,2),IF(C107&gt;0,VLOOKUP(C107,КФСР!A65:B1577,2),IF(D107&gt;0,VLOOKUP(D107,Программа!A$1:B$5091,2),IF(F107&gt;0,VLOOKUP(F107,КВР!A$1:B$5001,2),IF(E107&gt;0,VLOOKUP(E107,Направление!A$1:B$4750,2))))))</f>
        <v>Бюджетные инвестиции в объекты капитального строительства муниципальной собственности</v>
      </c>
      <c r="B107" s="149"/>
      <c r="C107" s="144"/>
      <c r="D107" s="145"/>
      <c r="E107" s="144">
        <v>10010</v>
      </c>
      <c r="F107" s="146"/>
      <c r="G107" s="556">
        <f>G108</f>
        <v>900000</v>
      </c>
      <c r="H107" s="556">
        <f t="shared" ref="H107:J107" si="49">H108</f>
        <v>0</v>
      </c>
      <c r="I107" s="556">
        <f t="shared" si="46"/>
        <v>900000</v>
      </c>
      <c r="J107" s="556">
        <f t="shared" si="49"/>
        <v>2000000</v>
      </c>
      <c r="K107" s="379"/>
      <c r="L107" s="379">
        <f t="shared" si="47"/>
        <v>2000000</v>
      </c>
    </row>
    <row r="108" spans="1:12" ht="80.25" customHeight="1">
      <c r="A108" s="148" t="str">
        <f>IF(B108&gt;0,VLOOKUP(B108,КВСР!A66:B1231,2),IF(C108&gt;0,VLOOKUP(C108,КФСР!A66:B1578,2),IF(D108&gt;0,VLOOKUP(D108,Программа!A$1:B$5091,2),IF(F108&gt;0,VLOOKUP(F108,КВР!A$1:B$5001,2),IF(E108&gt;0,VLOOKUP(E108,Направление!A$1:B$4750,2))))))</f>
        <v>Капитальные вложения в объекты государственной (муниципальной) собственности</v>
      </c>
      <c r="B108" s="149"/>
      <c r="C108" s="144"/>
      <c r="D108" s="145"/>
      <c r="E108" s="144"/>
      <c r="F108" s="146">
        <v>400</v>
      </c>
      <c r="G108" s="556">
        <v>900000</v>
      </c>
      <c r="H108" s="556"/>
      <c r="I108" s="556">
        <f t="shared" si="46"/>
        <v>900000</v>
      </c>
      <c r="J108" s="556">
        <v>2000000</v>
      </c>
      <c r="K108" s="379"/>
      <c r="L108" s="379">
        <f t="shared" si="47"/>
        <v>2000000</v>
      </c>
    </row>
    <row r="109" spans="1:12" ht="63.75" customHeight="1">
      <c r="A109" s="148" t="str">
        <f>IF(B109&gt;0,VLOOKUP(B109,КВСР!A67:B1232,2),IF(C109&gt;0,VLOOKUP(C109,КФСР!A67:B1579,2),IF(D109&gt;0,VLOOKUP(D109,Программа!A$1:B$5091,2),IF(F109&gt;0,VLOOKUP(F109,КВР!A$1:B$5001,2),IF(E109&gt;0,VLOOKUP(E109,Направление!A$1:B$4750,2))))))</f>
        <v>Обеспечение софинансирования мероприятий по развитию транспортной инфраструктуры городской  агломерации "Ярославская" (гп Тутаев)</v>
      </c>
      <c r="B109" s="149"/>
      <c r="C109" s="144"/>
      <c r="D109" s="145"/>
      <c r="E109" s="144">
        <v>25260</v>
      </c>
      <c r="F109" s="146"/>
      <c r="G109" s="556">
        <f>G110</f>
        <v>1100000</v>
      </c>
      <c r="H109" s="556">
        <f t="shared" ref="H109:J109" si="50">H110</f>
        <v>0</v>
      </c>
      <c r="I109" s="556">
        <f t="shared" si="46"/>
        <v>1100000</v>
      </c>
      <c r="J109" s="556">
        <f t="shared" si="50"/>
        <v>0</v>
      </c>
      <c r="K109" s="379"/>
      <c r="L109" s="379">
        <f t="shared" si="47"/>
        <v>0</v>
      </c>
    </row>
    <row r="110" spans="1:12" ht="82.5" customHeight="1">
      <c r="A110" s="148" t="str">
        <f>IF(B110&gt;0,VLOOKUP(B110,КВСР!A68:B1233,2),IF(C110&gt;0,VLOOKUP(C110,КФСР!A68:B1580,2),IF(D110&gt;0,VLOOKUP(D110,Программа!A$1:B$5091,2),IF(F110&gt;0,VLOOKUP(F110,КВР!A$1:B$5001,2),IF(E110&gt;0,VLOOKUP(E110,Направление!A$1:B$4750,2))))))</f>
        <v>Капитальные вложения в объекты государственной (муниципальной) собственности</v>
      </c>
      <c r="B110" s="149"/>
      <c r="C110" s="144"/>
      <c r="D110" s="145"/>
      <c r="E110" s="144"/>
      <c r="F110" s="146">
        <v>400</v>
      </c>
      <c r="G110" s="556">
        <v>1100000</v>
      </c>
      <c r="H110" s="556"/>
      <c r="I110" s="556">
        <f t="shared" si="46"/>
        <v>1100000</v>
      </c>
      <c r="J110" s="556">
        <v>0</v>
      </c>
      <c r="K110" s="379"/>
      <c r="L110" s="379">
        <f t="shared" si="47"/>
        <v>0</v>
      </c>
    </row>
    <row r="111" spans="1:12" ht="63">
      <c r="A111" s="148" t="str">
        <f>IF(B111&gt;0,VLOOKUP(B111,КВСР!A65:B1230,2),IF(C111&gt;0,VLOOKUP(C111,КФСР!A65:B1577,2),IF(D111&gt;0,VLOOKUP(D111,Программа!A$1:B$5091,2),IF(F111&gt;0,VLOOKUP(F111,КВР!A$1:B$5001,2),IF(E111&gt;0,VLOOKUP(E111,Направление!A$1:B$4750,2))))))</f>
        <v>Субсидия на мероприятия по строительству межпоселеченских газопроводов</v>
      </c>
      <c r="B111" s="149"/>
      <c r="C111" s="144"/>
      <c r="D111" s="145"/>
      <c r="E111" s="144">
        <v>75260</v>
      </c>
      <c r="F111" s="146"/>
      <c r="G111" s="556">
        <f>G112</f>
        <v>9640000</v>
      </c>
      <c r="H111" s="556">
        <f t="shared" si="45"/>
        <v>0</v>
      </c>
      <c r="I111" s="556">
        <f t="shared" si="46"/>
        <v>9640000</v>
      </c>
      <c r="J111" s="556">
        <f t="shared" si="45"/>
        <v>0</v>
      </c>
      <c r="K111" s="379"/>
      <c r="L111" s="379">
        <f t="shared" si="47"/>
        <v>0</v>
      </c>
    </row>
    <row r="112" spans="1:12" ht="63">
      <c r="A112" s="148" t="str">
        <f>IF(B112&gt;0,VLOOKUP(B112,КВСР!A66:B1231,2),IF(C112&gt;0,VLOOKUP(C112,КФСР!A66:B1578,2),IF(D112&gt;0,VLOOKUP(D112,Программа!A$1:B$5091,2),IF(F112&gt;0,VLOOKUP(F112,КВР!A$1:B$5001,2),IF(E112&gt;0,VLOOKUP(E112,Направление!A$1:B$4750,2))))))</f>
        <v>Капитальные вложения в объекты государственной (муниципальной) собственности</v>
      </c>
      <c r="B112" s="149"/>
      <c r="C112" s="144"/>
      <c r="D112" s="145"/>
      <c r="E112" s="144"/>
      <c r="F112" s="146">
        <v>400</v>
      </c>
      <c r="G112" s="556">
        <v>9640000</v>
      </c>
      <c r="H112" s="556"/>
      <c r="I112" s="556">
        <f t="shared" si="46"/>
        <v>9640000</v>
      </c>
      <c r="J112" s="556">
        <v>0</v>
      </c>
      <c r="K112" s="379"/>
      <c r="L112" s="379">
        <f t="shared" si="47"/>
        <v>0</v>
      </c>
    </row>
    <row r="113" spans="1:12" ht="110.25">
      <c r="A113" s="148" t="str">
        <f>IF(B113&gt;0,VLOOKUP(B113,КВСР!A67:B1232,2),IF(C113&gt;0,VLOOKUP(C113,КФСР!A67:B1579,2),IF(D113&gt;0,VLOOKUP(D113,Программа!A$1:B$5091,2),IF(F113&gt;0,VLOOKUP(F113,КВР!A$1:B$5001,2),IF(E113&gt;0,VLOOKUP(E113,Направление!A$1:B$4750,2))))))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13" s="149"/>
      <c r="C113" s="144"/>
      <c r="D113" s="145" t="s">
        <v>738</v>
      </c>
      <c r="E113" s="144"/>
      <c r="F113" s="146"/>
      <c r="G113" s="556">
        <f>G114</f>
        <v>341547</v>
      </c>
      <c r="H113" s="556">
        <f t="shared" ref="H113:J115" si="51">H114</f>
        <v>0</v>
      </c>
      <c r="I113" s="556">
        <f t="shared" si="46"/>
        <v>341547</v>
      </c>
      <c r="J113" s="556">
        <f t="shared" si="51"/>
        <v>0</v>
      </c>
      <c r="K113" s="379"/>
      <c r="L113" s="379">
        <f t="shared" si="47"/>
        <v>0</v>
      </c>
    </row>
    <row r="114" spans="1:12" ht="110.25">
      <c r="A114" s="148" t="str">
        <f>IF(B114&gt;0,VLOOKUP(B114,КВСР!A68:B1233,2),IF(C114&gt;0,VLOOKUP(C114,КФСР!A68:B1580,2),IF(D114&gt;0,VLOOKUP(D114,Программа!A$1:B$5091,2),IF(F114&gt;0,VLOOKUP(F114,КВР!A$1:B$5001,2),IF(E114&gt;0,VLOOKUP(E114,Направление!A$1:B$4750,2))))))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14" s="149"/>
      <c r="C114" s="144"/>
      <c r="D114" s="145" t="s">
        <v>739</v>
      </c>
      <c r="E114" s="144"/>
      <c r="F114" s="146"/>
      <c r="G114" s="556">
        <f>G115</f>
        <v>341547</v>
      </c>
      <c r="H114" s="556">
        <f t="shared" si="51"/>
        <v>0</v>
      </c>
      <c r="I114" s="556">
        <f t="shared" si="46"/>
        <v>341547</v>
      </c>
      <c r="J114" s="556">
        <f t="shared" si="51"/>
        <v>0</v>
      </c>
      <c r="K114" s="379"/>
      <c r="L114" s="379">
        <f t="shared" si="47"/>
        <v>0</v>
      </c>
    </row>
    <row r="115" spans="1:12" ht="78.75">
      <c r="A115" s="148" t="str">
        <f>IF(B115&gt;0,VLOOKUP(B115,КВСР!A69:B1234,2),IF(C115&gt;0,VLOOKUP(C115,КФСР!A69:B1581,2),IF(D115&gt;0,VLOOKUP(D115,Программа!A$1:B$5091,2),IF(F115&gt;0,VLOOKUP(F115,КВР!A$1:B$5001,2),IF(E115&gt;0,VLOOKUP(E115,Направление!A$1:B$4750,2))))))</f>
        <v>Бюджетные инвестиции в объекты капитального строительства муниципальной собственности</v>
      </c>
      <c r="B115" s="149"/>
      <c r="C115" s="144"/>
      <c r="D115" s="145"/>
      <c r="E115" s="144">
        <v>10010</v>
      </c>
      <c r="F115" s="146"/>
      <c r="G115" s="556">
        <f>G116</f>
        <v>341547</v>
      </c>
      <c r="H115" s="556">
        <f t="shared" si="51"/>
        <v>0</v>
      </c>
      <c r="I115" s="556">
        <f t="shared" si="46"/>
        <v>341547</v>
      </c>
      <c r="J115" s="556">
        <f t="shared" si="51"/>
        <v>0</v>
      </c>
      <c r="K115" s="379"/>
      <c r="L115" s="379">
        <f t="shared" si="47"/>
        <v>0</v>
      </c>
    </row>
    <row r="116" spans="1:12" ht="63">
      <c r="A116" s="148" t="str">
        <f>IF(B116&gt;0,VLOOKUP(B116,КВСР!A70:B1235,2),IF(C116&gt;0,VLOOKUP(C116,КФСР!A70:B1582,2),IF(D116&gt;0,VLOOKUP(D116,Программа!A$1:B$5091,2),IF(F116&gt;0,VLOOKUP(F116,КВР!A$1:B$5001,2),IF(E116&gt;0,VLOOKUP(E116,Направление!A$1:B$4750,2))))))</f>
        <v>Капитальные вложения в объекты государственной (муниципальной) собственности</v>
      </c>
      <c r="B116" s="149"/>
      <c r="C116" s="144"/>
      <c r="D116" s="145"/>
      <c r="E116" s="144"/>
      <c r="F116" s="146">
        <v>400</v>
      </c>
      <c r="G116" s="556">
        <v>341547</v>
      </c>
      <c r="H116" s="556"/>
      <c r="I116" s="556">
        <f t="shared" si="46"/>
        <v>341547</v>
      </c>
      <c r="J116" s="556">
        <v>0</v>
      </c>
      <c r="K116" s="379"/>
      <c r="L116" s="379">
        <f t="shared" si="47"/>
        <v>0</v>
      </c>
    </row>
    <row r="117" spans="1:12" ht="15.75">
      <c r="A117" s="148" t="str">
        <f>IF(B117&gt;0,VLOOKUP(B117,КВСР!A71:B1236,2),IF(C117&gt;0,VLOOKUP(C117,КФСР!A71:B1583,2),IF(D117&gt;0,VLOOKUP(D117,Программа!A$1:B$5091,2),IF(F117&gt;0,VLOOKUP(F117,КВР!A$1:B$5001,2),IF(E117&gt;0,VLOOKUP(E117,Направление!A$1:B$4750,2))))))</f>
        <v>Благоустройство</v>
      </c>
      <c r="B117" s="149"/>
      <c r="C117" s="144">
        <v>503</v>
      </c>
      <c r="D117" s="145"/>
      <c r="E117" s="144"/>
      <c r="F117" s="146"/>
      <c r="G117" s="556"/>
      <c r="H117" s="556">
        <f>H118+H135</f>
        <v>28841767</v>
      </c>
      <c r="I117" s="556">
        <f>SUM(G117:H117)</f>
        <v>28841767</v>
      </c>
      <c r="J117" s="556"/>
      <c r="K117" s="556">
        <f>K118+K135</f>
        <v>30572818</v>
      </c>
      <c r="L117" s="379">
        <f>SUM(J117:K117)</f>
        <v>30572818</v>
      </c>
    </row>
    <row r="118" spans="1:12" ht="94.5">
      <c r="A118" s="148" t="str">
        <f>IF(B118&gt;0,VLOOKUP(B118,КВСР!A72:B1237,2),IF(C118&gt;0,VLOOKUP(C118,КФСР!A72:B1584,2),IF(D118&gt;0,VLOOKUP(D118,Программа!A$1:B$5091,2),IF(F118&gt;0,VLOOKUP(F118,КВР!A$1:B$5001,2),IF(E118&gt;0,VLOOKUP(E118,Направление!A$1:B$4750,2))))))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18" s="149"/>
      <c r="C118" s="144"/>
      <c r="D118" s="145" t="s">
        <v>823</v>
      </c>
      <c r="E118" s="144"/>
      <c r="F118" s="146"/>
      <c r="G118" s="556"/>
      <c r="H118" s="556">
        <f>H119+H123</f>
        <v>27341767</v>
      </c>
      <c r="I118" s="556">
        <f t="shared" ref="I118:I138" si="52">SUM(G118:H118)</f>
        <v>27341767</v>
      </c>
      <c r="J118" s="556"/>
      <c r="K118" s="556">
        <f>K119+K123</f>
        <v>29072818</v>
      </c>
      <c r="L118" s="379">
        <f>SUM(J118:K118)</f>
        <v>29072818</v>
      </c>
    </row>
    <row r="119" spans="1:12" ht="94.5">
      <c r="A119" s="148" t="str">
        <f>IF(B119&gt;0,VLOOKUP(B119,КВСР!A73:B1238,2),IF(C119&gt;0,VLOOKUP(C119,КФСР!A73:B1585,2),IF(D119&gt;0,VLOOKUP(D119,Программа!A$1:B$5091,2),IF(F119&gt;0,VLOOKUP(F119,КВР!A$1:B$5001,2),IF(E119&gt;0,VLOOKUP(E119,Направление!A$1:B$4750,2))))))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19" s="149"/>
      <c r="C119" s="144"/>
      <c r="D119" s="145" t="s">
        <v>825</v>
      </c>
      <c r="E119" s="144"/>
      <c r="F119" s="146"/>
      <c r="G119" s="556"/>
      <c r="H119" s="556">
        <f>H120</f>
        <v>800000</v>
      </c>
      <c r="I119" s="556">
        <f t="shared" si="52"/>
        <v>800000</v>
      </c>
      <c r="J119" s="556"/>
      <c r="K119" s="556">
        <f>K120</f>
        <v>800000</v>
      </c>
      <c r="L119" s="379">
        <f t="shared" ref="L119:L138" si="53">SUM(J119:K119)</f>
        <v>800000</v>
      </c>
    </row>
    <row r="120" spans="1:12" ht="63">
      <c r="A120" s="148" t="str">
        <f>IF(B120&gt;0,VLOOKUP(B120,КВСР!A74:B1239,2),IF(C120&gt;0,VLOOKUP(C120,КФСР!A74:B1586,2),IF(D120&gt;0,VLOOKUP(D120,Программа!A$1:B$5091,2),IF(F120&gt;0,VLOOKUP(F120,КВР!A$1:B$5001,2),IF(E120&gt;0,VLOOKUP(E120,Направление!A$1:B$4750,2))))))</f>
        <v>Обеспечение комплекса работ по повышению уровня благоустройства мест погребений</v>
      </c>
      <c r="B120" s="149"/>
      <c r="C120" s="144"/>
      <c r="D120" s="145" t="s">
        <v>827</v>
      </c>
      <c r="E120" s="144"/>
      <c r="F120" s="146"/>
      <c r="G120" s="556"/>
      <c r="H120" s="556">
        <f>H121</f>
        <v>800000</v>
      </c>
      <c r="I120" s="556">
        <f t="shared" si="52"/>
        <v>800000</v>
      </c>
      <c r="J120" s="556"/>
      <c r="K120" s="556">
        <f>K121</f>
        <v>800000</v>
      </c>
      <c r="L120" s="379">
        <f t="shared" si="53"/>
        <v>800000</v>
      </c>
    </row>
    <row r="121" spans="1:12" ht="47.25">
      <c r="A121" s="148" t="str">
        <f>IF(B121&gt;0,VLOOKUP(B121,КВСР!A75:B1240,2),IF(C121&gt;0,VLOOKUP(C121,КФСР!A75:B1587,2),IF(D121&gt;0,VLOOKUP(D121,Программа!A$1:B$5091,2),IF(F121&gt;0,VLOOKUP(F121,КВР!A$1:B$5001,2),IF(E121&gt;0,VLOOKUP(E121,Направление!A$1:B$4750,2))))))</f>
        <v>Обеспечение мероприятий по  содержанию мест захоронения</v>
      </c>
      <c r="B121" s="149"/>
      <c r="C121" s="144"/>
      <c r="D121" s="145"/>
      <c r="E121" s="144">
        <v>29316</v>
      </c>
      <c r="F121" s="146"/>
      <c r="G121" s="556"/>
      <c r="H121" s="556">
        <f>H122</f>
        <v>800000</v>
      </c>
      <c r="I121" s="556">
        <f t="shared" si="52"/>
        <v>800000</v>
      </c>
      <c r="J121" s="556"/>
      <c r="K121" s="556">
        <f>K122</f>
        <v>800000</v>
      </c>
      <c r="L121" s="379">
        <f t="shared" si="53"/>
        <v>800000</v>
      </c>
    </row>
    <row r="122" spans="1:12" ht="78.75">
      <c r="A122" s="148" t="str">
        <f>IF(B122&gt;0,VLOOKUP(B122,КВСР!A76:B1241,2),IF(C122&gt;0,VLOOKUP(C122,КФСР!A76:B1588,2),IF(D122&gt;0,VLOOKUP(D122,Программа!A$1:B$5091,2),IF(F122&gt;0,VLOOKUP(F122,КВР!A$1:B$5001,2),IF(E122&gt;0,VLOOKUP(E122,Направление!A$1:B$4750,2))))))</f>
        <v>Предоставление субсидий бюджетным, автономным учреждениям и иным некоммерческим организациям</v>
      </c>
      <c r="B122" s="149"/>
      <c r="C122" s="144"/>
      <c r="D122" s="145"/>
      <c r="E122" s="144"/>
      <c r="F122" s="146">
        <v>600</v>
      </c>
      <c r="G122" s="556"/>
      <c r="H122" s="592">
        <v>800000</v>
      </c>
      <c r="I122" s="556">
        <f t="shared" si="52"/>
        <v>800000</v>
      </c>
      <c r="J122" s="556"/>
      <c r="K122" s="336">
        <v>800000</v>
      </c>
      <c r="L122" s="379">
        <f t="shared" si="53"/>
        <v>800000</v>
      </c>
    </row>
    <row r="123" spans="1:12" ht="94.5">
      <c r="A123" s="148" t="str">
        <f>IF(B123&gt;0,VLOOKUP(B123,КВСР!A77:B1242,2),IF(C123&gt;0,VLOOKUP(C123,КФСР!A77:B1589,2),IF(D123&gt;0,VLOOKUP(D123,Программа!A$1:B$5091,2),IF(F123&gt;0,VLOOKUP(F123,КВР!A$1:B$5001,2),IF(E123&gt;0,VLOOKUP(E123,Направление!A$1:B$4750,2))))))</f>
        <v>Муниципальная целевая программа "Благоустройство и озеленение территории  в Тутаевского муниципального  района"</v>
      </c>
      <c r="B123" s="149"/>
      <c r="C123" s="144"/>
      <c r="D123" s="145" t="s">
        <v>829</v>
      </c>
      <c r="E123" s="144"/>
      <c r="F123" s="146"/>
      <c r="G123" s="556"/>
      <c r="H123" s="556">
        <f>H124</f>
        <v>26541767</v>
      </c>
      <c r="I123" s="556">
        <f t="shared" si="52"/>
        <v>26541767</v>
      </c>
      <c r="J123" s="556"/>
      <c r="K123" s="556">
        <f>K124</f>
        <v>28272818</v>
      </c>
      <c r="L123" s="379">
        <f t="shared" si="53"/>
        <v>28272818</v>
      </c>
    </row>
    <row r="124" spans="1:12" ht="78.75">
      <c r="A124" s="148" t="str">
        <f>IF(B124&gt;0,VLOOKUP(B124,КВСР!A78:B1243,2),IF(C124&gt;0,VLOOKUP(C124,КФСР!A78:B1590,2),IF(D124&gt;0,VLOOKUP(D124,Программа!A$1:B$5091,2),IF(F124&gt;0,VLOOKUP(F124,КВР!A$1:B$5001,2),IF(E124&gt;0,VLOOKUP(E124,Направление!A$1:B$4750,2))))))</f>
        <v>Улучшение уровня внешнего благоустройства и санитарного  состояния территорий Тутаевского муниципального района</v>
      </c>
      <c r="B124" s="149"/>
      <c r="C124" s="144"/>
      <c r="D124" s="145" t="s">
        <v>831</v>
      </c>
      <c r="E124" s="144"/>
      <c r="F124" s="146"/>
      <c r="G124" s="556"/>
      <c r="H124" s="556">
        <f>H125+H127+H129+H131+H133</f>
        <v>26541767</v>
      </c>
      <c r="I124" s="556">
        <f t="shared" si="52"/>
        <v>26541767</v>
      </c>
      <c r="J124" s="556"/>
      <c r="K124" s="556">
        <f>K125+K127+K129+K131+K133</f>
        <v>28272818</v>
      </c>
      <c r="L124" s="379">
        <f t="shared" si="53"/>
        <v>28272818</v>
      </c>
    </row>
    <row r="125" spans="1:12" ht="94.5">
      <c r="A125" s="148" t="str">
        <f>IF(B125&gt;0,VLOOKUP(B125,КВСР!A79:B1244,2),IF(C125&gt;0,VLOOKUP(C125,КФСР!A79:B1591,2),IF(D125&gt;0,VLOOKUP(D125,Программа!A$1:B$5091,2),IF(F125&gt;0,VLOOKUP(F125,КВР!A$1:B$5001,2),IF(E125&gt;0,VLOOKUP(E125,Направление!A$1:B$4750,2))))))</f>
        <v>Мероприятия по благоустройству и ремонту дворовых территории в рамках софинансирования инициативного бюджетирования</v>
      </c>
      <c r="B125" s="149"/>
      <c r="C125" s="144"/>
      <c r="D125" s="145"/>
      <c r="E125" s="144">
        <v>25356</v>
      </c>
      <c r="F125" s="146"/>
      <c r="G125" s="556"/>
      <c r="H125" s="556">
        <f>H126</f>
        <v>500000</v>
      </c>
      <c r="I125" s="556">
        <f t="shared" si="52"/>
        <v>500000</v>
      </c>
      <c r="J125" s="556"/>
      <c r="K125" s="379">
        <f>K126</f>
        <v>500000</v>
      </c>
      <c r="L125" s="379">
        <f t="shared" si="53"/>
        <v>500000</v>
      </c>
    </row>
    <row r="126" spans="1:12" ht="78.75">
      <c r="A126" s="148" t="str">
        <f>IF(B126&gt;0,VLOOKUP(B126,КВСР!A80:B1245,2),IF(C126&gt;0,VLOOKUP(C126,КФСР!A80:B1592,2),IF(D126&gt;0,VLOOKUP(D126,Программа!A$1:B$5091,2),IF(F126&gt;0,VLOOKUP(F126,КВР!A$1:B$5001,2),IF(E126&gt;0,VLOOKUP(E126,Направление!A$1:B$4750,2))))))</f>
        <v>Предоставление субсидий бюджетным, автономным учреждениям и иным некоммерческим организациям</v>
      </c>
      <c r="B126" s="149"/>
      <c r="C126" s="144"/>
      <c r="D126" s="145"/>
      <c r="E126" s="144"/>
      <c r="F126" s="146">
        <v>600</v>
      </c>
      <c r="G126" s="556"/>
      <c r="H126" s="592">
        <v>500000</v>
      </c>
      <c r="I126" s="556">
        <f t="shared" si="52"/>
        <v>500000</v>
      </c>
      <c r="J126" s="556"/>
      <c r="K126" s="336">
        <v>500000</v>
      </c>
      <c r="L126" s="379">
        <f t="shared" si="53"/>
        <v>500000</v>
      </c>
    </row>
    <row r="127" spans="1:12" ht="31.5">
      <c r="A127" s="148" t="str">
        <f>IF(B127&gt;0,VLOOKUP(B127,КВСР!A81:B1246,2),IF(C127&gt;0,VLOOKUP(C127,КФСР!A81:B1593,2),IF(D127&gt;0,VLOOKUP(D127,Программа!A$1:B$5091,2),IF(F127&gt;0,VLOOKUP(F127,КВР!A$1:B$5001,2),IF(E127&gt;0,VLOOKUP(E127,Направление!A$1:B$4750,2))))))</f>
        <v>Обеспечение мероприятий по уличному освещению</v>
      </c>
      <c r="B127" s="149"/>
      <c r="C127" s="144"/>
      <c r="D127" s="145"/>
      <c r="E127" s="144">
        <v>29236</v>
      </c>
      <c r="F127" s="146"/>
      <c r="G127" s="556"/>
      <c r="H127" s="556">
        <f>H128</f>
        <v>12840000</v>
      </c>
      <c r="I127" s="556">
        <f t="shared" si="52"/>
        <v>12840000</v>
      </c>
      <c r="J127" s="556"/>
      <c r="K127" s="379">
        <f>K128</f>
        <v>13738800</v>
      </c>
      <c r="L127" s="379">
        <f t="shared" si="53"/>
        <v>13738800</v>
      </c>
    </row>
    <row r="128" spans="1:12" ht="78.75">
      <c r="A128" s="148" t="str">
        <f>IF(B128&gt;0,VLOOKUP(B128,КВСР!A82:B1247,2),IF(C128&gt;0,VLOOKUP(C128,КФСР!A82:B1594,2),IF(D128&gt;0,VLOOKUP(D128,Программа!A$1:B$5091,2),IF(F128&gt;0,VLOOKUP(F128,КВР!A$1:B$5001,2),IF(E128&gt;0,VLOOKUP(E128,Направление!A$1:B$4750,2))))))</f>
        <v>Предоставление субсидий бюджетным, автономным учреждениям и иным некоммерческим организациям</v>
      </c>
      <c r="B128" s="149"/>
      <c r="C128" s="144"/>
      <c r="D128" s="145"/>
      <c r="E128" s="144"/>
      <c r="F128" s="146">
        <v>600</v>
      </c>
      <c r="G128" s="556"/>
      <c r="H128" s="592">
        <v>12840000</v>
      </c>
      <c r="I128" s="556">
        <f t="shared" si="52"/>
        <v>12840000</v>
      </c>
      <c r="J128" s="556"/>
      <c r="K128" s="336">
        <v>13738800</v>
      </c>
      <c r="L128" s="379">
        <f t="shared" si="53"/>
        <v>13738800</v>
      </c>
    </row>
    <row r="129" spans="1:12" ht="78.75">
      <c r="A129" s="148" t="str">
        <f>IF(B129&gt;0,VLOOKUP(B129,КВСР!A83:B1248,2),IF(C129&gt;0,VLOOKUP(C129,КФСР!A83:B1595,2),IF(D129&gt;0,VLOOKUP(D129,Программа!A$1:B$5091,2),IF(F129&gt;0,VLOOKUP(F129,КВР!A$1:B$5001,2),IF(E129&gt;0,VLOOKUP(E129,Направление!A$1:B$4750,2))))))</f>
        <v>Обеспечение мероприятий по техническому содержанию, текущему и капитальному ремонту сетей уличного освещения</v>
      </c>
      <c r="B129" s="149"/>
      <c r="C129" s="144"/>
      <c r="D129" s="145"/>
      <c r="E129" s="144">
        <v>29246</v>
      </c>
      <c r="F129" s="146"/>
      <c r="G129" s="556"/>
      <c r="H129" s="556">
        <f>H130</f>
        <v>2000000</v>
      </c>
      <c r="I129" s="556">
        <f t="shared" si="52"/>
        <v>2000000</v>
      </c>
      <c r="J129" s="556"/>
      <c r="K129" s="379">
        <f>K130</f>
        <v>2000000</v>
      </c>
      <c r="L129" s="379">
        <f t="shared" si="53"/>
        <v>2000000</v>
      </c>
    </row>
    <row r="130" spans="1:12" ht="78.75">
      <c r="A130" s="148" t="str">
        <f>IF(B130&gt;0,VLOOKUP(B130,КВСР!A84:B1249,2),IF(C130&gt;0,VLOOKUP(C130,КФСР!A84:B1596,2),IF(D130&gt;0,VLOOKUP(D130,Программа!A$1:B$5091,2),IF(F130&gt;0,VLOOKUP(F130,КВР!A$1:B$5001,2),IF(E130&gt;0,VLOOKUP(E130,Направление!A$1:B$4750,2))))))</f>
        <v>Предоставление субсидий бюджетным, автономным учреждениям и иным некоммерческим организациям</v>
      </c>
      <c r="B130" s="149"/>
      <c r="C130" s="144"/>
      <c r="D130" s="145"/>
      <c r="E130" s="144"/>
      <c r="F130" s="146">
        <v>600</v>
      </c>
      <c r="G130" s="556"/>
      <c r="H130" s="592">
        <v>2000000</v>
      </c>
      <c r="I130" s="556">
        <f t="shared" si="52"/>
        <v>2000000</v>
      </c>
      <c r="J130" s="556"/>
      <c r="K130" s="336">
        <v>2000000</v>
      </c>
      <c r="L130" s="379">
        <f t="shared" si="53"/>
        <v>2000000</v>
      </c>
    </row>
    <row r="131" spans="1:12" ht="63">
      <c r="A131" s="148" t="str">
        <f>IF(B131&gt;0,VLOOKUP(B131,КВСР!A85:B1250,2),IF(C131&gt;0,VLOOKUP(C131,КФСР!A85:B1597,2),IF(D131&gt;0,VLOOKUP(D131,Программа!A$1:B$5091,2),IF(F131&gt;0,VLOOKUP(F131,КВР!A$1:B$5001,2),IF(E131&gt;0,VLOOKUP(E131,Направление!A$1:B$4750,2))))))</f>
        <v>Содержание и организация деятельности по благоустройству на территории поселения</v>
      </c>
      <c r="B131" s="149"/>
      <c r="C131" s="144"/>
      <c r="D131" s="145"/>
      <c r="E131" s="144">
        <v>29256</v>
      </c>
      <c r="F131" s="146"/>
      <c r="G131" s="556"/>
      <c r="H131" s="556">
        <f>H132</f>
        <v>7235000</v>
      </c>
      <c r="I131" s="556">
        <f t="shared" si="52"/>
        <v>7235000</v>
      </c>
      <c r="J131" s="556"/>
      <c r="K131" s="379">
        <f>K132</f>
        <v>7235000</v>
      </c>
      <c r="L131" s="379">
        <f t="shared" si="53"/>
        <v>7235000</v>
      </c>
    </row>
    <row r="132" spans="1:12" ht="78.75">
      <c r="A132" s="148" t="str">
        <f>IF(B132&gt;0,VLOOKUP(B132,КВСР!A86:B1251,2),IF(C132&gt;0,VLOOKUP(C132,КФСР!A86:B1598,2),IF(D132&gt;0,VLOOKUP(D132,Программа!A$1:B$5091,2),IF(F132&gt;0,VLOOKUP(F132,КВР!A$1:B$5001,2),IF(E132&gt;0,VLOOKUP(E132,Направление!A$1:B$4750,2))))))</f>
        <v>Предоставление субсидий бюджетным, автономным учреждениям и иным некоммерческим организациям</v>
      </c>
      <c r="B132" s="149"/>
      <c r="C132" s="144"/>
      <c r="D132" s="145"/>
      <c r="E132" s="144"/>
      <c r="F132" s="146">
        <v>600</v>
      </c>
      <c r="G132" s="556"/>
      <c r="H132" s="592">
        <v>7235000</v>
      </c>
      <c r="I132" s="556">
        <f t="shared" si="52"/>
        <v>7235000</v>
      </c>
      <c r="J132" s="556"/>
      <c r="K132" s="336">
        <v>7235000</v>
      </c>
      <c r="L132" s="379">
        <f t="shared" si="53"/>
        <v>7235000</v>
      </c>
    </row>
    <row r="133" spans="1:12" ht="47.25">
      <c r="A133" s="148" t="str">
        <f>IF(B133&gt;0,VLOOKUP(B133,КВСР!A87:B1252,2),IF(C133&gt;0,VLOOKUP(C133,КФСР!A87:B1599,2),IF(D133&gt;0,VLOOKUP(D133,Программа!A$1:B$5091,2),IF(F133&gt;0,VLOOKUP(F133,КВР!A$1:B$5001,2),IF(E133&gt;0,VLOOKUP(E133,Направление!A$1:B$4750,2))))))</f>
        <v>Обеспечение мероприятий в области благоустройства и озеленения</v>
      </c>
      <c r="B133" s="149"/>
      <c r="C133" s="144"/>
      <c r="D133" s="145"/>
      <c r="E133" s="144">
        <v>29266</v>
      </c>
      <c r="F133" s="146"/>
      <c r="G133" s="556"/>
      <c r="H133" s="556">
        <f>H134</f>
        <v>3966767</v>
      </c>
      <c r="I133" s="556">
        <f t="shared" si="52"/>
        <v>3966767</v>
      </c>
      <c r="J133" s="556"/>
      <c r="K133" s="379">
        <f>K134</f>
        <v>4799018</v>
      </c>
      <c r="L133" s="379">
        <f t="shared" si="53"/>
        <v>4799018</v>
      </c>
    </row>
    <row r="134" spans="1:12" ht="78.75">
      <c r="A134" s="148" t="str">
        <f>IF(B134&gt;0,VLOOKUP(B134,КВСР!A88:B1253,2),IF(C134&gt;0,VLOOKUP(C134,КФСР!A88:B1600,2),IF(D134&gt;0,VLOOKUP(D134,Программа!A$1:B$5091,2),IF(F134&gt;0,VLOOKUP(F134,КВР!A$1:B$5001,2),IF(E134&gt;0,VLOOKUP(E134,Направление!A$1:B$4750,2))))))</f>
        <v>Предоставление субсидий бюджетным, автономным учреждениям и иным некоммерческим организациям</v>
      </c>
      <c r="B134" s="149"/>
      <c r="C134" s="144"/>
      <c r="D134" s="145"/>
      <c r="E134" s="144"/>
      <c r="F134" s="146">
        <v>600</v>
      </c>
      <c r="G134" s="556"/>
      <c r="H134" s="592">
        <v>3966767</v>
      </c>
      <c r="I134" s="556">
        <f t="shared" si="52"/>
        <v>3966767</v>
      </c>
      <c r="J134" s="556"/>
      <c r="K134" s="336">
        <v>4799018</v>
      </c>
      <c r="L134" s="379">
        <f t="shared" si="53"/>
        <v>4799018</v>
      </c>
    </row>
    <row r="135" spans="1:12" ht="78.75">
      <c r="A135" s="148" t="str">
        <f>IF(B135&gt;0,VLOOKUP(B135,КВСР!A89:B1254,2),IF(C135&gt;0,VLOOKUP(C135,КФСР!A89:B1601,2),IF(D135&gt;0,VLOOKUP(D135,Программа!A$1:B$5091,2),IF(F135&gt;0,VLOOKUP(F135,КВР!A$1:B$5001,2),IF(E135&gt;0,VLOOKUP(E135,Направление!A$1:B$4750,2))))))</f>
        <v>Муниципальная программа "Формирование  современной городской среды"  Тутаевского муниципального района</v>
      </c>
      <c r="B135" s="149"/>
      <c r="C135" s="144"/>
      <c r="D135" s="145" t="s">
        <v>1369</v>
      </c>
      <c r="E135" s="144"/>
      <c r="F135" s="146"/>
      <c r="G135" s="556"/>
      <c r="H135" s="562">
        <f>H136</f>
        <v>1500000</v>
      </c>
      <c r="I135" s="556">
        <f t="shared" si="52"/>
        <v>1500000</v>
      </c>
      <c r="J135" s="556"/>
      <c r="K135" s="348">
        <f>K136</f>
        <v>1500000</v>
      </c>
      <c r="L135" s="379">
        <f t="shared" si="53"/>
        <v>1500000</v>
      </c>
    </row>
    <row r="136" spans="1:12" ht="47.25">
      <c r="A136" s="148" t="str">
        <f>IF(B136&gt;0,VLOOKUP(B136,КВСР!A90:B1255,2),IF(C136&gt;0,VLOOKUP(C136,КФСР!A90:B1602,2),IF(D136&gt;0,VLOOKUP(D136,Программа!A$1:B$5091,2),IF(F136&gt;0,VLOOKUP(F136,КВР!A$1:B$5001,2),IF(E136&gt;0,VLOOKUP(E136,Направление!A$1:B$4750,2))))))</f>
        <v>Повышение уровня благоустройства дворовых территорий</v>
      </c>
      <c r="B136" s="149"/>
      <c r="C136" s="144"/>
      <c r="D136" s="145" t="s">
        <v>1391</v>
      </c>
      <c r="E136" s="144"/>
      <c r="F136" s="146"/>
      <c r="G136" s="556"/>
      <c r="H136" s="562">
        <f>H137</f>
        <v>1500000</v>
      </c>
      <c r="I136" s="556">
        <f t="shared" si="52"/>
        <v>1500000</v>
      </c>
      <c r="J136" s="556"/>
      <c r="K136" s="348">
        <f>K137</f>
        <v>1500000</v>
      </c>
      <c r="L136" s="379">
        <f t="shared" si="53"/>
        <v>1500000</v>
      </c>
    </row>
    <row r="137" spans="1:12" ht="63">
      <c r="A137" s="148" t="str">
        <f>IF(B137&gt;0,VLOOKUP(B137,КВСР!A91:B1256,2),IF(C137&gt;0,VLOOKUP(C137,КФСР!A91:B1603,2),IF(D137&gt;0,VLOOKUP(D137,Программа!A$1:B$5091,2),IF(F137&gt;0,VLOOKUP(F137,КВР!A$1:B$5001,2),IF(E137&gt;0,VLOOKUP(E137,Направление!A$1:B$4750,2))))))</f>
        <v>Обеспечение мероприятий по формированию современной городской среды</v>
      </c>
      <c r="B137" s="149"/>
      <c r="C137" s="144"/>
      <c r="D137" s="145"/>
      <c r="E137" s="144">
        <v>29456</v>
      </c>
      <c r="F137" s="146"/>
      <c r="G137" s="556"/>
      <c r="H137" s="562">
        <f>H138</f>
        <v>1500000</v>
      </c>
      <c r="I137" s="556">
        <f t="shared" si="52"/>
        <v>1500000</v>
      </c>
      <c r="J137" s="556"/>
      <c r="K137" s="348">
        <f>K138</f>
        <v>1500000</v>
      </c>
      <c r="L137" s="379">
        <f t="shared" si="53"/>
        <v>1500000</v>
      </c>
    </row>
    <row r="138" spans="1:12" ht="78.75">
      <c r="A138" s="148" t="str">
        <f>IF(B138&gt;0,VLOOKUP(B138,КВСР!A92:B1257,2),IF(C138&gt;0,VLOOKUP(C138,КФСР!A92:B1604,2),IF(D138&gt;0,VLOOKUP(D138,Программа!A$1:B$5091,2),IF(F138&gt;0,VLOOKUP(F138,КВР!A$1:B$5001,2),IF(E138&gt;0,VLOOKUP(E138,Направление!A$1:B$4750,2))))))</f>
        <v>Предоставление субсидий бюджетным, автономным учреждениям и иным некоммерческим организациям</v>
      </c>
      <c r="B138" s="149"/>
      <c r="C138" s="144"/>
      <c r="D138" s="145"/>
      <c r="E138" s="144"/>
      <c r="F138" s="146">
        <v>600</v>
      </c>
      <c r="G138" s="556"/>
      <c r="H138" s="592">
        <v>1500000</v>
      </c>
      <c r="I138" s="556">
        <f t="shared" si="52"/>
        <v>1500000</v>
      </c>
      <c r="J138" s="556"/>
      <c r="K138" s="336">
        <v>1500000</v>
      </c>
      <c r="L138" s="379">
        <f t="shared" si="53"/>
        <v>1500000</v>
      </c>
    </row>
    <row r="139" spans="1:12" ht="15.75">
      <c r="A139" s="148" t="str">
        <f>IF(B139&gt;0,VLOOKUP(B139,КВСР!A71:B1236,2),IF(C139&gt;0,VLOOKUP(C139,КФСР!A71:B1583,2),IF(D139&gt;0,VLOOKUP(D139,Программа!A$1:B$5091,2),IF(F139&gt;0,VLOOKUP(F139,КВР!A$1:B$5001,2),IF(E139&gt;0,VLOOKUP(E139,Направление!A$1:B$4750,2))))))</f>
        <v>Дошкольное образование</v>
      </c>
      <c r="B139" s="149"/>
      <c r="C139" s="144">
        <v>701</v>
      </c>
      <c r="D139" s="145"/>
      <c r="E139" s="144"/>
      <c r="F139" s="146"/>
      <c r="G139" s="556">
        <f>G140</f>
        <v>3351000</v>
      </c>
      <c r="H139" s="556">
        <f t="shared" ref="H139:I143" si="54">H140</f>
        <v>0</v>
      </c>
      <c r="I139" s="556">
        <f t="shared" si="54"/>
        <v>3351000</v>
      </c>
      <c r="J139" s="556">
        <v>0</v>
      </c>
      <c r="K139" s="379"/>
      <c r="L139" s="379"/>
    </row>
    <row r="140" spans="1:12" ht="94.5">
      <c r="A140" s="148" t="str">
        <f>IF(B140&gt;0,VLOOKUP(B140,КВСР!A72:B1237,2),IF(C140&gt;0,VLOOKUP(C140,КФСР!A72:B1584,2),IF(D140&gt;0,VLOOKUP(D140,Программа!A$1:B$5091,2),IF(F140&gt;0,VLOOKUP(F140,КВР!A$1:B$5001,2),IF(E140&gt;0,VLOOKUP(E140,Направление!A$1:B$4750,2))))))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0" s="149"/>
      <c r="C140" s="144"/>
      <c r="D140" s="145" t="s">
        <v>703</v>
      </c>
      <c r="E140" s="144"/>
      <c r="F140" s="146"/>
      <c r="G140" s="556">
        <f>G141</f>
        <v>3351000</v>
      </c>
      <c r="H140" s="556">
        <f t="shared" si="54"/>
        <v>0</v>
      </c>
      <c r="I140" s="556">
        <f t="shared" si="54"/>
        <v>3351000</v>
      </c>
      <c r="J140" s="556">
        <v>0</v>
      </c>
      <c r="K140" s="379"/>
      <c r="L140" s="379"/>
    </row>
    <row r="141" spans="1:12" ht="110.25">
      <c r="A141" s="148" t="str">
        <f>IF(B141&gt;0,VLOOKUP(B141,КВСР!A73:B1238,2),IF(C141&gt;0,VLOOKUP(C141,КФСР!A73:B1585,2),IF(D141&gt;0,VLOOKUP(D141,Программа!A$1:B$5091,2),IF(F141&gt;0,VLOOKUP(F141,КВР!A$1:B$5001,2),IF(E141&gt;0,VLOOKUP(E141,Направление!A$1:B$4750,2))))))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1" s="149"/>
      <c r="C141" s="144"/>
      <c r="D141" s="145" t="s">
        <v>734</v>
      </c>
      <c r="E141" s="144"/>
      <c r="F141" s="146"/>
      <c r="G141" s="556">
        <f>G142</f>
        <v>3351000</v>
      </c>
      <c r="H141" s="556">
        <f t="shared" si="54"/>
        <v>0</v>
      </c>
      <c r="I141" s="556">
        <f t="shared" si="54"/>
        <v>3351000</v>
      </c>
      <c r="J141" s="556">
        <v>0</v>
      </c>
      <c r="K141" s="379"/>
      <c r="L141" s="379"/>
    </row>
    <row r="142" spans="1:12" ht="63">
      <c r="A142" s="148" t="str">
        <f>IF(B142&gt;0,VLOOKUP(B142,КВСР!A74:B1239,2),IF(C142&gt;0,VLOOKUP(C142,КФСР!A74:B1586,2),IF(D142&gt;0,VLOOKUP(D142,Программа!A$1:B$5091,2),IF(F142&gt;0,VLOOKUP(F142,КВР!A$1:B$5001,2),IF(E142&gt;0,VLOOKUP(E142,Направление!A$1:B$4750,2))))))</f>
        <v>Повышение уровня газификации и модернизации объектов социальной сферы</v>
      </c>
      <c r="B142" s="149"/>
      <c r="C142" s="144"/>
      <c r="D142" s="145" t="s">
        <v>735</v>
      </c>
      <c r="E142" s="144"/>
      <c r="F142" s="146"/>
      <c r="G142" s="556">
        <f>G143</f>
        <v>3351000</v>
      </c>
      <c r="H142" s="556">
        <f t="shared" si="54"/>
        <v>0</v>
      </c>
      <c r="I142" s="556">
        <f t="shared" si="54"/>
        <v>3351000</v>
      </c>
      <c r="J142" s="556">
        <v>0</v>
      </c>
      <c r="K142" s="379"/>
      <c r="L142" s="379"/>
    </row>
    <row r="143" spans="1:12" ht="31.5">
      <c r="A143" s="148" t="str">
        <f>IF(B143&gt;0,VLOOKUP(B143,КВСР!A75:B1240,2),IF(C143&gt;0,VLOOKUP(C143,КФСР!A75:B1587,2),IF(D143&gt;0,VLOOKUP(D143,Программа!A$1:B$5091,2),IF(F143&gt;0,VLOOKUP(F143,КВР!A$1:B$5001,2),IF(E143&gt;0,VLOOKUP(E143,Направление!A$1:B$4750,2))))))</f>
        <v>Обеспечение деятельности дошкольных учреждений</v>
      </c>
      <c r="B143" s="149"/>
      <c r="C143" s="144"/>
      <c r="D143" s="145"/>
      <c r="E143" s="144">
        <v>13010</v>
      </c>
      <c r="F143" s="146"/>
      <c r="G143" s="556">
        <f>G144</f>
        <v>3351000</v>
      </c>
      <c r="H143" s="556">
        <f t="shared" si="54"/>
        <v>0</v>
      </c>
      <c r="I143" s="556">
        <f t="shared" si="54"/>
        <v>3351000</v>
      </c>
      <c r="J143" s="556">
        <v>0</v>
      </c>
      <c r="K143" s="379"/>
      <c r="L143" s="379"/>
    </row>
    <row r="144" spans="1:12" ht="78.75">
      <c r="A144" s="148" t="str">
        <f>IF(B144&gt;0,VLOOKUP(B144,КВСР!A76:B1241,2),IF(C144&gt;0,VLOOKUP(C144,КФСР!A76:B1588,2),IF(D144&gt;0,VLOOKUP(D144,Программа!A$1:B$5091,2),IF(F144&gt;0,VLOOKUP(F144,КВР!A$1:B$5001,2),IF(E144&gt;0,VLOOKUP(E144,Направление!A$1:B$4750,2))))))</f>
        <v>Предоставление субсидий бюджетным, автономным учреждениям и иным некоммерческим организациям</v>
      </c>
      <c r="B144" s="149"/>
      <c r="C144" s="144"/>
      <c r="D144" s="145"/>
      <c r="E144" s="144"/>
      <c r="F144" s="146">
        <v>600</v>
      </c>
      <c r="G144" s="556">
        <v>3351000</v>
      </c>
      <c r="H144" s="556"/>
      <c r="I144" s="556">
        <f>G144+H144</f>
        <v>3351000</v>
      </c>
      <c r="J144" s="556">
        <v>0</v>
      </c>
      <c r="K144" s="379"/>
      <c r="L144" s="379"/>
    </row>
    <row r="145" spans="1:12" ht="15.75">
      <c r="A145" s="148" t="str">
        <f>IF(B145&gt;0,VLOOKUP(B145,КВСР!A77:B1242,2),IF(C145&gt;0,VLOOKUP(C145,КФСР!A77:B1589,2),IF(D145&gt;0,VLOOKUP(D145,Программа!A$1:B$5091,2),IF(F145&gt;0,VLOOKUP(F145,КВР!A$1:B$5001,2),IF(E145&gt;0,VLOOKUP(E145,Направление!A$1:B$4750,2))))))</f>
        <v>Общее образование</v>
      </c>
      <c r="B145" s="149"/>
      <c r="C145" s="144">
        <v>702</v>
      </c>
      <c r="D145" s="145"/>
      <c r="E145" s="144"/>
      <c r="F145" s="146"/>
      <c r="G145" s="556">
        <f>G146</f>
        <v>4057000</v>
      </c>
      <c r="H145" s="556">
        <f t="shared" ref="H145:L149" si="55">H146</f>
        <v>0</v>
      </c>
      <c r="I145" s="556">
        <f t="shared" si="55"/>
        <v>4057000</v>
      </c>
      <c r="J145" s="556">
        <f t="shared" si="55"/>
        <v>0</v>
      </c>
      <c r="K145" s="379">
        <f t="shared" si="55"/>
        <v>0</v>
      </c>
      <c r="L145" s="379">
        <f t="shared" si="55"/>
        <v>0</v>
      </c>
    </row>
    <row r="146" spans="1:12" ht="94.5">
      <c r="A146" s="148" t="str">
        <f>IF(B146&gt;0,VLOOKUP(B146,КВСР!A78:B1243,2),IF(C146&gt;0,VLOOKUP(C146,КФСР!A78:B1590,2),IF(D146&gt;0,VLOOKUP(D146,Программа!A$1:B$5091,2),IF(F146&gt;0,VLOOKUP(F146,КВР!A$1:B$5001,2),IF(E146&gt;0,VLOOKUP(E146,Направление!A$1:B$4750,2))))))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6" s="149"/>
      <c r="C146" s="144"/>
      <c r="D146" s="145" t="s">
        <v>703</v>
      </c>
      <c r="E146" s="144"/>
      <c r="F146" s="146"/>
      <c r="G146" s="556">
        <f>G147</f>
        <v>4057000</v>
      </c>
      <c r="H146" s="556">
        <f t="shared" si="55"/>
        <v>0</v>
      </c>
      <c r="I146" s="556">
        <f t="shared" si="55"/>
        <v>4057000</v>
      </c>
      <c r="J146" s="556">
        <f t="shared" si="55"/>
        <v>0</v>
      </c>
      <c r="K146" s="379">
        <f t="shared" si="55"/>
        <v>0</v>
      </c>
      <c r="L146" s="379">
        <f t="shared" si="55"/>
        <v>0</v>
      </c>
    </row>
    <row r="147" spans="1:12" ht="110.25">
      <c r="A147" s="148" t="str">
        <f>IF(B147&gt;0,VLOOKUP(B147,КВСР!A79:B1244,2),IF(C147&gt;0,VLOOKUP(C147,КФСР!A79:B1591,2),IF(D147&gt;0,VLOOKUP(D147,Программа!A$1:B$5091,2),IF(F147&gt;0,VLOOKUP(F147,КВР!A$1:B$5001,2),IF(E147&gt;0,VLOOKUP(E147,Направление!A$1:B$4750,2))))))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7" s="149"/>
      <c r="C147" s="144"/>
      <c r="D147" s="145" t="s">
        <v>734</v>
      </c>
      <c r="E147" s="144"/>
      <c r="F147" s="146"/>
      <c r="G147" s="556">
        <f>G148</f>
        <v>4057000</v>
      </c>
      <c r="H147" s="556">
        <f t="shared" si="55"/>
        <v>0</v>
      </c>
      <c r="I147" s="556">
        <f t="shared" si="55"/>
        <v>4057000</v>
      </c>
      <c r="J147" s="556">
        <f t="shared" si="55"/>
        <v>0</v>
      </c>
      <c r="K147" s="379">
        <f t="shared" si="55"/>
        <v>0</v>
      </c>
      <c r="L147" s="379">
        <f t="shared" si="55"/>
        <v>0</v>
      </c>
    </row>
    <row r="148" spans="1:12" ht="63">
      <c r="A148" s="148" t="str">
        <f>IF(B148&gt;0,VLOOKUP(B148,КВСР!A80:B1245,2),IF(C148&gt;0,VLOOKUP(C148,КФСР!A80:B1592,2),IF(D148&gt;0,VLOOKUP(D148,Программа!A$1:B$5091,2),IF(F148&gt;0,VLOOKUP(F148,КВР!A$1:B$5001,2),IF(E148&gt;0,VLOOKUP(E148,Направление!A$1:B$4750,2))))))</f>
        <v>Повышение уровня газификации и модернизации объектов социальной сферы</v>
      </c>
      <c r="B148" s="149"/>
      <c r="C148" s="144"/>
      <c r="D148" s="145" t="s">
        <v>735</v>
      </c>
      <c r="E148" s="144"/>
      <c r="F148" s="146"/>
      <c r="G148" s="556">
        <f>G149</f>
        <v>4057000</v>
      </c>
      <c r="H148" s="556">
        <f t="shared" si="55"/>
        <v>0</v>
      </c>
      <c r="I148" s="556">
        <f t="shared" si="55"/>
        <v>4057000</v>
      </c>
      <c r="J148" s="556">
        <f t="shared" si="55"/>
        <v>0</v>
      </c>
      <c r="K148" s="379">
        <f t="shared" si="55"/>
        <v>0</v>
      </c>
      <c r="L148" s="379">
        <f t="shared" si="55"/>
        <v>0</v>
      </c>
    </row>
    <row r="149" spans="1:12" ht="47.25">
      <c r="A149" s="148" t="str">
        <f>IF(B149&gt;0,VLOOKUP(B149,КВСР!A81:B1246,2),IF(C149&gt;0,VLOOKUP(C149,КФСР!A81:B1593,2),IF(D149&gt;0,VLOOKUP(D149,Программа!A$1:B$5091,2),IF(F149&gt;0,VLOOKUP(F149,КВР!A$1:B$5001,2),IF(E149&gt;0,VLOOKUP(E149,Направление!A$1:B$4750,2))))))</f>
        <v>Обеспечение деятельности общеобразовательных учреждений</v>
      </c>
      <c r="B149" s="149"/>
      <c r="C149" s="144"/>
      <c r="D149" s="145"/>
      <c r="E149" s="144">
        <v>13110</v>
      </c>
      <c r="F149" s="146"/>
      <c r="G149" s="556">
        <f>G150</f>
        <v>4057000</v>
      </c>
      <c r="H149" s="556">
        <f t="shared" si="55"/>
        <v>0</v>
      </c>
      <c r="I149" s="556">
        <f t="shared" si="55"/>
        <v>4057000</v>
      </c>
      <c r="J149" s="556">
        <f t="shared" si="55"/>
        <v>0</v>
      </c>
      <c r="K149" s="379">
        <f t="shared" si="55"/>
        <v>0</v>
      </c>
      <c r="L149" s="379">
        <f t="shared" si="55"/>
        <v>0</v>
      </c>
    </row>
    <row r="150" spans="1:12" ht="78.75">
      <c r="A150" s="148" t="str">
        <f>IF(B150&gt;0,VLOOKUP(B150,КВСР!A82:B1247,2),IF(C150&gt;0,VLOOKUP(C150,КФСР!A82:B1594,2),IF(D150&gt;0,VLOOKUP(D150,Программа!A$1:B$5091,2),IF(F150&gt;0,VLOOKUP(F150,КВР!A$1:B$5001,2),IF(E150&gt;0,VLOOKUP(E150,Направление!A$1:B$4750,2))))))</f>
        <v>Предоставление субсидий бюджетным, автономным учреждениям и иным некоммерческим организациям</v>
      </c>
      <c r="B150" s="149"/>
      <c r="C150" s="144"/>
      <c r="D150" s="145"/>
      <c r="E150" s="144"/>
      <c r="F150" s="146">
        <v>600</v>
      </c>
      <c r="G150" s="556">
        <v>4057000</v>
      </c>
      <c r="H150" s="556"/>
      <c r="I150" s="556">
        <f>G150+H150</f>
        <v>4057000</v>
      </c>
      <c r="J150" s="556">
        <v>0</v>
      </c>
      <c r="K150" s="379"/>
      <c r="L150" s="379">
        <f>J150+K150</f>
        <v>0</v>
      </c>
    </row>
    <row r="151" spans="1:12" ht="63">
      <c r="A151" s="142" t="str">
        <f>IF(B151&gt;0,VLOOKUP(B151,КВСР!A51:B1216,2),IF(C151&gt;0,VLOOKUP(C151,КФСР!A51:B1563,2),IF(D151&gt;0,VLOOKUP(D151,Программа!A$1:B$5091,2),IF(F151&gt;0,VLOOKUP(F151,КВР!A$1:B$5001,2),IF(E151&gt;0,VLOOKUP(E151,Направление!A$1:B$4750,2))))))</f>
        <v>Департамент муниципального имущества Администрации ТМР</v>
      </c>
      <c r="B151" s="143">
        <v>952</v>
      </c>
      <c r="C151" s="144"/>
      <c r="D151" s="145"/>
      <c r="E151" s="144"/>
      <c r="F151" s="146"/>
      <c r="G151" s="560">
        <f>G152+G169+G175</f>
        <v>11145811</v>
      </c>
      <c r="H151" s="560">
        <f t="shared" ref="H151:L151" si="56">H152+H169+H175</f>
        <v>400000</v>
      </c>
      <c r="I151" s="560">
        <f t="shared" si="56"/>
        <v>11545811</v>
      </c>
      <c r="J151" s="560">
        <f t="shared" si="56"/>
        <v>9039811</v>
      </c>
      <c r="K151" s="555">
        <f t="shared" si="56"/>
        <v>400000</v>
      </c>
      <c r="L151" s="555">
        <f t="shared" si="56"/>
        <v>9439811</v>
      </c>
    </row>
    <row r="152" spans="1:12" ht="47.25">
      <c r="A152" s="148" t="str">
        <f>IF(B152&gt;0,VLOOKUP(B152,КВСР!A52:B1217,2),IF(C152&gt;0,VLOOKUP(C152,КФСР!A52:B1564,2),IF(D152&gt;0,VLOOKUP(D152,Программа!A$1:B$5091,2),IF(F152&gt;0,VLOOKUP(F152,КВР!A$1:B$5001,2),IF(E152&gt;0,VLOOKUP(E152,Направление!A$1:B$4750,2))))))</f>
        <v>Другие общегосударственные вопросы</v>
      </c>
      <c r="B152" s="149"/>
      <c r="C152" s="144">
        <v>113</v>
      </c>
      <c r="D152" s="145"/>
      <c r="E152" s="144"/>
      <c r="F152" s="146"/>
      <c r="G152" s="556">
        <f>G157+G153</f>
        <v>10189811</v>
      </c>
      <c r="H152" s="556">
        <f t="shared" ref="H152:K152" si="57">H157+H153</f>
        <v>150000</v>
      </c>
      <c r="I152" s="556">
        <f t="shared" si="57"/>
        <v>10339811</v>
      </c>
      <c r="J152" s="556">
        <f t="shared" si="57"/>
        <v>9039811</v>
      </c>
      <c r="K152" s="379">
        <f t="shared" si="57"/>
        <v>150000</v>
      </c>
      <c r="L152" s="379">
        <f>L157+L153</f>
        <v>9189811</v>
      </c>
    </row>
    <row r="153" spans="1:12" ht="110.25">
      <c r="A153" s="148" t="str">
        <f>IF(B153&gt;0,VLOOKUP(B153,КВСР!A53:B1218,2),IF(C153&gt;0,VLOOKUP(C153,КФСР!A53:B1565,2),IF(D153&gt;0,VLOOKUP(D153,Программа!A$1:B$5091,2),IF(F153&gt;0,VLOOKUP(F153,КВР!A$1:B$5001,2),IF(E153&gt;0,VLOOKUP(E153,Направление!A$1:B$4750,2))))))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153" s="149"/>
      <c r="C153" s="144"/>
      <c r="D153" s="145" t="s">
        <v>496</v>
      </c>
      <c r="E153" s="144"/>
      <c r="F153" s="146"/>
      <c r="G153" s="556">
        <f>G154</f>
        <v>100000</v>
      </c>
      <c r="H153" s="556">
        <f t="shared" ref="H153:L154" si="58">H154</f>
        <v>0</v>
      </c>
      <c r="I153" s="556">
        <f t="shared" si="58"/>
        <v>100000</v>
      </c>
      <c r="J153" s="556">
        <f t="shared" si="58"/>
        <v>0</v>
      </c>
      <c r="K153" s="379">
        <f t="shared" si="58"/>
        <v>0</v>
      </c>
      <c r="L153" s="379">
        <f>L154</f>
        <v>0</v>
      </c>
    </row>
    <row r="154" spans="1:12" ht="58.5" customHeight="1">
      <c r="A154" s="148" t="str">
        <f>IF(B154&gt;0,VLOOKUP(B154,КВСР!A54:B1219,2),IF(C154&gt;0,VLOOKUP(C154,КФСР!A54:B1566,2),IF(D154&gt;0,VLOOKUP(D154,Программа!A$1:B$5091,2),IF(F154&gt;0,VLOOKUP(F154,КВР!A$1:B$5001,2),IF(E154&gt;0,VLOOKUP(E154,Направление!A$1:B$4750,2))))))</f>
        <v>Бесперебойное функционирование информационных систем</v>
      </c>
      <c r="B154" s="149"/>
      <c r="C154" s="144"/>
      <c r="D154" s="145" t="s">
        <v>532</v>
      </c>
      <c r="E154" s="144"/>
      <c r="F154" s="146"/>
      <c r="G154" s="556">
        <f>G155</f>
        <v>100000</v>
      </c>
      <c r="H154" s="556">
        <f t="shared" si="58"/>
        <v>0</v>
      </c>
      <c r="I154" s="556">
        <f t="shared" si="58"/>
        <v>100000</v>
      </c>
      <c r="J154" s="556">
        <f t="shared" si="58"/>
        <v>0</v>
      </c>
      <c r="K154" s="379">
        <f t="shared" si="58"/>
        <v>0</v>
      </c>
      <c r="L154" s="379">
        <f t="shared" si="58"/>
        <v>0</v>
      </c>
    </row>
    <row r="155" spans="1:12" ht="47.25">
      <c r="A155" s="148" t="str">
        <f>IF(B155&gt;0,VLOOKUP(B155,КВСР!A55:B1220,2),IF(C155&gt;0,VLOOKUP(C155,КФСР!A55:B1567,2),IF(D155&gt;0,VLOOKUP(D155,Программа!A$1:B$5091,2),IF(F155&gt;0,VLOOKUP(F155,КВР!A$1:B$5001,2),IF(E155&gt;0,VLOOKUP(E155,Направление!A$1:B$4750,2))))))</f>
        <v>Расходы на проведение мероприятий по информатизации</v>
      </c>
      <c r="B155" s="149"/>
      <c r="C155" s="144"/>
      <c r="D155" s="145"/>
      <c r="E155" s="144">
        <v>12210</v>
      </c>
      <c r="F155" s="146"/>
      <c r="G155" s="556">
        <f>G156</f>
        <v>100000</v>
      </c>
      <c r="H155" s="556">
        <f t="shared" ref="H155:L155" si="59">H156</f>
        <v>0</v>
      </c>
      <c r="I155" s="556">
        <f t="shared" si="59"/>
        <v>100000</v>
      </c>
      <c r="J155" s="556">
        <f t="shared" si="59"/>
        <v>0</v>
      </c>
      <c r="K155" s="379">
        <f t="shared" si="59"/>
        <v>0</v>
      </c>
      <c r="L155" s="379">
        <f t="shared" si="59"/>
        <v>0</v>
      </c>
    </row>
    <row r="156" spans="1:12" ht="78.75">
      <c r="A156" s="148" t="str">
        <f>IF(B156&gt;0,VLOOKUP(B156,КВСР!A56:B1221,2),IF(C156&gt;0,VLOOKUP(C156,КФСР!A56:B1568,2),IF(D156&gt;0,VLOOKUP(D156,Программа!A$1:B$5091,2),IF(F156&gt;0,VLOOKUP(F156,КВР!A$1:B$5001,2),IF(E156&gt;0,VLOOKUP(E156,Направление!A$1:B$4750,2))))))</f>
        <v xml:space="preserve">Закупка товаров, работ и услуг для обеспечения государственных (муниципальных) нужд
</v>
      </c>
      <c r="B156" s="149"/>
      <c r="C156" s="144"/>
      <c r="D156" s="145"/>
      <c r="E156" s="144"/>
      <c r="F156" s="146">
        <v>200</v>
      </c>
      <c r="G156" s="556">
        <v>100000</v>
      </c>
      <c r="H156" s="556"/>
      <c r="I156" s="556">
        <f>G156+H156</f>
        <v>100000</v>
      </c>
      <c r="J156" s="556">
        <v>0</v>
      </c>
      <c r="K156" s="379"/>
      <c r="L156" s="379">
        <f>J156+K156</f>
        <v>0</v>
      </c>
    </row>
    <row r="157" spans="1:12" ht="31.5">
      <c r="A157" s="148" t="str">
        <f>IF(B157&gt;0,VLOOKUP(B157,КВСР!A53:B1218,2),IF(C157&gt;0,VLOOKUP(C157,КФСР!A53:B1565,2),IF(D157&gt;0,VLOOKUP(D157,Программа!A$1:B$5091,2),IF(F157&gt;0,VLOOKUP(F157,КВР!A$1:B$5001,2),IF(E157&gt;0,VLOOKUP(E157,Направление!A$1:B$4750,2))))))</f>
        <v>Непрограммные расходы бюджета</v>
      </c>
      <c r="B157" s="149"/>
      <c r="C157" s="144"/>
      <c r="D157" s="145" t="s">
        <v>480</v>
      </c>
      <c r="E157" s="144"/>
      <c r="F157" s="146"/>
      <c r="G157" s="556">
        <f>G158+G166+G162+G164</f>
        <v>10089811</v>
      </c>
      <c r="H157" s="556">
        <f t="shared" ref="H157:L157" si="60">H158+H166+H162+H164</f>
        <v>150000</v>
      </c>
      <c r="I157" s="556">
        <f t="shared" si="60"/>
        <v>10239811</v>
      </c>
      <c r="J157" s="556">
        <f t="shared" si="60"/>
        <v>9039811</v>
      </c>
      <c r="K157" s="379">
        <f t="shared" si="60"/>
        <v>150000</v>
      </c>
      <c r="L157" s="379">
        <f t="shared" si="60"/>
        <v>9189811</v>
      </c>
    </row>
    <row r="158" spans="1:12" ht="31.5">
      <c r="A158" s="148" t="str">
        <f>IF(B158&gt;0,VLOOKUP(B158,КВСР!A54:B1219,2),IF(C158&gt;0,VLOOKUP(C158,КФСР!A54:B1566,2),IF(D158&gt;0,VLOOKUP(D158,Программа!A$1:B$5091,2),IF(F158&gt;0,VLOOKUP(F158,КВР!A$1:B$5001,2),IF(E158&gt;0,VLOOKUP(E158,Направление!A$1:B$4750,2))))))</f>
        <v>Содержание центрального аппарата</v>
      </c>
      <c r="B158" s="149"/>
      <c r="C158" s="144"/>
      <c r="D158" s="145"/>
      <c r="E158" s="144">
        <v>12010</v>
      </c>
      <c r="F158" s="146"/>
      <c r="G158" s="556">
        <f>G159+G160+G161</f>
        <v>9039811</v>
      </c>
      <c r="H158" s="556">
        <f t="shared" ref="H158:L158" si="61">H159+H160+H161</f>
        <v>0</v>
      </c>
      <c r="I158" s="556">
        <f t="shared" si="61"/>
        <v>9039811</v>
      </c>
      <c r="J158" s="556">
        <f t="shared" si="61"/>
        <v>9039811</v>
      </c>
      <c r="K158" s="379">
        <f t="shared" si="61"/>
        <v>0</v>
      </c>
      <c r="L158" s="379">
        <f t="shared" si="61"/>
        <v>9039811</v>
      </c>
    </row>
    <row r="159" spans="1:12" ht="173.25">
      <c r="A159" s="148" t="str">
        <f>IF(B159&gt;0,VLOOKUP(B159,КВСР!A55:B1220,2),IF(C159&gt;0,VLOOKUP(C159,КФСР!A55:B1567,2),IF(D159&gt;0,VLOOKUP(D159,Программа!A$1:B$5091,2),IF(F159&gt;0,VLOOKUP(F159,КВР!A$1:B$5001,2),IF(E159&gt;0,VLOOKUP(E159,Направление!A$1:B$4750,2))))))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59" s="149"/>
      <c r="C159" s="144"/>
      <c r="D159" s="145"/>
      <c r="E159" s="144"/>
      <c r="F159" s="146">
        <v>100</v>
      </c>
      <c r="G159" s="556">
        <v>8339811</v>
      </c>
      <c r="H159" s="556"/>
      <c r="I159" s="556">
        <f>SUM(G159:H159)</f>
        <v>8339811</v>
      </c>
      <c r="J159" s="556">
        <v>8339811</v>
      </c>
      <c r="K159" s="379"/>
      <c r="L159" s="379">
        <f t="shared" si="13"/>
        <v>8339811</v>
      </c>
    </row>
    <row r="160" spans="1:12" ht="78.75">
      <c r="A160" s="148" t="str">
        <f>IF(B160&gt;0,VLOOKUP(B160,КВСР!A56:B1221,2),IF(C160&gt;0,VLOOKUP(C160,КФСР!A56:B1568,2),IF(D160&gt;0,VLOOKUP(D160,Программа!A$1:B$5091,2),IF(F160&gt;0,VLOOKUP(F160,КВР!A$1:B$5001,2),IF(E160&gt;0,VLOOKUP(E160,Направление!A$1:B$4750,2))))))</f>
        <v xml:space="preserve">Закупка товаров, работ и услуг для обеспечения государственных (муниципальных) нужд
</v>
      </c>
      <c r="B160" s="149"/>
      <c r="C160" s="144"/>
      <c r="D160" s="145"/>
      <c r="E160" s="144"/>
      <c r="F160" s="146">
        <v>200</v>
      </c>
      <c r="G160" s="556">
        <v>645000</v>
      </c>
      <c r="H160" s="556"/>
      <c r="I160" s="556">
        <f t="shared" ref="I160:I161" si="62">SUM(G160:H160)</f>
        <v>645000</v>
      </c>
      <c r="J160" s="556">
        <v>645000</v>
      </c>
      <c r="K160" s="379"/>
      <c r="L160" s="379">
        <f t="shared" si="13"/>
        <v>645000</v>
      </c>
    </row>
    <row r="161" spans="1:12" ht="31.5">
      <c r="A161" s="148" t="str">
        <f>IF(B161&gt;0,VLOOKUP(B161,КВСР!A57:B1222,2),IF(C161&gt;0,VLOOKUP(C161,КФСР!A57:B1569,2),IF(D161&gt;0,VLOOKUP(D161,Программа!A$1:B$5091,2),IF(F161&gt;0,VLOOKUP(F161,КВР!A$1:B$5001,2),IF(E161&gt;0,VLOOKUP(E161,Направление!A$1:B$4750,2))))))</f>
        <v>Иные бюджетные ассигнования</v>
      </c>
      <c r="B161" s="149"/>
      <c r="C161" s="144"/>
      <c r="D161" s="145"/>
      <c r="E161" s="144"/>
      <c r="F161" s="146">
        <v>800</v>
      </c>
      <c r="G161" s="556">
        <v>55000</v>
      </c>
      <c r="H161" s="556"/>
      <c r="I161" s="556">
        <f t="shared" si="62"/>
        <v>55000</v>
      </c>
      <c r="J161" s="556">
        <v>55000</v>
      </c>
      <c r="K161" s="379"/>
      <c r="L161" s="379">
        <f t="shared" si="13"/>
        <v>55000</v>
      </c>
    </row>
    <row r="162" spans="1:12" ht="47.25">
      <c r="A162" s="148" t="str">
        <f>IF(B162&gt;0,VLOOKUP(B162,КВСР!A57:B1222,2),IF(C162&gt;0,VLOOKUP(C162,КФСР!A57:B1569,2),IF(D162&gt;0,VLOOKUP(D162,Программа!A$1:B$5091,2),IF(F162&gt;0,VLOOKUP(F162,КВР!A$1:B$5001,2),IF(E162&gt;0,VLOOKUP(E162,Направление!A$1:B$4750,2))))))</f>
        <v>Выполнение других обязательств органов местного самоуправления</v>
      </c>
      <c r="B162" s="149"/>
      <c r="C162" s="144"/>
      <c r="D162" s="145"/>
      <c r="E162" s="144">
        <v>12080</v>
      </c>
      <c r="F162" s="146"/>
      <c r="G162" s="556">
        <f>G163</f>
        <v>800000</v>
      </c>
      <c r="H162" s="556">
        <f t="shared" ref="H162:K162" si="63">H163</f>
        <v>0</v>
      </c>
      <c r="I162" s="556">
        <f t="shared" si="63"/>
        <v>800000</v>
      </c>
      <c r="J162" s="556">
        <f t="shared" si="63"/>
        <v>0</v>
      </c>
      <c r="K162" s="379">
        <f t="shared" si="63"/>
        <v>0</v>
      </c>
      <c r="L162" s="379">
        <f t="shared" si="13"/>
        <v>0</v>
      </c>
    </row>
    <row r="163" spans="1:12" ht="78.75">
      <c r="A163" s="148" t="str">
        <f>IF(B163&gt;0,VLOOKUP(B163,КВСР!A58:B1223,2),IF(C163&gt;0,VLOOKUP(C163,КФСР!A58:B1570,2),IF(D163&gt;0,VLOOKUP(D163,Программа!A$1:B$5091,2),IF(F163&gt;0,VLOOKUP(F163,КВР!A$1:B$5001,2),IF(E163&gt;0,VLOOKUP(E163,Направление!A$1:B$4750,2))))))</f>
        <v xml:space="preserve">Закупка товаров, работ и услуг для обеспечения государственных (муниципальных) нужд
</v>
      </c>
      <c r="B163" s="149"/>
      <c r="C163" s="144"/>
      <c r="D163" s="145"/>
      <c r="E163" s="144"/>
      <c r="F163" s="146">
        <v>200</v>
      </c>
      <c r="G163" s="556">
        <v>800000</v>
      </c>
      <c r="H163" s="556"/>
      <c r="I163" s="556">
        <f>G163+H163</f>
        <v>800000</v>
      </c>
      <c r="J163" s="556">
        <v>0</v>
      </c>
      <c r="K163" s="379"/>
      <c r="L163" s="379">
        <f t="shared" si="13"/>
        <v>0</v>
      </c>
    </row>
    <row r="164" spans="1:12" ht="78.75">
      <c r="A164" s="148" t="str">
        <f>IF(B164&gt;0,VLOOKUP(B164,КВСР!A59:B1224,2),IF(C164&gt;0,VLOOKUP(C164,КФСР!A59:B1571,2),IF(D164&gt;0,VLOOKUP(D164,Программа!A$1:B$5091,2),IF(F164&gt;0,VLOOKUP(F164,КВР!A$1:B$5001,2),IF(E164&gt;0,VLOOKUP(E164,Направление!A$1:B$4750,2))))))</f>
        <v>Оценка недвижимости, признание прав и регулирование отношений по муниципальной собственности</v>
      </c>
      <c r="B164" s="149"/>
      <c r="C164" s="144"/>
      <c r="D164" s="145"/>
      <c r="E164" s="144">
        <v>12090</v>
      </c>
      <c r="F164" s="146"/>
      <c r="G164" s="556">
        <f>G165</f>
        <v>250000</v>
      </c>
      <c r="H164" s="556">
        <f t="shared" ref="H164:K164" si="64">H165</f>
        <v>0</v>
      </c>
      <c r="I164" s="556">
        <f t="shared" si="64"/>
        <v>250000</v>
      </c>
      <c r="J164" s="556">
        <f t="shared" si="64"/>
        <v>0</v>
      </c>
      <c r="K164" s="379">
        <f t="shared" si="64"/>
        <v>0</v>
      </c>
      <c r="L164" s="379">
        <f t="shared" si="13"/>
        <v>0</v>
      </c>
    </row>
    <row r="165" spans="1:12" ht="78.75">
      <c r="A165" s="148" t="str">
        <f>IF(B165&gt;0,VLOOKUP(B165,КВСР!A60:B1225,2),IF(C165&gt;0,VLOOKUP(C165,КФСР!A60:B1572,2),IF(D165&gt;0,VLOOKUP(D165,Программа!A$1:B$5091,2),IF(F165&gt;0,VLOOKUP(F165,КВР!A$1:B$5001,2),IF(E165&gt;0,VLOOKUP(E165,Направление!A$1:B$4750,2))))))</f>
        <v xml:space="preserve">Закупка товаров, работ и услуг для обеспечения государственных (муниципальных) нужд
</v>
      </c>
      <c r="B165" s="149"/>
      <c r="C165" s="144"/>
      <c r="D165" s="145"/>
      <c r="E165" s="144"/>
      <c r="F165" s="146">
        <v>200</v>
      </c>
      <c r="G165" s="556">
        <v>250000</v>
      </c>
      <c r="H165" s="556"/>
      <c r="I165" s="556">
        <f t="shared" ref="I165" si="65">G165+H165</f>
        <v>250000</v>
      </c>
      <c r="J165" s="556">
        <v>0</v>
      </c>
      <c r="K165" s="379"/>
      <c r="L165" s="379">
        <f t="shared" si="13"/>
        <v>0</v>
      </c>
    </row>
    <row r="166" spans="1:12" ht="126">
      <c r="A166" s="148" t="str">
        <f>IF(B166&gt;0,VLOOKUP(B166,КВСР!A56:B1221,2),IF(C166&gt;0,VLOOKUP(C166,КФСР!A56:B1568,2),IF(D166&gt;0,VLOOKUP(D166,Программа!A$1:B$5091,2),IF(F166&gt;0,VLOOKUP(F166,КВР!A$1:B$5001,2),IF(E166&gt;0,VLOOKUP(E166,Направление!A$1:B$4750,2))))))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66" s="149"/>
      <c r="C166" s="144"/>
      <c r="D166" s="145"/>
      <c r="E166" s="144">
        <v>29026</v>
      </c>
      <c r="F166" s="146"/>
      <c r="G166" s="556">
        <f>G167+G168</f>
        <v>0</v>
      </c>
      <c r="H166" s="556">
        <f t="shared" ref="H166" si="66">H167+H168</f>
        <v>150000</v>
      </c>
      <c r="I166" s="556">
        <f t="shared" si="12"/>
        <v>150000</v>
      </c>
      <c r="J166" s="556">
        <f>J167+J168</f>
        <v>0</v>
      </c>
      <c r="K166" s="379">
        <f t="shared" ref="K166" si="67">K167+K168</f>
        <v>150000</v>
      </c>
      <c r="L166" s="379">
        <f t="shared" si="13"/>
        <v>150000</v>
      </c>
    </row>
    <row r="167" spans="1:12" ht="60.75" hidden="1" customHeight="1">
      <c r="A167" s="148" t="str">
        <f>IF(B167&gt;0,VLOOKUP(B167,КВСР!A57:B1222,2),IF(C167&gt;0,VLOOKUP(C167,КФСР!A57:B1569,2),IF(D167&gt;0,VLOOKUP(D167,Программа!A$1:B$5091,2),IF(F167&gt;0,VLOOKUP(F167,КВР!A$1:B$5001,2),IF(E167&gt;0,VLOOKUP(E167,Направление!A$1:B$4750,2))))))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7" s="149"/>
      <c r="C167" s="144"/>
      <c r="D167" s="145"/>
      <c r="E167" s="144"/>
      <c r="F167" s="146">
        <v>100</v>
      </c>
      <c r="G167" s="556"/>
      <c r="H167" s="556"/>
      <c r="I167" s="556">
        <f t="shared" si="12"/>
        <v>0</v>
      </c>
      <c r="J167" s="556"/>
      <c r="K167" s="379"/>
      <c r="L167" s="379">
        <f t="shared" si="13"/>
        <v>0</v>
      </c>
    </row>
    <row r="168" spans="1:12" ht="78.75">
      <c r="A168" s="148" t="str">
        <f>IF(B168&gt;0,VLOOKUP(B168,КВСР!A58:B1223,2),IF(C168&gt;0,VLOOKUP(C168,КФСР!A58:B1570,2),IF(D168&gt;0,VLOOKUP(D168,Программа!A$1:B$5091,2),IF(F168&gt;0,VLOOKUP(F168,КВР!A$1:B$5001,2),IF(E168&gt;0,VLOOKUP(E168,Направление!A$1:B$4750,2))))))</f>
        <v xml:space="preserve">Закупка товаров, работ и услуг для обеспечения государственных (муниципальных) нужд
</v>
      </c>
      <c r="B168" s="149"/>
      <c r="C168" s="144"/>
      <c r="D168" s="145"/>
      <c r="E168" s="144"/>
      <c r="F168" s="146">
        <v>200</v>
      </c>
      <c r="G168" s="556"/>
      <c r="H168" s="556">
        <v>150000</v>
      </c>
      <c r="I168" s="556">
        <f t="shared" si="12"/>
        <v>150000</v>
      </c>
      <c r="J168" s="556"/>
      <c r="K168" s="379">
        <v>150000</v>
      </c>
      <c r="L168" s="379">
        <f t="shared" si="13"/>
        <v>150000</v>
      </c>
    </row>
    <row r="169" spans="1:12" ht="31.5">
      <c r="A169" s="148" t="str">
        <f>IF(B169&gt;0,VLOOKUP(B169,КВСР!A59:B1224,2),IF(C169&gt;0,VLOOKUP(C169,КФСР!A59:B1571,2),IF(D169&gt;0,VLOOKUP(D169,Программа!A$1:B$5091,2),IF(F169&gt;0,VLOOKUP(F169,КВР!A$1:B$5001,2),IF(E169&gt;0,VLOOKUP(E169,Направление!A$1:B$4750,2))))))</f>
        <v>Другие вопросы в области национальной экономики</v>
      </c>
      <c r="B169" s="149"/>
      <c r="C169" s="144">
        <v>412</v>
      </c>
      <c r="D169" s="145"/>
      <c r="E169" s="144"/>
      <c r="F169" s="146"/>
      <c r="G169" s="556">
        <f>G170</f>
        <v>700000</v>
      </c>
      <c r="H169" s="556">
        <f t="shared" ref="H169:L169" si="68">H170</f>
        <v>250000</v>
      </c>
      <c r="I169" s="556">
        <f t="shared" si="68"/>
        <v>950000</v>
      </c>
      <c r="J169" s="556">
        <f t="shared" si="68"/>
        <v>0</v>
      </c>
      <c r="K169" s="556">
        <f t="shared" si="68"/>
        <v>250000</v>
      </c>
      <c r="L169" s="556">
        <f t="shared" si="68"/>
        <v>250000</v>
      </c>
    </row>
    <row r="170" spans="1:12" ht="31.5">
      <c r="A170" s="148" t="str">
        <f>IF(B170&gt;0,VLOOKUP(B170,КВСР!A60:B1225,2),IF(C170&gt;0,VLOOKUP(C170,КФСР!A60:B1572,2),IF(D170&gt;0,VLOOKUP(D170,Программа!A$1:B$5091,2),IF(F170&gt;0,VLOOKUP(F170,КВР!A$1:B$5001,2),IF(E170&gt;0,VLOOKUP(E170,Направление!A$1:B$4750,2))))))</f>
        <v>Непрограммные расходы бюджета</v>
      </c>
      <c r="B170" s="149"/>
      <c r="C170" s="144"/>
      <c r="D170" s="145" t="s">
        <v>480</v>
      </c>
      <c r="E170" s="144"/>
      <c r="F170" s="146"/>
      <c r="G170" s="556">
        <f>G171+G173</f>
        <v>700000</v>
      </c>
      <c r="H170" s="556">
        <f t="shared" ref="H170:I170" si="69">H171+H173</f>
        <v>250000</v>
      </c>
      <c r="I170" s="556">
        <f t="shared" si="69"/>
        <v>950000</v>
      </c>
      <c r="J170" s="556">
        <f>J171+J173</f>
        <v>0</v>
      </c>
      <c r="K170" s="556">
        <f t="shared" ref="K170" si="70">K171+K173</f>
        <v>250000</v>
      </c>
      <c r="L170" s="556">
        <f t="shared" ref="L170" si="71">L171+L173</f>
        <v>250000</v>
      </c>
    </row>
    <row r="171" spans="1:12" ht="51.75" customHeight="1">
      <c r="A171" s="148" t="str">
        <f>IF(B171&gt;0,VLOOKUP(B171,КВСР!A61:B1226,2),IF(C171&gt;0,VLOOKUP(C171,КФСР!A61:B1573,2),IF(D171&gt;0,VLOOKUP(D171,Программа!A$1:B$5091,2),IF(F171&gt;0,VLOOKUP(F171,КВР!A$1:B$5001,2),IF(E171&gt;0,VLOOKUP(E171,Направление!A$1:B$4750,2))))))</f>
        <v>Мероприятия по землеустройству и землепользованию</v>
      </c>
      <c r="B171" s="149"/>
      <c r="C171" s="144"/>
      <c r="D171" s="145"/>
      <c r="E171" s="144">
        <v>10510</v>
      </c>
      <c r="F171" s="146"/>
      <c r="G171" s="556">
        <f>G172</f>
        <v>700000</v>
      </c>
      <c r="H171" s="556">
        <f t="shared" ref="H171:J171" si="72">H172</f>
        <v>0</v>
      </c>
      <c r="I171" s="556">
        <f t="shared" si="72"/>
        <v>700000</v>
      </c>
      <c r="J171" s="556">
        <f t="shared" si="72"/>
        <v>0</v>
      </c>
      <c r="K171" s="379"/>
      <c r="L171" s="379">
        <f t="shared" si="13"/>
        <v>0</v>
      </c>
    </row>
    <row r="172" spans="1:12" ht="78.75">
      <c r="A172" s="148" t="str">
        <f>IF(B172&gt;0,VLOOKUP(B172,КВСР!A62:B1227,2),IF(C172&gt;0,VLOOKUP(C172,КФСР!A62:B1574,2),IF(D172&gt;0,VLOOKUP(D172,Программа!A$1:B$5091,2),IF(F172&gt;0,VLOOKUP(F172,КВР!A$1:B$5001,2),IF(E172&gt;0,VLOOKUP(E172,Направление!A$1:B$4750,2))))))</f>
        <v xml:space="preserve">Закупка товаров, работ и услуг для обеспечения государственных (муниципальных) нужд
</v>
      </c>
      <c r="B172" s="149"/>
      <c r="C172" s="144"/>
      <c r="D172" s="145"/>
      <c r="E172" s="144"/>
      <c r="F172" s="146">
        <v>200</v>
      </c>
      <c r="G172" s="556">
        <v>700000</v>
      </c>
      <c r="H172" s="556"/>
      <c r="I172" s="556">
        <f>G172+H172</f>
        <v>700000</v>
      </c>
      <c r="J172" s="556">
        <v>0</v>
      </c>
      <c r="K172" s="379"/>
      <c r="L172" s="379">
        <f t="shared" si="13"/>
        <v>0</v>
      </c>
    </row>
    <row r="173" spans="1:12" ht="94.5">
      <c r="A173" s="148" t="str">
        <f>IF(B173&gt;0,VLOOKUP(B173,КВСР!A63:B1228,2),IF(C173&gt;0,VLOOKUP(C173,КФСР!A63:B1575,2),IF(D173&gt;0,VLOOKUP(D173,Программа!A$1:B$5091,2),IF(F173&gt;0,VLOOKUP(F173,КВР!A$1:B$5001,2),IF(E173&gt;0,VLOOKUP(E173,Направление!A$1:B$4750,2))))))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173" s="149"/>
      <c r="C173" s="144"/>
      <c r="D173" s="145"/>
      <c r="E173" s="144">
        <v>29276</v>
      </c>
      <c r="F173" s="146"/>
      <c r="G173" s="556"/>
      <c r="H173" s="556">
        <f>H174</f>
        <v>250000</v>
      </c>
      <c r="I173" s="556">
        <f>SUM(G173:H173)</f>
        <v>250000</v>
      </c>
      <c r="J173" s="556"/>
      <c r="K173" s="379">
        <f>K174</f>
        <v>250000</v>
      </c>
      <c r="L173" s="379">
        <f t="shared" si="13"/>
        <v>250000</v>
      </c>
    </row>
    <row r="174" spans="1:12" ht="78.75">
      <c r="A174" s="148" t="str">
        <f>IF(B174&gt;0,VLOOKUP(B174,КВСР!A64:B1229,2),IF(C174&gt;0,VLOOKUP(C174,КФСР!A64:B1576,2),IF(D174&gt;0,VLOOKUP(D174,Программа!A$1:B$5091,2),IF(F174&gt;0,VLOOKUP(F174,КВР!A$1:B$5001,2),IF(E174&gt;0,VLOOKUP(E174,Направление!A$1:B$4750,2))))))</f>
        <v xml:space="preserve">Закупка товаров, работ и услуг для обеспечения государственных (муниципальных) нужд
</v>
      </c>
      <c r="B174" s="149"/>
      <c r="C174" s="144"/>
      <c r="D174" s="145"/>
      <c r="E174" s="144"/>
      <c r="F174" s="146">
        <v>200</v>
      </c>
      <c r="G174" s="556"/>
      <c r="H174" s="592">
        <v>250000</v>
      </c>
      <c r="I174" s="556">
        <f t="shared" ref="I174:I175" si="73">SUM(G174:H174)</f>
        <v>250000</v>
      </c>
      <c r="J174" s="556"/>
      <c r="K174" s="336">
        <v>250000</v>
      </c>
      <c r="L174" s="379">
        <f t="shared" si="13"/>
        <v>250000</v>
      </c>
    </row>
    <row r="175" spans="1:12" ht="15.75">
      <c r="A175" s="148" t="str">
        <f>IF(B175&gt;0,VLOOKUP(B175,КВСР!A63:B1228,2),IF(C175&gt;0,VLOOKUP(C175,КФСР!A63:B1575,2),IF(D175&gt;0,VLOOKUP(D175,Программа!A$1:B$5091,2),IF(F175&gt;0,VLOOKUP(F175,КВР!A$1:B$5001,2),IF(E175&gt;0,VLOOKUP(E175,Направление!A$1:B$4750,2))))))</f>
        <v>Жилищное хозяйство</v>
      </c>
      <c r="B175" s="149"/>
      <c r="C175" s="144">
        <v>501</v>
      </c>
      <c r="D175" s="145"/>
      <c r="E175" s="144"/>
      <c r="F175" s="146"/>
      <c r="G175" s="556">
        <f>G177</f>
        <v>256000</v>
      </c>
      <c r="H175" s="556">
        <f t="shared" ref="H175:J175" si="74">H177</f>
        <v>0</v>
      </c>
      <c r="I175" s="556">
        <f t="shared" si="73"/>
        <v>256000</v>
      </c>
      <c r="J175" s="556">
        <f t="shared" si="74"/>
        <v>0</v>
      </c>
      <c r="K175" s="379"/>
      <c r="L175" s="379">
        <f t="shared" si="13"/>
        <v>0</v>
      </c>
    </row>
    <row r="176" spans="1:12" ht="31.5">
      <c r="A176" s="148" t="str">
        <f>IF(B176&gt;0,VLOOKUP(B176,КВСР!A64:B1229,2),IF(C176&gt;0,VLOOKUP(C176,КФСР!A64:B1576,2),IF(D176&gt;0,VLOOKUP(D176,Программа!A$1:B$5091,2),IF(F176&gt;0,VLOOKUP(F176,КВР!A$1:B$5001,2),IF(E176&gt;0,VLOOKUP(E176,Направление!A$1:B$4750,2))))))</f>
        <v>Непрограммные расходы бюджета</v>
      </c>
      <c r="B176" s="149"/>
      <c r="C176" s="144"/>
      <c r="D176" s="145" t="s">
        <v>480</v>
      </c>
      <c r="E176" s="144"/>
      <c r="F176" s="146"/>
      <c r="G176" s="556">
        <f>G177</f>
        <v>256000</v>
      </c>
      <c r="H176" s="556">
        <f t="shared" ref="H176:J177" si="75">H177</f>
        <v>0</v>
      </c>
      <c r="I176" s="556">
        <f t="shared" si="75"/>
        <v>256000</v>
      </c>
      <c r="J176" s="556">
        <f t="shared" si="75"/>
        <v>0</v>
      </c>
      <c r="K176" s="379"/>
      <c r="L176" s="379">
        <f t="shared" si="13"/>
        <v>0</v>
      </c>
    </row>
    <row r="177" spans="1:12" ht="63">
      <c r="A177" s="148" t="str">
        <f>IF(B177&gt;0,VLOOKUP(B177,КВСР!A65:B1230,2),IF(C177&gt;0,VLOOKUP(C177,КФСР!A65:B1577,2),IF(D177&gt;0,VLOOKUP(D177,Программа!A$1:B$5091,2),IF(F177&gt;0,VLOOKUP(F177,КВР!A$1:B$5001,2),IF(E177&gt;0,VLOOKUP(E177,Направление!A$1:B$4750,2))))))</f>
        <v>Взносы на  капитальный ремонт  жилых помещений муниципального жилищного фонда</v>
      </c>
      <c r="B177" s="149"/>
      <c r="C177" s="144"/>
      <c r="D177" s="145"/>
      <c r="E177" s="144">
        <v>10370</v>
      </c>
      <c r="F177" s="146"/>
      <c r="G177" s="556">
        <f>G178</f>
        <v>256000</v>
      </c>
      <c r="H177" s="556">
        <f t="shared" si="75"/>
        <v>0</v>
      </c>
      <c r="I177" s="556">
        <f t="shared" si="75"/>
        <v>256000</v>
      </c>
      <c r="J177" s="556">
        <f t="shared" si="75"/>
        <v>0</v>
      </c>
      <c r="K177" s="379"/>
      <c r="L177" s="379">
        <f t="shared" si="13"/>
        <v>0</v>
      </c>
    </row>
    <row r="178" spans="1:12" ht="78.75">
      <c r="A178" s="148" t="str">
        <f>IF(B178&gt;0,VLOOKUP(B178,КВСР!A66:B1231,2),IF(C178&gt;0,VLOOKUP(C178,КФСР!A66:B1578,2),IF(D178&gt;0,VLOOKUP(D178,Программа!A$1:B$5091,2),IF(F178&gt;0,VLOOKUP(F178,КВР!A$1:B$5001,2),IF(E178&gt;0,VLOOKUP(E178,Направление!A$1:B$4750,2))))))</f>
        <v xml:space="preserve">Закупка товаров, работ и услуг для обеспечения государственных (муниципальных) нужд
</v>
      </c>
      <c r="B178" s="149"/>
      <c r="C178" s="144"/>
      <c r="D178" s="145"/>
      <c r="E178" s="144"/>
      <c r="F178" s="146">
        <v>200</v>
      </c>
      <c r="G178" s="556">
        <v>256000</v>
      </c>
      <c r="H178" s="556"/>
      <c r="I178" s="556">
        <f>G178+H178</f>
        <v>256000</v>
      </c>
      <c r="J178" s="556">
        <v>0</v>
      </c>
      <c r="K178" s="379"/>
      <c r="L178" s="379">
        <f t="shared" si="13"/>
        <v>0</v>
      </c>
    </row>
    <row r="179" spans="1:12" s="185" customFormat="1" ht="31.5">
      <c r="A179" s="142" t="str">
        <f>IF(B179&gt;0,VLOOKUP(B179,КВСР!A76:B1241,2),IF(C179&gt;0,VLOOKUP(C179,КФСР!A76:B1588,2),IF(D179&gt;0,VLOOKUP(D179,Программа!A$1:B$5091,2),IF(F179&gt;0,VLOOKUP(F179,КВР!A$1:B$5001,2),IF(E179&gt;0,VLOOKUP(E179,Направление!A$1:B$4750,2))))))</f>
        <v>Департамент образования Администрации ТМР</v>
      </c>
      <c r="B179" s="143">
        <v>953</v>
      </c>
      <c r="C179" s="176"/>
      <c r="D179" s="177"/>
      <c r="E179" s="176"/>
      <c r="F179" s="178"/>
      <c r="G179" s="560">
        <f t="shared" ref="G179:L179" si="76">G180+G194+G206+G218+G232+G266+G286+G260+G212</f>
        <v>978699920</v>
      </c>
      <c r="H179" s="560">
        <f t="shared" si="76"/>
        <v>0</v>
      </c>
      <c r="I179" s="560">
        <f t="shared" si="76"/>
        <v>978699920</v>
      </c>
      <c r="J179" s="560">
        <f t="shared" si="76"/>
        <v>845588227</v>
      </c>
      <c r="K179" s="555">
        <f t="shared" si="76"/>
        <v>0</v>
      </c>
      <c r="L179" s="555">
        <f t="shared" si="76"/>
        <v>845588227</v>
      </c>
    </row>
    <row r="180" spans="1:12" ht="15.75">
      <c r="A180" s="148" t="str">
        <f>IF(B180&gt;0,VLOOKUP(B180,КВСР!A81:B1246,2),IF(C180&gt;0,VLOOKUP(C180,КФСР!A81:B1593,2),IF(D180&gt;0,VLOOKUP(D180,Программа!A$1:B$5091,2),IF(F180&gt;0,VLOOKUP(F180,КВР!A$1:B$5001,2),IF(E180&gt;0,VLOOKUP(E180,Направление!A$1:B$4750,2))))))</f>
        <v>Дошкольное образование</v>
      </c>
      <c r="B180" s="149"/>
      <c r="C180" s="144">
        <v>701</v>
      </c>
      <c r="D180" s="145"/>
      <c r="E180" s="144"/>
      <c r="F180" s="146"/>
      <c r="G180" s="556">
        <f t="shared" ref="G180:H182" si="77">G181</f>
        <v>376849794</v>
      </c>
      <c r="H180" s="556">
        <f t="shared" si="77"/>
        <v>652247</v>
      </c>
      <c r="I180" s="556">
        <f t="shared" si="12"/>
        <v>377502041</v>
      </c>
      <c r="J180" s="556">
        <f>J181</f>
        <v>337187101</v>
      </c>
      <c r="K180" s="379">
        <f t="shared" ref="K180:K182" si="78">K181</f>
        <v>652247</v>
      </c>
      <c r="L180" s="379">
        <f t="shared" si="13"/>
        <v>337839348</v>
      </c>
    </row>
    <row r="181" spans="1:12" ht="78.75">
      <c r="A181" s="148" t="str">
        <f>IF(B181&gt;0,VLOOKUP(B181,КВСР!A82:B1247,2),IF(C181&gt;0,VLOOKUP(C181,КФСР!A82:B1594,2),IF(D181&gt;0,VLOOKUP(D181,Программа!A$1:B$5091,2),IF(F181&gt;0,VLOOKUP(F181,КВР!A$1:B$5001,2),IF(E181&gt;0,VLOOKUP(E181,Направление!A$1:B$4750,2))))))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181" s="149"/>
      <c r="C181" s="144"/>
      <c r="D181" s="145" t="s">
        <v>539</v>
      </c>
      <c r="E181" s="144"/>
      <c r="F181" s="146"/>
      <c r="G181" s="556">
        <f t="shared" si="77"/>
        <v>376849794</v>
      </c>
      <c r="H181" s="556">
        <f t="shared" si="77"/>
        <v>652247</v>
      </c>
      <c r="I181" s="556">
        <f t="shared" si="12"/>
        <v>377502041</v>
      </c>
      <c r="J181" s="556">
        <f>J182</f>
        <v>337187101</v>
      </c>
      <c r="K181" s="379">
        <f t="shared" si="78"/>
        <v>652247</v>
      </c>
      <c r="L181" s="379">
        <f t="shared" si="13"/>
        <v>337839348</v>
      </c>
    </row>
    <row r="182" spans="1:12" ht="94.5">
      <c r="A182" s="148" t="str">
        <f>IF(B182&gt;0,VLOOKUP(B182,КВСР!A83:B1248,2),IF(C182&gt;0,VLOOKUP(C182,КФСР!A83:B1595,2),IF(D182&gt;0,VLOOKUP(D182,Программа!A$1:B$5091,2),IF(F182&gt;0,VLOOKUP(F182,КВР!A$1:B$5001,2),IF(E182&gt;0,VLOOKUP(E182,Направление!A$1:B$4750,2))))))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182" s="149"/>
      <c r="C182" s="144"/>
      <c r="D182" s="145" t="s">
        <v>541</v>
      </c>
      <c r="E182" s="144"/>
      <c r="F182" s="146"/>
      <c r="G182" s="556">
        <f t="shared" si="77"/>
        <v>376849794</v>
      </c>
      <c r="H182" s="556">
        <f t="shared" si="77"/>
        <v>652247</v>
      </c>
      <c r="I182" s="556">
        <f t="shared" si="12"/>
        <v>377502041</v>
      </c>
      <c r="J182" s="556">
        <f>J183</f>
        <v>337187101</v>
      </c>
      <c r="K182" s="379">
        <f t="shared" si="78"/>
        <v>652247</v>
      </c>
      <c r="L182" s="379">
        <f t="shared" si="13"/>
        <v>337839348</v>
      </c>
    </row>
    <row r="183" spans="1:12" ht="78.75">
      <c r="A183" s="148" t="str">
        <f>IF(B183&gt;0,VLOOKUP(B183,КВСР!A83:B1248,2),IF(C183&gt;0,VLOOKUP(C183,КФСР!A83:B1595,2),IF(D183&gt;0,VLOOKUP(D183,Программа!A$1:B$5091,2),IF(F183&gt;0,VLOOKUP(F183,КВР!A$1:B$5001,2),IF(E183&gt;0,VLOOKUP(E183,Направление!A$1:B$4750,2))))))</f>
        <v>Обеспечение качества и доступности образовательных услуг в сфере дошкольного образования</v>
      </c>
      <c r="B183" s="149"/>
      <c r="C183" s="144"/>
      <c r="D183" s="145" t="s">
        <v>542</v>
      </c>
      <c r="E183" s="144"/>
      <c r="F183" s="146"/>
      <c r="G183" s="556">
        <f>G184+G187+G191+G189</f>
        <v>376849794</v>
      </c>
      <c r="H183" s="556">
        <f t="shared" ref="H183:L183" si="79">H184+H187+H191+H189</f>
        <v>652247</v>
      </c>
      <c r="I183" s="556">
        <f t="shared" si="79"/>
        <v>377502041</v>
      </c>
      <c r="J183" s="556">
        <f t="shared" si="79"/>
        <v>337187101</v>
      </c>
      <c r="K183" s="379">
        <f t="shared" si="79"/>
        <v>652247</v>
      </c>
      <c r="L183" s="379">
        <f t="shared" si="79"/>
        <v>337839348</v>
      </c>
    </row>
    <row r="184" spans="1:12" ht="31.5">
      <c r="A184" s="148" t="str">
        <f>IF(B184&gt;0,VLOOKUP(B184,КВСР!A84:B1249,2),IF(C184&gt;0,VLOOKUP(C184,КФСР!A84:B1596,2),IF(D184&gt;0,VLOOKUP(D184,Программа!A$1:B$5091,2),IF(F184&gt;0,VLOOKUP(F184,КВР!A$1:B$5001,2),IF(E184&gt;0,VLOOKUP(E184,Направление!A$1:B$4750,2))))))</f>
        <v>Обеспечение деятельности дошкольных учреждений</v>
      </c>
      <c r="B184" s="149"/>
      <c r="C184" s="144"/>
      <c r="D184" s="145"/>
      <c r="E184" s="144">
        <v>13010</v>
      </c>
      <c r="F184" s="146"/>
      <c r="G184" s="556">
        <f>G185+G186</f>
        <v>116349419</v>
      </c>
      <c r="H184" s="556">
        <f t="shared" ref="H184:L184" si="80">H185+H186</f>
        <v>0</v>
      </c>
      <c r="I184" s="556">
        <f t="shared" si="80"/>
        <v>116349419</v>
      </c>
      <c r="J184" s="556">
        <f t="shared" si="80"/>
        <v>80686726</v>
      </c>
      <c r="K184" s="379">
        <f t="shared" si="80"/>
        <v>0</v>
      </c>
      <c r="L184" s="379">
        <f t="shared" si="80"/>
        <v>80686726</v>
      </c>
    </row>
    <row r="185" spans="1:12" ht="173.25">
      <c r="A185" s="148" t="str">
        <f>IF(B185&gt;0,VLOOKUP(B185,КВСР!A85:B1250,2),IF(C185&gt;0,VLOOKUP(C185,КФСР!A85:B1597,2),IF(D185&gt;0,VLOOKUP(D185,Программа!A$1:B$5091,2),IF(F185&gt;0,VLOOKUP(F185,КВР!A$1:B$5001,2),IF(E185&gt;0,VLOOKUP(E185,Направление!A$1:B$4750,2))))))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49"/>
      <c r="C185" s="144"/>
      <c r="D185" s="145"/>
      <c r="E185" s="144"/>
      <c r="F185" s="146">
        <v>100</v>
      </c>
      <c r="G185" s="556">
        <v>26265726</v>
      </c>
      <c r="H185" s="556"/>
      <c r="I185" s="556">
        <f t="shared" si="12"/>
        <v>26265726</v>
      </c>
      <c r="J185" s="556">
        <v>26265726</v>
      </c>
      <c r="K185" s="379"/>
      <c r="L185" s="379">
        <f t="shared" si="13"/>
        <v>26265726</v>
      </c>
    </row>
    <row r="186" spans="1:12" ht="78.75">
      <c r="A186" s="148" t="str">
        <f>IF(B186&gt;0,VLOOKUP(B186,КВСР!A86:B1251,2),IF(C186&gt;0,VLOOKUP(C186,КФСР!A86:B1598,2),IF(D186&gt;0,VLOOKUP(D186,Программа!A$1:B$5091,2),IF(F186&gt;0,VLOOKUP(F186,КВР!A$1:B$5001,2),IF(E186&gt;0,VLOOKUP(E186,Направление!A$1:B$4750,2))))))</f>
        <v xml:space="preserve">Закупка товаров, работ и услуг для обеспечения государственных (муниципальных) нужд
</v>
      </c>
      <c r="B186" s="149"/>
      <c r="C186" s="144"/>
      <c r="D186" s="145"/>
      <c r="E186" s="144"/>
      <c r="F186" s="146">
        <v>200</v>
      </c>
      <c r="G186" s="556">
        <f>61965419-26265726+54369000+15000</f>
        <v>90083693</v>
      </c>
      <c r="H186" s="556"/>
      <c r="I186" s="556">
        <f t="shared" si="12"/>
        <v>90083693</v>
      </c>
      <c r="J186" s="556">
        <f>54406000+15000</f>
        <v>54421000</v>
      </c>
      <c r="K186" s="379"/>
      <c r="L186" s="379">
        <f t="shared" si="13"/>
        <v>54421000</v>
      </c>
    </row>
    <row r="187" spans="1:12" ht="47.25">
      <c r="A187" s="148" t="str">
        <f>IF(B187&gt;0,VLOOKUP(B187,КВСР!A89:B1254,2),IF(C187&gt;0,VLOOKUP(C187,КФСР!A89:B1601,2),IF(D187&gt;0,VLOOKUP(D187,Программа!A$1:B$5091,2),IF(F187&gt;0,VLOOKUP(F187,КВР!A$1:B$5001,2),IF(E187&gt;0,VLOOKUP(E187,Направление!A$1:B$4750,2))))))</f>
        <v>Обеспечение деятельности общеобразовательных учреждений</v>
      </c>
      <c r="B187" s="149"/>
      <c r="C187" s="144"/>
      <c r="D187" s="145"/>
      <c r="E187" s="144">
        <v>13110</v>
      </c>
      <c r="F187" s="146"/>
      <c r="G187" s="556">
        <f>G188</f>
        <v>8000000</v>
      </c>
      <c r="H187" s="556">
        <f t="shared" ref="H187" si="81">H188</f>
        <v>0</v>
      </c>
      <c r="I187" s="556">
        <f t="shared" si="12"/>
        <v>8000000</v>
      </c>
      <c r="J187" s="556">
        <f>J188</f>
        <v>4000000</v>
      </c>
      <c r="K187" s="379">
        <f t="shared" ref="K187" si="82">K188</f>
        <v>0</v>
      </c>
      <c r="L187" s="379">
        <f t="shared" si="13"/>
        <v>4000000</v>
      </c>
    </row>
    <row r="188" spans="1:12" ht="78.75">
      <c r="A188" s="148" t="str">
        <f>IF(B188&gt;0,VLOOKUP(B188,КВСР!A90:B1255,2),IF(C188&gt;0,VLOOKUP(C188,КФСР!A90:B1602,2),IF(D188&gt;0,VLOOKUP(D188,Программа!A$1:B$5091,2),IF(F188&gt;0,VLOOKUP(F188,КВР!A$1:B$5001,2),IF(E188&gt;0,VLOOKUP(E188,Направление!A$1:B$4750,2))))))</f>
        <v>Предоставление субсидий бюджетным, автономным учреждениям и иным некоммерческим организациям</v>
      </c>
      <c r="B188" s="149"/>
      <c r="C188" s="144"/>
      <c r="D188" s="145"/>
      <c r="E188" s="144"/>
      <c r="F188" s="146">
        <v>600</v>
      </c>
      <c r="G188" s="556">
        <v>8000000</v>
      </c>
      <c r="H188" s="556"/>
      <c r="I188" s="556">
        <f t="shared" si="12"/>
        <v>8000000</v>
      </c>
      <c r="J188" s="556">
        <v>4000000</v>
      </c>
      <c r="K188" s="379"/>
      <c r="L188" s="379">
        <f t="shared" si="13"/>
        <v>4000000</v>
      </c>
    </row>
    <row r="189" spans="1:12" ht="78.75">
      <c r="A189" s="148" t="str">
        <f>IF(B189&gt;0,VLOOKUP(B189,КВСР!A91:B1256,2),IF(C189&gt;0,VLOOKUP(C189,КФСР!A91:B1603,2),IF(D189&gt;0,VLOOKUP(D189,Программа!A$1:B$5091,2),IF(F189&gt;0,VLOOKUP(F189,КВР!A$1:B$5001,2),IF(E189&gt;0,VLOOKUP(E189,Направление!A$1:B$4750,2))))))</f>
        <v>Организация образовательного процесса в образовательных учреждениях за счет средств областного бюджета</v>
      </c>
      <c r="B189" s="149"/>
      <c r="C189" s="144"/>
      <c r="D189" s="145"/>
      <c r="E189" s="144">
        <v>70520</v>
      </c>
      <c r="F189" s="146"/>
      <c r="G189" s="556">
        <f>G190</f>
        <v>23236298</v>
      </c>
      <c r="H189" s="556">
        <f t="shared" ref="H189:K189" si="83">H190</f>
        <v>652247</v>
      </c>
      <c r="I189" s="556">
        <f t="shared" si="12"/>
        <v>23888545</v>
      </c>
      <c r="J189" s="556">
        <f t="shared" si="83"/>
        <v>23236298</v>
      </c>
      <c r="K189" s="379">
        <f t="shared" si="83"/>
        <v>652247</v>
      </c>
      <c r="L189" s="379">
        <f t="shared" si="13"/>
        <v>23888545</v>
      </c>
    </row>
    <row r="190" spans="1:12" ht="78.75">
      <c r="A190" s="148" t="str">
        <f>IF(B190&gt;0,VLOOKUP(B190,КВСР!A92:B1257,2),IF(C190&gt;0,VLOOKUP(C190,КФСР!A92:B1604,2),IF(D190&gt;0,VLOOKUP(D190,Программа!A$1:B$5091,2),IF(F190&gt;0,VLOOKUP(F190,КВР!A$1:B$5001,2),IF(E190&gt;0,VLOOKUP(E190,Направление!A$1:B$4750,2))))))</f>
        <v>Предоставление субсидий бюджетным, автономным учреждениям и иным некоммерческим организациям</v>
      </c>
      <c r="B190" s="149"/>
      <c r="C190" s="144"/>
      <c r="D190" s="145"/>
      <c r="E190" s="144"/>
      <c r="F190" s="146">
        <v>600</v>
      </c>
      <c r="G190" s="556">
        <v>23236298</v>
      </c>
      <c r="H190" s="556">
        <v>652247</v>
      </c>
      <c r="I190" s="556">
        <f t="shared" si="12"/>
        <v>23888545</v>
      </c>
      <c r="J190" s="556">
        <v>23236298</v>
      </c>
      <c r="K190" s="379">
        <v>652247</v>
      </c>
      <c r="L190" s="379">
        <f t="shared" si="13"/>
        <v>23888545</v>
      </c>
    </row>
    <row r="191" spans="1:12" ht="94.5">
      <c r="A191" s="148" t="str">
        <f>IF(B191&gt;0,VLOOKUP(B191,КВСР!A91:B1256,2),IF(C191&gt;0,VLOOKUP(C191,КФСР!A91:B1603,2),IF(D191&gt;0,VLOOKUP(D191,Программа!A$1:B$5091,2),IF(F191&gt;0,VLOOKUP(F191,КВР!A$1:B$5001,2),IF(E191&gt;0,VLOOKUP(E191,Направление!A$1:B$4750,2))))))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191" s="149"/>
      <c r="C191" s="144"/>
      <c r="D191" s="145"/>
      <c r="E191" s="144">
        <v>73110</v>
      </c>
      <c r="F191" s="146"/>
      <c r="G191" s="556">
        <f>G192+G193</f>
        <v>229264077</v>
      </c>
      <c r="H191" s="556">
        <f t="shared" ref="H191:L191" si="84">H192+H193</f>
        <v>0</v>
      </c>
      <c r="I191" s="556">
        <f t="shared" si="84"/>
        <v>229264077</v>
      </c>
      <c r="J191" s="556">
        <f t="shared" si="84"/>
        <v>229264077</v>
      </c>
      <c r="K191" s="379">
        <f t="shared" si="84"/>
        <v>0</v>
      </c>
      <c r="L191" s="379">
        <f t="shared" si="84"/>
        <v>229264077</v>
      </c>
    </row>
    <row r="192" spans="1:12" ht="173.25">
      <c r="A192" s="148" t="str">
        <f>IF(B192&gt;0,VLOOKUP(B192,КВСР!A92:B1257,2),IF(C192&gt;0,VLOOKUP(C192,КФСР!A92:B1604,2),IF(D192&gt;0,VLOOKUP(D192,Программа!A$1:B$5091,2),IF(F192&gt;0,VLOOKUP(F192,КВР!A$1:B$5001,2),IF(E192&gt;0,VLOOKUP(E192,Направление!A$1:B$4750,2))))))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2" s="149"/>
      <c r="C192" s="144"/>
      <c r="D192" s="145"/>
      <c r="E192" s="144"/>
      <c r="F192" s="146">
        <v>100</v>
      </c>
      <c r="G192" s="556">
        <v>217800880</v>
      </c>
      <c r="H192" s="556"/>
      <c r="I192" s="556">
        <f t="shared" si="12"/>
        <v>217800880</v>
      </c>
      <c r="J192" s="556">
        <v>217800880</v>
      </c>
      <c r="K192" s="379"/>
      <c r="L192" s="379">
        <f t="shared" si="13"/>
        <v>217800880</v>
      </c>
    </row>
    <row r="193" spans="1:12" ht="78.75">
      <c r="A193" s="148" t="str">
        <f>IF(B193&gt;0,VLOOKUP(B193,КВСР!A93:B1258,2),IF(C193&gt;0,VLOOKUP(C193,КФСР!A93:B1605,2),IF(D193&gt;0,VLOOKUP(D193,Программа!A$1:B$5091,2),IF(F193&gt;0,VLOOKUP(F193,КВР!A$1:B$5001,2),IF(E193&gt;0,VLOOKUP(E193,Направление!A$1:B$4750,2))))))</f>
        <v xml:space="preserve">Закупка товаров, работ и услуг для обеспечения государственных (муниципальных) нужд
</v>
      </c>
      <c r="B193" s="149"/>
      <c r="C193" s="144"/>
      <c r="D193" s="145"/>
      <c r="E193" s="144"/>
      <c r="F193" s="146">
        <v>200</v>
      </c>
      <c r="G193" s="556">
        <v>11463197</v>
      </c>
      <c r="H193" s="556"/>
      <c r="I193" s="556">
        <f t="shared" si="12"/>
        <v>11463197</v>
      </c>
      <c r="J193" s="556">
        <v>11463197</v>
      </c>
      <c r="K193" s="379"/>
      <c r="L193" s="379">
        <f t="shared" si="13"/>
        <v>11463197</v>
      </c>
    </row>
    <row r="194" spans="1:12" ht="15.75">
      <c r="A194" s="148" t="str">
        <f>IF(B194&gt;0,VLOOKUP(B194,КВСР!A90:B1255,2),IF(C194&gt;0,VLOOKUP(C194,КФСР!A90:B1602,2),IF(D194&gt;0,VLOOKUP(D194,Программа!A$1:B$5091,2),IF(F194&gt;0,VLOOKUP(F194,КВР!A$1:B$5001,2),IF(E194&gt;0,VLOOKUP(E194,Направление!A$1:B$4750,2))))))</f>
        <v>Общее образование</v>
      </c>
      <c r="B194" s="149"/>
      <c r="C194" s="144">
        <v>702</v>
      </c>
      <c r="D194" s="145"/>
      <c r="E194" s="144"/>
      <c r="F194" s="146"/>
      <c r="G194" s="556">
        <f>G195</f>
        <v>435380109</v>
      </c>
      <c r="H194" s="556">
        <f t="shared" ref="H194" si="85">H195</f>
        <v>-652247</v>
      </c>
      <c r="I194" s="556">
        <f t="shared" si="12"/>
        <v>434727862</v>
      </c>
      <c r="J194" s="556">
        <f>J195</f>
        <v>396680109</v>
      </c>
      <c r="K194" s="379">
        <f t="shared" ref="K194" si="86">K195</f>
        <v>-652247</v>
      </c>
      <c r="L194" s="379">
        <f t="shared" si="13"/>
        <v>396027862</v>
      </c>
    </row>
    <row r="195" spans="1:12" ht="78.75">
      <c r="A195" s="148" t="str">
        <f>IF(B195&gt;0,VLOOKUP(B195,КВСР!A91:B1256,2),IF(C195&gt;0,VLOOKUP(C195,КФСР!A91:B1603,2),IF(D195&gt;0,VLOOKUP(D195,Программа!A$1:B$5091,2),IF(F195&gt;0,VLOOKUP(F195,КВР!A$1:B$5001,2),IF(E195&gt;0,VLOOKUP(E195,Направление!A$1:B$4750,2))))))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195" s="149"/>
      <c r="C195" s="144"/>
      <c r="D195" s="145" t="s">
        <v>539</v>
      </c>
      <c r="E195" s="144"/>
      <c r="F195" s="146"/>
      <c r="G195" s="556">
        <f>G197</f>
        <v>435380109</v>
      </c>
      <c r="H195" s="556">
        <f t="shared" ref="H195" si="87">H197</f>
        <v>-652247</v>
      </c>
      <c r="I195" s="556">
        <f t="shared" si="12"/>
        <v>434727862</v>
      </c>
      <c r="J195" s="556">
        <f>J197</f>
        <v>396680109</v>
      </c>
      <c r="K195" s="379">
        <f t="shared" ref="K195" si="88">K197</f>
        <v>-652247</v>
      </c>
      <c r="L195" s="379">
        <f t="shared" si="13"/>
        <v>396027862</v>
      </c>
    </row>
    <row r="196" spans="1:12" ht="94.5">
      <c r="A196" s="148" t="str">
        <f>IF(B196&gt;0,VLOOKUP(B196,КВСР!A92:B1257,2),IF(C196&gt;0,VLOOKUP(C196,КФСР!A92:B1604,2),IF(D196&gt;0,VLOOKUP(D196,Программа!A$1:B$5091,2),IF(F196&gt;0,VLOOKUP(F196,КВР!A$1:B$5001,2),IF(E196&gt;0,VLOOKUP(E196,Направление!A$1:B$4750,2))))))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196" s="149"/>
      <c r="C196" s="144"/>
      <c r="D196" s="145" t="s">
        <v>541</v>
      </c>
      <c r="E196" s="144"/>
      <c r="F196" s="146"/>
      <c r="G196" s="556">
        <f>G197</f>
        <v>435380109</v>
      </c>
      <c r="H196" s="556">
        <f t="shared" ref="H196" si="89">H197</f>
        <v>-652247</v>
      </c>
      <c r="I196" s="556">
        <f t="shared" si="12"/>
        <v>434727862</v>
      </c>
      <c r="J196" s="556">
        <f>J197</f>
        <v>396680109</v>
      </c>
      <c r="K196" s="379">
        <f t="shared" ref="K196" si="90">K197</f>
        <v>-652247</v>
      </c>
      <c r="L196" s="379">
        <f t="shared" si="13"/>
        <v>396027862</v>
      </c>
    </row>
    <row r="197" spans="1:12" ht="63">
      <c r="A197" s="148" t="str">
        <f>IF(B197&gt;0,VLOOKUP(B197,КВСР!A93:B1258,2),IF(C197&gt;0,VLOOKUP(C197,КФСР!A93:B1605,2),IF(D197&gt;0,VLOOKUP(D197,Программа!A$1:B$5091,2),IF(F197&gt;0,VLOOKUP(F197,КВР!A$1:B$5001,2),IF(E197&gt;0,VLOOKUP(E197,Направление!A$1:B$4750,2))))))</f>
        <v>Обеспечение качества и доступности образовательных услуг в сфере общего образования</v>
      </c>
      <c r="B197" s="149"/>
      <c r="C197" s="144"/>
      <c r="D197" s="145" t="s">
        <v>582</v>
      </c>
      <c r="E197" s="144"/>
      <c r="F197" s="146"/>
      <c r="G197" s="556">
        <f>G198+G200+G202+G204</f>
        <v>435380109</v>
      </c>
      <c r="H197" s="556">
        <f t="shared" ref="H197:L197" si="91">H198+H200+H202+H204</f>
        <v>-652247</v>
      </c>
      <c r="I197" s="556">
        <f t="shared" si="91"/>
        <v>434727862</v>
      </c>
      <c r="J197" s="556">
        <f t="shared" si="91"/>
        <v>396680109</v>
      </c>
      <c r="K197" s="379">
        <f t="shared" si="91"/>
        <v>-652247</v>
      </c>
      <c r="L197" s="379">
        <f t="shared" si="91"/>
        <v>396027862</v>
      </c>
    </row>
    <row r="198" spans="1:12" ht="47.25">
      <c r="A198" s="148" t="str">
        <f>IF(B198&gt;0,VLOOKUP(B198,КВСР!A94:B1259,2),IF(C198&gt;0,VLOOKUP(C198,КФСР!A94:B1606,2),IF(D198&gt;0,VLOOKUP(D198,Программа!A$1:B$5091,2),IF(F198&gt;0,VLOOKUP(F198,КВР!A$1:B$5001,2),IF(E198&gt;0,VLOOKUP(E198,Направление!A$1:B$4750,2))))))</f>
        <v>Обеспечение деятельности общеобразовательных учреждений</v>
      </c>
      <c r="B198" s="149"/>
      <c r="C198" s="144"/>
      <c r="D198" s="145"/>
      <c r="E198" s="144">
        <v>13110</v>
      </c>
      <c r="F198" s="146"/>
      <c r="G198" s="556">
        <f>G199</f>
        <v>63700000</v>
      </c>
      <c r="H198" s="556">
        <f t="shared" ref="H198" si="92">H199</f>
        <v>0</v>
      </c>
      <c r="I198" s="556">
        <f t="shared" si="12"/>
        <v>63700000</v>
      </c>
      <c r="J198" s="556">
        <f>J199</f>
        <v>25000000</v>
      </c>
      <c r="K198" s="379">
        <f t="shared" ref="K198" si="93">K199</f>
        <v>0</v>
      </c>
      <c r="L198" s="379">
        <f t="shared" si="13"/>
        <v>25000000</v>
      </c>
    </row>
    <row r="199" spans="1:12" ht="78.75">
      <c r="A199" s="148" t="str">
        <f>IF(B199&gt;0,VLOOKUP(B199,КВСР!A96:B1261,2),IF(C199&gt;0,VLOOKUP(C199,КФСР!A96:B1608,2),IF(D199&gt;0,VLOOKUP(D199,Программа!A$1:B$5091,2),IF(F199&gt;0,VLOOKUP(F199,КВР!A$1:B$5001,2),IF(E199&gt;0,VLOOKUP(E199,Направление!A$1:B$4750,2))))))</f>
        <v>Предоставление субсидий бюджетным, автономным учреждениям и иным некоммерческим организациям</v>
      </c>
      <c r="B199" s="160"/>
      <c r="C199" s="161"/>
      <c r="D199" s="163"/>
      <c r="E199" s="161"/>
      <c r="F199" s="162">
        <v>600</v>
      </c>
      <c r="G199" s="556">
        <f>6000000+57700000</f>
        <v>63700000</v>
      </c>
      <c r="H199" s="556"/>
      <c r="I199" s="556">
        <f t="shared" si="12"/>
        <v>63700000</v>
      </c>
      <c r="J199" s="556">
        <v>25000000</v>
      </c>
      <c r="K199" s="379"/>
      <c r="L199" s="379">
        <f t="shared" si="13"/>
        <v>25000000</v>
      </c>
    </row>
    <row r="200" spans="1:12" ht="157.5" hidden="1">
      <c r="A200" s="148" t="str">
        <f>IF(B200&gt;0,VLOOKUP(B200,КВСР!A100:B1265,2),IF(C200&gt;0,VLOOKUP(C200,КФСР!A100:B1612,2),IF(D200&gt;0,VLOOKUP(D200,Программа!A$1:B$5091,2),IF(F200&gt;0,VLOOKUP(F200,КВР!A$1:B$5001,2),IF(E200&gt;0,VLOOKUP(E200,Направление!A$1:B$4750,2))))))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00" s="160"/>
      <c r="C200" s="161"/>
      <c r="D200" s="145"/>
      <c r="E200" s="144">
        <v>70510</v>
      </c>
      <c r="F200" s="162"/>
      <c r="G200" s="556">
        <f>G201</f>
        <v>0</v>
      </c>
      <c r="H200" s="556">
        <f t="shared" ref="H200" si="94">H201</f>
        <v>0</v>
      </c>
      <c r="I200" s="556">
        <f t="shared" si="12"/>
        <v>0</v>
      </c>
      <c r="J200" s="556">
        <f>J201</f>
        <v>0</v>
      </c>
      <c r="K200" s="379">
        <f t="shared" ref="K200" si="95">K201</f>
        <v>0</v>
      </c>
      <c r="L200" s="379">
        <f t="shared" si="13"/>
        <v>0</v>
      </c>
    </row>
    <row r="201" spans="1:12" ht="78.75" hidden="1">
      <c r="A201" s="148" t="str">
        <f>IF(B201&gt;0,VLOOKUP(B201,КВСР!A101:B1266,2),IF(C201&gt;0,VLOOKUP(C201,КФСР!A101:B1613,2),IF(D201&gt;0,VLOOKUP(D201,Программа!A$1:B$5091,2),IF(F201&gt;0,VLOOKUP(F201,КВР!A$1:B$5001,2),IF(E201&gt;0,VLOOKUP(E201,Направление!A$1:B$4750,2))))))</f>
        <v>Предоставление субсидий бюджетным, автономным учреждениям и иным некоммерческим организациям</v>
      </c>
      <c r="B201" s="160"/>
      <c r="C201" s="161"/>
      <c r="D201" s="163"/>
      <c r="E201" s="161"/>
      <c r="F201" s="162">
        <v>600</v>
      </c>
      <c r="G201" s="556"/>
      <c r="H201" s="556"/>
      <c r="I201" s="556">
        <f t="shared" si="12"/>
        <v>0</v>
      </c>
      <c r="J201" s="556"/>
      <c r="K201" s="379"/>
      <c r="L201" s="379">
        <f t="shared" si="13"/>
        <v>0</v>
      </c>
    </row>
    <row r="202" spans="1:12" ht="79.5" customHeight="1">
      <c r="A202" s="148" t="str">
        <f>IF(B202&gt;0,VLOOKUP(B202,КВСР!A102:B1267,2),IF(C202&gt;0,VLOOKUP(C202,КФСР!A102:B1614,2),IF(D202&gt;0,VLOOKUP(D202,Программа!A$1:B$5091,2),IF(F202&gt;0,VLOOKUP(F202,КВР!A$1:B$5001,2),IF(E202&gt;0,VLOOKUP(E202,Направление!A$1:B$4750,2))))))</f>
        <v>Организация образовательного процесса в образовательных учреждениях за счет средств областного бюджета</v>
      </c>
      <c r="B202" s="160"/>
      <c r="C202" s="161"/>
      <c r="D202" s="163"/>
      <c r="E202" s="161">
        <v>70520</v>
      </c>
      <c r="F202" s="162"/>
      <c r="G202" s="556">
        <f>G203</f>
        <v>345521410</v>
      </c>
      <c r="H202" s="556">
        <f t="shared" ref="H202" si="96">H203</f>
        <v>-652247</v>
      </c>
      <c r="I202" s="556">
        <f t="shared" si="12"/>
        <v>344869163</v>
      </c>
      <c r="J202" s="556">
        <f>J203</f>
        <v>345521410</v>
      </c>
      <c r="K202" s="379">
        <f t="shared" ref="K202" si="97">K203</f>
        <v>-652247</v>
      </c>
      <c r="L202" s="379">
        <f t="shared" si="13"/>
        <v>344869163</v>
      </c>
    </row>
    <row r="203" spans="1:12" ht="78.75">
      <c r="A203" s="148" t="str">
        <f>IF(B203&gt;0,VLOOKUP(B203,КВСР!A103:B1268,2),IF(C203&gt;0,VLOOKUP(C203,КФСР!A103:B1615,2),IF(D203&gt;0,VLOOKUP(D203,Программа!A$1:B$5091,2),IF(F203&gt;0,VLOOKUP(F203,КВР!A$1:B$5001,2),IF(E203&gt;0,VLOOKUP(E203,Направление!A$1:B$4750,2))))))</f>
        <v>Предоставление субсидий бюджетным, автономным учреждениям и иным некоммерческим организациям</v>
      </c>
      <c r="B203" s="160"/>
      <c r="C203" s="161"/>
      <c r="D203" s="163"/>
      <c r="E203" s="161"/>
      <c r="F203" s="162">
        <v>600</v>
      </c>
      <c r="G203" s="556">
        <v>345521410</v>
      </c>
      <c r="H203" s="556">
        <v>-652247</v>
      </c>
      <c r="I203" s="556">
        <f t="shared" si="12"/>
        <v>344869163</v>
      </c>
      <c r="J203" s="556">
        <v>345521410</v>
      </c>
      <c r="K203" s="379">
        <v>-652247</v>
      </c>
      <c r="L203" s="379">
        <f t="shared" si="13"/>
        <v>344869163</v>
      </c>
    </row>
    <row r="204" spans="1:12" ht="94.5">
      <c r="A204" s="148" t="str">
        <f>IF(B204&gt;0,VLOOKUP(B204,КВСР!A109:B1274,2),IF(C204&gt;0,VLOOKUP(C204,КФСР!A109:B1621,2),IF(D204&gt;0,VLOOKUP(D204,Программа!A$1:B$5091,2),IF(F204&gt;0,VLOOKUP(F204,КВР!A$1:B$5001,2),IF(E204&gt;0,VLOOKUP(E204,Направление!A$1:B$4750,2))))))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04" s="160"/>
      <c r="C204" s="161"/>
      <c r="D204" s="163"/>
      <c r="E204" s="161">
        <v>70530</v>
      </c>
      <c r="F204" s="162"/>
      <c r="G204" s="556">
        <f>G205</f>
        <v>26158699</v>
      </c>
      <c r="H204" s="556">
        <f t="shared" ref="H204" si="98">H205</f>
        <v>0</v>
      </c>
      <c r="I204" s="556">
        <f t="shared" si="12"/>
        <v>26158699</v>
      </c>
      <c r="J204" s="556">
        <f>J205</f>
        <v>26158699</v>
      </c>
      <c r="K204" s="379">
        <f t="shared" ref="K204" si="99">K205</f>
        <v>0</v>
      </c>
      <c r="L204" s="379">
        <f t="shared" si="13"/>
        <v>26158699</v>
      </c>
    </row>
    <row r="205" spans="1:12" ht="78.75">
      <c r="A205" s="148" t="str">
        <f>IF(B205&gt;0,VLOOKUP(B205,КВСР!A110:B1275,2),IF(C205&gt;0,VLOOKUP(C205,КФСР!A110:B1622,2),IF(D205&gt;0,VLOOKUP(D205,Программа!A$1:B$5091,2),IF(F205&gt;0,VLOOKUP(F205,КВР!A$1:B$5001,2),IF(E205&gt;0,VLOOKUP(E205,Направление!A$1:B$4750,2))))))</f>
        <v>Предоставление субсидий бюджетным, автономным учреждениям и иным некоммерческим организациям</v>
      </c>
      <c r="B205" s="160"/>
      <c r="C205" s="161"/>
      <c r="D205" s="163"/>
      <c r="E205" s="161"/>
      <c r="F205" s="162">
        <v>600</v>
      </c>
      <c r="G205" s="556">
        <v>26158699</v>
      </c>
      <c r="H205" s="556"/>
      <c r="I205" s="556">
        <f t="shared" si="12"/>
        <v>26158699</v>
      </c>
      <c r="J205" s="556">
        <v>26158699</v>
      </c>
      <c r="K205" s="379"/>
      <c r="L205" s="379">
        <f t="shared" si="13"/>
        <v>26158699</v>
      </c>
    </row>
    <row r="206" spans="1:12" ht="31.5">
      <c r="A206" s="148" t="str">
        <f>IF(B206&gt;0,VLOOKUP(B206,КВСР!A111:B1276,2),IF(C206&gt;0,VLOOKUP(C206,КФСР!A111:B1623,2),IF(D206&gt;0,VLOOKUP(D206,Программа!A$1:B$5091,2),IF(F206&gt;0,VLOOKUP(F206,КВР!A$1:B$5001,2),IF(E206&gt;0,VLOOKUP(E206,Направление!A$1:B$4750,2))))))</f>
        <v>Дополнительное образование детей</v>
      </c>
      <c r="B206" s="160"/>
      <c r="C206" s="161">
        <v>703</v>
      </c>
      <c r="D206" s="162"/>
      <c r="E206" s="161"/>
      <c r="F206" s="162"/>
      <c r="G206" s="556">
        <f t="shared" ref="G206:H210" si="100">G207</f>
        <v>52240524</v>
      </c>
      <c r="H206" s="556">
        <f t="shared" si="100"/>
        <v>0</v>
      </c>
      <c r="I206" s="556">
        <f t="shared" si="12"/>
        <v>52240524</v>
      </c>
      <c r="J206" s="556">
        <f>J207</f>
        <v>27240524</v>
      </c>
      <c r="K206" s="379">
        <f t="shared" ref="K206:K210" si="101">K207</f>
        <v>0</v>
      </c>
      <c r="L206" s="379">
        <f t="shared" si="13"/>
        <v>27240524</v>
      </c>
    </row>
    <row r="207" spans="1:12" ht="78.75">
      <c r="A207" s="148" t="str">
        <f>IF(B207&gt;0,VLOOKUP(B207,КВСР!A112:B1277,2),IF(C207&gt;0,VLOOKUP(C207,КФСР!A112:B1624,2),IF(D207&gt;0,VLOOKUP(D207,Программа!A$1:B$5091,2),IF(F207&gt;0,VLOOKUP(F207,КВР!A$1:B$5001,2),IF(E207&gt;0,VLOOKUP(E207,Направление!A$1:B$4750,2))))))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07" s="160"/>
      <c r="C207" s="161"/>
      <c r="D207" s="145" t="s">
        <v>539</v>
      </c>
      <c r="E207" s="161"/>
      <c r="F207" s="162"/>
      <c r="G207" s="556">
        <f t="shared" si="100"/>
        <v>52240524</v>
      </c>
      <c r="H207" s="556">
        <f t="shared" si="100"/>
        <v>0</v>
      </c>
      <c r="I207" s="556">
        <f t="shared" si="12"/>
        <v>52240524</v>
      </c>
      <c r="J207" s="556">
        <f>J208</f>
        <v>27240524</v>
      </c>
      <c r="K207" s="379">
        <f t="shared" si="101"/>
        <v>0</v>
      </c>
      <c r="L207" s="379">
        <f t="shared" si="13"/>
        <v>27240524</v>
      </c>
    </row>
    <row r="208" spans="1:12" ht="94.5">
      <c r="A208" s="148" t="str">
        <f>IF(B208&gt;0,VLOOKUP(B208,КВСР!A113:B1278,2),IF(C208&gt;0,VLOOKUP(C208,КФСР!A113:B1625,2),IF(D208&gt;0,VLOOKUP(D208,Программа!A$1:B$5091,2),IF(F208&gt;0,VLOOKUP(F208,КВР!A$1:B$5001,2),IF(E208&gt;0,VLOOKUP(E208,Направление!A$1:B$4750,2))))))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208" s="160"/>
      <c r="C208" s="161"/>
      <c r="D208" s="145" t="s">
        <v>541</v>
      </c>
      <c r="E208" s="161"/>
      <c r="F208" s="162"/>
      <c r="G208" s="556">
        <f t="shared" si="100"/>
        <v>52240524</v>
      </c>
      <c r="H208" s="556">
        <f t="shared" si="100"/>
        <v>0</v>
      </c>
      <c r="I208" s="556">
        <f t="shared" si="12"/>
        <v>52240524</v>
      </c>
      <c r="J208" s="556">
        <f>J209</f>
        <v>27240524</v>
      </c>
      <c r="K208" s="379">
        <f t="shared" si="101"/>
        <v>0</v>
      </c>
      <c r="L208" s="379">
        <f t="shared" si="13"/>
        <v>27240524</v>
      </c>
    </row>
    <row r="209" spans="1:12" ht="78.75">
      <c r="A209" s="148" t="str">
        <f>IF(B209&gt;0,VLOOKUP(B209,КВСР!A114:B1279,2),IF(C209&gt;0,VLOOKUP(C209,КФСР!A114:B1626,2),IF(D209&gt;0,VLOOKUP(D209,Программа!A$1:B$5091,2),IF(F209&gt;0,VLOOKUP(F209,КВР!A$1:B$5001,2),IF(E209&gt;0,VLOOKUP(E209,Направление!A$1:B$4750,2))))))</f>
        <v>Обеспечение качества и доступности образовательных услуг в сфере дополнительного образования</v>
      </c>
      <c r="B209" s="160"/>
      <c r="C209" s="161"/>
      <c r="D209" s="163" t="s">
        <v>605</v>
      </c>
      <c r="E209" s="161"/>
      <c r="F209" s="162"/>
      <c r="G209" s="556">
        <f t="shared" si="100"/>
        <v>52240524</v>
      </c>
      <c r="H209" s="556">
        <f t="shared" si="100"/>
        <v>0</v>
      </c>
      <c r="I209" s="556">
        <f t="shared" si="12"/>
        <v>52240524</v>
      </c>
      <c r="J209" s="556">
        <f>J210</f>
        <v>27240524</v>
      </c>
      <c r="K209" s="379">
        <f t="shared" si="101"/>
        <v>0</v>
      </c>
      <c r="L209" s="379">
        <f t="shared" si="13"/>
        <v>27240524</v>
      </c>
    </row>
    <row r="210" spans="1:12" ht="63">
      <c r="A210" s="148" t="str">
        <f>IF(B210&gt;0,VLOOKUP(B210,КВСР!A115:B1280,2),IF(C210&gt;0,VLOOKUP(C210,КФСР!A115:B1627,2),IF(D210&gt;0,VLOOKUP(D210,Программа!A$1:B$5091,2),IF(F210&gt;0,VLOOKUP(F210,КВР!A$1:B$5001,2),IF(E210&gt;0,VLOOKUP(E210,Направление!A$1:B$4750,2))))))</f>
        <v>Обеспечение деятельности учреждений дополнительного образования</v>
      </c>
      <c r="B210" s="160"/>
      <c r="C210" s="161"/>
      <c r="D210" s="162"/>
      <c r="E210" s="161">
        <v>13210</v>
      </c>
      <c r="F210" s="162"/>
      <c r="G210" s="556">
        <f t="shared" si="100"/>
        <v>52240524</v>
      </c>
      <c r="H210" s="556">
        <f t="shared" si="100"/>
        <v>0</v>
      </c>
      <c r="I210" s="556">
        <f t="shared" ref="I210:I284" si="102">SUM(G210:H210)</f>
        <v>52240524</v>
      </c>
      <c r="J210" s="556">
        <f>J211</f>
        <v>27240524</v>
      </c>
      <c r="K210" s="379">
        <f t="shared" si="101"/>
        <v>0</v>
      </c>
      <c r="L210" s="379">
        <f t="shared" ref="L210:L284" si="103">SUM(J210:K210)</f>
        <v>27240524</v>
      </c>
    </row>
    <row r="211" spans="1:12" ht="78.75">
      <c r="A211" s="148" t="str">
        <f>IF(B211&gt;0,VLOOKUP(B211,КВСР!A116:B1281,2),IF(C211&gt;0,VLOOKUP(C211,КФСР!A116:B1628,2),IF(D211&gt;0,VLOOKUP(D211,Программа!A$1:B$5091,2),IF(F211&gt;0,VLOOKUP(F211,КВР!A$1:B$5001,2),IF(E211&gt;0,VLOOKUP(E211,Направление!A$1:B$4750,2))))))</f>
        <v>Предоставление субсидий бюджетным, автономным учреждениям и иным некоммерческим организациям</v>
      </c>
      <c r="B211" s="160"/>
      <c r="C211" s="161"/>
      <c r="D211" s="162"/>
      <c r="E211" s="161"/>
      <c r="F211" s="162">
        <v>600</v>
      </c>
      <c r="G211" s="556">
        <f>10240524+42000000</f>
        <v>52240524</v>
      </c>
      <c r="H211" s="556"/>
      <c r="I211" s="556">
        <f t="shared" si="102"/>
        <v>52240524</v>
      </c>
      <c r="J211" s="556">
        <f>17000000+10240524</f>
        <v>27240524</v>
      </c>
      <c r="K211" s="379"/>
      <c r="L211" s="379">
        <f t="shared" si="103"/>
        <v>27240524</v>
      </c>
    </row>
    <row r="212" spans="1:12" ht="47.25" hidden="1">
      <c r="A212" s="148" t="str">
        <f>IF(B212&gt;0,VLOOKUP(B212,КВСР!A117:B1282,2),IF(C212&gt;0,VLOOKUP(C212,КФСР!A117:B1629,2),IF(D212&gt;0,VLOOKUP(D212,Программа!A$1:B$5091,2),IF(F212&gt;0,VLOOKUP(F212,КВР!A$1:B$5001,2),IF(E212&gt;0,VLOOKUP(E212,Направление!A$1:B$4750,2))))))</f>
        <v>Профессиональная подготовка, переподготовка и повышение квалификации</v>
      </c>
      <c r="B212" s="160"/>
      <c r="C212" s="161">
        <v>705</v>
      </c>
      <c r="D212" s="162"/>
      <c r="E212" s="161"/>
      <c r="F212" s="162"/>
      <c r="G212" s="556">
        <f>G213</f>
        <v>0</v>
      </c>
      <c r="H212" s="556">
        <f t="shared" ref="H212:L216" si="104">H213</f>
        <v>0</v>
      </c>
      <c r="I212" s="556">
        <f t="shared" si="104"/>
        <v>0</v>
      </c>
      <c r="J212" s="556">
        <f t="shared" si="104"/>
        <v>0</v>
      </c>
      <c r="K212" s="379">
        <f t="shared" si="104"/>
        <v>0</v>
      </c>
      <c r="L212" s="379">
        <f t="shared" si="104"/>
        <v>0</v>
      </c>
    </row>
    <row r="213" spans="1:12" ht="78.75" hidden="1">
      <c r="A213" s="148" t="str">
        <f>IF(B213&gt;0,VLOOKUP(B213,КВСР!A118:B1283,2),IF(C213&gt;0,VLOOKUP(C213,КФСР!A118:B1630,2),IF(D213&gt;0,VLOOKUP(D213,Программа!A$1:B$5091,2),IF(F213&gt;0,VLOOKUP(F213,КВР!A$1:B$5001,2),IF(E213&gt;0,VLOOKUP(E213,Направление!A$1:B$4750,2))))))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13" s="160"/>
      <c r="C213" s="161"/>
      <c r="D213" s="163" t="s">
        <v>539</v>
      </c>
      <c r="E213" s="163"/>
      <c r="F213" s="163"/>
      <c r="G213" s="556">
        <f>G214</f>
        <v>0</v>
      </c>
      <c r="H213" s="556">
        <f t="shared" si="104"/>
        <v>0</v>
      </c>
      <c r="I213" s="556">
        <f t="shared" si="104"/>
        <v>0</v>
      </c>
      <c r="J213" s="556">
        <f t="shared" si="104"/>
        <v>0</v>
      </c>
      <c r="K213" s="379">
        <f t="shared" si="104"/>
        <v>0</v>
      </c>
      <c r="L213" s="379">
        <f t="shared" si="104"/>
        <v>0</v>
      </c>
    </row>
    <row r="214" spans="1:12" ht="94.5" hidden="1">
      <c r="A214" s="148" t="str">
        <f>IF(B214&gt;0,VLOOKUP(B214,КВСР!A119:B1284,2),IF(C214&gt;0,VLOOKUP(C214,КФСР!A119:B1631,2),IF(D214&gt;0,VLOOKUP(D214,Программа!A$1:B$5091,2),IF(F214&gt;0,VLOOKUP(F214,КВР!A$1:B$5001,2),IF(E214&gt;0,VLOOKUP(E214,Направление!A$1:B$4750,2))))))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214" s="160"/>
      <c r="C214" s="161"/>
      <c r="D214" s="163" t="s">
        <v>541</v>
      </c>
      <c r="E214" s="163"/>
      <c r="F214" s="163"/>
      <c r="G214" s="556">
        <f>G215</f>
        <v>0</v>
      </c>
      <c r="H214" s="556">
        <f t="shared" si="104"/>
        <v>0</v>
      </c>
      <c r="I214" s="556">
        <f t="shared" si="104"/>
        <v>0</v>
      </c>
      <c r="J214" s="556">
        <f t="shared" si="104"/>
        <v>0</v>
      </c>
      <c r="K214" s="379">
        <f t="shared" si="104"/>
        <v>0</v>
      </c>
      <c r="L214" s="379">
        <f t="shared" si="104"/>
        <v>0</v>
      </c>
    </row>
    <row r="215" spans="1:12" ht="126" hidden="1">
      <c r="A215" s="148" t="str">
        <f>IF(B215&gt;0,VLOOKUP(B215,КВСР!A120:B1285,2),IF(C215&gt;0,VLOOKUP(C215,КФСР!A120:B1632,2),IF(D215&gt;0,VLOOKUP(D215,Программа!A$1:B$5091,2),IF(F215&gt;0,VLOOKUP(F215,КВР!A$1:B$5001,2),IF(E215&gt;0,VLOOKUP(E215,Направление!A$1:B$4750,2))))))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15" s="160"/>
      <c r="C215" s="161"/>
      <c r="D215" s="163" t="s">
        <v>561</v>
      </c>
      <c r="E215" s="163"/>
      <c r="F215" s="163"/>
      <c r="G215" s="556">
        <f>G216</f>
        <v>0</v>
      </c>
      <c r="H215" s="556">
        <f t="shared" si="104"/>
        <v>0</v>
      </c>
      <c r="I215" s="556">
        <f t="shared" si="104"/>
        <v>0</v>
      </c>
      <c r="J215" s="556">
        <f t="shared" si="104"/>
        <v>0</v>
      </c>
      <c r="K215" s="379">
        <f t="shared" si="104"/>
        <v>0</v>
      </c>
      <c r="L215" s="379">
        <f t="shared" si="104"/>
        <v>0</v>
      </c>
    </row>
    <row r="216" spans="1:12" ht="110.25" hidden="1">
      <c r="A216" s="148" t="str">
        <f>IF(B216&gt;0,VLOOKUP(B216,КВСР!A121:B1286,2),IF(C216&gt;0,VLOOKUP(C216,КФСР!A121:B1633,2),IF(D216&gt;0,VLOOKUP(D216,Программа!A$1:B$5091,2),IF(F216&gt;0,VLOOKUP(F216,КВР!A$1:B$5001,2),IF(E216&gt;0,VLOOKUP(E216,Направление!A$1:B$4750,2))))))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16" s="160"/>
      <c r="C216" s="161"/>
      <c r="D216" s="163"/>
      <c r="E216" s="163" t="s">
        <v>1410</v>
      </c>
      <c r="F216" s="163"/>
      <c r="G216" s="556">
        <f>G217</f>
        <v>0</v>
      </c>
      <c r="H216" s="556">
        <f t="shared" si="104"/>
        <v>0</v>
      </c>
      <c r="I216" s="556">
        <f t="shared" si="104"/>
        <v>0</v>
      </c>
      <c r="J216" s="556">
        <f t="shared" si="104"/>
        <v>0</v>
      </c>
      <c r="K216" s="379">
        <f t="shared" si="104"/>
        <v>0</v>
      </c>
      <c r="L216" s="379">
        <f t="shared" si="104"/>
        <v>0</v>
      </c>
    </row>
    <row r="217" spans="1:12" ht="78.75" hidden="1">
      <c r="A217" s="148" t="str">
        <f>IF(B217&gt;0,VLOOKUP(B217,КВСР!A122:B1287,2),IF(C217&gt;0,VLOOKUP(C217,КФСР!A122:B1634,2),IF(D217&gt;0,VLOOKUP(D217,Программа!A$1:B$5091,2),IF(F217&gt;0,VLOOKUP(F217,КВР!A$1:B$5001,2),IF(E217&gt;0,VLOOKUP(E217,Направление!A$1:B$4750,2))))))</f>
        <v>Предоставление субсидий бюджетным, автономным учреждениям и иным некоммерческим организациям</v>
      </c>
      <c r="B217" s="160"/>
      <c r="C217" s="161"/>
      <c r="D217" s="163"/>
      <c r="E217" s="163"/>
      <c r="F217" s="162">
        <v>600</v>
      </c>
      <c r="G217" s="556"/>
      <c r="H217" s="556"/>
      <c r="I217" s="556">
        <f>G217+H217</f>
        <v>0</v>
      </c>
      <c r="J217" s="556"/>
      <c r="K217" s="379"/>
      <c r="L217" s="379">
        <f>J217+K217</f>
        <v>0</v>
      </c>
    </row>
    <row r="218" spans="1:12" ht="15.75">
      <c r="A218" s="148" t="str">
        <f>IF(B218&gt;0,VLOOKUP(B218,КВСР!A109:B1274,2),IF(C218&gt;0,VLOOKUP(C218,КФСР!A109:B1621,2),IF(D218&gt;0,VLOOKUP(D218,Программа!A$1:B$5091,2),IF(F218&gt;0,VLOOKUP(F218,КВР!A$1:B$5001,2),IF(E218&gt;0,VLOOKUP(E218,Направление!A$1:B$4750,2))))))</f>
        <v>Молодежная политика</v>
      </c>
      <c r="B218" s="160"/>
      <c r="C218" s="161">
        <v>707</v>
      </c>
      <c r="D218" s="163"/>
      <c r="E218" s="161"/>
      <c r="F218" s="162"/>
      <c r="G218" s="556">
        <f>G219</f>
        <v>5534321</v>
      </c>
      <c r="H218" s="556">
        <f t="shared" ref="H218:H219" si="105">H219</f>
        <v>-367331</v>
      </c>
      <c r="I218" s="556">
        <f t="shared" si="102"/>
        <v>5166990</v>
      </c>
      <c r="J218" s="556">
        <f>J219</f>
        <v>5534321</v>
      </c>
      <c r="K218" s="379">
        <f t="shared" ref="K218:K219" si="106">K219</f>
        <v>-367331</v>
      </c>
      <c r="L218" s="379">
        <f t="shared" si="103"/>
        <v>5166990</v>
      </c>
    </row>
    <row r="219" spans="1:12" ht="78.75">
      <c r="A219" s="148" t="str">
        <f>IF(B219&gt;0,VLOOKUP(B219,КВСР!A110:B1275,2),IF(C219&gt;0,VLOOKUP(C219,КФСР!A110:B1622,2),IF(D219&gt;0,VLOOKUP(D219,Программа!A$1:B$5091,2),IF(F219&gt;0,VLOOKUP(F219,КВР!A$1:B$5001,2),IF(E219&gt;0,VLOOKUP(E219,Направление!A$1:B$4750,2))))))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19" s="160"/>
      <c r="C219" s="161"/>
      <c r="D219" s="163" t="s">
        <v>539</v>
      </c>
      <c r="E219" s="161"/>
      <c r="F219" s="162"/>
      <c r="G219" s="556">
        <f>G220</f>
        <v>5534321</v>
      </c>
      <c r="H219" s="556">
        <f t="shared" si="105"/>
        <v>-367331</v>
      </c>
      <c r="I219" s="556">
        <f t="shared" si="102"/>
        <v>5166990</v>
      </c>
      <c r="J219" s="556">
        <f>J220</f>
        <v>5534321</v>
      </c>
      <c r="K219" s="379">
        <f t="shared" si="106"/>
        <v>-367331</v>
      </c>
      <c r="L219" s="379">
        <f t="shared" si="103"/>
        <v>5166990</v>
      </c>
    </row>
    <row r="220" spans="1:12" ht="94.5">
      <c r="A220" s="148" t="str">
        <f>IF(B220&gt;0,VLOOKUP(B220,КВСР!A111:B1276,2),IF(C220&gt;0,VLOOKUP(C220,КФСР!A111:B1623,2),IF(D220&gt;0,VLOOKUP(D220,Программа!A$1:B$5091,2),IF(F220&gt;0,VLOOKUP(F220,КВР!A$1:B$5001,2),IF(E220&gt;0,VLOOKUP(E220,Направление!A$1:B$4750,2))))))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220" s="160"/>
      <c r="C220" s="161"/>
      <c r="D220" s="163" t="s">
        <v>541</v>
      </c>
      <c r="E220" s="161"/>
      <c r="F220" s="162"/>
      <c r="G220" s="556">
        <f>G221+G229</f>
        <v>5534321</v>
      </c>
      <c r="H220" s="556">
        <f t="shared" ref="H220" si="107">H221+H229</f>
        <v>-367331</v>
      </c>
      <c r="I220" s="556">
        <f t="shared" si="102"/>
        <v>5166990</v>
      </c>
      <c r="J220" s="556">
        <f>J221+J229</f>
        <v>5534321</v>
      </c>
      <c r="K220" s="379">
        <f t="shared" ref="K220" si="108">K221+K229</f>
        <v>-367331</v>
      </c>
      <c r="L220" s="379">
        <f t="shared" si="103"/>
        <v>5166990</v>
      </c>
    </row>
    <row r="221" spans="1:12" ht="47.25">
      <c r="A221" s="148" t="str">
        <f>IF(B221&gt;0,VLOOKUP(B221,КВСР!A112:B1277,2),IF(C221&gt;0,VLOOKUP(C221,КФСР!A112:B1624,2),IF(D221&gt;0,VLOOKUP(D221,Программа!A$1:B$5091,2),IF(F221&gt;0,VLOOKUP(F221,КВР!A$1:B$5001,2),IF(E221&gt;0,VLOOKUP(E221,Направление!A$1:B$4750,2))))))</f>
        <v>Обеспечение детей организованными формами отдыха и оздоровления</v>
      </c>
      <c r="B221" s="160"/>
      <c r="C221" s="161"/>
      <c r="D221" s="163" t="s">
        <v>1254</v>
      </c>
      <c r="E221" s="161"/>
      <c r="F221" s="162"/>
      <c r="G221" s="556">
        <f>G222+G224+G227</f>
        <v>5166990</v>
      </c>
      <c r="H221" s="556">
        <f t="shared" ref="H221" si="109">H222+H224+H227</f>
        <v>0</v>
      </c>
      <c r="I221" s="556">
        <f t="shared" si="102"/>
        <v>5166990</v>
      </c>
      <c r="J221" s="556">
        <f>J222+J224+J227</f>
        <v>5166990</v>
      </c>
      <c r="K221" s="379">
        <f t="shared" ref="K221" si="110">K222+K224+K227</f>
        <v>0</v>
      </c>
      <c r="L221" s="379">
        <f t="shared" si="103"/>
        <v>5166990</v>
      </c>
    </row>
    <row r="222" spans="1:12" ht="141.75">
      <c r="A222" s="148" t="str">
        <f>IF(B222&gt;0,VLOOKUP(B222,КВСР!A112:B1277,2),IF(C222&gt;0,VLOOKUP(C222,КФСР!A112:B1624,2),IF(D222&gt;0,VLOOKUP(D222,Программа!A$1:B$5091,2),IF(F222&gt;0,VLOOKUP(F222,КВР!A$1:B$5001,2),IF(E222&gt;0,VLOOKUP(E222,Направление!A$1:B$4750,2))))))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22" s="160"/>
      <c r="C222" s="161"/>
      <c r="D222" s="163"/>
      <c r="E222" s="161">
        <v>71000</v>
      </c>
      <c r="F222" s="162"/>
      <c r="G222" s="556">
        <f>G223</f>
        <v>739530</v>
      </c>
      <c r="H222" s="556">
        <f t="shared" ref="H222" si="111">H223</f>
        <v>0</v>
      </c>
      <c r="I222" s="556">
        <f t="shared" si="102"/>
        <v>739530</v>
      </c>
      <c r="J222" s="556">
        <f>J223</f>
        <v>739530</v>
      </c>
      <c r="K222" s="379">
        <f t="shared" ref="K222" si="112">K223</f>
        <v>0</v>
      </c>
      <c r="L222" s="379">
        <f t="shared" si="103"/>
        <v>739530</v>
      </c>
    </row>
    <row r="223" spans="1:12" ht="78.75">
      <c r="A223" s="148" t="str">
        <f>IF(B223&gt;0,VLOOKUP(B223,КВСР!A114:B1279,2),IF(C223&gt;0,VLOOKUP(C223,КФСР!A114:B1626,2),IF(D223&gt;0,VLOOKUP(D223,Программа!A$1:B$5091,2),IF(F223&gt;0,VLOOKUP(F223,КВР!A$1:B$5001,2),IF(E223&gt;0,VLOOKUP(E223,Направление!A$1:B$4750,2))))))</f>
        <v>Предоставление субсидий бюджетным, автономным учреждениям и иным некоммерческим организациям</v>
      </c>
      <c r="B223" s="160"/>
      <c r="C223" s="161"/>
      <c r="D223" s="163"/>
      <c r="E223" s="161"/>
      <c r="F223" s="162">
        <v>600</v>
      </c>
      <c r="G223" s="556">
        <v>739530</v>
      </c>
      <c r="H223" s="556"/>
      <c r="I223" s="556">
        <f t="shared" si="102"/>
        <v>739530</v>
      </c>
      <c r="J223" s="556">
        <v>739530</v>
      </c>
      <c r="K223" s="379"/>
      <c r="L223" s="379">
        <f t="shared" si="103"/>
        <v>739530</v>
      </c>
    </row>
    <row r="224" spans="1:12" ht="173.25">
      <c r="A224" s="148" t="str">
        <f>IF(B224&gt;0,VLOOKUP(B224,КВСР!A115:B1280,2),IF(C224&gt;0,VLOOKUP(C224,КФСР!A115:B1627,2),IF(D224&gt;0,VLOOKUP(D224,Программа!A$1:B$5091,2),IF(F224&gt;0,VLOOKUP(F224,КВР!A$1:B$5001,2),IF(E224&gt;0,VLOOKUP(E224,Направление!A$1:B$4750,2))))))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24" s="160"/>
      <c r="C224" s="161"/>
      <c r="D224" s="163"/>
      <c r="E224" s="161">
        <v>71060</v>
      </c>
      <c r="F224" s="162"/>
      <c r="G224" s="556">
        <f>G226+G225</f>
        <v>4407000</v>
      </c>
      <c r="H224" s="556">
        <f t="shared" ref="H224" si="113">H226+H225</f>
        <v>0</v>
      </c>
      <c r="I224" s="556">
        <f t="shared" si="102"/>
        <v>4407000</v>
      </c>
      <c r="J224" s="556">
        <f>J226+J225</f>
        <v>4407000</v>
      </c>
      <c r="K224" s="379">
        <f t="shared" ref="K224" si="114">K226+K225</f>
        <v>0</v>
      </c>
      <c r="L224" s="379">
        <f t="shared" si="103"/>
        <v>4407000</v>
      </c>
    </row>
    <row r="225" spans="1:12" ht="31.5">
      <c r="A225" s="148" t="str">
        <f>IF(B225&gt;0,VLOOKUP(B225,КВСР!A116:B1281,2),IF(C225&gt;0,VLOOKUP(C225,КФСР!A116:B1628,2),IF(D225&gt;0,VLOOKUP(D225,Программа!A$1:B$5091,2),IF(F225&gt;0,VLOOKUP(F225,КВР!A$1:B$5001,2),IF(E225&gt;0,VLOOKUP(E225,Направление!A$1:B$4750,2))))))</f>
        <v>Социальное обеспечение и иные выплаты населению</v>
      </c>
      <c r="B225" s="160"/>
      <c r="C225" s="161"/>
      <c r="D225" s="163"/>
      <c r="E225" s="161"/>
      <c r="F225" s="162">
        <v>300</v>
      </c>
      <c r="G225" s="556">
        <v>2781884</v>
      </c>
      <c r="H225" s="556"/>
      <c r="I225" s="556">
        <f t="shared" si="102"/>
        <v>2781884</v>
      </c>
      <c r="J225" s="556">
        <v>2781884</v>
      </c>
      <c r="K225" s="379"/>
      <c r="L225" s="379">
        <f t="shared" si="103"/>
        <v>2781884</v>
      </c>
    </row>
    <row r="226" spans="1:12" ht="78" customHeight="1">
      <c r="A226" s="148" t="str">
        <f>IF(B226&gt;0,VLOOKUP(B226,КВСР!A116:B1281,2),IF(C226&gt;0,VLOOKUP(C226,КФСР!A116:B1628,2),IF(D226&gt;0,VLOOKUP(D226,Программа!A$1:B$5091,2),IF(F226&gt;0,VLOOKUP(F226,КВР!A$1:B$5001,2),IF(E226&gt;0,VLOOKUP(E226,Направление!A$1:B$4750,2))))))</f>
        <v>Предоставление субсидий бюджетным, автономным учреждениям и иным некоммерческим организациям</v>
      </c>
      <c r="B226" s="160"/>
      <c r="C226" s="161"/>
      <c r="D226" s="163"/>
      <c r="E226" s="161"/>
      <c r="F226" s="162">
        <v>600</v>
      </c>
      <c r="G226" s="556">
        <v>1625116</v>
      </c>
      <c r="H226" s="556"/>
      <c r="I226" s="556">
        <f t="shared" si="102"/>
        <v>1625116</v>
      </c>
      <c r="J226" s="556">
        <v>1625116</v>
      </c>
      <c r="K226" s="379"/>
      <c r="L226" s="379">
        <f t="shared" si="103"/>
        <v>1625116</v>
      </c>
    </row>
    <row r="227" spans="1:12" ht="63">
      <c r="A227" s="148" t="str">
        <f>IF(B227&gt;0,VLOOKUP(B227,КВСР!A117:B1282,2),IF(C227&gt;0,VLOOKUP(C227,КФСР!A117:B1629,2),IF(D227&gt;0,VLOOKUP(D227,Программа!A$1:B$5091,2),IF(F227&gt;0,VLOOKUP(F227,КВР!A$1:B$5001,2),IF(E227&gt;0,VLOOKUP(E227,Направление!A$1:B$4750,2))))))</f>
        <v>Субвенция на частичную оплату стоимости путевки в организации отдыха детей и их оздоровления</v>
      </c>
      <c r="B227" s="160"/>
      <c r="C227" s="161"/>
      <c r="D227" s="163"/>
      <c r="E227" s="161">
        <v>75160</v>
      </c>
      <c r="F227" s="162"/>
      <c r="G227" s="569">
        <f>G228</f>
        <v>20460</v>
      </c>
      <c r="H227" s="569">
        <f t="shared" ref="H227" si="115">H228</f>
        <v>0</v>
      </c>
      <c r="I227" s="556">
        <f t="shared" si="102"/>
        <v>20460</v>
      </c>
      <c r="J227" s="569">
        <f>J228</f>
        <v>20460</v>
      </c>
      <c r="K227" s="557">
        <f t="shared" ref="K227" si="116">K228</f>
        <v>0</v>
      </c>
      <c r="L227" s="379">
        <f t="shared" si="103"/>
        <v>20460</v>
      </c>
    </row>
    <row r="228" spans="1:12" ht="31.5">
      <c r="A228" s="148" t="str">
        <f>IF(B228&gt;0,VLOOKUP(B228,КВСР!A118:B1283,2),IF(C228&gt;0,VLOOKUP(C228,КФСР!A118:B1630,2),IF(D228&gt;0,VLOOKUP(D228,Программа!A$1:B$5091,2),IF(F228&gt;0,VLOOKUP(F228,КВР!A$1:B$5001,2),IF(E228&gt;0,VLOOKUP(E228,Направление!A$1:B$4750,2))))))</f>
        <v>Социальное обеспечение и иные выплаты населению</v>
      </c>
      <c r="B228" s="160"/>
      <c r="C228" s="161"/>
      <c r="D228" s="163"/>
      <c r="E228" s="161"/>
      <c r="F228" s="162">
        <v>300</v>
      </c>
      <c r="G228" s="556">
        <v>20460</v>
      </c>
      <c r="H228" s="556"/>
      <c r="I228" s="556">
        <f t="shared" si="102"/>
        <v>20460</v>
      </c>
      <c r="J228" s="556">
        <v>20460</v>
      </c>
      <c r="K228" s="379"/>
      <c r="L228" s="379">
        <f t="shared" si="103"/>
        <v>20460</v>
      </c>
    </row>
    <row r="229" spans="1:12" ht="31.5" hidden="1">
      <c r="A229" s="148" t="str">
        <f>IF(B229&gt;0,VLOOKUP(B229,КВСР!A117:B1282,2),IF(C229&gt;0,VLOOKUP(C229,КФСР!A117:B1629,2),IF(D229&gt;0,VLOOKUP(D229,Программа!A$1:B$5091,2),IF(F229&gt;0,VLOOKUP(F229,КВР!A$1:B$5001,2),IF(E229&gt;0,VLOOKUP(E229,Направление!A$1:B$4750,2))))))</f>
        <v>Обеспечение компенсационных выплат</v>
      </c>
      <c r="B229" s="160"/>
      <c r="C229" s="161"/>
      <c r="D229" s="163" t="s">
        <v>1259</v>
      </c>
      <c r="E229" s="161"/>
      <c r="F229" s="162"/>
      <c r="G229" s="556">
        <f>G230</f>
        <v>367331</v>
      </c>
      <c r="H229" s="556">
        <f t="shared" ref="H229:H230" si="117">H230</f>
        <v>-367331</v>
      </c>
      <c r="I229" s="556">
        <f t="shared" si="102"/>
        <v>0</v>
      </c>
      <c r="J229" s="556">
        <f>J230</f>
        <v>367331</v>
      </c>
      <c r="K229" s="379">
        <f t="shared" ref="K229:K230" si="118">K230</f>
        <v>-367331</v>
      </c>
      <c r="L229" s="379">
        <f t="shared" si="103"/>
        <v>0</v>
      </c>
    </row>
    <row r="230" spans="1:12" ht="78.75" hidden="1">
      <c r="A230" s="148" t="str">
        <f>IF(B230&gt;0,VLOOKUP(B230,КВСР!A114:B1279,2),IF(C230&gt;0,VLOOKUP(C230,КФСР!A114:B1626,2),IF(D230&gt;0,VLOOKUP(D230,Программа!A$1:B$5091,2),IF(F230&gt;0,VLOOKUP(F230,КВР!A$1:B$5001,2),IF(E230&gt;0,VLOOKUP(E230,Направление!A$1:B$4750,2))))))</f>
        <v>Компенсация части расходов на приобретение путевки в организации отдыха детей и их оздоровления</v>
      </c>
      <c r="B230" s="160"/>
      <c r="C230" s="161"/>
      <c r="D230" s="163"/>
      <c r="E230" s="161">
        <v>74390</v>
      </c>
      <c r="F230" s="162"/>
      <c r="G230" s="556">
        <f>G231</f>
        <v>367331</v>
      </c>
      <c r="H230" s="556">
        <f t="shared" si="117"/>
        <v>-367331</v>
      </c>
      <c r="I230" s="556">
        <f t="shared" si="102"/>
        <v>0</v>
      </c>
      <c r="J230" s="556">
        <f>J231</f>
        <v>367331</v>
      </c>
      <c r="K230" s="379">
        <f t="shared" si="118"/>
        <v>-367331</v>
      </c>
      <c r="L230" s="379">
        <f t="shared" si="103"/>
        <v>0</v>
      </c>
    </row>
    <row r="231" spans="1:12" ht="31.5" hidden="1">
      <c r="A231" s="148" t="str">
        <f>IF(B231&gt;0,VLOOKUP(B231,КВСР!A116:B1281,2),IF(C231&gt;0,VLOOKUP(C231,КФСР!A116:B1628,2),IF(D231&gt;0,VLOOKUP(D231,Программа!A$1:B$5091,2),IF(F231&gt;0,VLOOKUP(F231,КВР!A$1:B$5001,2),IF(E231&gt;0,VLOOKUP(E231,Направление!A$1:B$4750,2))))))</f>
        <v>Социальное обеспечение и иные выплаты населению</v>
      </c>
      <c r="B231" s="160"/>
      <c r="C231" s="161"/>
      <c r="D231" s="163"/>
      <c r="E231" s="161"/>
      <c r="F231" s="146">
        <v>300</v>
      </c>
      <c r="G231" s="556">
        <v>367331</v>
      </c>
      <c r="H231" s="556">
        <v>-367331</v>
      </c>
      <c r="I231" s="556">
        <f t="shared" si="102"/>
        <v>0</v>
      </c>
      <c r="J231" s="556">
        <v>367331</v>
      </c>
      <c r="K231" s="379">
        <v>-367331</v>
      </c>
      <c r="L231" s="379">
        <f t="shared" si="103"/>
        <v>0</v>
      </c>
    </row>
    <row r="232" spans="1:12" ht="31.5">
      <c r="A232" s="148" t="str">
        <f>IF(B232&gt;0,VLOOKUP(B232,КВСР!A122:B1287,2),IF(C232&gt;0,VLOOKUP(C232,КФСР!A122:B1634,2),IF(D232&gt;0,VLOOKUP(D232,Программа!A$1:B$5091,2),IF(F232&gt;0,VLOOKUP(F232,КВР!A$1:B$5001,2),IF(E232&gt;0,VLOOKUP(E232,Направление!A$1:B$4750,2))))))</f>
        <v>Другие вопросы в области образования</v>
      </c>
      <c r="B232" s="160"/>
      <c r="C232" s="161">
        <v>709</v>
      </c>
      <c r="D232" s="163"/>
      <c r="E232" s="161"/>
      <c r="F232" s="162"/>
      <c r="G232" s="556">
        <f>G238+G233</f>
        <v>32513212</v>
      </c>
      <c r="H232" s="556">
        <f t="shared" ref="H232" si="119">H238+H233</f>
        <v>0</v>
      </c>
      <c r="I232" s="556">
        <f t="shared" si="102"/>
        <v>32513212</v>
      </c>
      <c r="J232" s="556">
        <f>J238+J233</f>
        <v>20013212</v>
      </c>
      <c r="K232" s="379">
        <f t="shared" ref="K232" si="120">K238+K233</f>
        <v>0</v>
      </c>
      <c r="L232" s="379">
        <f t="shared" si="103"/>
        <v>20013212</v>
      </c>
    </row>
    <row r="233" spans="1:12" ht="78.75" hidden="1">
      <c r="A233" s="148" t="str">
        <f>IF(B233&gt;0,VLOOKUP(B233,КВСР!A123:B1288,2),IF(C233&gt;0,VLOOKUP(C233,КФСР!A123:B1635,2),IF(D233&gt;0,VLOOKUP(D233,Программа!A$1:B$5091,2),IF(F233&gt;0,VLOOKUP(F233,КВР!A$1:B$5001,2),IF(E233&gt;0,VLOOKUP(E233,Направление!A$1:B$4750,2))))))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233" s="160"/>
      <c r="C233" s="161"/>
      <c r="D233" s="163" t="s">
        <v>569</v>
      </c>
      <c r="E233" s="161"/>
      <c r="F233" s="162"/>
      <c r="G233" s="556">
        <f t="shared" ref="G233:H236" si="121">G234</f>
        <v>0</v>
      </c>
      <c r="H233" s="556">
        <f t="shared" si="121"/>
        <v>0</v>
      </c>
      <c r="I233" s="556">
        <f t="shared" si="102"/>
        <v>0</v>
      </c>
      <c r="J233" s="556">
        <f>J234</f>
        <v>0</v>
      </c>
      <c r="K233" s="379">
        <f t="shared" ref="K233:K236" si="122">K234</f>
        <v>0</v>
      </c>
      <c r="L233" s="379">
        <f t="shared" si="103"/>
        <v>0</v>
      </c>
    </row>
    <row r="234" spans="1:12" ht="94.5" hidden="1">
      <c r="A234" s="148" t="str">
        <f>IF(B234&gt;0,VLOOKUP(B234,КВСР!A124:B1289,2),IF(C234&gt;0,VLOOKUP(C234,КФСР!A124:B1636,2),IF(D234&gt;0,VLOOKUP(D234,Программа!A$1:B$5091,2),IF(F234&gt;0,VLOOKUP(F234,КВР!A$1:B$5001,2),IF(E234&gt;0,VLOOKUP(E234,Направление!A$1:B$4750,2))))))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34" s="160"/>
      <c r="C234" s="161"/>
      <c r="D234" s="163" t="s">
        <v>576</v>
      </c>
      <c r="E234" s="161"/>
      <c r="F234" s="162"/>
      <c r="G234" s="556">
        <f t="shared" si="121"/>
        <v>0</v>
      </c>
      <c r="H234" s="556">
        <f t="shared" si="121"/>
        <v>0</v>
      </c>
      <c r="I234" s="556">
        <f t="shared" si="102"/>
        <v>0</v>
      </c>
      <c r="J234" s="556">
        <f>J235</f>
        <v>0</v>
      </c>
      <c r="K234" s="379">
        <f t="shared" si="122"/>
        <v>0</v>
      </c>
      <c r="L234" s="379">
        <f t="shared" si="103"/>
        <v>0</v>
      </c>
    </row>
    <row r="235" spans="1:12" ht="63" hidden="1">
      <c r="A235" s="148" t="str">
        <f>IF(B235&gt;0,VLOOKUP(B235,КВСР!A125:B1290,2),IF(C235&gt;0,VLOOKUP(C235,КФСР!A125:B1637,2),IF(D235&gt;0,VLOOKUP(D235,Программа!A$1:B$5091,2),IF(F235&gt;0,VLOOKUP(F235,КВР!A$1:B$5001,2),IF(E235&gt;0,VLOOKUP(E235,Направление!A$1:B$4750,2))))))</f>
        <v>Развитие системы профилактики немедицинского потребления наркотиков</v>
      </c>
      <c r="B235" s="160"/>
      <c r="C235" s="161"/>
      <c r="D235" s="163" t="s">
        <v>578</v>
      </c>
      <c r="E235" s="161"/>
      <c r="F235" s="162"/>
      <c r="G235" s="556">
        <f t="shared" si="121"/>
        <v>0</v>
      </c>
      <c r="H235" s="556">
        <f t="shared" si="121"/>
        <v>0</v>
      </c>
      <c r="I235" s="556">
        <f t="shared" si="102"/>
        <v>0</v>
      </c>
      <c r="J235" s="556">
        <f>J236</f>
        <v>0</v>
      </c>
      <c r="K235" s="379">
        <f t="shared" si="122"/>
        <v>0</v>
      </c>
      <c r="L235" s="379">
        <f t="shared" si="103"/>
        <v>0</v>
      </c>
    </row>
    <row r="236" spans="1:12" ht="94.5" hidden="1">
      <c r="A236" s="148" t="str">
        <f>IF(B236&gt;0,VLOOKUP(B236,КВСР!A126:B1291,2),IF(C236&gt;0,VLOOKUP(C236,КФСР!A126:B1638,2),IF(D236&gt;0,VLOOKUP(D236,Программа!A$1:B$5091,2),IF(F236&gt;0,VLOOKUP(F236,КВР!A$1:B$5001,2),IF(E236&gt;0,VLOOKUP(E236,Направление!A$1:B$4750,2))))))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36" s="160"/>
      <c r="C236" s="161"/>
      <c r="D236" s="163"/>
      <c r="E236" s="161" t="s">
        <v>580</v>
      </c>
      <c r="F236" s="162"/>
      <c r="G236" s="556">
        <f t="shared" si="121"/>
        <v>0</v>
      </c>
      <c r="H236" s="556">
        <f t="shared" si="121"/>
        <v>0</v>
      </c>
      <c r="I236" s="556">
        <f t="shared" si="102"/>
        <v>0</v>
      </c>
      <c r="J236" s="556">
        <f>J237</f>
        <v>0</v>
      </c>
      <c r="K236" s="379">
        <f t="shared" si="122"/>
        <v>0</v>
      </c>
      <c r="L236" s="379">
        <f t="shared" si="103"/>
        <v>0</v>
      </c>
    </row>
    <row r="237" spans="1:12" ht="78.75" hidden="1">
      <c r="A237" s="148" t="str">
        <f>IF(B237&gt;0,VLOOKUP(B237,КВСР!A127:B1292,2),IF(C237&gt;0,VLOOKUP(C237,КФСР!A127:B1639,2),IF(D237&gt;0,VLOOKUP(D237,Программа!A$1:B$5091,2),IF(F237&gt;0,VLOOKUP(F237,КВР!A$1:B$5001,2),IF(E237&gt;0,VLOOKUP(E237,Направление!A$1:B$4750,2))))))</f>
        <v>Предоставление субсидий бюджетным, автономным учреждениям и иным некоммерческим организациям</v>
      </c>
      <c r="B237" s="160"/>
      <c r="C237" s="161"/>
      <c r="D237" s="163"/>
      <c r="E237" s="161"/>
      <c r="F237" s="162">
        <v>600</v>
      </c>
      <c r="G237" s="556"/>
      <c r="H237" s="556"/>
      <c r="I237" s="556">
        <f t="shared" si="102"/>
        <v>0</v>
      </c>
      <c r="J237" s="556"/>
      <c r="K237" s="379"/>
      <c r="L237" s="379">
        <f t="shared" si="103"/>
        <v>0</v>
      </c>
    </row>
    <row r="238" spans="1:12" ht="78.75">
      <c r="A238" s="148" t="str">
        <f>IF(B238&gt;0,VLOOKUP(B238,КВСР!A123:B1288,2),IF(C238&gt;0,VLOOKUP(C238,КФСР!A123:B1635,2),IF(D238&gt;0,VLOOKUP(D238,Программа!A$1:B$5091,2),IF(F238&gt;0,VLOOKUP(F238,КВР!A$1:B$5001,2),IF(E238&gt;0,VLOOKUP(E238,Направление!A$1:B$4750,2))))))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38" s="160"/>
      <c r="C238" s="161"/>
      <c r="D238" s="163" t="s">
        <v>539</v>
      </c>
      <c r="E238" s="161"/>
      <c r="F238" s="162"/>
      <c r="G238" s="556">
        <f>G239</f>
        <v>32513212</v>
      </c>
      <c r="H238" s="556">
        <f t="shared" ref="H238" si="123">H239</f>
        <v>0</v>
      </c>
      <c r="I238" s="556">
        <f t="shared" si="102"/>
        <v>32513212</v>
      </c>
      <c r="J238" s="556">
        <f>J239</f>
        <v>20013212</v>
      </c>
      <c r="K238" s="379">
        <f t="shared" ref="K238" si="124">K239</f>
        <v>0</v>
      </c>
      <c r="L238" s="379">
        <f t="shared" si="103"/>
        <v>20013212</v>
      </c>
    </row>
    <row r="239" spans="1:12" ht="94.5">
      <c r="A239" s="148" t="str">
        <f>IF(B239&gt;0,VLOOKUP(B239,КВСР!A124:B1289,2),IF(C239&gt;0,VLOOKUP(C239,КФСР!A124:B1636,2),IF(D239&gt;0,VLOOKUP(D239,Программа!A$1:B$5091,2),IF(F239&gt;0,VLOOKUP(F239,КВР!A$1:B$5001,2),IF(E239&gt;0,VLOOKUP(E239,Направление!A$1:B$4750,2))))))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239" s="160"/>
      <c r="C239" s="161"/>
      <c r="D239" s="163" t="s">
        <v>541</v>
      </c>
      <c r="E239" s="161"/>
      <c r="F239" s="162"/>
      <c r="G239" s="556">
        <f>G247+G240+G244</f>
        <v>32513212</v>
      </c>
      <c r="H239" s="556">
        <f t="shared" ref="H239:L239" si="125">H247+H240+H244</f>
        <v>0</v>
      </c>
      <c r="I239" s="556">
        <f t="shared" si="125"/>
        <v>32513212</v>
      </c>
      <c r="J239" s="556">
        <f t="shared" si="125"/>
        <v>20013212</v>
      </c>
      <c r="K239" s="379">
        <f t="shared" si="125"/>
        <v>0</v>
      </c>
      <c r="L239" s="379">
        <f t="shared" si="125"/>
        <v>20013212</v>
      </c>
    </row>
    <row r="240" spans="1:12" ht="78.75" hidden="1" customHeight="1">
      <c r="A240" s="148" t="str">
        <f>IF(B240&gt;0,VLOOKUP(B240,КВСР!A125:B1290,2),IF(C240&gt;0,VLOOKUP(C240,КФСР!A125:B1637,2),IF(D240&gt;0,VLOOKUP(D240,Программа!A$1:B$5091,2),IF(F240&gt;0,VLOOKUP(F240,КВР!A$1:B$5001,2),IF(E240&gt;0,VLOOKUP(E240,Направление!A$1:B$4750,2))))))</f>
        <v>Обеспечение качества и доступности образовательных услуг в сфере дополнительного образования</v>
      </c>
      <c r="B240" s="160"/>
      <c r="C240" s="161"/>
      <c r="D240" s="163" t="s">
        <v>605</v>
      </c>
      <c r="E240" s="161"/>
      <c r="F240" s="162"/>
      <c r="G240" s="556">
        <f>G241</f>
        <v>0</v>
      </c>
      <c r="H240" s="556">
        <f t="shared" ref="H240" si="126">H241</f>
        <v>0</v>
      </c>
      <c r="I240" s="556">
        <f t="shared" si="102"/>
        <v>0</v>
      </c>
      <c r="J240" s="556">
        <f>J241</f>
        <v>0</v>
      </c>
      <c r="K240" s="379">
        <f t="shared" ref="K240" si="127">K241</f>
        <v>0</v>
      </c>
      <c r="L240" s="379">
        <f t="shared" si="103"/>
        <v>0</v>
      </c>
    </row>
    <row r="241" spans="1:12" ht="31.5" hidden="1" customHeight="1">
      <c r="A241" s="148" t="str">
        <f>IF(B241&gt;0,VLOOKUP(B241,КВСР!A126:B1291,2),IF(C241&gt;0,VLOOKUP(C241,КФСР!A126:B1638,2),IF(D241&gt;0,VLOOKUP(D241,Программа!A$1:B$5091,2),IF(F241&gt;0,VLOOKUP(F241,КВР!A$1:B$5001,2),IF(E241&gt;0,VLOOKUP(E241,Направление!A$1:B$4750,2))))))</f>
        <v>Мероприятия в сфере образования</v>
      </c>
      <c r="B241" s="160"/>
      <c r="C241" s="161"/>
      <c r="D241" s="163"/>
      <c r="E241" s="161">
        <v>13320</v>
      </c>
      <c r="F241" s="162"/>
      <c r="G241" s="556">
        <f>G242+G243</f>
        <v>0</v>
      </c>
      <c r="H241" s="556">
        <f t="shared" ref="H241" si="128">H242+H243</f>
        <v>0</v>
      </c>
      <c r="I241" s="556">
        <f t="shared" si="102"/>
        <v>0</v>
      </c>
      <c r="J241" s="556">
        <f>J242+J243</f>
        <v>0</v>
      </c>
      <c r="K241" s="379">
        <f t="shared" ref="K241" si="129">K242+K243</f>
        <v>0</v>
      </c>
      <c r="L241" s="379">
        <f t="shared" si="103"/>
        <v>0</v>
      </c>
    </row>
    <row r="242" spans="1:12" ht="141.75" hidden="1" customHeight="1">
      <c r="A242" s="148" t="str">
        <f>IF(B242&gt;0,VLOOKUP(B242,КВСР!A127:B1292,2),IF(C242&gt;0,VLOOKUP(C242,КФСР!A127:B1639,2),IF(D242&gt;0,VLOOKUP(D242,Программа!A$1:B$5091,2),IF(F242&gt;0,VLOOKUP(F242,КВР!A$1:B$5001,2),IF(E242&gt;0,VLOOKUP(E242,Направление!A$1:B$4750,2))))))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2" s="160"/>
      <c r="C242" s="161"/>
      <c r="D242" s="163"/>
      <c r="E242" s="161"/>
      <c r="F242" s="162">
        <v>100</v>
      </c>
      <c r="G242" s="556"/>
      <c r="H242" s="556"/>
      <c r="I242" s="556">
        <f t="shared" si="102"/>
        <v>0</v>
      </c>
      <c r="J242" s="556"/>
      <c r="K242" s="379"/>
      <c r="L242" s="379">
        <f t="shared" si="103"/>
        <v>0</v>
      </c>
    </row>
    <row r="243" spans="1:12" ht="78.75" hidden="1" customHeight="1">
      <c r="A243" s="148" t="str">
        <f>IF(B243&gt;0,VLOOKUP(B243,КВСР!A128:B1293,2),IF(C243&gt;0,VLOOKUP(C243,КФСР!A128:B1640,2),IF(D243&gt;0,VLOOKUP(D243,Программа!A$1:B$5091,2),IF(F243&gt;0,VLOOKUP(F243,КВР!A$1:B$5001,2),IF(E243&gt;0,VLOOKUP(E243,Направление!A$1:B$4750,2))))))</f>
        <v>Предоставление субсидий бюджетным, автономным учреждениям и иным некоммерческим организациям</v>
      </c>
      <c r="B243" s="160"/>
      <c r="C243" s="161"/>
      <c r="D243" s="163"/>
      <c r="E243" s="161"/>
      <c r="F243" s="162">
        <v>600</v>
      </c>
      <c r="G243" s="556"/>
      <c r="H243" s="556"/>
      <c r="I243" s="556">
        <f t="shared" si="102"/>
        <v>0</v>
      </c>
      <c r="J243" s="556"/>
      <c r="K243" s="379"/>
      <c r="L243" s="379">
        <f t="shared" si="103"/>
        <v>0</v>
      </c>
    </row>
    <row r="244" spans="1:12" ht="126">
      <c r="A244" s="148" t="str">
        <f>IF(B244&gt;0,VLOOKUP(B244,КВСР!A129:B1294,2),IF(C244&gt;0,VLOOKUP(C244,КФСР!A129:B1641,2),IF(D244&gt;0,VLOOKUP(D244,Программа!A$1:B$5091,2),IF(F244&gt;0,VLOOKUP(F244,КВР!A$1:B$5001,2),IF(E244&gt;0,VLOOKUP(E244,Направление!A$1:B$4750,2))))))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44" s="160"/>
      <c r="C244" s="161"/>
      <c r="D244" s="163" t="s">
        <v>561</v>
      </c>
      <c r="E244" s="161"/>
      <c r="F244" s="162"/>
      <c r="G244" s="556">
        <f>G245</f>
        <v>7000000</v>
      </c>
      <c r="H244" s="556">
        <f t="shared" ref="H244:L245" si="130">H245</f>
        <v>0</v>
      </c>
      <c r="I244" s="556">
        <f t="shared" si="130"/>
        <v>7000000</v>
      </c>
      <c r="J244" s="556">
        <f t="shared" si="130"/>
        <v>3500000</v>
      </c>
      <c r="K244" s="379">
        <f t="shared" si="130"/>
        <v>0</v>
      </c>
      <c r="L244" s="379">
        <f t="shared" si="130"/>
        <v>3500000</v>
      </c>
    </row>
    <row r="245" spans="1:12" ht="47.25">
      <c r="A245" s="148" t="str">
        <f>IF(B245&gt;0,VLOOKUP(B245,КВСР!A130:B1295,2),IF(C245&gt;0,VLOOKUP(C245,КФСР!A130:B1642,2),IF(D245&gt;0,VLOOKUP(D245,Программа!A$1:B$5091,2),IF(F245&gt;0,VLOOKUP(F245,КВР!A$1:B$5001,2),IF(E245&gt;0,VLOOKUP(E245,Направление!A$1:B$4750,2))))))</f>
        <v>Обеспечение деятельности прочих учреждений в сфере образования</v>
      </c>
      <c r="B245" s="160"/>
      <c r="C245" s="161"/>
      <c r="D245" s="163"/>
      <c r="E245" s="161">
        <v>13310</v>
      </c>
      <c r="F245" s="162"/>
      <c r="G245" s="556">
        <f>G246</f>
        <v>7000000</v>
      </c>
      <c r="H245" s="556">
        <f t="shared" si="130"/>
        <v>0</v>
      </c>
      <c r="I245" s="556">
        <f t="shared" si="130"/>
        <v>7000000</v>
      </c>
      <c r="J245" s="556">
        <f t="shared" si="130"/>
        <v>3500000</v>
      </c>
      <c r="K245" s="379">
        <f t="shared" si="130"/>
        <v>0</v>
      </c>
      <c r="L245" s="379">
        <f t="shared" si="130"/>
        <v>3500000</v>
      </c>
    </row>
    <row r="246" spans="1:12" ht="78.75" customHeight="1">
      <c r="A246" s="148" t="str">
        <f>IF(B246&gt;0,VLOOKUP(B246,КВСР!A131:B1296,2),IF(C246&gt;0,VLOOKUP(C246,КФСР!A131:B1643,2),IF(D246&gt;0,VLOOKUP(D246,Программа!A$1:B$5091,2),IF(F246&gt;0,VLOOKUP(F246,КВР!A$1:B$5001,2),IF(E246&gt;0,VLOOKUP(E246,Направление!A$1:B$4750,2))))))</f>
        <v>Предоставление субсидий бюджетным, автономным учреждениям и иным некоммерческим организациям</v>
      </c>
      <c r="B246" s="160"/>
      <c r="C246" s="161"/>
      <c r="D246" s="163"/>
      <c r="E246" s="161"/>
      <c r="F246" s="162">
        <v>600</v>
      </c>
      <c r="G246" s="556">
        <v>7000000</v>
      </c>
      <c r="H246" s="556"/>
      <c r="I246" s="556">
        <f t="shared" si="102"/>
        <v>7000000</v>
      </c>
      <c r="J246" s="556">
        <v>3500000</v>
      </c>
      <c r="K246" s="379"/>
      <c r="L246" s="379">
        <f t="shared" si="103"/>
        <v>3500000</v>
      </c>
    </row>
    <row r="247" spans="1:12" ht="47.25">
      <c r="A247" s="148" t="str">
        <f>IF(B247&gt;0,VLOOKUP(B247,КВСР!A124:B1289,2),IF(C247&gt;0,VLOOKUP(C247,КФСР!A124:B1636,2),IF(D247&gt;0,VLOOKUP(D247,Программа!A$1:B$5091,2),IF(F247&gt;0,VLOOKUP(F247,КВР!A$1:B$5001,2),IF(E247&gt;0,VLOOKUP(E247,Направление!A$1:B$4750,2))))))</f>
        <v>Обеспечение эффективности управления системой образования</v>
      </c>
      <c r="B247" s="160"/>
      <c r="C247" s="161"/>
      <c r="D247" s="163" t="s">
        <v>1256</v>
      </c>
      <c r="E247" s="161"/>
      <c r="F247" s="162"/>
      <c r="G247" s="556">
        <f>G248+G252+G256</f>
        <v>25513212</v>
      </c>
      <c r="H247" s="556">
        <f t="shared" ref="H247:L247" si="131">H248+H252+H256</f>
        <v>0</v>
      </c>
      <c r="I247" s="556">
        <f t="shared" si="131"/>
        <v>25513212</v>
      </c>
      <c r="J247" s="556">
        <f t="shared" si="131"/>
        <v>16513212</v>
      </c>
      <c r="K247" s="379">
        <f t="shared" si="131"/>
        <v>0</v>
      </c>
      <c r="L247" s="379">
        <f t="shared" si="131"/>
        <v>16513212</v>
      </c>
    </row>
    <row r="248" spans="1:12" ht="31.5">
      <c r="A248" s="148" t="str">
        <f>IF(B248&gt;0,VLOOKUP(B248,КВСР!A125:B1290,2),IF(C248&gt;0,VLOOKUP(C248,КФСР!A125:B1637,2),IF(D248&gt;0,VLOOKUP(D248,Программа!A$1:B$5091,2),IF(F248&gt;0,VLOOKUP(F248,КВР!A$1:B$5001,2),IF(E248&gt;0,VLOOKUP(E248,Направление!A$1:B$4750,2))))))</f>
        <v>Содержание центрального аппарата</v>
      </c>
      <c r="B248" s="160"/>
      <c r="C248" s="161"/>
      <c r="D248" s="163"/>
      <c r="E248" s="161">
        <v>12010</v>
      </c>
      <c r="F248" s="146"/>
      <c r="G248" s="556">
        <f>G249+G250+G251</f>
        <v>5546661</v>
      </c>
      <c r="H248" s="556">
        <f t="shared" ref="H248:L248" si="132">H249+H250+H251</f>
        <v>0</v>
      </c>
      <c r="I248" s="556">
        <f t="shared" si="132"/>
        <v>5546661</v>
      </c>
      <c r="J248" s="556">
        <f t="shared" si="132"/>
        <v>5546661</v>
      </c>
      <c r="K248" s="379">
        <f t="shared" si="132"/>
        <v>0</v>
      </c>
      <c r="L248" s="379">
        <f t="shared" si="132"/>
        <v>5546661</v>
      </c>
    </row>
    <row r="249" spans="1:12" ht="173.25">
      <c r="A249" s="148" t="str">
        <f>IF(B249&gt;0,VLOOKUP(B249,КВСР!A126:B1291,2),IF(C249&gt;0,VLOOKUP(C249,КФСР!A126:B1638,2),IF(D249&gt;0,VLOOKUP(D249,Программа!A$1:B$5091,2),IF(F249&gt;0,VLOOKUP(F249,КВР!A$1:B$5001,2),IF(E249&gt;0,VLOOKUP(E249,Направление!A$1:B$4750,2))))))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60"/>
      <c r="C249" s="161"/>
      <c r="D249" s="163"/>
      <c r="E249" s="161"/>
      <c r="F249" s="146">
        <v>100</v>
      </c>
      <c r="G249" s="556">
        <v>4706661</v>
      </c>
      <c r="H249" s="556"/>
      <c r="I249" s="556">
        <f t="shared" si="102"/>
        <v>4706661</v>
      </c>
      <c r="J249" s="556">
        <v>4706661</v>
      </c>
      <c r="K249" s="379"/>
      <c r="L249" s="379">
        <f t="shared" si="103"/>
        <v>4706661</v>
      </c>
    </row>
    <row r="250" spans="1:12" ht="78.75">
      <c r="A250" s="148" t="str">
        <f>IF(B250&gt;0,VLOOKUP(B250,КВСР!A127:B1292,2),IF(C250&gt;0,VLOOKUP(C250,КФСР!A127:B1639,2),IF(D250&gt;0,VLOOKUP(D250,Программа!A$1:B$5091,2),IF(F250&gt;0,VLOOKUP(F250,КВР!A$1:B$5001,2),IF(E250&gt;0,VLOOKUP(E250,Направление!A$1:B$4750,2))))))</f>
        <v xml:space="preserve">Закупка товаров, работ и услуг для обеспечения государственных (муниципальных) нужд
</v>
      </c>
      <c r="B250" s="160"/>
      <c r="C250" s="161"/>
      <c r="D250" s="163"/>
      <c r="E250" s="161"/>
      <c r="F250" s="146">
        <v>200</v>
      </c>
      <c r="G250" s="556">
        <v>803000</v>
      </c>
      <c r="H250" s="556"/>
      <c r="I250" s="556">
        <f t="shared" si="102"/>
        <v>803000</v>
      </c>
      <c r="J250" s="556">
        <v>803000</v>
      </c>
      <c r="K250" s="379"/>
      <c r="L250" s="379">
        <f t="shared" si="103"/>
        <v>803000</v>
      </c>
    </row>
    <row r="251" spans="1:12" ht="31.5">
      <c r="A251" s="148" t="str">
        <f>IF(B251&gt;0,VLOOKUP(B251,КВСР!A128:B1293,2),IF(C251&gt;0,VLOOKUP(C251,КФСР!A128:B1640,2),IF(D251&gt;0,VLOOKUP(D251,Программа!A$1:B$5091,2),IF(F251&gt;0,VLOOKUP(F251,КВР!A$1:B$5001,2),IF(E251&gt;0,VLOOKUP(E251,Направление!A$1:B$4750,2))))))</f>
        <v>Иные бюджетные ассигнования</v>
      </c>
      <c r="B251" s="160"/>
      <c r="C251" s="161"/>
      <c r="D251" s="163"/>
      <c r="E251" s="161"/>
      <c r="F251" s="146">
        <v>800</v>
      </c>
      <c r="G251" s="556">
        <v>37000</v>
      </c>
      <c r="H251" s="556"/>
      <c r="I251" s="556">
        <f t="shared" si="102"/>
        <v>37000</v>
      </c>
      <c r="J251" s="556">
        <v>37000</v>
      </c>
      <c r="K251" s="379"/>
      <c r="L251" s="379">
        <f t="shared" si="103"/>
        <v>37000</v>
      </c>
    </row>
    <row r="252" spans="1:12" ht="48" customHeight="1">
      <c r="A252" s="148" t="str">
        <f>IF(B252&gt;0,VLOOKUP(B252,КВСР!A135:B1300,2),IF(C252&gt;0,VLOOKUP(C252,КФСР!A135:B1647,2),IF(D252&gt;0,VLOOKUP(D252,Программа!A$1:B$5091,2),IF(F252&gt;0,VLOOKUP(F252,КВР!A$1:B$5001,2),IF(E252&gt;0,VLOOKUP(E252,Направление!A$1:B$4750,2))))))</f>
        <v>Обеспечение деятельности прочих учреждений в сфере образования</v>
      </c>
      <c r="B252" s="160"/>
      <c r="C252" s="161"/>
      <c r="D252" s="163"/>
      <c r="E252" s="161">
        <v>13310</v>
      </c>
      <c r="F252" s="146"/>
      <c r="G252" s="556">
        <f>G253+G254+G255</f>
        <v>16000000</v>
      </c>
      <c r="H252" s="556">
        <f t="shared" ref="H252:L252" si="133">H253+H254+H255</f>
        <v>0</v>
      </c>
      <c r="I252" s="556">
        <f t="shared" si="133"/>
        <v>16000000</v>
      </c>
      <c r="J252" s="556">
        <f t="shared" si="133"/>
        <v>7000000</v>
      </c>
      <c r="K252" s="379">
        <f t="shared" si="133"/>
        <v>0</v>
      </c>
      <c r="L252" s="379">
        <f t="shared" si="133"/>
        <v>7000000</v>
      </c>
    </row>
    <row r="253" spans="1:12" ht="173.25">
      <c r="A253" s="148" t="str">
        <f>IF(B253&gt;0,VLOOKUP(B253,КВСР!A136:B1301,2),IF(C253&gt;0,VLOOKUP(C253,КФСР!A136:B1648,2),IF(D253&gt;0,VLOOKUP(D253,Программа!A$1:B$5091,2),IF(F253&gt;0,VLOOKUP(F253,КВР!A$1:B$5001,2),IF(E253&gt;0,VLOOKUP(E253,Направление!A$1:B$4750,2))))))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3" s="160"/>
      <c r="C253" s="161"/>
      <c r="D253" s="163"/>
      <c r="E253" s="161"/>
      <c r="F253" s="146">
        <v>100</v>
      </c>
      <c r="G253" s="556">
        <v>15000000</v>
      </c>
      <c r="H253" s="556"/>
      <c r="I253" s="556">
        <f t="shared" si="102"/>
        <v>15000000</v>
      </c>
      <c r="J253" s="556">
        <v>7000000</v>
      </c>
      <c r="K253" s="379"/>
      <c r="L253" s="379">
        <f t="shared" si="103"/>
        <v>7000000</v>
      </c>
    </row>
    <row r="254" spans="1:12" ht="78.75">
      <c r="A254" s="148" t="str">
        <f>IF(B254&gt;0,VLOOKUP(B254,КВСР!A137:B1302,2),IF(C254&gt;0,VLOOKUP(C254,КФСР!A137:B1649,2),IF(D254&gt;0,VLOOKUP(D254,Программа!A$1:B$5091,2),IF(F254&gt;0,VLOOKUP(F254,КВР!A$1:B$5001,2),IF(E254&gt;0,VLOOKUP(E254,Направление!A$1:B$4750,2))))))</f>
        <v xml:space="preserve">Закупка товаров, работ и услуг для обеспечения государственных (муниципальных) нужд
</v>
      </c>
      <c r="B254" s="160"/>
      <c r="C254" s="161"/>
      <c r="D254" s="163"/>
      <c r="E254" s="161"/>
      <c r="F254" s="146">
        <v>200</v>
      </c>
      <c r="G254" s="556">
        <v>1000000</v>
      </c>
      <c r="H254" s="556"/>
      <c r="I254" s="556">
        <f t="shared" si="102"/>
        <v>1000000</v>
      </c>
      <c r="J254" s="556">
        <v>0</v>
      </c>
      <c r="K254" s="379"/>
      <c r="L254" s="379">
        <f t="shared" si="103"/>
        <v>0</v>
      </c>
    </row>
    <row r="255" spans="1:12" ht="31.5" hidden="1">
      <c r="A255" s="148" t="str">
        <f>IF(B255&gt;0,VLOOKUP(B255,КВСР!A138:B1303,2),IF(C255&gt;0,VLOOKUP(C255,КФСР!A138:B1650,2),IF(D255&gt;0,VLOOKUP(D255,Программа!A$1:B$5091,2),IF(F255&gt;0,VLOOKUP(F255,КВР!A$1:B$5001,2),IF(E255&gt;0,VLOOKUP(E255,Направление!A$1:B$4750,2))))))</f>
        <v>Иные бюджетные ассигнования</v>
      </c>
      <c r="B255" s="160"/>
      <c r="C255" s="161"/>
      <c r="D255" s="163"/>
      <c r="E255" s="161"/>
      <c r="F255" s="146">
        <v>800</v>
      </c>
      <c r="G255" s="556"/>
      <c r="H255" s="556"/>
      <c r="I255" s="556">
        <f t="shared" si="102"/>
        <v>0</v>
      </c>
      <c r="J255" s="556"/>
      <c r="K255" s="379"/>
      <c r="L255" s="379">
        <f t="shared" si="103"/>
        <v>0</v>
      </c>
    </row>
    <row r="256" spans="1:12" ht="78.75">
      <c r="A256" s="148" t="str">
        <f>IF(B256&gt;0,VLOOKUP(B256,КВСР!A130:B1295,2),IF(C256&gt;0,VLOOKUP(C256,КФСР!A130:B1642,2),IF(D256&gt;0,VLOOKUP(D256,Программа!A$1:B$5091,2),IF(F256&gt;0,VLOOKUP(F256,КВР!A$1:B$5001,2),IF(E256&gt;0,VLOOKUP(E256,Направление!A$1:B$4750,2))))))</f>
        <v>Расходы на обеспечение деятельности органов опеки и попечительства за счет средств областного бюджета</v>
      </c>
      <c r="B256" s="160"/>
      <c r="C256" s="161"/>
      <c r="D256" s="163"/>
      <c r="E256" s="161">
        <v>70550</v>
      </c>
      <c r="F256" s="162"/>
      <c r="G256" s="556">
        <f>G257+G258+G259</f>
        <v>3966551</v>
      </c>
      <c r="H256" s="556">
        <f t="shared" ref="H256" si="134">H257+H258+H259</f>
        <v>0</v>
      </c>
      <c r="I256" s="556">
        <f t="shared" si="102"/>
        <v>3966551</v>
      </c>
      <c r="J256" s="556">
        <f>J257+J258+J259</f>
        <v>3966551</v>
      </c>
      <c r="K256" s="379">
        <f t="shared" ref="K256" si="135">K257+K258+K259</f>
        <v>0</v>
      </c>
      <c r="L256" s="379">
        <f t="shared" si="103"/>
        <v>3966551</v>
      </c>
    </row>
    <row r="257" spans="1:12" ht="173.25">
      <c r="A257" s="148" t="str">
        <f>IF(B257&gt;0,VLOOKUP(B257,КВСР!A131:B1296,2),IF(C257&gt;0,VLOOKUP(C257,КФСР!A131:B1643,2),IF(D257&gt;0,VLOOKUP(D257,Программа!A$1:B$5091,2),IF(F257&gt;0,VLOOKUP(F257,КВР!A$1:B$5001,2),IF(E257&gt;0,VLOOKUP(E257,Направление!A$1:B$4750,2))))))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60"/>
      <c r="C257" s="161"/>
      <c r="D257" s="163"/>
      <c r="E257" s="161"/>
      <c r="F257" s="162">
        <v>100</v>
      </c>
      <c r="G257" s="556">
        <v>3114423</v>
      </c>
      <c r="H257" s="556"/>
      <c r="I257" s="556">
        <f t="shared" si="102"/>
        <v>3114423</v>
      </c>
      <c r="J257" s="556">
        <v>3114423</v>
      </c>
      <c r="K257" s="379"/>
      <c r="L257" s="379">
        <f t="shared" si="103"/>
        <v>3114423</v>
      </c>
    </row>
    <row r="258" spans="1:12" ht="78.75">
      <c r="A258" s="148" t="str">
        <f>IF(B258&gt;0,VLOOKUP(B258,КВСР!A132:B1297,2),IF(C258&gt;0,VLOOKUP(C258,КФСР!A132:B1644,2),IF(D258&gt;0,VLOOKUP(D258,Программа!A$1:B$5091,2),IF(F258&gt;0,VLOOKUP(F258,КВР!A$1:B$5001,2),IF(E258&gt;0,VLOOKUP(E258,Направление!A$1:B$4750,2))))))</f>
        <v xml:space="preserve">Закупка товаров, работ и услуг для обеспечения государственных (муниципальных) нужд
</v>
      </c>
      <c r="B258" s="149"/>
      <c r="C258" s="161"/>
      <c r="D258" s="163"/>
      <c r="E258" s="161"/>
      <c r="F258" s="162">
        <v>200</v>
      </c>
      <c r="G258" s="556">
        <v>851128</v>
      </c>
      <c r="H258" s="556"/>
      <c r="I258" s="556">
        <f t="shared" si="102"/>
        <v>851128</v>
      </c>
      <c r="J258" s="556">
        <v>851128</v>
      </c>
      <c r="K258" s="379"/>
      <c r="L258" s="379">
        <f t="shared" si="103"/>
        <v>851128</v>
      </c>
    </row>
    <row r="259" spans="1:12" ht="31.5">
      <c r="A259" s="148" t="str">
        <f>IF(B259&gt;0,VLOOKUP(B259,КВСР!A133:B1298,2),IF(C259&gt;0,VLOOKUP(C259,КФСР!A133:B1645,2),IF(D259&gt;0,VLOOKUP(D259,Программа!A$1:B$5091,2),IF(F259&gt;0,VLOOKUP(F259,КВР!A$1:B$5001,2),IF(E259&gt;0,VLOOKUP(E259,Направление!A$1:B$4750,2))))))</f>
        <v>Иные бюджетные ассигнования</v>
      </c>
      <c r="B259" s="149"/>
      <c r="C259" s="161"/>
      <c r="D259" s="163"/>
      <c r="E259" s="161"/>
      <c r="F259" s="162">
        <v>800</v>
      </c>
      <c r="G259" s="556">
        <v>1000</v>
      </c>
      <c r="H259" s="556"/>
      <c r="I259" s="556">
        <f t="shared" si="102"/>
        <v>1000</v>
      </c>
      <c r="J259" s="556">
        <v>1000</v>
      </c>
      <c r="K259" s="379"/>
      <c r="L259" s="379">
        <f t="shared" si="103"/>
        <v>1000</v>
      </c>
    </row>
    <row r="260" spans="1:12" ht="31.5">
      <c r="A260" s="148" t="str">
        <f>IF(B260&gt;0,VLOOKUP(B260,КВСР!A134:B1299,2),IF(C260&gt;0,VLOOKUP(C260,КФСР!A134:B1646,2),IF(D260&gt;0,VLOOKUP(D260,Программа!A$1:B$5091,2),IF(F260&gt;0,VLOOKUP(F260,КВР!A$1:B$5001,2),IF(E260&gt;0,VLOOKUP(E260,Направление!A$1:B$4750,2))))))</f>
        <v>Социальное обеспечение населения</v>
      </c>
      <c r="B260" s="149"/>
      <c r="C260" s="161">
        <v>1003</v>
      </c>
      <c r="D260" s="163"/>
      <c r="E260" s="161"/>
      <c r="F260" s="162"/>
      <c r="G260" s="556">
        <f>G261</f>
        <v>0</v>
      </c>
      <c r="H260" s="556">
        <f t="shared" ref="H260:L264" si="136">H261</f>
        <v>367331</v>
      </c>
      <c r="I260" s="556">
        <f t="shared" si="136"/>
        <v>367331</v>
      </c>
      <c r="J260" s="556">
        <f t="shared" si="136"/>
        <v>0</v>
      </c>
      <c r="K260" s="379">
        <f t="shared" si="136"/>
        <v>367331</v>
      </c>
      <c r="L260" s="379">
        <f t="shared" si="136"/>
        <v>367331</v>
      </c>
    </row>
    <row r="261" spans="1:12" ht="78.75">
      <c r="A261" s="148" t="str">
        <f>IF(B261&gt;0,VLOOKUP(B261,КВСР!A135:B1300,2),IF(C261&gt;0,VLOOKUP(C261,КФСР!A135:B1647,2),IF(D261&gt;0,VLOOKUP(D261,Программа!A$1:B$5091,2),IF(F261&gt;0,VLOOKUP(F261,КВР!A$1:B$5001,2),IF(E261&gt;0,VLOOKUP(E261,Направление!A$1:B$4750,2))))))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61" s="149"/>
      <c r="C261" s="161"/>
      <c r="D261" s="163" t="s">
        <v>539</v>
      </c>
      <c r="E261" s="161"/>
      <c r="F261" s="162"/>
      <c r="G261" s="556">
        <f>G262</f>
        <v>0</v>
      </c>
      <c r="H261" s="556">
        <f t="shared" si="136"/>
        <v>367331</v>
      </c>
      <c r="I261" s="556">
        <f t="shared" si="136"/>
        <v>367331</v>
      </c>
      <c r="J261" s="556">
        <f t="shared" si="136"/>
        <v>0</v>
      </c>
      <c r="K261" s="379">
        <f t="shared" si="136"/>
        <v>367331</v>
      </c>
      <c r="L261" s="379">
        <f t="shared" si="136"/>
        <v>367331</v>
      </c>
    </row>
    <row r="262" spans="1:12" ht="94.5">
      <c r="A262" s="148" t="str">
        <f>IF(B262&gt;0,VLOOKUP(B262,КВСР!A136:B1301,2),IF(C262&gt;0,VLOOKUP(C262,КФСР!A136:B1648,2),IF(D262&gt;0,VLOOKUP(D262,Программа!A$1:B$5091,2),IF(F262&gt;0,VLOOKUP(F262,КВР!A$1:B$5001,2),IF(E262&gt;0,VLOOKUP(E262,Направление!A$1:B$4750,2))))))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262" s="149"/>
      <c r="C262" s="161"/>
      <c r="D262" s="163" t="s">
        <v>541</v>
      </c>
      <c r="E262" s="161"/>
      <c r="F262" s="162"/>
      <c r="G262" s="556">
        <f>G263</f>
        <v>0</v>
      </c>
      <c r="H262" s="556">
        <f t="shared" si="136"/>
        <v>367331</v>
      </c>
      <c r="I262" s="556">
        <f t="shared" si="136"/>
        <v>367331</v>
      </c>
      <c r="J262" s="556">
        <f t="shared" si="136"/>
        <v>0</v>
      </c>
      <c r="K262" s="379">
        <f t="shared" si="136"/>
        <v>367331</v>
      </c>
      <c r="L262" s="379">
        <f t="shared" si="136"/>
        <v>367331</v>
      </c>
    </row>
    <row r="263" spans="1:12" ht="31.5">
      <c r="A263" s="148" t="str">
        <f>IF(B263&gt;0,VLOOKUP(B263,КВСР!A137:B1302,2),IF(C263&gt;0,VLOOKUP(C263,КФСР!A137:B1649,2),IF(D263&gt;0,VLOOKUP(D263,Программа!A$1:B$5091,2),IF(F263&gt;0,VLOOKUP(F263,КВР!A$1:B$5001,2),IF(E263&gt;0,VLOOKUP(E263,Направление!A$1:B$4750,2))))))</f>
        <v>Обеспечение компенсационных выплат</v>
      </c>
      <c r="B263" s="149"/>
      <c r="C263" s="161"/>
      <c r="D263" s="163" t="s">
        <v>1259</v>
      </c>
      <c r="E263" s="161"/>
      <c r="F263" s="162"/>
      <c r="G263" s="556">
        <f>G264</f>
        <v>0</v>
      </c>
      <c r="H263" s="556">
        <f t="shared" si="136"/>
        <v>367331</v>
      </c>
      <c r="I263" s="556">
        <f t="shared" si="136"/>
        <v>367331</v>
      </c>
      <c r="J263" s="556">
        <f t="shared" si="136"/>
        <v>0</v>
      </c>
      <c r="K263" s="379">
        <f t="shared" si="136"/>
        <v>367331</v>
      </c>
      <c r="L263" s="379">
        <f t="shared" si="136"/>
        <v>367331</v>
      </c>
    </row>
    <row r="264" spans="1:12" ht="78.75">
      <c r="A264" s="148" t="str">
        <f>IF(B264&gt;0,VLOOKUP(B264,КВСР!A138:B1303,2),IF(C264&gt;0,VLOOKUP(C264,КФСР!A138:B1650,2),IF(D264&gt;0,VLOOKUP(D264,Программа!A$1:B$5091,2),IF(F264&gt;0,VLOOKUP(F264,КВР!A$1:B$5001,2),IF(E264&gt;0,VLOOKUP(E264,Направление!A$1:B$4750,2))))))</f>
        <v>Компенсация части расходов на приобретение путевки в организации отдыха детей и их оздоровления</v>
      </c>
      <c r="B264" s="149"/>
      <c r="C264" s="161"/>
      <c r="D264" s="163"/>
      <c r="E264" s="161">
        <v>74390</v>
      </c>
      <c r="F264" s="162"/>
      <c r="G264" s="556">
        <f>G265</f>
        <v>0</v>
      </c>
      <c r="H264" s="556">
        <f t="shared" si="136"/>
        <v>367331</v>
      </c>
      <c r="I264" s="556">
        <f t="shared" si="136"/>
        <v>367331</v>
      </c>
      <c r="J264" s="556">
        <f t="shared" si="136"/>
        <v>0</v>
      </c>
      <c r="K264" s="379">
        <f t="shared" si="136"/>
        <v>367331</v>
      </c>
      <c r="L264" s="379">
        <f t="shared" si="136"/>
        <v>367331</v>
      </c>
    </row>
    <row r="265" spans="1:12" ht="31.5">
      <c r="A265" s="148" t="str">
        <f>IF(B265&gt;0,VLOOKUP(B265,КВСР!A139:B1304,2),IF(C265&gt;0,VLOOKUP(C265,КФСР!A139:B1651,2),IF(D265&gt;0,VLOOKUP(D265,Программа!A$1:B$5091,2),IF(F265&gt;0,VLOOKUP(F265,КВР!A$1:B$5001,2),IF(E265&gt;0,VLOOKUP(E265,Направление!A$1:B$4750,2))))))</f>
        <v>Социальное обеспечение и иные выплаты населению</v>
      </c>
      <c r="B265" s="149"/>
      <c r="C265" s="161"/>
      <c r="D265" s="163"/>
      <c r="E265" s="161"/>
      <c r="F265" s="162">
        <v>300</v>
      </c>
      <c r="G265" s="556"/>
      <c r="H265" s="556">
        <v>367331</v>
      </c>
      <c r="I265" s="556">
        <f>G265+H265</f>
        <v>367331</v>
      </c>
      <c r="J265" s="556"/>
      <c r="K265" s="379">
        <v>367331</v>
      </c>
      <c r="L265" s="379">
        <f>J265+K265</f>
        <v>367331</v>
      </c>
    </row>
    <row r="266" spans="1:12" ht="15.75">
      <c r="A266" s="148" t="str">
        <f>IF(B266&gt;0,VLOOKUP(B266,КВСР!A134:B1299,2),IF(C266&gt;0,VLOOKUP(C266,КФСР!A134:B1646,2),IF(D266&gt;0,VLOOKUP(D266,Программа!A$1:B$5091,2),IF(F266&gt;0,VLOOKUP(F266,КВР!A$1:B$5001,2),IF(E266&gt;0,VLOOKUP(E266,Направление!A$1:B$4750,2))))))</f>
        <v>Охрана семьи и детства</v>
      </c>
      <c r="B266" s="160"/>
      <c r="C266" s="144">
        <v>1004</v>
      </c>
      <c r="D266" s="165"/>
      <c r="E266" s="166"/>
      <c r="F266" s="162"/>
      <c r="G266" s="556">
        <f>G267</f>
        <v>42181960</v>
      </c>
      <c r="H266" s="556">
        <f t="shared" ref="H266:H267" si="137">H267</f>
        <v>0</v>
      </c>
      <c r="I266" s="556">
        <f t="shared" si="102"/>
        <v>42181960</v>
      </c>
      <c r="J266" s="556">
        <f>J267</f>
        <v>41932960</v>
      </c>
      <c r="K266" s="379">
        <f t="shared" ref="K266:K267" si="138">K267</f>
        <v>0</v>
      </c>
      <c r="L266" s="379">
        <f t="shared" si="103"/>
        <v>41932960</v>
      </c>
    </row>
    <row r="267" spans="1:12" ht="78.75">
      <c r="A267" s="148" t="str">
        <f>IF(B267&gt;0,VLOOKUP(B267,КВСР!A152:B1317,2),IF(C267&gt;0,VLOOKUP(C267,КФСР!A152:B1664,2),IF(D267&gt;0,VLOOKUP(D267,Программа!A$1:B$5091,2),IF(F267&gt;0,VLOOKUP(F267,КВР!A$1:B$5001,2),IF(E267&gt;0,VLOOKUP(E267,Направление!A$1:B$4750,2))))))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67" s="149"/>
      <c r="C267" s="144"/>
      <c r="D267" s="167" t="s">
        <v>539</v>
      </c>
      <c r="E267" s="168"/>
      <c r="F267" s="162"/>
      <c r="G267" s="556">
        <f>G268</f>
        <v>42181960</v>
      </c>
      <c r="H267" s="556">
        <f t="shared" si="137"/>
        <v>0</v>
      </c>
      <c r="I267" s="556">
        <f t="shared" si="102"/>
        <v>42181960</v>
      </c>
      <c r="J267" s="556">
        <f>J268</f>
        <v>41932960</v>
      </c>
      <c r="K267" s="379">
        <f t="shared" si="138"/>
        <v>0</v>
      </c>
      <c r="L267" s="379">
        <f t="shared" si="103"/>
        <v>41932960</v>
      </c>
    </row>
    <row r="268" spans="1:12" ht="94.5">
      <c r="A268" s="148" t="str">
        <f>IF(B268&gt;0,VLOOKUP(B268,КВСР!A153:B1318,2),IF(C268&gt;0,VLOOKUP(C268,КФСР!A153:B1665,2),IF(D268&gt;0,VLOOKUP(D268,Программа!A$1:B$5091,2),IF(F268&gt;0,VLOOKUP(F268,КВР!A$1:B$5001,2),IF(E268&gt;0,VLOOKUP(E268,Направление!A$1:B$4750,2))))))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49"/>
      <c r="C268" s="144"/>
      <c r="D268" s="167" t="s">
        <v>541</v>
      </c>
      <c r="E268" s="168"/>
      <c r="F268" s="162"/>
      <c r="G268" s="556">
        <f>G269+G282</f>
        <v>42181960</v>
      </c>
      <c r="H268" s="556">
        <f t="shared" ref="H268" si="139">H269+H282</f>
        <v>0</v>
      </c>
      <c r="I268" s="556">
        <f t="shared" si="102"/>
        <v>42181960</v>
      </c>
      <c r="J268" s="556">
        <f>J269+J282</f>
        <v>41932960</v>
      </c>
      <c r="K268" s="379">
        <f t="shared" ref="K268" si="140">K269+K282</f>
        <v>0</v>
      </c>
      <c r="L268" s="379">
        <f t="shared" si="103"/>
        <v>41932960</v>
      </c>
    </row>
    <row r="269" spans="1:12" ht="94.5">
      <c r="A269" s="148" t="str">
        <f>IF(B269&gt;0,VLOOKUP(B269,КВСР!A154:B1319,2),IF(C269&gt;0,VLOOKUP(C269,КФСР!A154:B1666,2),IF(D269&gt;0,VLOOKUP(D269,Программа!A$1:B$5091,2),IF(F269&gt;0,VLOOKUP(F269,КВР!A$1:B$5001,2),IF(E269&gt;0,VLOOKUP(E269,Направление!A$1:B$4750,2))))))</f>
        <v>Обеспечение качества реализации мер по социальной поддержке детей-сирот и детей, оставшихся без попечения родителей</v>
      </c>
      <c r="B269" s="149"/>
      <c r="C269" s="144"/>
      <c r="D269" s="145" t="s">
        <v>590</v>
      </c>
      <c r="E269" s="168"/>
      <c r="F269" s="162"/>
      <c r="G269" s="556">
        <f>G270+G272+G274+G277</f>
        <v>29132505</v>
      </c>
      <c r="H269" s="556">
        <f t="shared" ref="H269" si="141">H270+H272+H274+H277</f>
        <v>0</v>
      </c>
      <c r="I269" s="556">
        <f t="shared" si="102"/>
        <v>29132505</v>
      </c>
      <c r="J269" s="556">
        <f>J270+J272+J274+J277</f>
        <v>28883505</v>
      </c>
      <c r="K269" s="379">
        <f t="shared" ref="K269" si="142">K270+K272+K274+K277</f>
        <v>0</v>
      </c>
      <c r="L269" s="379">
        <f t="shared" si="103"/>
        <v>28883505</v>
      </c>
    </row>
    <row r="270" spans="1:12" ht="110.25">
      <c r="A270" s="148" t="str">
        <f>IF(B270&gt;0,VLOOKUP(B270,КВСР!A155:B1320,2),IF(C270&gt;0,VLOOKUP(C270,КФСР!A155:B1667,2),IF(D270&gt;0,VLOOKUP(D270,Программа!A$1:B$5091,2),IF(F270&gt;0,VLOOKUP(F270,КВР!A$1:B$5001,2),IF(E270&gt;0,VLOOKUP(E270,Направление!A$1:B$4750,2))))))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70" s="149"/>
      <c r="C270" s="144"/>
      <c r="D270" s="167"/>
      <c r="E270" s="168">
        <v>52600</v>
      </c>
      <c r="F270" s="162"/>
      <c r="G270" s="556">
        <f>G271</f>
        <v>796000</v>
      </c>
      <c r="H270" s="556">
        <f t="shared" ref="H270" si="143">H271</f>
        <v>0</v>
      </c>
      <c r="I270" s="556">
        <f t="shared" si="102"/>
        <v>796000</v>
      </c>
      <c r="J270" s="556">
        <f>J271</f>
        <v>547000</v>
      </c>
      <c r="K270" s="379">
        <f t="shared" ref="K270" si="144">K271</f>
        <v>0</v>
      </c>
      <c r="L270" s="379">
        <f t="shared" si="103"/>
        <v>547000</v>
      </c>
    </row>
    <row r="271" spans="1:12" ht="31.5">
      <c r="A271" s="148" t="str">
        <f>IF(B271&gt;0,VLOOKUP(B271,КВСР!A158:B1323,2),IF(C271&gt;0,VLOOKUP(C271,КФСР!A158:B1670,2),IF(D271&gt;0,VLOOKUP(D271,Программа!A$1:B$5091,2),IF(F271&gt;0,VLOOKUP(F271,КВР!A$1:B$5001,2),IF(E271&gt;0,VLOOKUP(E271,Направление!A$1:B$4750,2))))))</f>
        <v>Социальное обеспечение и иные выплаты населению</v>
      </c>
      <c r="B271" s="149"/>
      <c r="C271" s="144"/>
      <c r="D271" s="167"/>
      <c r="E271" s="168"/>
      <c r="F271" s="162">
        <v>300</v>
      </c>
      <c r="G271" s="556">
        <v>796000</v>
      </c>
      <c r="H271" s="556"/>
      <c r="I271" s="556">
        <f t="shared" si="102"/>
        <v>796000</v>
      </c>
      <c r="J271" s="556">
        <v>547000</v>
      </c>
      <c r="K271" s="379"/>
      <c r="L271" s="379">
        <f t="shared" si="103"/>
        <v>547000</v>
      </c>
    </row>
    <row r="272" spans="1:12" ht="157.5" hidden="1">
      <c r="A272" s="148" t="str">
        <f>IF(B272&gt;0,VLOOKUP(B272,КВСР!A159:B1324,2),IF(C272&gt;0,VLOOKUP(C272,КФСР!A159:B1671,2),IF(D272&gt;0,VLOOKUP(D272,Программа!A$1:B$5091,2),IF(F272&gt;0,VLOOKUP(F272,КВР!A$1:B$5001,2),IF(E272&gt;0,VLOOKUP(E272,Направление!A$1:B$4750,2))))))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72" s="149"/>
      <c r="C272" s="144"/>
      <c r="D272" s="167"/>
      <c r="E272" s="168">
        <v>70430</v>
      </c>
      <c r="F272" s="162"/>
      <c r="G272" s="556">
        <f>G273</f>
        <v>0</v>
      </c>
      <c r="H272" s="556">
        <f t="shared" ref="H272" si="145">H273</f>
        <v>0</v>
      </c>
      <c r="I272" s="556">
        <f t="shared" si="102"/>
        <v>0</v>
      </c>
      <c r="J272" s="556">
        <f>J273</f>
        <v>0</v>
      </c>
      <c r="K272" s="379">
        <f t="shared" ref="K272" si="146">K273</f>
        <v>0</v>
      </c>
      <c r="L272" s="379">
        <f t="shared" si="103"/>
        <v>0</v>
      </c>
    </row>
    <row r="273" spans="1:12" ht="31.5" hidden="1">
      <c r="A273" s="148" t="str">
        <f>IF(B273&gt;0,VLOOKUP(B273,КВСР!A160:B1325,2),IF(C273&gt;0,VLOOKUP(C273,КФСР!A160:B1672,2),IF(D273&gt;0,VLOOKUP(D273,Программа!A$1:B$5091,2),IF(F273&gt;0,VLOOKUP(F273,КВР!A$1:B$5001,2),IF(E273&gt;0,VLOOKUP(E273,Направление!A$1:B$4750,2))))))</f>
        <v>Социальное обеспечение и иные выплаты населению</v>
      </c>
      <c r="B273" s="149"/>
      <c r="C273" s="144"/>
      <c r="D273" s="167"/>
      <c r="E273" s="168"/>
      <c r="F273" s="162">
        <v>300</v>
      </c>
      <c r="G273" s="556"/>
      <c r="H273" s="556"/>
      <c r="I273" s="556">
        <f t="shared" si="102"/>
        <v>0</v>
      </c>
      <c r="J273" s="556"/>
      <c r="K273" s="379"/>
      <c r="L273" s="379">
        <f t="shared" si="103"/>
        <v>0</v>
      </c>
    </row>
    <row r="274" spans="1:12" ht="110.25">
      <c r="A274" s="148" t="str">
        <f>IF(B274&gt;0,VLOOKUP(B274,КВСР!A161:B1326,2),IF(C274&gt;0,VLOOKUP(C274,КФСР!A161:B1673,2),IF(D274&gt;0,VLOOKUP(D274,Программа!A$1:B$5091,2),IF(F274&gt;0,VLOOKUP(F274,КВР!A$1:B$5001,2),IF(E274&gt;0,VLOOKUP(E274,Направление!A$1:B$4750,2))))))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74" s="149"/>
      <c r="C274" s="144"/>
      <c r="D274" s="167"/>
      <c r="E274" s="168">
        <v>70460</v>
      </c>
      <c r="F274" s="162"/>
      <c r="G274" s="556">
        <f>G275+G276</f>
        <v>25316306</v>
      </c>
      <c r="H274" s="556">
        <f t="shared" ref="H274" si="147">H275+H276</f>
        <v>0</v>
      </c>
      <c r="I274" s="556">
        <f t="shared" si="102"/>
        <v>25316306</v>
      </c>
      <c r="J274" s="556">
        <f>J275+J276</f>
        <v>25316306</v>
      </c>
      <c r="K274" s="379">
        <f t="shared" ref="K274" si="148">K275+K276</f>
        <v>0</v>
      </c>
      <c r="L274" s="379">
        <f t="shared" si="103"/>
        <v>25316306</v>
      </c>
    </row>
    <row r="275" spans="1:12" ht="78.75">
      <c r="A275" s="148" t="str">
        <f>IF(B275&gt;0,VLOOKUP(B275,КВСР!A162:B1327,2),IF(C275&gt;0,VLOOKUP(C275,КФСР!A162:B1674,2),IF(D275&gt;0,VLOOKUP(D275,Программа!A$1:B$5091,2),IF(F275&gt;0,VLOOKUP(F275,КВР!A$1:B$5001,2),IF(E275&gt;0,VLOOKUP(E275,Направление!A$1:B$4750,2))))))</f>
        <v xml:space="preserve">Закупка товаров, работ и услуг для обеспечения государственных (муниципальных) нужд
</v>
      </c>
      <c r="B275" s="149"/>
      <c r="C275" s="144"/>
      <c r="D275" s="186"/>
      <c r="E275" s="187"/>
      <c r="F275" s="162">
        <v>200</v>
      </c>
      <c r="G275" s="556">
        <v>125952</v>
      </c>
      <c r="H275" s="556">
        <v>-45584</v>
      </c>
      <c r="I275" s="556">
        <f t="shared" si="102"/>
        <v>80368</v>
      </c>
      <c r="J275" s="556">
        <v>125952</v>
      </c>
      <c r="K275" s="379">
        <v>-45584</v>
      </c>
      <c r="L275" s="379">
        <f t="shared" si="103"/>
        <v>80368</v>
      </c>
    </row>
    <row r="276" spans="1:12" ht="31.5">
      <c r="A276" s="148" t="str">
        <f>IF(B276&gt;0,VLOOKUP(B276,КВСР!A163:B1328,2),IF(C276&gt;0,VLOOKUP(C276,КФСР!A163:B1675,2),IF(D276&gt;0,VLOOKUP(D276,Программа!A$1:B$5091,2),IF(F276&gt;0,VLOOKUP(F276,КВР!A$1:B$5001,2),IF(E276&gt;0,VLOOKUP(E276,Направление!A$1:B$4750,2))))))</f>
        <v>Социальное обеспечение и иные выплаты населению</v>
      </c>
      <c r="B276" s="149"/>
      <c r="C276" s="144"/>
      <c r="D276" s="186"/>
      <c r="E276" s="187"/>
      <c r="F276" s="162">
        <v>300</v>
      </c>
      <c r="G276" s="556">
        <v>25190354</v>
      </c>
      <c r="H276" s="556">
        <v>45584</v>
      </c>
      <c r="I276" s="556">
        <f t="shared" si="102"/>
        <v>25235938</v>
      </c>
      <c r="J276" s="556">
        <v>25190354</v>
      </c>
      <c r="K276" s="379">
        <v>45584</v>
      </c>
      <c r="L276" s="379">
        <f t="shared" si="103"/>
        <v>25235938</v>
      </c>
    </row>
    <row r="277" spans="1:12" ht="63">
      <c r="A277" s="148" t="str">
        <f>IF(B277&gt;0,VLOOKUP(B277,КВСР!A164:B1329,2),IF(C277&gt;0,VLOOKUP(C277,КФСР!A164:B1676,2),IF(D277&gt;0,VLOOKUP(D277,Программа!A$1:B$5091,2),IF(F277&gt;0,VLOOKUP(F277,КВР!A$1:B$5001,2),IF(E277&gt;0,VLOOKUP(E277,Направление!A$1:B$4750,2))))))</f>
        <v>Государственная поддержка опеки и попечительства за счет средств областного бюджета</v>
      </c>
      <c r="B277" s="160"/>
      <c r="C277" s="144"/>
      <c r="D277" s="186"/>
      <c r="E277" s="144">
        <v>70500</v>
      </c>
      <c r="F277" s="162"/>
      <c r="G277" s="556">
        <f>G278+G279+G280+G281</f>
        <v>3020199</v>
      </c>
      <c r="H277" s="556">
        <f t="shared" ref="H277" si="149">H278+H279+H280+H281</f>
        <v>0</v>
      </c>
      <c r="I277" s="556">
        <f t="shared" si="102"/>
        <v>3020199</v>
      </c>
      <c r="J277" s="556">
        <f>J278+J279+J280+J281</f>
        <v>3020199</v>
      </c>
      <c r="K277" s="379">
        <f t="shared" ref="K277" si="150">K278+K279+K280+K281</f>
        <v>0</v>
      </c>
      <c r="L277" s="379">
        <f t="shared" si="103"/>
        <v>3020199</v>
      </c>
    </row>
    <row r="278" spans="1:12" ht="173.25" hidden="1">
      <c r="A278" s="148" t="str">
        <f>IF(B278&gt;0,VLOOKUP(B278,КВСР!A165:B1330,2),IF(C278&gt;0,VLOOKUP(C278,КФСР!A165:B1677,2),IF(D278&gt;0,VLOOKUP(D278,Программа!A$1:B$5091,2),IF(F278&gt;0,VLOOKUP(F278,КВР!A$1:B$5001,2),IF(E278&gt;0,VLOOKUP(E278,Направление!A$1:B$4750,2))))))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8" s="160"/>
      <c r="C278" s="161"/>
      <c r="D278" s="163"/>
      <c r="E278" s="161"/>
      <c r="F278" s="162">
        <v>100</v>
      </c>
      <c r="G278" s="556"/>
      <c r="H278" s="556"/>
      <c r="I278" s="556">
        <f t="shared" si="102"/>
        <v>0</v>
      </c>
      <c r="J278" s="556"/>
      <c r="K278" s="379"/>
      <c r="L278" s="379">
        <f t="shared" si="103"/>
        <v>0</v>
      </c>
    </row>
    <row r="279" spans="1:12" ht="78.75" hidden="1">
      <c r="A279" s="148" t="str">
        <f>IF(B279&gt;0,VLOOKUP(B279,КВСР!A166:B1331,2),IF(C279&gt;0,VLOOKUP(C279,КФСР!A166:B1678,2),IF(D279&gt;0,VLOOKUP(D279,Программа!A$1:B$5091,2),IF(F279&gt;0,VLOOKUP(F279,КВР!A$1:B$5001,2),IF(E279&gt;0,VLOOKUP(E279,Направление!A$1:B$4750,2))))))</f>
        <v xml:space="preserve">Закупка товаров, работ и услуг для обеспечения государственных (муниципальных) нужд
</v>
      </c>
      <c r="B279" s="160"/>
      <c r="C279" s="161"/>
      <c r="D279" s="163"/>
      <c r="E279" s="161"/>
      <c r="F279" s="162">
        <v>200</v>
      </c>
      <c r="G279" s="556">
        <v>30600</v>
      </c>
      <c r="H279" s="556">
        <v>-30600</v>
      </c>
      <c r="I279" s="556">
        <f t="shared" si="102"/>
        <v>0</v>
      </c>
      <c r="J279" s="556">
        <v>30600</v>
      </c>
      <c r="K279" s="379">
        <v>-30600</v>
      </c>
      <c r="L279" s="379">
        <f t="shared" si="103"/>
        <v>0</v>
      </c>
    </row>
    <row r="280" spans="1:12" ht="31.5">
      <c r="A280" s="148" t="str">
        <f>IF(B280&gt;0,VLOOKUP(B280,КВСР!A167:B1332,2),IF(C280&gt;0,VLOOKUP(C280,КФСР!A167:B1679,2),IF(D280&gt;0,VLOOKUP(D280,Программа!A$1:B$5091,2),IF(F280&gt;0,VLOOKUP(F280,КВР!A$1:B$5001,2),IF(E280&gt;0,VLOOKUP(E280,Направление!A$1:B$4750,2))))))</f>
        <v>Социальное обеспечение и иные выплаты населению</v>
      </c>
      <c r="B280" s="160"/>
      <c r="C280" s="161"/>
      <c r="D280" s="163"/>
      <c r="E280" s="161"/>
      <c r="F280" s="162">
        <v>300</v>
      </c>
      <c r="G280" s="556">
        <v>1447439</v>
      </c>
      <c r="H280" s="556">
        <v>60620</v>
      </c>
      <c r="I280" s="556">
        <f t="shared" si="102"/>
        <v>1508059</v>
      </c>
      <c r="J280" s="556">
        <v>1447439</v>
      </c>
      <c r="K280" s="379">
        <v>60620</v>
      </c>
      <c r="L280" s="379">
        <f t="shared" si="103"/>
        <v>1508059</v>
      </c>
    </row>
    <row r="281" spans="1:12" ht="78.75">
      <c r="A281" s="148" t="str">
        <f>IF(B281&gt;0,VLOOKUP(B281,КВСР!A168:B1333,2),IF(C281&gt;0,VLOOKUP(C281,КФСР!A168:B1680,2),IF(D281&gt;0,VLOOKUP(D281,Программа!A$1:B$5091,2),IF(F281&gt;0,VLOOKUP(F281,КВР!A$1:B$5001,2),IF(E281&gt;0,VLOOKUP(E281,Направление!A$1:B$4750,2))))))</f>
        <v>Предоставление субсидий бюджетным, автономным учреждениям и иным некоммерческим организациям</v>
      </c>
      <c r="B281" s="160"/>
      <c r="C281" s="161"/>
      <c r="D281" s="163"/>
      <c r="E281" s="161"/>
      <c r="F281" s="162">
        <v>600</v>
      </c>
      <c r="G281" s="556">
        <v>1542160</v>
      </c>
      <c r="H281" s="556">
        <v>-30020</v>
      </c>
      <c r="I281" s="556">
        <f t="shared" si="102"/>
        <v>1512140</v>
      </c>
      <c r="J281" s="556">
        <v>1542160</v>
      </c>
      <c r="K281" s="379">
        <v>-30020</v>
      </c>
      <c r="L281" s="379">
        <f t="shared" si="103"/>
        <v>1512140</v>
      </c>
    </row>
    <row r="282" spans="1:12" ht="31.5">
      <c r="A282" s="148" t="str">
        <f>IF(B282&gt;0,VLOOKUP(B282,КВСР!A169:B1334,2),IF(C282&gt;0,VLOOKUP(C282,КФСР!A169:B1681,2),IF(D282&gt;0,VLOOKUP(D282,Программа!A$1:B$5091,2),IF(F282&gt;0,VLOOKUP(F282,КВР!A$1:B$5001,2),IF(E282&gt;0,VLOOKUP(E282,Направление!A$1:B$4750,2))))))</f>
        <v>Обеспечение компенсационных выплат</v>
      </c>
      <c r="B282" s="160"/>
      <c r="C282" s="161"/>
      <c r="D282" s="145" t="s">
        <v>1259</v>
      </c>
      <c r="E282" s="161"/>
      <c r="F282" s="162"/>
      <c r="G282" s="556">
        <f>G283</f>
        <v>13049455</v>
      </c>
      <c r="H282" s="556">
        <f t="shared" ref="H282" si="151">H283</f>
        <v>0</v>
      </c>
      <c r="I282" s="556">
        <f t="shared" si="102"/>
        <v>13049455</v>
      </c>
      <c r="J282" s="556">
        <f>J283</f>
        <v>13049455</v>
      </c>
      <c r="K282" s="379">
        <f t="shared" ref="K282" si="152">K283</f>
        <v>0</v>
      </c>
      <c r="L282" s="379">
        <f t="shared" si="103"/>
        <v>13049455</v>
      </c>
    </row>
    <row r="283" spans="1:12" ht="157.5">
      <c r="A283" s="148" t="str">
        <f>IF(B283&gt;0,VLOOKUP(B283,КВСР!A168:B1333,2),IF(C283&gt;0,VLOOKUP(C283,КФСР!A168:B1680,2),IF(D283&gt;0,VLOOKUP(D283,Программа!A$1:B$5091,2),IF(F283&gt;0,VLOOKUP(F283,КВР!A$1:B$5001,2),IF(E283&gt;0,VLOOKUP(E283,Направление!A$1:B$4750,2))))))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83" s="160"/>
      <c r="C283" s="161"/>
      <c r="D283" s="163"/>
      <c r="E283" s="161">
        <v>70430</v>
      </c>
      <c r="F283" s="162"/>
      <c r="G283" s="556">
        <f>G284+G285</f>
        <v>13049455</v>
      </c>
      <c r="H283" s="556">
        <f t="shared" ref="H283" si="153">H284+H285</f>
        <v>0</v>
      </c>
      <c r="I283" s="556">
        <f t="shared" si="102"/>
        <v>13049455</v>
      </c>
      <c r="J283" s="556">
        <f>J284+J285</f>
        <v>13049455</v>
      </c>
      <c r="K283" s="379">
        <f t="shared" ref="K283" si="154">K284+K285</f>
        <v>0</v>
      </c>
      <c r="L283" s="379">
        <f t="shared" si="103"/>
        <v>13049455</v>
      </c>
    </row>
    <row r="284" spans="1:12" ht="78.75">
      <c r="A284" s="148" t="str">
        <f>IF(B284&gt;0,VLOOKUP(B284,КВСР!A169:B1334,2),IF(C284&gt;0,VLOOKUP(C284,КФСР!A169:B1681,2),IF(D284&gt;0,VLOOKUP(D284,Программа!A$1:B$5091,2),IF(F284&gt;0,VLOOKUP(F284,КВР!A$1:B$5001,2),IF(E284&gt;0,VLOOKUP(E284,Направление!A$1:B$4750,2))))))</f>
        <v xml:space="preserve">Закупка товаров, работ и услуг для обеспечения государственных (муниципальных) нужд
</v>
      </c>
      <c r="B284" s="160"/>
      <c r="C284" s="161"/>
      <c r="D284" s="145"/>
      <c r="E284" s="144"/>
      <c r="F284" s="146">
        <v>200</v>
      </c>
      <c r="G284" s="556">
        <v>193297</v>
      </c>
      <c r="H284" s="556"/>
      <c r="I284" s="556">
        <f t="shared" si="102"/>
        <v>193297</v>
      </c>
      <c r="J284" s="556">
        <v>193297</v>
      </c>
      <c r="K284" s="379"/>
      <c r="L284" s="379">
        <f t="shared" si="103"/>
        <v>193297</v>
      </c>
    </row>
    <row r="285" spans="1:12" ht="31.5">
      <c r="A285" s="148" t="str">
        <f>IF(B285&gt;0,VLOOKUP(B285,КВСР!A170:B1335,2),IF(C285&gt;0,VLOOKUP(C285,КФСР!A170:B1682,2),IF(D285&gt;0,VLOOKUP(D285,Программа!A$1:B$5091,2),IF(F285&gt;0,VLOOKUP(F285,КВР!A$1:B$5001,2),IF(E285&gt;0,VLOOKUP(E285,Направление!A$1:B$4750,2))))))</f>
        <v>Социальное обеспечение и иные выплаты населению</v>
      </c>
      <c r="B285" s="160"/>
      <c r="C285" s="161"/>
      <c r="D285" s="145"/>
      <c r="E285" s="144"/>
      <c r="F285" s="146">
        <v>300</v>
      </c>
      <c r="G285" s="556">
        <v>12856158</v>
      </c>
      <c r="H285" s="556"/>
      <c r="I285" s="556">
        <f t="shared" ref="I285:I356" si="155">SUM(G285:H285)</f>
        <v>12856158</v>
      </c>
      <c r="J285" s="556">
        <v>12856158</v>
      </c>
      <c r="K285" s="379"/>
      <c r="L285" s="379">
        <f t="shared" ref="L285:L356" si="156">SUM(J285:K285)</f>
        <v>12856158</v>
      </c>
    </row>
    <row r="286" spans="1:12" ht="15.75">
      <c r="A286" s="148" t="str">
        <f>IF(B286&gt;0,VLOOKUP(B286,КВСР!A171:B1336,2),IF(C286&gt;0,VLOOKUP(C286,КФСР!A171:B1683,2),IF(D286&gt;0,VLOOKUP(D286,Программа!A$1:B$5091,2),IF(F286&gt;0,VLOOKUP(F286,КВР!A$1:B$5001,2),IF(E286&gt;0,VLOOKUP(E286,Направление!A$1:B$4750,2))))))</f>
        <v>Массовый спорт</v>
      </c>
      <c r="B286" s="160"/>
      <c r="C286" s="161">
        <v>1102</v>
      </c>
      <c r="D286" s="145"/>
      <c r="E286" s="144"/>
      <c r="F286" s="146"/>
      <c r="G286" s="556">
        <f t="shared" ref="G286:H290" si="157">G287</f>
        <v>34000000</v>
      </c>
      <c r="H286" s="556">
        <f t="shared" si="157"/>
        <v>0</v>
      </c>
      <c r="I286" s="556">
        <f t="shared" si="155"/>
        <v>34000000</v>
      </c>
      <c r="J286" s="556">
        <f>J287</f>
        <v>17000000</v>
      </c>
      <c r="K286" s="379">
        <f t="shared" ref="K286:K290" si="158">K287</f>
        <v>0</v>
      </c>
      <c r="L286" s="379">
        <f t="shared" si="156"/>
        <v>17000000</v>
      </c>
    </row>
    <row r="287" spans="1:12" ht="78.75">
      <c r="A287" s="148" t="str">
        <f>IF(B287&gt;0,VLOOKUP(B287,КВСР!A172:B1337,2),IF(C287&gt;0,VLOOKUP(C287,КФСР!A172:B1684,2),IF(D287&gt;0,VLOOKUP(D287,Программа!A$1:B$5091,2),IF(F287&gt;0,VLOOKUP(F287,КВР!A$1:B$5001,2),IF(E287&gt;0,VLOOKUP(E287,Направление!A$1:B$4750,2))))))</f>
        <v>Муниципальная программа "Развитие образования, физической культуры и спорта в Тутаевском муниципальном районе"</v>
      </c>
      <c r="B287" s="160"/>
      <c r="C287" s="161"/>
      <c r="D287" s="145" t="s">
        <v>539</v>
      </c>
      <c r="E287" s="144"/>
      <c r="F287" s="146"/>
      <c r="G287" s="556">
        <f t="shared" si="157"/>
        <v>34000000</v>
      </c>
      <c r="H287" s="556">
        <f t="shared" si="157"/>
        <v>0</v>
      </c>
      <c r="I287" s="556">
        <f t="shared" si="155"/>
        <v>34000000</v>
      </c>
      <c r="J287" s="556">
        <f>J288</f>
        <v>17000000</v>
      </c>
      <c r="K287" s="379">
        <f t="shared" si="158"/>
        <v>0</v>
      </c>
      <c r="L287" s="379">
        <f t="shared" si="156"/>
        <v>17000000</v>
      </c>
    </row>
    <row r="288" spans="1:12" ht="78.75">
      <c r="A288" s="148" t="str">
        <f>IF(B288&gt;0,VLOOKUP(B288,КВСР!A173:B1338,2),IF(C288&gt;0,VLOOKUP(C288,КФСР!A173:B1685,2),IF(D288&gt;0,VLOOKUP(D288,Программа!A$1:B$5091,2),IF(F288&gt;0,VLOOKUP(F288,КВР!A$1:B$5001,2),IF(E288&gt;0,VLOOKUP(E288,Направление!A$1:B$4750,2))))))</f>
        <v>Муниципальная целевая программа "Развитие физической культуры и спорта в Тутаевском муниципальном районе"</v>
      </c>
      <c r="B288" s="160"/>
      <c r="C288" s="161"/>
      <c r="D288" s="145" t="s">
        <v>559</v>
      </c>
      <c r="E288" s="144"/>
      <c r="F288" s="146"/>
      <c r="G288" s="556">
        <f t="shared" si="157"/>
        <v>34000000</v>
      </c>
      <c r="H288" s="556">
        <f t="shared" si="157"/>
        <v>0</v>
      </c>
      <c r="I288" s="556">
        <f t="shared" si="155"/>
        <v>34000000</v>
      </c>
      <c r="J288" s="556">
        <f>J289</f>
        <v>17000000</v>
      </c>
      <c r="K288" s="379">
        <f t="shared" si="158"/>
        <v>0</v>
      </c>
      <c r="L288" s="379">
        <f t="shared" si="156"/>
        <v>17000000</v>
      </c>
    </row>
    <row r="289" spans="1:12" ht="141.75">
      <c r="A289" s="148" t="str">
        <f>IF(B289&gt;0,VLOOKUP(B289,КВСР!A174:B1339,2),IF(C289&gt;0,VLOOKUP(C289,КФСР!A174:B1686,2),IF(D289&gt;0,VLOOKUP(D289,Программа!A$1:B$5091,2),IF(F289&gt;0,VLOOKUP(F289,КВР!A$1:B$5001,2),IF(E289&gt;0,VLOOKUP(E289,Направление!A$1:B$4750,2))))))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89" s="160"/>
      <c r="C289" s="161"/>
      <c r="D289" s="145" t="s">
        <v>615</v>
      </c>
      <c r="E289" s="144"/>
      <c r="F289" s="146"/>
      <c r="G289" s="556">
        <f t="shared" si="157"/>
        <v>34000000</v>
      </c>
      <c r="H289" s="556">
        <f t="shared" si="157"/>
        <v>0</v>
      </c>
      <c r="I289" s="556">
        <f t="shared" si="155"/>
        <v>34000000</v>
      </c>
      <c r="J289" s="556">
        <f>J290</f>
        <v>17000000</v>
      </c>
      <c r="K289" s="379">
        <f t="shared" si="158"/>
        <v>0</v>
      </c>
      <c r="L289" s="379">
        <f t="shared" si="156"/>
        <v>17000000</v>
      </c>
    </row>
    <row r="290" spans="1:12" ht="31.5">
      <c r="A290" s="148" t="str">
        <f>IF(B290&gt;0,VLOOKUP(B290,КВСР!A175:B1340,2),IF(C290&gt;0,VLOOKUP(C290,КФСР!A175:B1687,2),IF(D290&gt;0,VLOOKUP(D290,Программа!A$1:B$5091,2),IF(F290&gt;0,VLOOKUP(F290,КВР!A$1:B$5001,2),IF(E290&gt;0,VLOOKUP(E290,Направление!A$1:B$4750,2))))))</f>
        <v>Обеспечение деятельности учреждений спорта</v>
      </c>
      <c r="B290" s="160"/>
      <c r="C290" s="161"/>
      <c r="D290" s="145"/>
      <c r="E290" s="144">
        <v>14020</v>
      </c>
      <c r="F290" s="146"/>
      <c r="G290" s="556">
        <f t="shared" si="157"/>
        <v>34000000</v>
      </c>
      <c r="H290" s="556">
        <f t="shared" si="157"/>
        <v>0</v>
      </c>
      <c r="I290" s="556">
        <f t="shared" si="155"/>
        <v>34000000</v>
      </c>
      <c r="J290" s="556">
        <f>J291</f>
        <v>17000000</v>
      </c>
      <c r="K290" s="379">
        <f t="shared" si="158"/>
        <v>0</v>
      </c>
      <c r="L290" s="379">
        <f t="shared" si="156"/>
        <v>17000000</v>
      </c>
    </row>
    <row r="291" spans="1:12" ht="78.75">
      <c r="A291" s="148" t="str">
        <f>IF(B291&gt;0,VLOOKUP(B291,КВСР!A175:B1340,2),IF(C291&gt;0,VLOOKUP(C291,КФСР!A175:B1687,2),IF(D291&gt;0,VLOOKUP(D291,Программа!A$1:B$5091,2),IF(F291&gt;0,VLOOKUP(F291,КВР!A$1:B$5001,2),IF(E291&gt;0,VLOOKUP(E291,Направление!A$1:B$4750,2))))))</f>
        <v>Предоставление субсидий бюджетным, автономным учреждениям и иным некоммерческим организациям</v>
      </c>
      <c r="B291" s="160"/>
      <c r="C291" s="161"/>
      <c r="D291" s="145"/>
      <c r="E291" s="144"/>
      <c r="F291" s="146">
        <v>600</v>
      </c>
      <c r="G291" s="556">
        <v>34000000</v>
      </c>
      <c r="H291" s="556"/>
      <c r="I291" s="556">
        <f t="shared" si="155"/>
        <v>34000000</v>
      </c>
      <c r="J291" s="556">
        <v>17000000</v>
      </c>
      <c r="K291" s="379"/>
      <c r="L291" s="379">
        <f t="shared" si="156"/>
        <v>17000000</v>
      </c>
    </row>
    <row r="292" spans="1:12" ht="47.25">
      <c r="A292" s="142" t="str">
        <f>IF(B292&gt;0,VLOOKUP(B292,КВСР!A182:B1347,2),IF(C292&gt;0,VLOOKUP(C292,КФСР!A182:B1694,2),IF(D292&gt;0,VLOOKUP(D292,Программа!A$1:B$5091,2),IF(F292&gt;0,VLOOKUP(F292,КВР!A$1:B$5001,2),IF(E292&gt;0,VLOOKUP(E292,Направление!A$1:B$4750,2))))))</f>
        <v>Департамент труда и соц. развития Администрации ТМР</v>
      </c>
      <c r="B292" s="143">
        <v>954</v>
      </c>
      <c r="C292" s="144"/>
      <c r="D292" s="145"/>
      <c r="E292" s="144"/>
      <c r="F292" s="146"/>
      <c r="G292" s="560">
        <f>G293+G300+G306+G354+G379</f>
        <v>419981331</v>
      </c>
      <c r="H292" s="560">
        <f>H293+H300+H306+H354+H379</f>
        <v>730800</v>
      </c>
      <c r="I292" s="570">
        <f t="shared" si="155"/>
        <v>420712131</v>
      </c>
      <c r="J292" s="570">
        <f>J293+J300+J306+J354+J379</f>
        <v>422880431</v>
      </c>
      <c r="K292" s="558">
        <f>K293+K300+K306+K354+K379</f>
        <v>730800</v>
      </c>
      <c r="L292" s="558">
        <f t="shared" si="156"/>
        <v>423611231</v>
      </c>
    </row>
    <row r="293" spans="1:12" ht="15.75">
      <c r="A293" s="148" t="str">
        <f>IF(B293&gt;0,VLOOKUP(B293,КВСР!A187:B1352,2),IF(C293&gt;0,VLOOKUP(C293,КФСР!A187:B1699,2),IF(D293&gt;0,VLOOKUP(D293,Программа!A$1:B$5091,2),IF(F293&gt;0,VLOOKUP(F293,КВР!A$1:B$5001,2),IF(E293&gt;0,VLOOKUP(E293,Направление!A$1:B$4750,2))))))</f>
        <v>Пенсионное обеспечение</v>
      </c>
      <c r="B293" s="149"/>
      <c r="C293" s="144">
        <v>1001</v>
      </c>
      <c r="D293" s="145"/>
      <c r="E293" s="144"/>
      <c r="F293" s="146"/>
      <c r="G293" s="556">
        <f>G294</f>
        <v>0</v>
      </c>
      <c r="H293" s="556">
        <f t="shared" ref="H293" si="159">H294</f>
        <v>730800</v>
      </c>
      <c r="I293" s="556">
        <f t="shared" si="155"/>
        <v>730800</v>
      </c>
      <c r="J293" s="556">
        <f>J294</f>
        <v>0</v>
      </c>
      <c r="K293" s="379">
        <f t="shared" ref="K293" si="160">K294</f>
        <v>730800</v>
      </c>
      <c r="L293" s="379">
        <f t="shared" si="156"/>
        <v>730800</v>
      </c>
    </row>
    <row r="294" spans="1:12" ht="63">
      <c r="A294" s="148" t="str">
        <f>IF(B294&gt;0,VLOOKUP(B294,КВСР!A188:B1353,2),IF(C294&gt;0,VLOOKUP(C294,КФСР!A188:B1700,2),IF(D294&gt;0,VLOOKUP(D294,Программа!A$1:B$5091,2),IF(F294&gt;0,VLOOKUP(F294,КВР!A$1:B$5001,2),IF(E294&gt;0,VLOOKUP(E294,Направление!A$1:B$4750,2))))))</f>
        <v>Муниципальная программа "Социальная поддержка населения Тутаевского муниципального района"</v>
      </c>
      <c r="B294" s="149"/>
      <c r="C294" s="144"/>
      <c r="D294" s="163" t="s">
        <v>548</v>
      </c>
      <c r="E294" s="161"/>
      <c r="F294" s="146"/>
      <c r="G294" s="556">
        <f>G296</f>
        <v>0</v>
      </c>
      <c r="H294" s="556">
        <f t="shared" ref="H294" si="161">H296</f>
        <v>730800</v>
      </c>
      <c r="I294" s="556">
        <f t="shared" si="155"/>
        <v>730800</v>
      </c>
      <c r="J294" s="556">
        <f>J296</f>
        <v>0</v>
      </c>
      <c r="K294" s="379">
        <f t="shared" ref="K294" si="162">K296</f>
        <v>730800</v>
      </c>
      <c r="L294" s="379">
        <f t="shared" si="156"/>
        <v>730800</v>
      </c>
    </row>
    <row r="295" spans="1:12" ht="78.75">
      <c r="A295" s="148" t="str">
        <f>IF(B295&gt;0,VLOOKUP(B295,КВСР!A189:B1354,2),IF(C295&gt;0,VLOOKUP(C295,КФСР!A189:B1701,2),IF(D295&gt;0,VLOOKUP(D295,Программа!A$1:B$5091,2),IF(F295&gt;0,VLOOKUP(F295,КВР!A$1:B$5001,2),IF(E295&gt;0,VLOOKUP(E295,Направление!A$1:B$4750,2))))))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295" s="149"/>
      <c r="C295" s="144"/>
      <c r="D295" s="163" t="s">
        <v>620</v>
      </c>
      <c r="E295" s="161"/>
      <c r="F295" s="146"/>
      <c r="G295" s="556">
        <f>G296</f>
        <v>0</v>
      </c>
      <c r="H295" s="556">
        <f t="shared" ref="H295:H296" si="163">H296</f>
        <v>730800</v>
      </c>
      <c r="I295" s="556">
        <f t="shared" si="155"/>
        <v>730800</v>
      </c>
      <c r="J295" s="556">
        <f>J296</f>
        <v>0</v>
      </c>
      <c r="K295" s="379">
        <f t="shared" ref="K295:K296" si="164">K296</f>
        <v>730800</v>
      </c>
      <c r="L295" s="379">
        <f t="shared" si="156"/>
        <v>730800</v>
      </c>
    </row>
    <row r="296" spans="1:12" ht="63">
      <c r="A296" s="148" t="str">
        <f>IF(B296&gt;0,VLOOKUP(B296,КВСР!A190:B1355,2),IF(C296&gt;0,VLOOKUP(C296,КФСР!A190:B1702,2),IF(D296&gt;0,VLOOKUP(D296,Программа!A$1:B$5091,2),IF(F296&gt;0,VLOOKUP(F296,КВР!A$1:B$5001,2),IF(E296&gt;0,VLOOKUP(E296,Направление!A$1:B$4750,2))))))</f>
        <v>Исполнение публичных обязательств по предоставлению выплат, пособий и компенсаций</v>
      </c>
      <c r="B296" s="149"/>
      <c r="C296" s="144"/>
      <c r="D296" s="145" t="s">
        <v>622</v>
      </c>
      <c r="E296" s="144"/>
      <c r="F296" s="146"/>
      <c r="G296" s="556">
        <f>G297</f>
        <v>0</v>
      </c>
      <c r="H296" s="556">
        <f t="shared" si="163"/>
        <v>730800</v>
      </c>
      <c r="I296" s="556">
        <f t="shared" si="155"/>
        <v>730800</v>
      </c>
      <c r="J296" s="556">
        <f>J297</f>
        <v>0</v>
      </c>
      <c r="K296" s="379">
        <f t="shared" si="164"/>
        <v>730800</v>
      </c>
      <c r="L296" s="379">
        <f t="shared" si="156"/>
        <v>730800</v>
      </c>
    </row>
    <row r="297" spans="1:12" ht="47.25">
      <c r="A297" s="148" t="str">
        <f>IF(B297&gt;0,VLOOKUP(B297,КВСР!A191:B1356,2),IF(C297&gt;0,VLOOKUP(C297,КФСР!A191:B1703,2),IF(D297&gt;0,VLOOKUP(D297,Программа!A$1:B$5091,2),IF(F297&gt;0,VLOOKUP(F297,КВР!A$1:B$5001,2),IF(E297&gt;0,VLOOKUP(E297,Направление!A$1:B$4750,2))))))</f>
        <v>Доплаты к пенсиям муниципальным служащим поселений</v>
      </c>
      <c r="B297" s="149"/>
      <c r="C297" s="144"/>
      <c r="D297" s="145"/>
      <c r="E297" s="144">
        <v>29756</v>
      </c>
      <c r="F297" s="146"/>
      <c r="G297" s="556">
        <f>G299+G298</f>
        <v>0</v>
      </c>
      <c r="H297" s="556">
        <f t="shared" ref="H297" si="165">H299+H298</f>
        <v>730800</v>
      </c>
      <c r="I297" s="556">
        <f t="shared" si="155"/>
        <v>730800</v>
      </c>
      <c r="J297" s="556">
        <f>J299+J298</f>
        <v>0</v>
      </c>
      <c r="K297" s="379">
        <f t="shared" ref="K297" si="166">K299+K298</f>
        <v>730800</v>
      </c>
      <c r="L297" s="379">
        <f t="shared" si="156"/>
        <v>730800</v>
      </c>
    </row>
    <row r="298" spans="1:12" ht="78.75">
      <c r="A298" s="148" t="str">
        <f>IF(B298&gt;0,VLOOKUP(B298,КВСР!A192:B1357,2),IF(C298&gt;0,VLOOKUP(C298,КФСР!A192:B1704,2),IF(D298&gt;0,VLOOKUP(D298,Программа!A$1:B$5091,2),IF(F298&gt;0,VLOOKUP(F298,КВР!A$1:B$5001,2),IF(E298&gt;0,VLOOKUP(E298,Направление!A$1:B$4750,2))))))</f>
        <v xml:space="preserve">Закупка товаров, работ и услуг для обеспечения государственных (муниципальных) нужд
</v>
      </c>
      <c r="B298" s="149"/>
      <c r="C298" s="144"/>
      <c r="D298" s="145"/>
      <c r="E298" s="144"/>
      <c r="F298" s="146">
        <v>200</v>
      </c>
      <c r="G298" s="556"/>
      <c r="H298" s="556">
        <v>10800</v>
      </c>
      <c r="I298" s="556">
        <f t="shared" si="155"/>
        <v>10800</v>
      </c>
      <c r="J298" s="556"/>
      <c r="K298" s="379">
        <v>10800</v>
      </c>
      <c r="L298" s="379">
        <f t="shared" si="156"/>
        <v>10800</v>
      </c>
    </row>
    <row r="299" spans="1:12" ht="32.25" customHeight="1">
      <c r="A299" s="148" t="str">
        <f>IF(B299&gt;0,VLOOKUP(B299,КВСР!A190:B1355,2),IF(C299&gt;0,VLOOKUP(C299,КФСР!A190:B1702,2),IF(D299&gt;0,VLOOKUP(D299,Программа!A$1:B$5091,2),IF(F299&gt;0,VLOOKUP(F299,КВР!A$1:B$5001,2),IF(E299&gt;0,VLOOKUP(E299,Направление!A$1:B$4750,2))))))</f>
        <v>Социальное обеспечение и иные выплаты населению</v>
      </c>
      <c r="B299" s="149"/>
      <c r="C299" s="144"/>
      <c r="D299" s="145"/>
      <c r="E299" s="144"/>
      <c r="F299" s="146">
        <v>300</v>
      </c>
      <c r="G299" s="556"/>
      <c r="H299" s="556">
        <v>720000</v>
      </c>
      <c r="I299" s="556">
        <f t="shared" si="155"/>
        <v>720000</v>
      </c>
      <c r="J299" s="556"/>
      <c r="K299" s="379">
        <v>720000</v>
      </c>
      <c r="L299" s="379">
        <f t="shared" si="156"/>
        <v>720000</v>
      </c>
    </row>
    <row r="300" spans="1:12" ht="31.5">
      <c r="A300" s="148" t="str">
        <f>IF(B300&gt;0,VLOOKUP(B300,КВСР!A191:B1356,2),IF(C300&gt;0,VLOOKUP(C300,КФСР!A191:B1703,2),IF(D300&gt;0,VLOOKUP(D300,Программа!A$1:B$5091,2),IF(F300&gt;0,VLOOKUP(F300,КВР!A$1:B$5001,2),IF(E300&gt;0,VLOOKUP(E300,Направление!A$1:B$4750,2))))))</f>
        <v>Социальное обслуживание населения</v>
      </c>
      <c r="B300" s="149"/>
      <c r="C300" s="144">
        <v>1002</v>
      </c>
      <c r="D300" s="145"/>
      <c r="E300" s="144"/>
      <c r="F300" s="146"/>
      <c r="G300" s="556">
        <f>G301</f>
        <v>79748040</v>
      </c>
      <c r="H300" s="556">
        <f t="shared" ref="H300" si="167">H301</f>
        <v>0</v>
      </c>
      <c r="I300" s="556">
        <f t="shared" si="155"/>
        <v>79748040</v>
      </c>
      <c r="J300" s="556">
        <f>J301</f>
        <v>79748040</v>
      </c>
      <c r="K300" s="379">
        <f t="shared" ref="K300" si="168">K301</f>
        <v>0</v>
      </c>
      <c r="L300" s="379">
        <f t="shared" si="156"/>
        <v>79748040</v>
      </c>
    </row>
    <row r="301" spans="1:12" ht="63">
      <c r="A301" s="148" t="str">
        <f>IF(B301&gt;0,VLOOKUP(B301,КВСР!A192:B1357,2),IF(C301&gt;0,VLOOKUP(C301,КФСР!A192:B1704,2),IF(D301&gt;0,VLOOKUP(D301,Программа!A$1:B$5091,2),IF(F301&gt;0,VLOOKUP(F301,КВР!A$1:B$5001,2),IF(E301&gt;0,VLOOKUP(E301,Направление!A$1:B$4750,2))))))</f>
        <v>Муниципальная программа "Социальная поддержка населения Тутаевского муниципального района"</v>
      </c>
      <c r="B301" s="149"/>
      <c r="C301" s="144"/>
      <c r="D301" s="145" t="s">
        <v>548</v>
      </c>
      <c r="E301" s="144"/>
      <c r="F301" s="146"/>
      <c r="G301" s="556">
        <f>G303</f>
        <v>79748040</v>
      </c>
      <c r="H301" s="556">
        <f t="shared" ref="H301" si="169">H303</f>
        <v>0</v>
      </c>
      <c r="I301" s="556">
        <f t="shared" si="155"/>
        <v>79748040</v>
      </c>
      <c r="J301" s="556">
        <f>J303</f>
        <v>79748040</v>
      </c>
      <c r="K301" s="379">
        <f t="shared" ref="K301" si="170">K303</f>
        <v>0</v>
      </c>
      <c r="L301" s="379">
        <f t="shared" si="156"/>
        <v>79748040</v>
      </c>
    </row>
    <row r="302" spans="1:12" ht="78.75">
      <c r="A302" s="148" t="str">
        <f>IF(B302&gt;0,VLOOKUP(B302,КВСР!A193:B1358,2),IF(C302&gt;0,VLOOKUP(C302,КФСР!A193:B1705,2),IF(D302&gt;0,VLOOKUP(D302,Программа!A$1:B$5091,2),IF(F302&gt;0,VLOOKUP(F302,КВР!A$1:B$5001,2),IF(E302&gt;0,VLOOKUP(E302,Направление!A$1:B$4750,2))))))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302" s="149"/>
      <c r="C302" s="144"/>
      <c r="D302" s="145" t="s">
        <v>620</v>
      </c>
      <c r="E302" s="144"/>
      <c r="F302" s="146"/>
      <c r="G302" s="556">
        <f t="shared" ref="G302:H304" si="171">G303</f>
        <v>79748040</v>
      </c>
      <c r="H302" s="556">
        <f t="shared" si="171"/>
        <v>0</v>
      </c>
      <c r="I302" s="556">
        <f t="shared" si="155"/>
        <v>79748040</v>
      </c>
      <c r="J302" s="556">
        <f>J303</f>
        <v>79748040</v>
      </c>
      <c r="K302" s="379">
        <f t="shared" ref="K302:K304" si="172">K303</f>
        <v>0</v>
      </c>
      <c r="L302" s="379">
        <f t="shared" si="156"/>
        <v>79748040</v>
      </c>
    </row>
    <row r="303" spans="1:12" ht="94.5">
      <c r="A303" s="148" t="str">
        <f>IF(B303&gt;0,VLOOKUP(B303,КВСР!A194:B1359,2),IF(C303&gt;0,VLOOKUP(C303,КФСР!A194:B1706,2),IF(D303&gt;0,VLOOKUP(D303,Программа!A$1:B$5091,2),IF(F303&gt;0,VLOOKUP(F303,КВР!A$1:B$5001,2),IF(E303&gt;0,VLOOKUP(E303,Направление!A$1:B$4750,2))))))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03" s="149"/>
      <c r="C303" s="144"/>
      <c r="D303" s="145" t="s">
        <v>625</v>
      </c>
      <c r="E303" s="144"/>
      <c r="F303" s="146"/>
      <c r="G303" s="556">
        <f t="shared" si="171"/>
        <v>79748040</v>
      </c>
      <c r="H303" s="556">
        <f t="shared" si="171"/>
        <v>0</v>
      </c>
      <c r="I303" s="556">
        <f t="shared" si="155"/>
        <v>79748040</v>
      </c>
      <c r="J303" s="556">
        <f>J304</f>
        <v>79748040</v>
      </c>
      <c r="K303" s="379">
        <f t="shared" si="172"/>
        <v>0</v>
      </c>
      <c r="L303" s="379">
        <f t="shared" si="156"/>
        <v>79748040</v>
      </c>
    </row>
    <row r="304" spans="1:12" ht="173.25">
      <c r="A304" s="148" t="str">
        <f>IF(B304&gt;0,VLOOKUP(B304,КВСР!A194:B1359,2),IF(C304&gt;0,VLOOKUP(C304,КФСР!A194:B1706,2),IF(D304&gt;0,VLOOKUP(D304,Программа!A$1:B$5091,2),IF(F304&gt;0,VLOOKUP(F304,КВР!A$1:B$5001,2),IF(E304&gt;0,VLOOKUP(E304,Направление!A$1:B$4750,2))))))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04" s="149"/>
      <c r="C304" s="144"/>
      <c r="D304" s="145"/>
      <c r="E304" s="144">
        <v>70850</v>
      </c>
      <c r="F304" s="146"/>
      <c r="G304" s="556">
        <f t="shared" si="171"/>
        <v>79748040</v>
      </c>
      <c r="H304" s="556">
        <f t="shared" si="171"/>
        <v>0</v>
      </c>
      <c r="I304" s="556">
        <f t="shared" si="155"/>
        <v>79748040</v>
      </c>
      <c r="J304" s="556">
        <f>J305</f>
        <v>79748040</v>
      </c>
      <c r="K304" s="379">
        <f t="shared" si="172"/>
        <v>0</v>
      </c>
      <c r="L304" s="379">
        <f t="shared" si="156"/>
        <v>79748040</v>
      </c>
    </row>
    <row r="305" spans="1:12" ht="78.75">
      <c r="A305" s="148" t="str">
        <f>IF(B305&gt;0,VLOOKUP(B305,КВСР!A195:B1360,2),IF(C305&gt;0,VLOOKUP(C305,КФСР!A195:B1707,2),IF(D305&gt;0,VLOOKUP(D305,Программа!A$1:B$5091,2),IF(F305&gt;0,VLOOKUP(F305,КВР!A$1:B$5001,2),IF(E305&gt;0,VLOOKUP(E305,Направление!A$1:B$4750,2))))))</f>
        <v>Предоставление субсидий бюджетным, автономным учреждениям и иным некоммерческим организациям</v>
      </c>
      <c r="B305" s="149"/>
      <c r="C305" s="144"/>
      <c r="D305" s="145"/>
      <c r="E305" s="144"/>
      <c r="F305" s="146">
        <v>600</v>
      </c>
      <c r="G305" s="556">
        <v>79748040</v>
      </c>
      <c r="H305" s="556"/>
      <c r="I305" s="556">
        <f t="shared" si="155"/>
        <v>79748040</v>
      </c>
      <c r="J305" s="556">
        <v>79748040</v>
      </c>
      <c r="K305" s="379"/>
      <c r="L305" s="379">
        <f t="shared" si="156"/>
        <v>79748040</v>
      </c>
    </row>
    <row r="306" spans="1:12" ht="31.5">
      <c r="A306" s="148" t="str">
        <f>IF(B306&gt;0,VLOOKUP(B306,КВСР!A196:B1361,2),IF(C306&gt;0,VLOOKUP(C306,КФСР!A196:B1708,2),IF(D306&gt;0,VLOOKUP(D306,Программа!A$1:B$5091,2),IF(F306&gt;0,VLOOKUP(F306,КВР!A$1:B$5001,2),IF(E306&gt;0,VLOOKUP(E306,Направление!A$1:B$4750,2))))))</f>
        <v>Социальное обеспечение населения</v>
      </c>
      <c r="B306" s="149"/>
      <c r="C306" s="144">
        <v>1003</v>
      </c>
      <c r="D306" s="145"/>
      <c r="E306" s="144"/>
      <c r="F306" s="146"/>
      <c r="G306" s="556">
        <f>G307</f>
        <v>246035992</v>
      </c>
      <c r="H306" s="556">
        <f t="shared" ref="H306:L306" si="173">H307</f>
        <v>-38302000</v>
      </c>
      <c r="I306" s="556">
        <f t="shared" si="173"/>
        <v>207733992</v>
      </c>
      <c r="J306" s="556">
        <f t="shared" si="173"/>
        <v>246184992</v>
      </c>
      <c r="K306" s="379">
        <f t="shared" si="173"/>
        <v>-38302000</v>
      </c>
      <c r="L306" s="379">
        <f t="shared" si="173"/>
        <v>207882992</v>
      </c>
    </row>
    <row r="307" spans="1:12" ht="63">
      <c r="A307" s="148" t="str">
        <f>IF(B307&gt;0,VLOOKUP(B307,КВСР!A197:B1362,2),IF(C307&gt;0,VLOOKUP(C307,КФСР!A197:B1709,2),IF(D307&gt;0,VLOOKUP(D307,Программа!A$1:B$5091,2),IF(F307&gt;0,VLOOKUP(F307,КВР!A$1:B$5001,2),IF(E307&gt;0,VLOOKUP(E307,Направление!A$1:B$4750,2))))))</f>
        <v>Муниципальная программа "Социальная поддержка населения Тутаевского муниципального района"</v>
      </c>
      <c r="B307" s="149"/>
      <c r="C307" s="144"/>
      <c r="D307" s="145" t="s">
        <v>548</v>
      </c>
      <c r="E307" s="144"/>
      <c r="F307" s="146"/>
      <c r="G307" s="556">
        <f>G308</f>
        <v>246035992</v>
      </c>
      <c r="H307" s="556">
        <f t="shared" ref="H307" si="174">H308</f>
        <v>-38302000</v>
      </c>
      <c r="I307" s="556">
        <f t="shared" si="155"/>
        <v>207733992</v>
      </c>
      <c r="J307" s="556">
        <f>J308</f>
        <v>246184992</v>
      </c>
      <c r="K307" s="379">
        <f t="shared" ref="K307" si="175">K308</f>
        <v>-38302000</v>
      </c>
      <c r="L307" s="379">
        <f t="shared" si="156"/>
        <v>207882992</v>
      </c>
    </row>
    <row r="308" spans="1:12" ht="78.75">
      <c r="A308" s="148" t="str">
        <f>IF(B308&gt;0,VLOOKUP(B308,КВСР!A198:B1363,2),IF(C308&gt;0,VLOOKUP(C308,КФСР!A198:B1710,2),IF(D308&gt;0,VLOOKUP(D308,Программа!A$1:B$5091,2),IF(F308&gt;0,VLOOKUP(F308,КВР!A$1:B$5001,2),IF(E308&gt;0,VLOOKUP(E308,Направление!A$1:B$4750,2))))))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308" s="149"/>
      <c r="C308" s="144"/>
      <c r="D308" s="145" t="s">
        <v>620</v>
      </c>
      <c r="E308" s="144"/>
      <c r="F308" s="146"/>
      <c r="G308" s="556">
        <f>G309+G347</f>
        <v>246035992</v>
      </c>
      <c r="H308" s="556">
        <f>H309+H347</f>
        <v>-38302000</v>
      </c>
      <c r="I308" s="556">
        <f t="shared" si="155"/>
        <v>207733992</v>
      </c>
      <c r="J308" s="556">
        <f>J309+J347</f>
        <v>246184992</v>
      </c>
      <c r="K308" s="379">
        <f>K309+K347</f>
        <v>-38302000</v>
      </c>
      <c r="L308" s="379">
        <f t="shared" si="156"/>
        <v>207882992</v>
      </c>
    </row>
    <row r="309" spans="1:12" ht="63">
      <c r="A309" s="148" t="str">
        <f>IF(B309&gt;0,VLOOKUP(B309,КВСР!A199:B1364,2),IF(C309&gt;0,VLOOKUP(C309,КФСР!A199:B1711,2),IF(D309&gt;0,VLOOKUP(D309,Программа!A$1:B$5091,2),IF(F309&gt;0,VLOOKUP(F309,КВР!A$1:B$5001,2),IF(E309&gt;0,VLOOKUP(E309,Направление!A$1:B$4750,2))))))</f>
        <v>Исполнение публичных обязательств по предоставлению выплат, пособий и компенсаций</v>
      </c>
      <c r="B309" s="149"/>
      <c r="C309" s="144"/>
      <c r="D309" s="145" t="s">
        <v>622</v>
      </c>
      <c r="E309" s="144"/>
      <c r="F309" s="146"/>
      <c r="G309" s="556">
        <f>G310+G313+G316+G319+G321+G324+G327+G330+G333+G340+G343+G345+G336+G338</f>
        <v>245835992</v>
      </c>
      <c r="H309" s="556">
        <f t="shared" ref="H309:L309" si="176">H310+H313+H316+H319+H321+H324+H327+H330+H333+H340+H343+H345+H336+H338</f>
        <v>-42861320</v>
      </c>
      <c r="I309" s="556">
        <f t="shared" si="176"/>
        <v>202974672</v>
      </c>
      <c r="J309" s="556">
        <f t="shared" si="176"/>
        <v>246184992</v>
      </c>
      <c r="K309" s="379">
        <f t="shared" si="176"/>
        <v>-42861320</v>
      </c>
      <c r="L309" s="379">
        <f t="shared" si="176"/>
        <v>203323672</v>
      </c>
    </row>
    <row r="310" spans="1:12" ht="63">
      <c r="A310" s="148" t="str">
        <f>IF(B310&gt;0,VLOOKUP(B310,КВСР!A200:B1365,2),IF(C310&gt;0,VLOOKUP(C310,КФСР!A200:B1712,2),IF(D310&gt;0,VLOOKUP(D310,Программа!A$1:B$5091,2),IF(F310&gt;0,VLOOKUP(F310,КВР!A$1:B$5001,2),IF(E310&gt;0,VLOOKUP(E310,Направление!A$1:B$4750,2))))))</f>
        <v>Субвенция на социальную поддержку граждан, подвергшихся воздействию радиации</v>
      </c>
      <c r="B310" s="149"/>
      <c r="C310" s="144"/>
      <c r="D310" s="145"/>
      <c r="E310" s="144">
        <v>51370</v>
      </c>
      <c r="F310" s="146"/>
      <c r="G310" s="556">
        <f>G311+G312</f>
        <v>1649100</v>
      </c>
      <c r="H310" s="556">
        <f t="shared" ref="H310" si="177">H311+H312</f>
        <v>0</v>
      </c>
      <c r="I310" s="556">
        <f t="shared" si="155"/>
        <v>1649100</v>
      </c>
      <c r="J310" s="556">
        <f>J311+J312</f>
        <v>1731600</v>
      </c>
      <c r="K310" s="379">
        <f t="shared" ref="K310" si="178">K311+K312</f>
        <v>0</v>
      </c>
      <c r="L310" s="379">
        <f t="shared" si="156"/>
        <v>1731600</v>
      </c>
    </row>
    <row r="311" spans="1:12" ht="48" customHeight="1">
      <c r="A311" s="148" t="str">
        <f>IF(B311&gt;0,VLOOKUP(B311,КВСР!A201:B1366,2),IF(C311&gt;0,VLOOKUP(C311,КФСР!A201:B1713,2),IF(D311&gt;0,VLOOKUP(D311,Программа!A$1:B$5091,2),IF(F311&gt;0,VLOOKUP(F311,КВР!A$1:B$5001,2),IF(E311&gt;0,VLOOKUP(E311,Направление!A$1:B$4750,2))))))</f>
        <v xml:space="preserve">Закупка товаров, работ и услуг для обеспечения государственных (муниципальных) нужд
</v>
      </c>
      <c r="B311" s="149"/>
      <c r="C311" s="144"/>
      <c r="D311" s="145"/>
      <c r="E311" s="144"/>
      <c r="F311" s="146">
        <v>200</v>
      </c>
      <c r="G311" s="556">
        <v>23939</v>
      </c>
      <c r="H311" s="556"/>
      <c r="I311" s="556">
        <f t="shared" si="155"/>
        <v>23939</v>
      </c>
      <c r="J311" s="556">
        <v>25136</v>
      </c>
      <c r="K311" s="379"/>
      <c r="L311" s="379">
        <f t="shared" si="156"/>
        <v>25136</v>
      </c>
    </row>
    <row r="312" spans="1:12" ht="30.75" customHeight="1">
      <c r="A312" s="148" t="str">
        <f>IF(B312&gt;0,VLOOKUP(B312,КВСР!A202:B1367,2),IF(C312&gt;0,VLOOKUP(C312,КФСР!A202:B1714,2),IF(D312&gt;0,VLOOKUP(D312,Программа!A$1:B$5091,2),IF(F312&gt;0,VLOOKUP(F312,КВР!A$1:B$5001,2),IF(E312&gt;0,VLOOKUP(E312,Направление!A$1:B$4750,2))))))</f>
        <v>Социальное обеспечение и иные выплаты населению</v>
      </c>
      <c r="B312" s="149"/>
      <c r="C312" s="144"/>
      <c r="D312" s="145"/>
      <c r="E312" s="144"/>
      <c r="F312" s="146">
        <v>300</v>
      </c>
      <c r="G312" s="556">
        <v>1625161</v>
      </c>
      <c r="H312" s="556"/>
      <c r="I312" s="556">
        <f t="shared" si="155"/>
        <v>1625161</v>
      </c>
      <c r="J312" s="556">
        <v>1706464</v>
      </c>
      <c r="K312" s="379"/>
      <c r="L312" s="379">
        <f t="shared" si="156"/>
        <v>1706464</v>
      </c>
    </row>
    <row r="313" spans="1:12" ht="143.25" customHeight="1">
      <c r="A313" s="148" t="str">
        <f>IF(B313&gt;0,VLOOKUP(B313,КВСР!A203:B1368,2),IF(C313&gt;0,VLOOKUP(C313,КФСР!A203:B1715,2),IF(D313&gt;0,VLOOKUP(D313,Программа!A$1:B$5091,2),IF(F313&gt;0,VLOOKUP(F313,КВР!A$1:B$5001,2),IF(E313&gt;0,VLOOKUP(E313,Направление!A$1:B$4750,2))))))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13" s="149"/>
      <c r="C313" s="144"/>
      <c r="D313" s="145"/>
      <c r="E313" s="144">
        <v>52200</v>
      </c>
      <c r="F313" s="146"/>
      <c r="G313" s="556">
        <f>SUM(G314:G315)</f>
        <v>5923100</v>
      </c>
      <c r="H313" s="556">
        <f t="shared" ref="H313" si="179">SUM(H314:H315)</f>
        <v>0</v>
      </c>
      <c r="I313" s="556">
        <f t="shared" si="155"/>
        <v>5923100</v>
      </c>
      <c r="J313" s="556">
        <f>SUM(J314:J315)</f>
        <v>6189600</v>
      </c>
      <c r="K313" s="379">
        <f t="shared" ref="K313" si="180">SUM(K314:K315)</f>
        <v>0</v>
      </c>
      <c r="L313" s="379">
        <f t="shared" si="156"/>
        <v>6189600</v>
      </c>
    </row>
    <row r="314" spans="1:12" ht="30.75" customHeight="1">
      <c r="A314" s="148" t="str">
        <f>IF(B314&gt;0,VLOOKUP(B314,КВСР!A204:B1369,2),IF(C314&gt;0,VLOOKUP(C314,КФСР!A204:B1716,2),IF(D314&gt;0,VLOOKUP(D314,Программа!A$1:B$5091,2),IF(F314&gt;0,VLOOKUP(F314,КВР!A$1:B$5001,2),IF(E314&gt;0,VLOOKUP(E314,Направление!A$1:B$4750,2))))))</f>
        <v xml:space="preserve">Закупка товаров, работ и услуг для обеспечения государственных (муниципальных) нужд
</v>
      </c>
      <c r="B314" s="149"/>
      <c r="C314" s="144"/>
      <c r="D314" s="145"/>
      <c r="E314" s="144"/>
      <c r="F314" s="146">
        <v>200</v>
      </c>
      <c r="G314" s="556">
        <v>87533</v>
      </c>
      <c r="H314" s="556"/>
      <c r="I314" s="556">
        <f t="shared" si="155"/>
        <v>87533</v>
      </c>
      <c r="J314" s="556">
        <v>91472</v>
      </c>
      <c r="K314" s="379"/>
      <c r="L314" s="379">
        <f t="shared" si="156"/>
        <v>91472</v>
      </c>
    </row>
    <row r="315" spans="1:12" ht="32.25" customHeight="1">
      <c r="A315" s="148" t="str">
        <f>IF(B315&gt;0,VLOOKUP(B315,КВСР!A205:B1370,2),IF(C315&gt;0,VLOOKUP(C315,КФСР!A205:B1717,2),IF(D315&gt;0,VLOOKUP(D315,Программа!A$1:B$5091,2),IF(F315&gt;0,VLOOKUP(F315,КВР!A$1:B$5001,2),IF(E315&gt;0,VLOOKUP(E315,Направление!A$1:B$4750,2))))))</f>
        <v>Социальное обеспечение и иные выплаты населению</v>
      </c>
      <c r="B315" s="149"/>
      <c r="C315" s="144"/>
      <c r="D315" s="145"/>
      <c r="E315" s="144"/>
      <c r="F315" s="146">
        <v>300</v>
      </c>
      <c r="G315" s="556">
        <v>5835567</v>
      </c>
      <c r="H315" s="556"/>
      <c r="I315" s="556">
        <f t="shared" si="155"/>
        <v>5835567</v>
      </c>
      <c r="J315" s="556">
        <v>6098128</v>
      </c>
      <c r="K315" s="379"/>
      <c r="L315" s="379">
        <f t="shared" si="156"/>
        <v>6098128</v>
      </c>
    </row>
    <row r="316" spans="1:12" ht="81.75" customHeight="1">
      <c r="A316" s="148" t="str">
        <f>IF(B316&gt;0,VLOOKUP(B316,КВСР!A206:B1371,2),IF(C316&gt;0,VLOOKUP(C316,КФСР!A206:B1718,2),IF(D316&gt;0,VLOOKUP(D316,Программа!A$1:B$5091,2),IF(F316&gt;0,VLOOKUP(F316,КВР!A$1:B$5001,2),IF(E316&gt;0,VLOOKUP(E316,Направление!A$1:B$4750,2))))))</f>
        <v>Оплата жилищно-коммунальных услуг отдельным категориям граждан за счет средств федерального бюджета</v>
      </c>
      <c r="B316" s="149"/>
      <c r="C316" s="144"/>
      <c r="D316" s="145"/>
      <c r="E316" s="144">
        <v>52500</v>
      </c>
      <c r="F316" s="146"/>
      <c r="G316" s="556">
        <f>SUM(G317:G318)</f>
        <v>39079000</v>
      </c>
      <c r="H316" s="556">
        <f t="shared" ref="H316" si="181">SUM(H317:H318)</f>
        <v>0</v>
      </c>
      <c r="I316" s="556">
        <f t="shared" si="155"/>
        <v>39079000</v>
      </c>
      <c r="J316" s="556">
        <f>SUM(J317:J318)</f>
        <v>39079000</v>
      </c>
      <c r="K316" s="379">
        <f t="shared" ref="K316" si="182">SUM(K317:K318)</f>
        <v>0</v>
      </c>
      <c r="L316" s="379">
        <f t="shared" si="156"/>
        <v>39079000</v>
      </c>
    </row>
    <row r="317" spans="1:12" ht="30.75" customHeight="1">
      <c r="A317" s="148" t="str">
        <f>IF(B317&gt;0,VLOOKUP(B317,КВСР!A207:B1372,2),IF(C317&gt;0,VLOOKUP(C317,КФСР!A207:B1719,2),IF(D317&gt;0,VLOOKUP(D317,Программа!A$1:B$5091,2),IF(F317&gt;0,VLOOKUP(F317,КВР!A$1:B$5001,2),IF(E317&gt;0,VLOOKUP(E317,Направление!A$1:B$4750,2))))))</f>
        <v xml:space="preserve">Закупка товаров, работ и услуг для обеспечения государственных (муниципальных) нужд
</v>
      </c>
      <c r="B317" s="149"/>
      <c r="C317" s="144"/>
      <c r="D317" s="145"/>
      <c r="E317" s="144"/>
      <c r="F317" s="146">
        <v>200</v>
      </c>
      <c r="G317" s="556">
        <v>575607</v>
      </c>
      <c r="H317" s="556"/>
      <c r="I317" s="556">
        <f t="shared" si="155"/>
        <v>575607</v>
      </c>
      <c r="J317" s="556">
        <v>575607</v>
      </c>
      <c r="K317" s="379"/>
      <c r="L317" s="379">
        <f t="shared" si="156"/>
        <v>575607</v>
      </c>
    </row>
    <row r="318" spans="1:12" ht="30.75" customHeight="1">
      <c r="A318" s="148" t="str">
        <f>IF(B318&gt;0,VLOOKUP(B318,КВСР!A208:B1373,2),IF(C318&gt;0,VLOOKUP(C318,КФСР!A208:B1720,2),IF(D318&gt;0,VLOOKUP(D318,Программа!A$1:B$5091,2),IF(F318&gt;0,VLOOKUP(F318,КВР!A$1:B$5001,2),IF(E318&gt;0,VLOOKUP(E318,Направление!A$1:B$4750,2))))))</f>
        <v>Социальное обеспечение и иные выплаты населению</v>
      </c>
      <c r="B318" s="149"/>
      <c r="C318" s="144"/>
      <c r="D318" s="145"/>
      <c r="E318" s="144"/>
      <c r="F318" s="146">
        <v>300</v>
      </c>
      <c r="G318" s="556">
        <v>38503393</v>
      </c>
      <c r="H318" s="556"/>
      <c r="I318" s="556">
        <f t="shared" si="155"/>
        <v>38503393</v>
      </c>
      <c r="J318" s="556">
        <v>38503393</v>
      </c>
      <c r="K318" s="379"/>
      <c r="L318" s="379">
        <f t="shared" si="156"/>
        <v>38503393</v>
      </c>
    </row>
    <row r="319" spans="1:12" ht="108" hidden="1" customHeight="1">
      <c r="A319" s="148" t="str">
        <f>IF(B319&gt;0,VLOOKUP(B319,КВСР!A209:B1374,2),IF(C319&gt;0,VLOOKUP(C319,КФСР!A209:B1721,2),IF(D319&gt;0,VLOOKUP(D319,Программа!A$1:B$5091,2),IF(F319&gt;0,VLOOKUP(F319,КВР!A$1:B$5001,2),IF(E319&gt;0,VLOOKUP(E319,Направление!A$1:B$4750,2))))))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319" s="149"/>
      <c r="C319" s="144"/>
      <c r="D319" s="145"/>
      <c r="E319" s="144">
        <v>54620</v>
      </c>
      <c r="F319" s="146"/>
      <c r="G319" s="556">
        <f>G320</f>
        <v>0</v>
      </c>
      <c r="H319" s="556">
        <f t="shared" ref="H319" si="183">H320</f>
        <v>0</v>
      </c>
      <c r="I319" s="556">
        <f t="shared" si="155"/>
        <v>0</v>
      </c>
      <c r="J319" s="556">
        <f>J320</f>
        <v>0</v>
      </c>
      <c r="K319" s="379">
        <f t="shared" ref="K319" si="184">K320</f>
        <v>0</v>
      </c>
      <c r="L319" s="379">
        <f t="shared" si="156"/>
        <v>0</v>
      </c>
    </row>
    <row r="320" spans="1:12" ht="30.75" hidden="1" customHeight="1">
      <c r="A320" s="148" t="str">
        <f>IF(B320&gt;0,VLOOKUP(B320,КВСР!A211:B1376,2),IF(C320&gt;0,VLOOKUP(C320,КФСР!A211:B1723,2),IF(D320&gt;0,VLOOKUP(D320,Программа!A$1:B$5091,2),IF(F320&gt;0,VLOOKUP(F320,КВР!A$1:B$5001,2),IF(E320&gt;0,VLOOKUP(E320,Направление!A$1:B$4750,2))))))</f>
        <v>Социальное обеспечение и иные выплаты населению</v>
      </c>
      <c r="B320" s="149"/>
      <c r="C320" s="144"/>
      <c r="D320" s="145"/>
      <c r="E320" s="144"/>
      <c r="F320" s="146">
        <v>300</v>
      </c>
      <c r="G320" s="556"/>
      <c r="H320" s="556"/>
      <c r="I320" s="556">
        <f t="shared" si="155"/>
        <v>0</v>
      </c>
      <c r="J320" s="556"/>
      <c r="K320" s="379"/>
      <c r="L320" s="379">
        <f t="shared" si="156"/>
        <v>0</v>
      </c>
    </row>
    <row r="321" spans="1:12" ht="78.75">
      <c r="A321" s="148" t="str">
        <f>IF(B321&gt;0,VLOOKUP(B321,КВСР!A199:B1364,2),IF(C321&gt;0,VLOOKUP(C321,КФСР!A199:B1711,2),IF(D321&gt;0,VLOOKUP(D321,Программа!A$1:B$5091,2),IF(F321&gt;0,VLOOKUP(F321,КВР!A$1:B$5001,2),IF(E321&gt;0,VLOOKUP(E321,Направление!A$1:B$4750,2))))))</f>
        <v>Предоставление гражданам субсидий на оплату жилого помещения и коммунальных услуг за счет средств областного бюджета</v>
      </c>
      <c r="B321" s="149"/>
      <c r="C321" s="144"/>
      <c r="D321" s="145"/>
      <c r="E321" s="144">
        <v>70740</v>
      </c>
      <c r="F321" s="146"/>
      <c r="G321" s="556">
        <f>G322+G323</f>
        <v>28535000</v>
      </c>
      <c r="H321" s="556">
        <f t="shared" ref="H321" si="185">H322+H323</f>
        <v>0</v>
      </c>
      <c r="I321" s="556">
        <f t="shared" si="155"/>
        <v>28535000</v>
      </c>
      <c r="J321" s="556">
        <f>J322+J323</f>
        <v>28535000</v>
      </c>
      <c r="K321" s="379">
        <f t="shared" ref="K321" si="186">K322+K323</f>
        <v>0</v>
      </c>
      <c r="L321" s="379">
        <f t="shared" si="156"/>
        <v>28535000</v>
      </c>
    </row>
    <row r="322" spans="1:12" ht="78.75">
      <c r="A322" s="148" t="str">
        <f>IF(B322&gt;0,VLOOKUP(B322,КВСР!A200:B1365,2),IF(C322&gt;0,VLOOKUP(C322,КФСР!A200:B1712,2),IF(D322&gt;0,VLOOKUP(D322,Программа!A$1:B$5091,2),IF(F322&gt;0,VLOOKUP(F322,КВР!A$1:B$5001,2),IF(E322&gt;0,VLOOKUP(E322,Направление!A$1:B$4750,2))))))</f>
        <v xml:space="preserve">Закупка товаров, работ и услуг для обеспечения государственных (муниципальных) нужд
</v>
      </c>
      <c r="B322" s="149"/>
      <c r="C322" s="144"/>
      <c r="D322" s="145"/>
      <c r="E322" s="144"/>
      <c r="F322" s="146">
        <v>200</v>
      </c>
      <c r="G322" s="556">
        <v>421665</v>
      </c>
      <c r="H322" s="556"/>
      <c r="I322" s="556">
        <f t="shared" si="155"/>
        <v>421665</v>
      </c>
      <c r="J322" s="556">
        <v>421665</v>
      </c>
      <c r="K322" s="379"/>
      <c r="L322" s="379">
        <f t="shared" si="156"/>
        <v>421665</v>
      </c>
    </row>
    <row r="323" spans="1:12" ht="31.5">
      <c r="A323" s="148" t="str">
        <f>IF(B323&gt;0,VLOOKUP(B323,КВСР!A201:B1366,2),IF(C323&gt;0,VLOOKUP(C323,КФСР!A201:B1713,2),IF(D323&gt;0,VLOOKUP(D323,Программа!A$1:B$5091,2),IF(F323&gt;0,VLOOKUP(F323,КВР!A$1:B$5001,2),IF(E323&gt;0,VLOOKUP(E323,Направление!A$1:B$4750,2))))))</f>
        <v>Социальное обеспечение и иные выплаты населению</v>
      </c>
      <c r="B323" s="149"/>
      <c r="C323" s="144"/>
      <c r="D323" s="145"/>
      <c r="E323" s="144"/>
      <c r="F323" s="146">
        <v>300</v>
      </c>
      <c r="G323" s="556">
        <v>28113335</v>
      </c>
      <c r="H323" s="556"/>
      <c r="I323" s="556">
        <f t="shared" si="155"/>
        <v>28113335</v>
      </c>
      <c r="J323" s="556">
        <v>28113335</v>
      </c>
      <c r="K323" s="379"/>
      <c r="L323" s="379">
        <f t="shared" si="156"/>
        <v>28113335</v>
      </c>
    </row>
    <row r="324" spans="1:12" ht="110.25">
      <c r="A324" s="148" t="str">
        <f>IF(B324&gt;0,VLOOKUP(B324,КВСР!A199:B1364,2),IF(C324&gt;0,VLOOKUP(C324,КФСР!A199:B1711,2),IF(D324&gt;0,VLOOKUP(D324,Программа!A$1:B$5091,2),IF(F324&gt;0,VLOOKUP(F324,КВР!A$1:B$5001,2),IF(E324&gt;0,VLOOKUP(E324,Направление!A$1:B$4750,2))))))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24" s="149"/>
      <c r="C324" s="144"/>
      <c r="D324" s="145"/>
      <c r="E324" s="144">
        <v>70750</v>
      </c>
      <c r="F324" s="146"/>
      <c r="G324" s="556">
        <f>G326+G325</f>
        <v>40144000</v>
      </c>
      <c r="H324" s="556">
        <f t="shared" ref="H324" si="187">H326+H325</f>
        <v>0</v>
      </c>
      <c r="I324" s="556">
        <f t="shared" si="155"/>
        <v>40144000</v>
      </c>
      <c r="J324" s="556">
        <f>J326+J325</f>
        <v>40144000</v>
      </c>
      <c r="K324" s="379">
        <f t="shared" ref="K324" si="188">K326+K325</f>
        <v>0</v>
      </c>
      <c r="L324" s="379">
        <f t="shared" si="156"/>
        <v>40144000</v>
      </c>
    </row>
    <row r="325" spans="1:12" ht="78.75">
      <c r="A325" s="148" t="str">
        <f>IF(B325&gt;0,VLOOKUP(B325,КВСР!A200:B1365,2),IF(C325&gt;0,VLOOKUP(C325,КФСР!A200:B1712,2),IF(D325&gt;0,VLOOKUP(D325,Программа!A$1:B$5091,2),IF(F325&gt;0,VLOOKUP(F325,КВР!A$1:B$5001,2),IF(E325&gt;0,VLOOKUP(E325,Направление!A$1:B$4750,2))))))</f>
        <v xml:space="preserve">Закупка товаров, работ и услуг для обеспечения государственных (муниципальных) нужд
</v>
      </c>
      <c r="B325" s="149"/>
      <c r="C325" s="144"/>
      <c r="D325" s="145"/>
      <c r="E325" s="144"/>
      <c r="F325" s="146">
        <v>200</v>
      </c>
      <c r="G325" s="556">
        <v>665443</v>
      </c>
      <c r="H325" s="556"/>
      <c r="I325" s="556">
        <f t="shared" si="155"/>
        <v>665443</v>
      </c>
      <c r="J325" s="556">
        <v>665443</v>
      </c>
      <c r="K325" s="379"/>
      <c r="L325" s="379">
        <f t="shared" si="156"/>
        <v>665443</v>
      </c>
    </row>
    <row r="326" spans="1:12" ht="31.5">
      <c r="A326" s="148" t="str">
        <f>IF(B326&gt;0,VLOOKUP(B326,КВСР!A200:B1365,2),IF(C326&gt;0,VLOOKUP(C326,КФСР!A200:B1712,2),IF(D326&gt;0,VLOOKUP(D326,Программа!A$1:B$5091,2),IF(F326&gt;0,VLOOKUP(F326,КВР!A$1:B$5001,2),IF(E326&gt;0,VLOOKUP(E326,Направление!A$1:B$4750,2))))))</f>
        <v>Социальное обеспечение и иные выплаты населению</v>
      </c>
      <c r="B326" s="149"/>
      <c r="C326" s="144"/>
      <c r="D326" s="145"/>
      <c r="E326" s="144"/>
      <c r="F326" s="146">
        <v>300</v>
      </c>
      <c r="G326" s="556">
        <v>39478557</v>
      </c>
      <c r="H326" s="556"/>
      <c r="I326" s="556">
        <f t="shared" si="155"/>
        <v>39478557</v>
      </c>
      <c r="J326" s="556">
        <v>39478557</v>
      </c>
      <c r="K326" s="379"/>
      <c r="L326" s="379">
        <f t="shared" si="156"/>
        <v>39478557</v>
      </c>
    </row>
    <row r="327" spans="1:12" ht="141.75">
      <c r="A327" s="148" t="str">
        <f>IF(B327&gt;0,VLOOKUP(B327,КВСР!A201:B1366,2),IF(C327&gt;0,VLOOKUP(C327,КФСР!A201:B1713,2),IF(D327&gt;0,VLOOKUP(D327,Программа!A$1:B$5091,2),IF(F327&gt;0,VLOOKUP(F327,КВР!A$1:B$5001,2),IF(E327&gt;0,VLOOKUP(E327,Направление!A$1:B$4750,2))))))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27" s="149"/>
      <c r="C327" s="144"/>
      <c r="D327" s="145"/>
      <c r="E327" s="144">
        <v>70840</v>
      </c>
      <c r="F327" s="146"/>
      <c r="G327" s="556">
        <f>G328+G329</f>
        <v>64492000</v>
      </c>
      <c r="H327" s="556">
        <f t="shared" ref="H327" si="189">H328+H329</f>
        <v>0</v>
      </c>
      <c r="I327" s="556">
        <f t="shared" si="155"/>
        <v>64492000</v>
      </c>
      <c r="J327" s="556">
        <f>J328+J329</f>
        <v>64492000</v>
      </c>
      <c r="K327" s="379">
        <f t="shared" ref="K327" si="190">K328+K329</f>
        <v>0</v>
      </c>
      <c r="L327" s="379">
        <f t="shared" si="156"/>
        <v>64492000</v>
      </c>
    </row>
    <row r="328" spans="1:12" ht="78.75">
      <c r="A328" s="148" t="str">
        <f>IF(B328&gt;0,VLOOKUP(B328,КВСР!A202:B1367,2),IF(C328&gt;0,VLOOKUP(C328,КФСР!A202:B1714,2),IF(D328&gt;0,VLOOKUP(D328,Программа!A$1:B$5091,2),IF(F328&gt;0,VLOOKUP(F328,КВР!A$1:B$5001,2),IF(E328&gt;0,VLOOKUP(E328,Направление!A$1:B$4750,2))))))</f>
        <v xml:space="preserve">Закупка товаров, работ и услуг для обеспечения государственных (муниципальных) нужд
</v>
      </c>
      <c r="B328" s="149"/>
      <c r="C328" s="144"/>
      <c r="D328" s="145"/>
      <c r="E328" s="144"/>
      <c r="F328" s="146">
        <v>200</v>
      </c>
      <c r="G328" s="556">
        <v>1055322</v>
      </c>
      <c r="H328" s="556"/>
      <c r="I328" s="556">
        <f t="shared" si="155"/>
        <v>1055322</v>
      </c>
      <c r="J328" s="556">
        <v>1055322</v>
      </c>
      <c r="K328" s="379"/>
      <c r="L328" s="379">
        <f t="shared" si="156"/>
        <v>1055322</v>
      </c>
    </row>
    <row r="329" spans="1:12" ht="31.5">
      <c r="A329" s="148" t="str">
        <f>IF(B329&gt;0,VLOOKUP(B329,КВСР!A203:B1368,2),IF(C329&gt;0,VLOOKUP(C329,КФСР!A203:B1715,2),IF(D329&gt;0,VLOOKUP(D329,Программа!A$1:B$5091,2),IF(F329&gt;0,VLOOKUP(F329,КВР!A$1:B$5001,2),IF(E329&gt;0,VLOOKUP(E329,Направление!A$1:B$4750,2))))))</f>
        <v>Социальное обеспечение и иные выплаты населению</v>
      </c>
      <c r="B329" s="149"/>
      <c r="C329" s="144"/>
      <c r="D329" s="145"/>
      <c r="E329" s="144"/>
      <c r="F329" s="146">
        <v>300</v>
      </c>
      <c r="G329" s="556">
        <v>63436678</v>
      </c>
      <c r="H329" s="556"/>
      <c r="I329" s="556">
        <f t="shared" si="155"/>
        <v>63436678</v>
      </c>
      <c r="J329" s="556">
        <v>63436678</v>
      </c>
      <c r="K329" s="379"/>
      <c r="L329" s="379">
        <f t="shared" si="156"/>
        <v>63436678</v>
      </c>
    </row>
    <row r="330" spans="1:12" ht="47.25">
      <c r="A330" s="148" t="str">
        <f>IF(B330&gt;0,VLOOKUP(B330,КВСР!A204:B1369,2),IF(C330&gt;0,VLOOKUP(C330,КФСР!A204:B1716,2),IF(D330&gt;0,VLOOKUP(D330,Программа!A$1:B$5091,2),IF(F330&gt;0,VLOOKUP(F330,КВР!A$1:B$5001,2),IF(E330&gt;0,VLOOKUP(E330,Направление!A$1:B$4750,2))))))</f>
        <v>Денежные выплаты за счет средств областного бюджета</v>
      </c>
      <c r="B330" s="149"/>
      <c r="C330" s="144"/>
      <c r="D330" s="145"/>
      <c r="E330" s="144">
        <v>70860</v>
      </c>
      <c r="F330" s="146"/>
      <c r="G330" s="556">
        <f>G331+G332</f>
        <v>21266000</v>
      </c>
      <c r="H330" s="556">
        <f t="shared" ref="H330" si="191">H331+H332</f>
        <v>0</v>
      </c>
      <c r="I330" s="556">
        <f t="shared" si="155"/>
        <v>21266000</v>
      </c>
      <c r="J330" s="556">
        <f>J331+J332</f>
        <v>21266000</v>
      </c>
      <c r="K330" s="379">
        <f t="shared" ref="K330" si="192">K331+K332</f>
        <v>0</v>
      </c>
      <c r="L330" s="379">
        <f t="shared" si="156"/>
        <v>21266000</v>
      </c>
    </row>
    <row r="331" spans="1:12" ht="78.75">
      <c r="A331" s="148" t="str">
        <f>IF(B331&gt;0,VLOOKUP(B331,КВСР!A205:B1370,2),IF(C331&gt;0,VLOOKUP(C331,КФСР!A205:B1717,2),IF(D331&gt;0,VLOOKUP(D331,Программа!A$1:B$5091,2),IF(F331&gt;0,VLOOKUP(F331,КВР!A$1:B$5001,2),IF(E331&gt;0,VLOOKUP(E331,Направление!A$1:B$4750,2))))))</f>
        <v xml:space="preserve">Закупка товаров, работ и услуг для обеспечения государственных (муниципальных) нужд
</v>
      </c>
      <c r="B331" s="149"/>
      <c r="C331" s="144"/>
      <c r="D331" s="145"/>
      <c r="E331" s="144"/>
      <c r="F331" s="146">
        <v>200</v>
      </c>
      <c r="G331" s="556">
        <v>319140</v>
      </c>
      <c r="H331" s="556"/>
      <c r="I331" s="556">
        <f t="shared" si="155"/>
        <v>319140</v>
      </c>
      <c r="J331" s="556">
        <v>319140</v>
      </c>
      <c r="K331" s="379"/>
      <c r="L331" s="379">
        <f t="shared" si="156"/>
        <v>319140</v>
      </c>
    </row>
    <row r="332" spans="1:12" ht="31.5">
      <c r="A332" s="148" t="str">
        <f>IF(B332&gt;0,VLOOKUP(B332,КВСР!A206:B1371,2),IF(C332&gt;0,VLOOKUP(C332,КФСР!A206:B1718,2),IF(D332&gt;0,VLOOKUP(D332,Программа!A$1:B$5091,2),IF(F332&gt;0,VLOOKUP(F332,КВР!A$1:B$5001,2),IF(E332&gt;0,VLOOKUP(E332,Направление!A$1:B$4750,2))))))</f>
        <v>Социальное обеспечение и иные выплаты населению</v>
      </c>
      <c r="B332" s="149"/>
      <c r="C332" s="144"/>
      <c r="D332" s="145"/>
      <c r="E332" s="144"/>
      <c r="F332" s="146">
        <v>300</v>
      </c>
      <c r="G332" s="556">
        <v>20946860</v>
      </c>
      <c r="H332" s="556"/>
      <c r="I332" s="556">
        <f t="shared" si="155"/>
        <v>20946860</v>
      </c>
      <c r="J332" s="556">
        <v>20946860</v>
      </c>
      <c r="K332" s="379"/>
      <c r="L332" s="379">
        <f t="shared" si="156"/>
        <v>20946860</v>
      </c>
    </row>
    <row r="333" spans="1:12" ht="78.75" hidden="1">
      <c r="A333" s="148" t="str">
        <f>IF(B333&gt;0,VLOOKUP(B333,КВСР!A207:B1372,2),IF(C333&gt;0,VLOOKUP(C333,КФСР!A207:B1719,2),IF(D333&gt;0,VLOOKUP(D333,Программа!A$1:B$5091,2),IF(F333&gt;0,VLOOKUP(F333,КВР!A$1:B$5001,2),IF(E333&gt;0,VLOOKUP(E333,Направление!A$1:B$4750,2))))))</f>
        <v>Оказание социальной помощи отдельным категориям граждан за счет средств областного бюджета</v>
      </c>
      <c r="B333" s="149"/>
      <c r="C333" s="144"/>
      <c r="D333" s="145"/>
      <c r="E333" s="144">
        <v>70890</v>
      </c>
      <c r="F333" s="146"/>
      <c r="G333" s="556">
        <f>G334+G335</f>
        <v>4559320</v>
      </c>
      <c r="H333" s="556">
        <f t="shared" ref="H333" si="193">H334+H335</f>
        <v>-4559320</v>
      </c>
      <c r="I333" s="556">
        <f t="shared" si="155"/>
        <v>0</v>
      </c>
      <c r="J333" s="556">
        <f>J334+J335</f>
        <v>4559320</v>
      </c>
      <c r="K333" s="379">
        <f t="shared" ref="K333" si="194">K334+K335</f>
        <v>-4559320</v>
      </c>
      <c r="L333" s="379">
        <f t="shared" si="156"/>
        <v>0</v>
      </c>
    </row>
    <row r="334" spans="1:12" ht="78.75" hidden="1">
      <c r="A334" s="148" t="str">
        <f>IF(B334&gt;0,VLOOKUP(B334,КВСР!A208:B1373,2),IF(C334&gt;0,VLOOKUP(C334,КФСР!A208:B1720,2),IF(D334&gt;0,VLOOKUP(D334,Программа!A$1:B$5091,2),IF(F334&gt;0,VLOOKUP(F334,КВР!A$1:B$5001,2),IF(E334&gt;0,VLOOKUP(E334,Направление!A$1:B$4750,2))))))</f>
        <v xml:space="preserve">Закупка товаров, работ и услуг для обеспечения государственных (муниципальных) нужд
</v>
      </c>
      <c r="B334" s="149"/>
      <c r="C334" s="144"/>
      <c r="D334" s="145"/>
      <c r="E334" s="144"/>
      <c r="F334" s="146">
        <v>200</v>
      </c>
      <c r="G334" s="556">
        <v>69066</v>
      </c>
      <c r="H334" s="556">
        <v>-69066</v>
      </c>
      <c r="I334" s="556">
        <f t="shared" si="155"/>
        <v>0</v>
      </c>
      <c r="J334" s="556">
        <v>69066</v>
      </c>
      <c r="K334" s="379">
        <v>-69066</v>
      </c>
      <c r="L334" s="379">
        <f t="shared" si="156"/>
        <v>0</v>
      </c>
    </row>
    <row r="335" spans="1:12" ht="31.5" hidden="1">
      <c r="A335" s="148" t="str">
        <f>IF(B335&gt;0,VLOOKUP(B335,КВСР!A209:B1374,2),IF(C335&gt;0,VLOOKUP(C335,КФСР!A209:B1721,2),IF(D335&gt;0,VLOOKUP(D335,Программа!A$1:B$5091,2),IF(F335&gt;0,VLOOKUP(F335,КВР!A$1:B$5001,2),IF(E335&gt;0,VLOOKUP(E335,Направление!A$1:B$4750,2))))))</f>
        <v>Социальное обеспечение и иные выплаты населению</v>
      </c>
      <c r="B335" s="149"/>
      <c r="C335" s="144"/>
      <c r="D335" s="145"/>
      <c r="E335" s="144"/>
      <c r="F335" s="146">
        <v>300</v>
      </c>
      <c r="G335" s="556">
        <v>4490254</v>
      </c>
      <c r="H335" s="556">
        <v>-4490254</v>
      </c>
      <c r="I335" s="556">
        <f t="shared" si="155"/>
        <v>0</v>
      </c>
      <c r="J335" s="556">
        <v>4490254</v>
      </c>
      <c r="K335" s="379">
        <v>-4490254</v>
      </c>
      <c r="L335" s="379">
        <f t="shared" si="156"/>
        <v>0</v>
      </c>
    </row>
    <row r="336" spans="1:12" ht="157.5">
      <c r="A336" s="148" t="str">
        <f>IF(B336&gt;0,VLOOKUP(B336,КВСР!A210:B1375,2),IF(C336&gt;0,VLOOKUP(C336,КФСР!A210:B1722,2),IF(D336&gt;0,VLOOKUP(D336,Программа!A$1:B$5091,2),IF(F336&gt;0,VLOOKUP(F336,КВР!A$1:B$5001,2),IF(E336&gt;0,VLOOKUP(E336,Направление!A$1:B$4750,2))))))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336" s="149"/>
      <c r="C336" s="144"/>
      <c r="D336" s="145"/>
      <c r="E336" s="144">
        <v>72550</v>
      </c>
      <c r="F336" s="146"/>
      <c r="G336" s="556">
        <f>G337</f>
        <v>15000</v>
      </c>
      <c r="H336" s="556">
        <f t="shared" ref="H336:L336" si="195">H337</f>
        <v>0</v>
      </c>
      <c r="I336" s="556">
        <f t="shared" si="195"/>
        <v>15000</v>
      </c>
      <c r="J336" s="556">
        <f t="shared" si="195"/>
        <v>15000</v>
      </c>
      <c r="K336" s="379">
        <f t="shared" si="195"/>
        <v>0</v>
      </c>
      <c r="L336" s="379">
        <f t="shared" si="195"/>
        <v>15000</v>
      </c>
    </row>
    <row r="337" spans="1:12" ht="31.5">
      <c r="A337" s="148" t="str">
        <f>IF(B337&gt;0,VLOOKUP(B337,КВСР!A211:B1376,2),IF(C337&gt;0,VLOOKUP(C337,КФСР!A211:B1723,2),IF(D337&gt;0,VLOOKUP(D337,Программа!A$1:B$5091,2),IF(F337&gt;0,VLOOKUP(F337,КВР!A$1:B$5001,2),IF(E337&gt;0,VLOOKUP(E337,Направление!A$1:B$4750,2))))))</f>
        <v>Иные бюджетные ассигнования</v>
      </c>
      <c r="B337" s="149"/>
      <c r="C337" s="144"/>
      <c r="D337" s="145"/>
      <c r="E337" s="144"/>
      <c r="F337" s="146">
        <v>800</v>
      </c>
      <c r="G337" s="556">
        <v>15000</v>
      </c>
      <c r="H337" s="556"/>
      <c r="I337" s="556">
        <f>G337+H337</f>
        <v>15000</v>
      </c>
      <c r="J337" s="556">
        <v>15000</v>
      </c>
      <c r="K337" s="379"/>
      <c r="L337" s="379">
        <f>J337+K337</f>
        <v>15000</v>
      </c>
    </row>
    <row r="338" spans="1:12" ht="141.75">
      <c r="A338" s="148" t="str">
        <f>IF(B338&gt;0,VLOOKUP(B338,КВСР!A212:B1377,2),IF(C338&gt;0,VLOOKUP(C338,КФСР!A212:B1724,2),IF(D338&gt;0,VLOOKUP(D338,Программа!A$1:B$5091,2),IF(F338&gt;0,VLOOKUP(F338,КВР!A$1:B$5001,2),IF(E338&gt;0,VLOOKUP(E338,Направление!A$1:B$4750,2))))))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338" s="149"/>
      <c r="C338" s="144"/>
      <c r="D338" s="145"/>
      <c r="E338" s="144">
        <v>72560</v>
      </c>
      <c r="F338" s="146"/>
      <c r="G338" s="556">
        <f>G339</f>
        <v>562000</v>
      </c>
      <c r="H338" s="556">
        <f t="shared" ref="H338:K338" si="196">H339</f>
        <v>0</v>
      </c>
      <c r="I338" s="556">
        <f t="shared" ref="I338:I339" si="197">G338+H338</f>
        <v>562000</v>
      </c>
      <c r="J338" s="556">
        <f t="shared" si="196"/>
        <v>562000</v>
      </c>
      <c r="K338" s="379">
        <f t="shared" si="196"/>
        <v>0</v>
      </c>
      <c r="L338" s="379">
        <f t="shared" ref="L338:L339" si="198">J338+K338</f>
        <v>562000</v>
      </c>
    </row>
    <row r="339" spans="1:12" ht="31.5">
      <c r="A339" s="148" t="str">
        <f>IF(B339&gt;0,VLOOKUP(B339,КВСР!A213:B1378,2),IF(C339&gt;0,VLOOKUP(C339,КФСР!A213:B1725,2),IF(D339&gt;0,VLOOKUP(D339,Программа!A$1:B$5091,2),IF(F339&gt;0,VLOOKUP(F339,КВР!A$1:B$5001,2),IF(E339&gt;0,VLOOKUP(E339,Направление!A$1:B$4750,2))))))</f>
        <v>Иные бюджетные ассигнования</v>
      </c>
      <c r="B339" s="149"/>
      <c r="C339" s="144"/>
      <c r="D339" s="145"/>
      <c r="E339" s="144"/>
      <c r="F339" s="146">
        <v>800</v>
      </c>
      <c r="G339" s="556">
        <v>562000</v>
      </c>
      <c r="H339" s="556"/>
      <c r="I339" s="556">
        <f t="shared" si="197"/>
        <v>562000</v>
      </c>
      <c r="J339" s="556">
        <v>562000</v>
      </c>
      <c r="K339" s="379"/>
      <c r="L339" s="379">
        <f t="shared" si="198"/>
        <v>562000</v>
      </c>
    </row>
    <row r="340" spans="1:12" ht="78.75" hidden="1">
      <c r="A340" s="148" t="str">
        <f>IF(B340&gt;0,VLOOKUP(B340,КВСР!A210:B1375,2),IF(C340&gt;0,VLOOKUP(C340,КФСР!A210:B1722,2),IF(D340&gt;0,VLOOKUP(D340,Программа!A$1:B$5091,2),IF(F340&gt;0,VLOOKUP(F340,КВР!A$1:B$5001,2),IF(E340&gt;0,VLOOKUP(E340,Направление!A$1:B$4750,2))))))</f>
        <v>Расходы на социальную поддержку отдельных категорий граждан в части ежемесячного пособия на ребенка</v>
      </c>
      <c r="B340" s="149"/>
      <c r="C340" s="144"/>
      <c r="D340" s="145"/>
      <c r="E340" s="144">
        <v>73040</v>
      </c>
      <c r="F340" s="146"/>
      <c r="G340" s="556">
        <f>G341+G342</f>
        <v>38302000</v>
      </c>
      <c r="H340" s="556">
        <f>H341+H342</f>
        <v>-38302000</v>
      </c>
      <c r="I340" s="556">
        <f t="shared" si="155"/>
        <v>0</v>
      </c>
      <c r="J340" s="556">
        <f>J341+J342</f>
        <v>38302000</v>
      </c>
      <c r="K340" s="379">
        <f>K341+K342</f>
        <v>-38302000</v>
      </c>
      <c r="L340" s="379">
        <f t="shared" si="156"/>
        <v>0</v>
      </c>
    </row>
    <row r="341" spans="1:12" ht="78.75" hidden="1">
      <c r="A341" s="148" t="str">
        <f>IF(B341&gt;0,VLOOKUP(B341,КВСР!A211:B1376,2),IF(C341&gt;0,VLOOKUP(C341,КФСР!A211:B1723,2),IF(D341&gt;0,VLOOKUP(D341,Программа!A$1:B$5091,2),IF(F341&gt;0,VLOOKUP(F341,КВР!A$1:B$5001,2),IF(E341&gt;0,VLOOKUP(E341,Направление!A$1:B$4750,2))))))</f>
        <v xml:space="preserve">Закупка товаров, работ и услуг для обеспечения государственных (муниципальных) нужд
</v>
      </c>
      <c r="B341" s="149"/>
      <c r="C341" s="144"/>
      <c r="D341" s="145"/>
      <c r="E341" s="144"/>
      <c r="F341" s="146">
        <v>200</v>
      </c>
      <c r="G341" s="556">
        <v>5982</v>
      </c>
      <c r="H341" s="556">
        <v>-5982</v>
      </c>
      <c r="I341" s="556">
        <f t="shared" si="155"/>
        <v>0</v>
      </c>
      <c r="J341" s="556">
        <v>5982</v>
      </c>
      <c r="K341" s="379">
        <v>-5982</v>
      </c>
      <c r="L341" s="379">
        <f t="shared" si="156"/>
        <v>0</v>
      </c>
    </row>
    <row r="342" spans="1:12" ht="31.5" hidden="1">
      <c r="A342" s="148" t="str">
        <f>IF(B342&gt;0,VLOOKUP(B342,КВСР!A204:B1369,2),IF(C342&gt;0,VLOOKUP(C342,КФСР!A204:B1716,2),IF(D342&gt;0,VLOOKUP(D342,Программа!A$1:B$5091,2),IF(F342&gt;0,VLOOKUP(F342,КВР!A$1:B$5001,2),IF(E342&gt;0,VLOOKUP(E342,Направление!A$1:B$4750,2))))))</f>
        <v>Социальное обеспечение и иные выплаты населению</v>
      </c>
      <c r="B342" s="149"/>
      <c r="C342" s="144"/>
      <c r="D342" s="145"/>
      <c r="E342" s="144"/>
      <c r="F342" s="146">
        <v>300</v>
      </c>
      <c r="G342" s="556">
        <v>38296018</v>
      </c>
      <c r="H342" s="556">
        <v>-38296018</v>
      </c>
      <c r="I342" s="556">
        <f t="shared" si="155"/>
        <v>0</v>
      </c>
      <c r="J342" s="556">
        <v>38296018</v>
      </c>
      <c r="K342" s="379">
        <v>-38296018</v>
      </c>
      <c r="L342" s="379">
        <f t="shared" si="156"/>
        <v>0</v>
      </c>
    </row>
    <row r="343" spans="1:12" ht="133.15" customHeight="1">
      <c r="A343" s="148" t="str">
        <f>IF(B343&gt;0,VLOOKUP(B343,КВСР!A207:B1372,2),IF(C343&gt;0,VLOOKUP(C343,КФСР!A207:B1719,2),IF(D343&gt;0,VLOOKUP(D343,Программа!A$1:B$5091,2),IF(F343&gt;0,VLOOKUP(F343,КВР!A$1:B$5001,2),IF(E343&gt;0,VLOOKUP(E343,Направление!A$1:B$4750,2))))))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343" s="149"/>
      <c r="C343" s="144"/>
      <c r="D343" s="145"/>
      <c r="E343" s="144">
        <v>75490</v>
      </c>
      <c r="F343" s="146"/>
      <c r="G343" s="556">
        <f>G344</f>
        <v>22380</v>
      </c>
      <c r="H343" s="556">
        <f t="shared" ref="H343:J343" si="199">H344</f>
        <v>0</v>
      </c>
      <c r="I343" s="556">
        <f t="shared" si="199"/>
        <v>22380</v>
      </c>
      <c r="J343" s="556">
        <f t="shared" si="199"/>
        <v>22380</v>
      </c>
      <c r="K343" s="379"/>
      <c r="L343" s="379">
        <f>SUM(J343:K343)</f>
        <v>22380</v>
      </c>
    </row>
    <row r="344" spans="1:12" ht="42" customHeight="1">
      <c r="A344" s="148" t="str">
        <f>IF(B344&gt;0,VLOOKUP(B344,КВСР!A208:B1373,2),IF(C344&gt;0,VLOOKUP(C344,КФСР!A208:B1720,2),IF(D344&gt;0,VLOOKUP(D344,Программа!A$1:B$5091,2),IF(F344&gt;0,VLOOKUP(F344,КВР!A$1:B$5001,2),IF(E344&gt;0,VLOOKUP(E344,Направление!A$1:B$4750,2))))))</f>
        <v xml:space="preserve">Закупка товаров, работ и услуг для обеспечения государственных (муниципальных) нужд
</v>
      </c>
      <c r="B344" s="149"/>
      <c r="C344" s="144"/>
      <c r="D344" s="145"/>
      <c r="E344" s="144"/>
      <c r="F344" s="146">
        <v>200</v>
      </c>
      <c r="G344" s="556">
        <v>22380</v>
      </c>
      <c r="H344" s="556"/>
      <c r="I344" s="556">
        <f>SUM(G344:H344)</f>
        <v>22380</v>
      </c>
      <c r="J344" s="556">
        <v>22380</v>
      </c>
      <c r="K344" s="379"/>
      <c r="L344" s="379">
        <f>SUM(J344:K344)</f>
        <v>22380</v>
      </c>
    </row>
    <row r="345" spans="1:12" ht="42" customHeight="1">
      <c r="A345" s="148" t="str">
        <f>IF(B345&gt;0,VLOOKUP(B345,КВСР!A209:B1374,2),IF(C345&gt;0,VLOOKUP(C345,КФСР!A209:B1721,2),IF(D345&gt;0,VLOOKUP(D345,Программа!A$1:B$5091,2),IF(F345&gt;0,VLOOKUP(F345,КВР!A$1:B$5001,2),IF(E345&gt;0,VLOOKUP(E345,Направление!A$1:B$4750,2))))))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45" s="149"/>
      <c r="C345" s="144"/>
      <c r="D345" s="145"/>
      <c r="E345" s="144" t="s">
        <v>1385</v>
      </c>
      <c r="F345" s="146"/>
      <c r="G345" s="556">
        <f>G346</f>
        <v>1287092</v>
      </c>
      <c r="H345" s="556">
        <f t="shared" ref="H345:J345" si="200">H346</f>
        <v>0</v>
      </c>
      <c r="I345" s="556">
        <f t="shared" si="200"/>
        <v>1287092</v>
      </c>
      <c r="J345" s="556">
        <f t="shared" si="200"/>
        <v>1287092</v>
      </c>
      <c r="K345" s="379"/>
      <c r="L345" s="379">
        <f t="shared" ref="L345" si="201">SUM(J345:K345)</f>
        <v>1287092</v>
      </c>
    </row>
    <row r="346" spans="1:12" ht="42" customHeight="1">
      <c r="A346" s="148" t="str">
        <f>IF(B346&gt;0,VLOOKUP(B346,КВСР!A210:B1375,2),IF(C346&gt;0,VLOOKUP(C346,КФСР!A210:B1722,2),IF(D346&gt;0,VLOOKUP(D346,Программа!A$1:B$5091,2),IF(F346&gt;0,VLOOKUP(F346,КВР!A$1:B$5001,2),IF(E346&gt;0,VLOOKUP(E346,Направление!A$1:B$4750,2))))))</f>
        <v>Социальное обеспечение и иные выплаты населению</v>
      </c>
      <c r="B346" s="149"/>
      <c r="C346" s="144"/>
      <c r="D346" s="145"/>
      <c r="E346" s="144"/>
      <c r="F346" s="146">
        <v>300</v>
      </c>
      <c r="G346" s="556">
        <v>1287092</v>
      </c>
      <c r="H346" s="556"/>
      <c r="I346" s="556">
        <f>SUM(G346:H346)</f>
        <v>1287092</v>
      </c>
      <c r="J346" s="556">
        <v>1287092</v>
      </c>
      <c r="K346" s="379"/>
      <c r="L346" s="379">
        <f>SUM(J346:K346)</f>
        <v>1287092</v>
      </c>
    </row>
    <row r="347" spans="1:12" ht="78.75">
      <c r="A347" s="148" t="str">
        <f>IF(B347&gt;0,VLOOKUP(B347,КВСР!A205:B1370,2),IF(C347&gt;0,VLOOKUP(C347,КФСР!A205:B1717,2),IF(D347&gt;0,VLOOKUP(D347,Программа!A$1:B$5091,2),IF(F347&gt;0,VLOOKUP(F347,КВР!A$1:B$5001,2),IF(E347&gt;0,VLOOKUP(E347,Направление!A$1:B$4750,2))))))</f>
        <v>Социальная защита семей с детьми, инвалидов, ветеранов, граждан и детей, оказавшихся в трудной жизненной ситуации</v>
      </c>
      <c r="B347" s="149"/>
      <c r="C347" s="144"/>
      <c r="D347" s="145" t="s">
        <v>640</v>
      </c>
      <c r="E347" s="144"/>
      <c r="F347" s="146"/>
      <c r="G347" s="556">
        <f>G348+G351</f>
        <v>200000</v>
      </c>
      <c r="H347" s="556">
        <f t="shared" ref="H347" si="202">H348+H351</f>
        <v>4559320</v>
      </c>
      <c r="I347" s="556">
        <f t="shared" si="155"/>
        <v>4759320</v>
      </c>
      <c r="J347" s="556">
        <f>J348+J351</f>
        <v>0</v>
      </c>
      <c r="K347" s="379">
        <f t="shared" ref="K347" si="203">K348+K351</f>
        <v>4559320</v>
      </c>
      <c r="L347" s="379">
        <f t="shared" si="156"/>
        <v>4559320</v>
      </c>
    </row>
    <row r="348" spans="1:12" ht="47.25">
      <c r="A348" s="148" t="str">
        <f>IF(B348&gt;0,VLOOKUP(B348,КВСР!A206:B1371,2),IF(C348&gt;0,VLOOKUP(C348,КФСР!A206:B1718,2),IF(D348&gt;0,VLOOKUP(D348,Программа!A$1:B$5091,2),IF(F348&gt;0,VLOOKUP(F348,КВР!A$1:B$5001,2),IF(E348&gt;0,VLOOKUP(E348,Направление!A$1:B$4750,2))))))</f>
        <v>Организация перевозок больных, нуждающихся в амбулаторном гемодиализе</v>
      </c>
      <c r="B348" s="149"/>
      <c r="C348" s="144"/>
      <c r="D348" s="145"/>
      <c r="E348" s="144">
        <v>16210</v>
      </c>
      <c r="F348" s="146"/>
      <c r="G348" s="556">
        <f>G349+G350</f>
        <v>200000</v>
      </c>
      <c r="H348" s="556">
        <f t="shared" ref="H348" si="204">H349+H350</f>
        <v>0</v>
      </c>
      <c r="I348" s="556">
        <f t="shared" si="155"/>
        <v>200000</v>
      </c>
      <c r="J348" s="556">
        <f>J349+J350</f>
        <v>0</v>
      </c>
      <c r="K348" s="379">
        <f t="shared" ref="K348" si="205">K349+K350</f>
        <v>0</v>
      </c>
      <c r="L348" s="379">
        <f t="shared" si="156"/>
        <v>0</v>
      </c>
    </row>
    <row r="349" spans="1:12" ht="31.5">
      <c r="A349" s="148" t="str">
        <f>IF(B349&gt;0,VLOOKUP(B349,КВСР!A207:B1372,2),IF(C349&gt;0,VLOOKUP(C349,КФСР!A207:B1719,2),IF(D349&gt;0,VLOOKUP(D349,Программа!A$1:B$5091,2),IF(F349&gt;0,VLOOKUP(F349,КВР!A$1:B$5001,2),IF(E349&gt;0,VLOOKUP(E349,Направление!A$1:B$4750,2))))))</f>
        <v>Социальное обеспечение и иные выплаты населению</v>
      </c>
      <c r="B349" s="149"/>
      <c r="C349" s="144"/>
      <c r="D349" s="145"/>
      <c r="E349" s="144"/>
      <c r="F349" s="146">
        <v>300</v>
      </c>
      <c r="G349" s="556">
        <v>200000</v>
      </c>
      <c r="H349" s="556"/>
      <c r="I349" s="556">
        <f t="shared" si="155"/>
        <v>200000</v>
      </c>
      <c r="J349" s="556">
        <v>0</v>
      </c>
      <c r="K349" s="379"/>
      <c r="L349" s="379">
        <f t="shared" si="156"/>
        <v>0</v>
      </c>
    </row>
    <row r="350" spans="1:12" ht="31.5" hidden="1">
      <c r="A350" s="148" t="str">
        <f>IF(B350&gt;0,VLOOKUP(B350,КВСР!A208:B1373,2),IF(C350&gt;0,VLOOKUP(C350,КФСР!A208:B1720,2),IF(D350&gt;0,VLOOKUP(D350,Программа!A$1:B$5091,2),IF(F350&gt;0,VLOOKUP(F350,КВР!A$1:B$5001,2),IF(E350&gt;0,VLOOKUP(E350,Направление!A$1:B$4750,2))))))</f>
        <v>Социальное обеспечение и иные выплаты населению</v>
      </c>
      <c r="B350" s="149"/>
      <c r="C350" s="144"/>
      <c r="D350" s="145"/>
      <c r="E350" s="144"/>
      <c r="F350" s="146">
        <v>300</v>
      </c>
      <c r="G350" s="556"/>
      <c r="H350" s="556"/>
      <c r="I350" s="556">
        <f t="shared" si="155"/>
        <v>0</v>
      </c>
      <c r="J350" s="556"/>
      <c r="K350" s="379"/>
      <c r="L350" s="379">
        <f t="shared" si="156"/>
        <v>0</v>
      </c>
    </row>
    <row r="351" spans="1:12" ht="78.75">
      <c r="A351" s="148" t="str">
        <f>IF(B351&gt;0,VLOOKUP(B351,КВСР!A209:B1374,2),IF(C351&gt;0,VLOOKUP(C351,КФСР!A209:B1721,2),IF(D351&gt;0,VLOOKUP(D351,Программа!A$1:B$5091,2),IF(F351&gt;0,VLOOKUP(F351,КВР!A$1:B$5001,2),IF(E351&gt;0,VLOOKUP(E351,Направление!A$1:B$4750,2))))))</f>
        <v>Оказание социальной помощи отдельным категориям граждан за счет средств областного бюджета</v>
      </c>
      <c r="B351" s="149"/>
      <c r="C351" s="144"/>
      <c r="D351" s="145"/>
      <c r="E351" s="144">
        <v>70890</v>
      </c>
      <c r="F351" s="146"/>
      <c r="G351" s="556">
        <f>G352+G353</f>
        <v>0</v>
      </c>
      <c r="H351" s="556">
        <f t="shared" ref="H351" si="206">H352+H353</f>
        <v>4559320</v>
      </c>
      <c r="I351" s="556">
        <f t="shared" si="155"/>
        <v>4559320</v>
      </c>
      <c r="J351" s="556">
        <f>J352+J353</f>
        <v>0</v>
      </c>
      <c r="K351" s="379">
        <f t="shared" ref="K351" si="207">K352+K353</f>
        <v>4559320</v>
      </c>
      <c r="L351" s="379">
        <f t="shared" si="156"/>
        <v>4559320</v>
      </c>
    </row>
    <row r="352" spans="1:12" ht="78.75">
      <c r="A352" s="148" t="str">
        <f>IF(B352&gt;0,VLOOKUP(B352,КВСР!A210:B1375,2),IF(C352&gt;0,VLOOKUP(C352,КФСР!A210:B1722,2),IF(D352&gt;0,VLOOKUP(D352,Программа!A$1:B$5091,2),IF(F352&gt;0,VLOOKUP(F352,КВР!A$1:B$5001,2),IF(E352&gt;0,VLOOKUP(E352,Направление!A$1:B$4750,2))))))</f>
        <v xml:space="preserve">Закупка товаров, работ и услуг для обеспечения государственных (муниципальных) нужд
</v>
      </c>
      <c r="B352" s="149"/>
      <c r="C352" s="144"/>
      <c r="D352" s="145"/>
      <c r="E352" s="144"/>
      <c r="F352" s="146">
        <v>200</v>
      </c>
      <c r="G352" s="556"/>
      <c r="H352" s="556">
        <v>69066</v>
      </c>
      <c r="I352" s="556">
        <f t="shared" si="155"/>
        <v>69066</v>
      </c>
      <c r="J352" s="556"/>
      <c r="K352" s="379">
        <v>69066</v>
      </c>
      <c r="L352" s="379">
        <f t="shared" si="156"/>
        <v>69066</v>
      </c>
    </row>
    <row r="353" spans="1:12" ht="31.5">
      <c r="A353" s="148" t="str">
        <f>IF(B353&gt;0,VLOOKUP(B353,КВСР!A211:B1376,2),IF(C353&gt;0,VLOOKUP(C353,КФСР!A211:B1723,2),IF(D353&gt;0,VLOOKUP(D353,Программа!A$1:B$5091,2),IF(F353&gt;0,VLOOKUP(F353,КВР!A$1:B$5001,2),IF(E353&gt;0,VLOOKUP(E353,Направление!A$1:B$4750,2))))))</f>
        <v>Социальное обеспечение и иные выплаты населению</v>
      </c>
      <c r="B353" s="149"/>
      <c r="C353" s="144"/>
      <c r="D353" s="145"/>
      <c r="E353" s="144"/>
      <c r="F353" s="146">
        <v>300</v>
      </c>
      <c r="G353" s="556"/>
      <c r="H353" s="556">
        <f>1129920+3360334</f>
        <v>4490254</v>
      </c>
      <c r="I353" s="556">
        <f t="shared" si="155"/>
        <v>4490254</v>
      </c>
      <c r="J353" s="556"/>
      <c r="K353" s="379">
        <v>4490254</v>
      </c>
      <c r="L353" s="379">
        <f t="shared" si="156"/>
        <v>4490254</v>
      </c>
    </row>
    <row r="354" spans="1:12" ht="15.75">
      <c r="A354" s="148" t="str">
        <f>IF(B354&gt;0,VLOOKUP(B354,КВСР!A209:B1374,2),IF(C354&gt;0,VLOOKUP(C354,КФСР!A209:B1721,2),IF(D354&gt;0,VLOOKUP(D354,Программа!A$1:B$5091,2),IF(F354&gt;0,VLOOKUP(F354,КВР!A$1:B$5001,2),IF(E354&gt;0,VLOOKUP(E354,Направление!A$1:B$4750,2))))))</f>
        <v>Охрана семьи и детства</v>
      </c>
      <c r="B354" s="149"/>
      <c r="C354" s="144">
        <v>1004</v>
      </c>
      <c r="D354" s="145"/>
      <c r="E354" s="144"/>
      <c r="F354" s="146"/>
      <c r="G354" s="556">
        <f>G355</f>
        <v>79225300</v>
      </c>
      <c r="H354" s="556">
        <f t="shared" ref="H354:H355" si="208">H355</f>
        <v>38302000</v>
      </c>
      <c r="I354" s="556">
        <f t="shared" si="155"/>
        <v>117527300</v>
      </c>
      <c r="J354" s="556">
        <f>J355</f>
        <v>81975400</v>
      </c>
      <c r="K354" s="379">
        <f t="shared" ref="K354:K355" si="209">K355</f>
        <v>38302000</v>
      </c>
      <c r="L354" s="379">
        <f t="shared" si="156"/>
        <v>120277400</v>
      </c>
    </row>
    <row r="355" spans="1:12" ht="63">
      <c r="A355" s="148" t="str">
        <f>IF(B355&gt;0,VLOOKUP(B355,КВСР!A234:B1399,2),IF(C355&gt;0,VLOOKUP(C355,КФСР!A234:B1746,2),IF(D355&gt;0,VLOOKUP(D355,Программа!A$1:B$5091,2),IF(F355&gt;0,VLOOKUP(F355,КВР!A$1:B$5001,2),IF(E355&gt;0,VLOOKUP(E355,Направление!A$1:B$4750,2))))))</f>
        <v>Муниципальная программа "Социальная поддержка населения Тутаевского муниципального района"</v>
      </c>
      <c r="B355" s="149"/>
      <c r="C355" s="144"/>
      <c r="D355" s="145" t="s">
        <v>548</v>
      </c>
      <c r="E355" s="144"/>
      <c r="F355" s="146"/>
      <c r="G355" s="556">
        <f>G356</f>
        <v>79225300</v>
      </c>
      <c r="H355" s="556">
        <f t="shared" si="208"/>
        <v>38302000</v>
      </c>
      <c r="I355" s="556">
        <f t="shared" si="155"/>
        <v>117527300</v>
      </c>
      <c r="J355" s="556">
        <f>J356</f>
        <v>81975400</v>
      </c>
      <c r="K355" s="379">
        <f t="shared" si="209"/>
        <v>38302000</v>
      </c>
      <c r="L355" s="379">
        <f t="shared" si="156"/>
        <v>120277400</v>
      </c>
    </row>
    <row r="356" spans="1:12" ht="78.75">
      <c r="A356" s="148" t="str">
        <f>IF(B356&gt;0,VLOOKUP(B356,КВСР!A235:B1400,2),IF(C356&gt;0,VLOOKUP(C356,КФСР!A235:B1747,2),IF(D356&gt;0,VLOOKUP(D356,Программа!A$1:B$5091,2),IF(F356&gt;0,VLOOKUP(F356,КВР!A$1:B$5001,2),IF(E356&gt;0,VLOOKUP(E356,Направление!A$1:B$4750,2))))))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356" s="149"/>
      <c r="C356" s="144"/>
      <c r="D356" s="145" t="s">
        <v>620</v>
      </c>
      <c r="E356" s="144"/>
      <c r="F356" s="146"/>
      <c r="G356" s="556">
        <f>G357+G374</f>
        <v>79225300</v>
      </c>
      <c r="H356" s="556">
        <f>H357+H374</f>
        <v>38302000</v>
      </c>
      <c r="I356" s="556">
        <f t="shared" si="155"/>
        <v>117527300</v>
      </c>
      <c r="J356" s="556">
        <f>J357+J374</f>
        <v>81975400</v>
      </c>
      <c r="K356" s="379">
        <f>K357+K374</f>
        <v>38302000</v>
      </c>
      <c r="L356" s="379">
        <f t="shared" si="156"/>
        <v>120277400</v>
      </c>
    </row>
    <row r="357" spans="1:12" ht="63">
      <c r="A357" s="148" t="str">
        <f>IF(B357&gt;0,VLOOKUP(B357,КВСР!A236:B1401,2),IF(C357&gt;0,VLOOKUP(C357,КФСР!A236:B1748,2),IF(D357&gt;0,VLOOKUP(D357,Программа!A$1:B$5091,2),IF(F357&gt;0,VLOOKUP(F357,КВР!A$1:B$5001,2),IF(E357&gt;0,VLOOKUP(E357,Направление!A$1:B$4750,2))))))</f>
        <v>Исполнение публичных обязательств по предоставлению выплат, пособий и компенсаций</v>
      </c>
      <c r="B357" s="149"/>
      <c r="C357" s="144"/>
      <c r="D357" s="167" t="s">
        <v>622</v>
      </c>
      <c r="E357" s="168"/>
      <c r="F357" s="146"/>
      <c r="G357" s="556">
        <f>G360+G371+G362+G358+G369+G364+G366</f>
        <v>79225300</v>
      </c>
      <c r="H357" s="556">
        <f t="shared" ref="H357:L357" si="210">H360+H371+H362+H358+H369+H364+H366</f>
        <v>-19357200</v>
      </c>
      <c r="I357" s="556">
        <f t="shared" si="210"/>
        <v>59868100</v>
      </c>
      <c r="J357" s="556">
        <f t="shared" si="210"/>
        <v>81975400</v>
      </c>
      <c r="K357" s="556">
        <f t="shared" si="210"/>
        <v>-21275500</v>
      </c>
      <c r="L357" s="556">
        <f t="shared" si="210"/>
        <v>60699900</v>
      </c>
    </row>
    <row r="358" spans="1:12" ht="189">
      <c r="A358" s="148" t="str">
        <f>IF(B358&gt;0,VLOOKUP(B358,КВСР!A237:B1402,2),IF(C358&gt;0,VLOOKUP(C358,КФСР!A237:B1749,2),IF(D358&gt;0,VLOOKUP(D358,Программа!A$1:B$5091,2),IF(F358&gt;0,VLOOKUP(F358,КВР!A$1:B$5001,2),IF(E358&gt;0,VLOOKUP(E358,Направление!A$1:B$4750,2))))))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58" s="149"/>
      <c r="C358" s="144"/>
      <c r="D358" s="167"/>
      <c r="E358" s="168">
        <v>52700</v>
      </c>
      <c r="F358" s="146"/>
      <c r="G358" s="556">
        <f>G359</f>
        <v>323100</v>
      </c>
      <c r="H358" s="556">
        <f t="shared" ref="H358" si="211">H359</f>
        <v>0</v>
      </c>
      <c r="I358" s="556">
        <f t="shared" ref="I358:I442" si="212">SUM(G358:H358)</f>
        <v>323100</v>
      </c>
      <c r="J358" s="556">
        <f>J359</f>
        <v>335900</v>
      </c>
      <c r="K358" s="379">
        <f t="shared" ref="K358" si="213">K359</f>
        <v>0</v>
      </c>
      <c r="L358" s="379">
        <f t="shared" ref="L358:L442" si="214">SUM(J358:K358)</f>
        <v>335900</v>
      </c>
    </row>
    <row r="359" spans="1:12" ht="31.5">
      <c r="A359" s="148" t="str">
        <f>IF(B359&gt;0,VLOOKUP(B359,КВСР!A238:B1403,2),IF(C359&gt;0,VLOOKUP(C359,КФСР!A238:B1750,2),IF(D359&gt;0,VLOOKUP(D359,Программа!A$1:B$5091,2),IF(F359&gt;0,VLOOKUP(F359,КВР!A$1:B$5001,2),IF(E359&gt;0,VLOOKUP(E359,Направление!A$1:B$4750,2))))))</f>
        <v>Социальное обеспечение и иные выплаты населению</v>
      </c>
      <c r="B359" s="149"/>
      <c r="C359" s="144"/>
      <c r="D359" s="167"/>
      <c r="E359" s="168"/>
      <c r="F359" s="146">
        <v>300</v>
      </c>
      <c r="G359" s="556">
        <v>323100</v>
      </c>
      <c r="H359" s="556"/>
      <c r="I359" s="556">
        <f t="shared" si="212"/>
        <v>323100</v>
      </c>
      <c r="J359" s="556">
        <v>335900</v>
      </c>
      <c r="K359" s="379"/>
      <c r="L359" s="379">
        <f t="shared" si="214"/>
        <v>335900</v>
      </c>
    </row>
    <row r="360" spans="1:12" ht="157.5">
      <c r="A360" s="148" t="str">
        <f>IF(B360&gt;0,VLOOKUP(B360,КВСР!A236:B1401,2),IF(C360&gt;0,VLOOKUP(C360,КФСР!A236:B1748,2),IF(D360&gt;0,VLOOKUP(D360,Программа!A$1:B$5091,2),IF(F360&gt;0,VLOOKUP(F360,КВР!A$1:B$5001,2),IF(E360&gt;0,VLOOKUP(E360,Направление!A$1:B$4750,2))))))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60" s="149"/>
      <c r="C360" s="144"/>
      <c r="D360" s="145"/>
      <c r="E360" s="144">
        <v>53810</v>
      </c>
      <c r="F360" s="146"/>
      <c r="G360" s="556">
        <f>G361</f>
        <v>18213000</v>
      </c>
      <c r="H360" s="556">
        <f t="shared" ref="H360" si="215">H361</f>
        <v>0</v>
      </c>
      <c r="I360" s="556">
        <f t="shared" si="212"/>
        <v>18213000</v>
      </c>
      <c r="J360" s="556">
        <f>J361</f>
        <v>18942000</v>
      </c>
      <c r="K360" s="379">
        <f t="shared" ref="K360" si="216">K361</f>
        <v>0</v>
      </c>
      <c r="L360" s="379">
        <f t="shared" si="214"/>
        <v>18942000</v>
      </c>
    </row>
    <row r="361" spans="1:12" ht="31.5">
      <c r="A361" s="148" t="str">
        <f>IF(B361&gt;0,VLOOKUP(B361,КВСР!A237:B1402,2),IF(C361&gt;0,VLOOKUP(C361,КФСР!A237:B1749,2),IF(D361&gt;0,VLOOKUP(D361,Программа!A$1:B$5091,2),IF(F361&gt;0,VLOOKUP(F361,КВР!A$1:B$5001,2),IF(E361&gt;0,VLOOKUP(E361,Направление!A$1:B$4750,2))))))</f>
        <v>Социальное обеспечение и иные выплаты населению</v>
      </c>
      <c r="B361" s="149"/>
      <c r="C361" s="144"/>
      <c r="D361" s="145"/>
      <c r="E361" s="144"/>
      <c r="F361" s="146">
        <v>300</v>
      </c>
      <c r="G361" s="556">
        <v>18213000</v>
      </c>
      <c r="H361" s="556"/>
      <c r="I361" s="556">
        <f t="shared" si="212"/>
        <v>18213000</v>
      </c>
      <c r="J361" s="556">
        <v>18942000</v>
      </c>
      <c r="K361" s="379"/>
      <c r="L361" s="379">
        <f t="shared" si="214"/>
        <v>18942000</v>
      </c>
    </row>
    <row r="362" spans="1:12" ht="126">
      <c r="A362" s="148" t="str">
        <f>IF(B362&gt;0,VLOOKUP(B362,КВСР!A238:B1403,2),IF(C362&gt;0,VLOOKUP(C362,КФСР!A238:B1750,2),IF(D362&gt;0,VLOOKUP(D362,Программа!A$1:B$5091,2),IF(F362&gt;0,VLOOKUP(F362,КВР!A$1:B$5001,2),IF(E362&gt;0,VLOOKUP(E362,Направление!A$1:B$4750,2))))))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62" s="149"/>
      <c r="C362" s="144"/>
      <c r="D362" s="145"/>
      <c r="E362" s="144">
        <v>53850</v>
      </c>
      <c r="F362" s="146"/>
      <c r="G362" s="556">
        <f>G363</f>
        <v>2248000</v>
      </c>
      <c r="H362" s="556">
        <f t="shared" ref="H362" si="217">H363</f>
        <v>0</v>
      </c>
      <c r="I362" s="556">
        <f t="shared" si="212"/>
        <v>2248000</v>
      </c>
      <c r="J362" s="556">
        <f>J363</f>
        <v>2338000</v>
      </c>
      <c r="K362" s="379">
        <f t="shared" ref="K362" si="218">K363</f>
        <v>0</v>
      </c>
      <c r="L362" s="379">
        <f t="shared" si="214"/>
        <v>2338000</v>
      </c>
    </row>
    <row r="363" spans="1:12" ht="31.5">
      <c r="A363" s="148" t="str">
        <f>IF(B363&gt;0,VLOOKUP(B363,КВСР!A239:B1404,2),IF(C363&gt;0,VLOOKUP(C363,КФСР!A239:B1751,2),IF(D363&gt;0,VLOOKUP(D363,Программа!A$1:B$5091,2),IF(F363&gt;0,VLOOKUP(F363,КВР!A$1:B$5001,2),IF(E363&gt;0,VLOOKUP(E363,Направление!A$1:B$4750,2))))))</f>
        <v>Социальное обеспечение и иные выплаты населению</v>
      </c>
      <c r="B363" s="149"/>
      <c r="C363" s="144"/>
      <c r="D363" s="145"/>
      <c r="E363" s="144"/>
      <c r="F363" s="146">
        <v>300</v>
      </c>
      <c r="G363" s="556">
        <v>2248000</v>
      </c>
      <c r="H363" s="556"/>
      <c r="I363" s="556">
        <f t="shared" si="212"/>
        <v>2248000</v>
      </c>
      <c r="J363" s="556">
        <v>2338000</v>
      </c>
      <c r="K363" s="379"/>
      <c r="L363" s="379">
        <f t="shared" si="214"/>
        <v>2338000</v>
      </c>
    </row>
    <row r="364" spans="1:12" ht="141.75" hidden="1">
      <c r="A364" s="148" t="str">
        <f>IF(B364&gt;0,VLOOKUP(B364,КВСР!A240:B1405,2),IF(C364&gt;0,VLOOKUP(C364,КФСР!A240:B1752,2),IF(D364&gt;0,VLOOKUP(D364,Программа!A$1:B$5091,2),IF(F364&gt;0,VLOOKUP(F364,КВР!A$1:B$5001,2),IF(E364&gt;0,VLOOKUP(E364,Направление!A$1:B$4750,2))))))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64" s="149"/>
      <c r="C364" s="144"/>
      <c r="D364" s="145"/>
      <c r="E364" s="144">
        <v>55730</v>
      </c>
      <c r="F364" s="146"/>
      <c r="G364" s="556">
        <f>G365</f>
        <v>44659200</v>
      </c>
      <c r="H364" s="556">
        <f t="shared" ref="H364:L364" si="219">H365</f>
        <v>-44659200</v>
      </c>
      <c r="I364" s="556">
        <f t="shared" si="219"/>
        <v>0</v>
      </c>
      <c r="J364" s="556">
        <f t="shared" si="219"/>
        <v>46577500</v>
      </c>
      <c r="K364" s="379">
        <f t="shared" si="219"/>
        <v>-46577500</v>
      </c>
      <c r="L364" s="379">
        <f t="shared" si="219"/>
        <v>0</v>
      </c>
    </row>
    <row r="365" spans="1:12" ht="31.5" hidden="1">
      <c r="A365" s="148" t="str">
        <f>IF(B365&gt;0,VLOOKUP(B365,КВСР!A241:B1406,2),IF(C365&gt;0,VLOOKUP(C365,КФСР!A241:B1753,2),IF(D365&gt;0,VLOOKUP(D365,Программа!A$1:B$5091,2),IF(F365&gt;0,VLOOKUP(F365,КВР!A$1:B$5001,2),IF(E365&gt;0,VLOOKUP(E365,Направление!A$1:B$4750,2))))))</f>
        <v>Социальное обеспечение и иные выплаты населению</v>
      </c>
      <c r="B365" s="149"/>
      <c r="C365" s="144"/>
      <c r="D365" s="145"/>
      <c r="E365" s="144"/>
      <c r="F365" s="146">
        <v>300</v>
      </c>
      <c r="G365" s="556">
        <v>44659200</v>
      </c>
      <c r="H365" s="556">
        <v>-44659200</v>
      </c>
      <c r="I365" s="556">
        <f t="shared" si="212"/>
        <v>0</v>
      </c>
      <c r="J365" s="556">
        <v>46577500</v>
      </c>
      <c r="K365" s="379">
        <v>-46577500</v>
      </c>
      <c r="L365" s="379">
        <f t="shared" si="214"/>
        <v>0</v>
      </c>
    </row>
    <row r="366" spans="1:12" ht="78.75">
      <c r="A366" s="148" t="str">
        <f>IF(B366&gt;0,VLOOKUP(B366,КВСР!A242:B1407,2),IF(C366&gt;0,VLOOKUP(C366,КФСР!A242:B1754,2),IF(D366&gt;0,VLOOKUP(D366,Программа!A$1:B$5091,2),IF(F366&gt;0,VLOOKUP(F366,КВР!A$1:B$5001,2),IF(E366&gt;0,VLOOKUP(E366,Направление!A$1:B$4750,2))))))</f>
        <v>Расходы на социальную поддержку отдельных категорий граждан в части ежемесячного пособия на ребенка</v>
      </c>
      <c r="B366" s="149"/>
      <c r="C366" s="144"/>
      <c r="D366" s="145"/>
      <c r="E366" s="144">
        <v>73040</v>
      </c>
      <c r="F366" s="146"/>
      <c r="G366" s="556">
        <f>G367+G368</f>
        <v>0</v>
      </c>
      <c r="H366" s="556">
        <f t="shared" ref="H366:L366" si="220">H367+H368</f>
        <v>38302000</v>
      </c>
      <c r="I366" s="556">
        <f t="shared" si="220"/>
        <v>38302000</v>
      </c>
      <c r="J366" s="556">
        <f t="shared" si="220"/>
        <v>0</v>
      </c>
      <c r="K366" s="556">
        <f t="shared" si="220"/>
        <v>38302000</v>
      </c>
      <c r="L366" s="556">
        <f t="shared" si="220"/>
        <v>38302000</v>
      </c>
    </row>
    <row r="367" spans="1:12" ht="78.75">
      <c r="A367" s="148" t="str">
        <f>IF(B367&gt;0,VLOOKUP(B367,КВСР!A243:B1408,2),IF(C367&gt;0,VLOOKUP(C367,КФСР!A243:B1755,2),IF(D367&gt;0,VLOOKUP(D367,Программа!A$1:B$5091,2),IF(F367&gt;0,VLOOKUP(F367,КВР!A$1:B$5001,2),IF(E367&gt;0,VLOOKUP(E367,Направление!A$1:B$4750,2))))))</f>
        <v xml:space="preserve">Закупка товаров, работ и услуг для обеспечения государственных (муниципальных) нужд
</v>
      </c>
      <c r="B367" s="149"/>
      <c r="C367" s="144"/>
      <c r="D367" s="145"/>
      <c r="E367" s="144"/>
      <c r="F367" s="146">
        <v>200</v>
      </c>
      <c r="G367" s="556"/>
      <c r="H367" s="556">
        <v>5982</v>
      </c>
      <c r="I367" s="556">
        <f>G367+H367</f>
        <v>5982</v>
      </c>
      <c r="J367" s="556"/>
      <c r="K367" s="379">
        <v>5982</v>
      </c>
      <c r="L367" s="379">
        <f>J367+K367</f>
        <v>5982</v>
      </c>
    </row>
    <row r="368" spans="1:12" ht="31.5">
      <c r="A368" s="148" t="str">
        <f>IF(B368&gt;0,VLOOKUP(B368,КВСР!A244:B1409,2),IF(C368&gt;0,VLOOKUP(C368,КФСР!A244:B1756,2),IF(D368&gt;0,VLOOKUP(D368,Программа!A$1:B$5091,2),IF(F368&gt;0,VLOOKUP(F368,КВР!A$1:B$5001,2),IF(E368&gt;0,VLOOKUP(E368,Направление!A$1:B$4750,2))))))</f>
        <v>Социальное обеспечение и иные выплаты населению</v>
      </c>
      <c r="B368" s="149"/>
      <c r="C368" s="144"/>
      <c r="D368" s="145"/>
      <c r="E368" s="144"/>
      <c r="F368" s="146">
        <v>300</v>
      </c>
      <c r="G368" s="556"/>
      <c r="H368" s="556">
        <v>38296018</v>
      </c>
      <c r="I368" s="556">
        <f>G368+H368</f>
        <v>38296018</v>
      </c>
      <c r="J368" s="556"/>
      <c r="K368" s="379">
        <v>38296018</v>
      </c>
      <c r="L368" s="379">
        <f>J368+K368</f>
        <v>38296018</v>
      </c>
    </row>
    <row r="369" spans="1:12" ht="141.75">
      <c r="A369" s="148" t="str">
        <f>IF(B369&gt;0,VLOOKUP(B369,КВСР!A240:B1405,2),IF(C369&gt;0,VLOOKUP(C369,КФСР!A240:B1752,2),IF(D369&gt;0,VLOOKUP(D369,Программа!A$1:B$5091,2),IF(F369&gt;0,VLOOKUP(F369,КВР!A$1:B$5001,2),IF(E369&gt;0,VLOOKUP(E369,Направление!A$1:B$4750,2))))))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69" s="149"/>
      <c r="C369" s="144"/>
      <c r="D369" s="145"/>
      <c r="E369" s="144">
        <v>75480</v>
      </c>
      <c r="F369" s="146"/>
      <c r="G369" s="556">
        <f>G370</f>
        <v>782000</v>
      </c>
      <c r="H369" s="556">
        <f t="shared" ref="H369:L369" si="221">H370</f>
        <v>0</v>
      </c>
      <c r="I369" s="556">
        <f t="shared" si="221"/>
        <v>782000</v>
      </c>
      <c r="J369" s="556">
        <f t="shared" si="221"/>
        <v>782000</v>
      </c>
      <c r="K369" s="379">
        <f t="shared" si="221"/>
        <v>0</v>
      </c>
      <c r="L369" s="379">
        <f t="shared" si="221"/>
        <v>782000</v>
      </c>
    </row>
    <row r="370" spans="1:12" ht="78.75">
      <c r="A370" s="148" t="str">
        <f>IF(B370&gt;0,VLOOKUP(B370,КВСР!A241:B1406,2),IF(C370&gt;0,VLOOKUP(C370,КФСР!A241:B1753,2),IF(D370&gt;0,VLOOKUP(D370,Программа!A$1:B$5091,2),IF(F370&gt;0,VLOOKUP(F370,КВР!A$1:B$5001,2),IF(E370&gt;0,VLOOKUP(E370,Направление!A$1:B$4750,2))))))</f>
        <v xml:space="preserve">Закупка товаров, работ и услуг для обеспечения государственных (муниципальных) нужд
</v>
      </c>
      <c r="B370" s="149"/>
      <c r="C370" s="144"/>
      <c r="D370" s="145"/>
      <c r="E370" s="144"/>
      <c r="F370" s="146">
        <v>200</v>
      </c>
      <c r="G370" s="556">
        <v>782000</v>
      </c>
      <c r="H370" s="556"/>
      <c r="I370" s="556">
        <f t="shared" si="212"/>
        <v>782000</v>
      </c>
      <c r="J370" s="556">
        <v>782000</v>
      </c>
      <c r="K370" s="379"/>
      <c r="L370" s="379">
        <f t="shared" si="214"/>
        <v>782000</v>
      </c>
    </row>
    <row r="371" spans="1:12" ht="126" hidden="1">
      <c r="A371" s="148" t="str">
        <f>IF(B371&gt;0,VLOOKUP(B371,КВСР!A238:B1403,2),IF(C371&gt;0,VLOOKUP(C371,КФСР!A238:B1750,2),IF(D371&gt;0,VLOOKUP(D371,Программа!A$1:B$5091,2),IF(F371&gt;0,VLOOKUP(F371,КВР!A$1:B$5001,2),IF(E371&gt;0,VLOOKUP(E371,Направление!A$1:B$4750,2))))))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71" s="149"/>
      <c r="C371" s="144"/>
      <c r="D371" s="145"/>
      <c r="E371" s="144" t="s">
        <v>1221</v>
      </c>
      <c r="F371" s="146"/>
      <c r="G371" s="556">
        <f>G373+G372</f>
        <v>13000000</v>
      </c>
      <c r="H371" s="556">
        <f t="shared" ref="H371" si="222">H373+H372</f>
        <v>-13000000</v>
      </c>
      <c r="I371" s="556">
        <f t="shared" si="212"/>
        <v>0</v>
      </c>
      <c r="J371" s="556">
        <f>J373+J372</f>
        <v>13000000</v>
      </c>
      <c r="K371" s="379">
        <f t="shared" ref="K371" si="223">K373+K372</f>
        <v>-13000000</v>
      </c>
      <c r="L371" s="379">
        <f t="shared" si="214"/>
        <v>0</v>
      </c>
    </row>
    <row r="372" spans="1:12" ht="78.75" hidden="1">
      <c r="A372" s="148" t="str">
        <f>IF(B372&gt;0,VLOOKUP(B372,КВСР!A239:B1404,2),IF(C372&gt;0,VLOOKUP(C372,КФСР!A239:B1751,2),IF(D372&gt;0,VLOOKUP(D372,Программа!A$1:B$5091,2),IF(F372&gt;0,VLOOKUP(F372,КВР!A$1:B$5001,2),IF(E372&gt;0,VLOOKUP(E372,Направление!A$1:B$4750,2))))))</f>
        <v xml:space="preserve">Закупка товаров, работ и услуг для обеспечения государственных (муниципальных) нужд
</v>
      </c>
      <c r="B372" s="149"/>
      <c r="C372" s="144"/>
      <c r="D372" s="145"/>
      <c r="E372" s="144"/>
      <c r="F372" s="146">
        <v>200</v>
      </c>
      <c r="G372" s="556"/>
      <c r="H372" s="556"/>
      <c r="I372" s="556">
        <f t="shared" si="212"/>
        <v>0</v>
      </c>
      <c r="J372" s="556"/>
      <c r="K372" s="379"/>
      <c r="L372" s="379">
        <f t="shared" si="214"/>
        <v>0</v>
      </c>
    </row>
    <row r="373" spans="1:12" ht="31.5" hidden="1">
      <c r="A373" s="148" t="str">
        <f>IF(B373&gt;0,VLOOKUP(B373,КВСР!A239:B1404,2),IF(C373&gt;0,VLOOKUP(C373,КФСР!A239:B1751,2),IF(D373&gt;0,VLOOKUP(D373,Программа!A$1:B$5091,2),IF(F373&gt;0,VLOOKUP(F373,КВР!A$1:B$5001,2),IF(E373&gt;0,VLOOKUP(E373,Направление!A$1:B$4750,2))))))</f>
        <v>Социальное обеспечение и иные выплаты населению</v>
      </c>
      <c r="B373" s="149"/>
      <c r="C373" s="144"/>
      <c r="D373" s="145"/>
      <c r="E373" s="144"/>
      <c r="F373" s="146">
        <v>300</v>
      </c>
      <c r="G373" s="556">
        <v>13000000</v>
      </c>
      <c r="H373" s="556">
        <v>-13000000</v>
      </c>
      <c r="I373" s="556">
        <f t="shared" si="212"/>
        <v>0</v>
      </c>
      <c r="J373" s="556">
        <v>13000000</v>
      </c>
      <c r="K373" s="379">
        <v>-13000000</v>
      </c>
      <c r="L373" s="379">
        <f t="shared" si="214"/>
        <v>0</v>
      </c>
    </row>
    <row r="374" spans="1:12" ht="47.25">
      <c r="A374" s="148" t="str">
        <f>IF(B374&gt;0,VLOOKUP(B374,КВСР!A240:B1405,2),IF(C374&gt;0,VLOOKUP(C374,КФСР!A240:B1752,2),IF(D374&gt;0,VLOOKUP(D374,Программа!A$1:B$5091,2),IF(F374&gt;0,VLOOKUP(F374,КВР!A$1:B$5001,2),IF(E374&gt;0,VLOOKUP(E374,Направление!A$1:B$4750,2))))))</f>
        <v>Федеральный проект "Финансовая поддержка при рождении детей"</v>
      </c>
      <c r="B374" s="149"/>
      <c r="C374" s="144"/>
      <c r="D374" s="145" t="s">
        <v>1812</v>
      </c>
      <c r="E374" s="144"/>
      <c r="F374" s="146"/>
      <c r="G374" s="556">
        <f>G375+G377</f>
        <v>0</v>
      </c>
      <c r="H374" s="556">
        <f t="shared" ref="H374:L374" si="224">H375+H377</f>
        <v>57659200</v>
      </c>
      <c r="I374" s="556">
        <f t="shared" si="224"/>
        <v>57659200</v>
      </c>
      <c r="J374" s="556">
        <f t="shared" si="224"/>
        <v>0</v>
      </c>
      <c r="K374" s="556">
        <f t="shared" si="224"/>
        <v>59577500</v>
      </c>
      <c r="L374" s="556">
        <f t="shared" si="224"/>
        <v>59577500</v>
      </c>
    </row>
    <row r="375" spans="1:12" ht="94.5">
      <c r="A375" s="148" t="str">
        <f>IF(B375&gt;0,VLOOKUP(B375,КВСР!A241:B1406,2),IF(C375&gt;0,VLOOKUP(C375,КФСР!A241:B1753,2),IF(D375&gt;0,VLOOKUP(D375,Программа!A$1:B$5091,2),IF(F375&gt;0,VLOOKUP(F375,КВР!A$1:B$5001,2),IF(E375&gt;0,VLOOKUP(E375,Направление!A$1:B$4750,2))))))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375" s="149"/>
      <c r="C375" s="144"/>
      <c r="D375" s="145"/>
      <c r="E375" s="144">
        <v>50840</v>
      </c>
      <c r="F375" s="146"/>
      <c r="G375" s="556">
        <f>G376</f>
        <v>0</v>
      </c>
      <c r="H375" s="556">
        <f t="shared" ref="H375" si="225">H376</f>
        <v>13000000</v>
      </c>
      <c r="I375" s="556">
        <f t="shared" si="212"/>
        <v>13000000</v>
      </c>
      <c r="J375" s="556">
        <f>J376</f>
        <v>0</v>
      </c>
      <c r="K375" s="379">
        <f t="shared" ref="K375" si="226">K376</f>
        <v>13000000</v>
      </c>
      <c r="L375" s="379">
        <f t="shared" si="214"/>
        <v>13000000</v>
      </c>
    </row>
    <row r="376" spans="1:12" ht="31.5">
      <c r="A376" s="148" t="str">
        <f>IF(B376&gt;0,VLOOKUP(B376,КВСР!A239:B1404,2),IF(C376&gt;0,VLOOKUP(C376,КФСР!A239:B1751,2),IF(D376&gt;0,VLOOKUP(D376,Программа!A$1:B$5091,2),IF(F376&gt;0,VLOOKUP(F376,КВР!A$1:B$5001,2),IF(E376&gt;0,VLOOKUP(E376,Направление!A$1:B$4750,2))))))</f>
        <v>Социальное обеспечение и иные выплаты населению</v>
      </c>
      <c r="B376" s="149"/>
      <c r="C376" s="144"/>
      <c r="D376" s="145"/>
      <c r="E376" s="144"/>
      <c r="F376" s="146">
        <v>300</v>
      </c>
      <c r="G376" s="556"/>
      <c r="H376" s="556">
        <v>13000000</v>
      </c>
      <c r="I376" s="556">
        <f t="shared" si="212"/>
        <v>13000000</v>
      </c>
      <c r="J376" s="556"/>
      <c r="K376" s="379">
        <v>13000000</v>
      </c>
      <c r="L376" s="379">
        <f t="shared" si="214"/>
        <v>13000000</v>
      </c>
    </row>
    <row r="377" spans="1:12" ht="141.75">
      <c r="A377" s="148" t="str">
        <f>IF(B377&gt;0,VLOOKUP(B377,КВСР!A240:B1405,2),IF(C377&gt;0,VLOOKUP(C377,КФСР!A240:B1752,2),IF(D377&gt;0,VLOOKUP(D377,Программа!A$1:B$5091,2),IF(F377&gt;0,VLOOKUP(F377,КВР!A$1:B$5001,2),IF(E377&gt;0,VLOOKUP(E377,Направление!A$1:B$4750,2))))))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77" s="149"/>
      <c r="C377" s="144"/>
      <c r="D377" s="145"/>
      <c r="E377" s="144">
        <v>55730</v>
      </c>
      <c r="F377" s="146"/>
      <c r="G377" s="556">
        <f>G378</f>
        <v>0</v>
      </c>
      <c r="H377" s="556">
        <f t="shared" ref="H377:L377" si="227">H378</f>
        <v>44659200</v>
      </c>
      <c r="I377" s="556">
        <f t="shared" si="227"/>
        <v>44659200</v>
      </c>
      <c r="J377" s="556">
        <f t="shared" si="227"/>
        <v>0</v>
      </c>
      <c r="K377" s="556">
        <f t="shared" si="227"/>
        <v>46577500</v>
      </c>
      <c r="L377" s="556">
        <f t="shared" si="227"/>
        <v>46577500</v>
      </c>
    </row>
    <row r="378" spans="1:12" ht="31.5">
      <c r="A378" s="148" t="str">
        <f>IF(B378&gt;0,VLOOKUP(B378,КВСР!A241:B1406,2),IF(C378&gt;0,VLOOKUP(C378,КФСР!A241:B1753,2),IF(D378&gt;0,VLOOKUP(D378,Программа!A$1:B$5091,2),IF(F378&gt;0,VLOOKUP(F378,КВР!A$1:B$5001,2),IF(E378&gt;0,VLOOKUP(E378,Направление!A$1:B$4750,2))))))</f>
        <v>Социальное обеспечение и иные выплаты населению</v>
      </c>
      <c r="B378" s="149"/>
      <c r="C378" s="144"/>
      <c r="D378" s="145"/>
      <c r="E378" s="144"/>
      <c r="F378" s="146">
        <v>300</v>
      </c>
      <c r="G378" s="556"/>
      <c r="H378" s="556">
        <v>44659200</v>
      </c>
      <c r="I378" s="556">
        <f>G378+H378</f>
        <v>44659200</v>
      </c>
      <c r="J378" s="556"/>
      <c r="K378" s="379">
        <v>46577500</v>
      </c>
      <c r="L378" s="379">
        <f>J378+K378</f>
        <v>46577500</v>
      </c>
    </row>
    <row r="379" spans="1:12" ht="31.5">
      <c r="A379" s="148" t="str">
        <f>IF(B379&gt;0,VLOOKUP(B379,КВСР!A238:B1403,2),IF(C379&gt;0,VLOOKUP(C379,КФСР!A238:B1750,2),IF(D379&gt;0,VLOOKUP(D379,Программа!A$1:B$5091,2),IF(F379&gt;0,VLOOKUP(F379,КВР!A$1:B$5001,2),IF(E379&gt;0,VLOOKUP(E379,Направление!A$1:B$4750,2))))))</f>
        <v>Другие вопросы в области социальной политики</v>
      </c>
      <c r="B379" s="149"/>
      <c r="C379" s="144">
        <v>1006</v>
      </c>
      <c r="D379" s="145"/>
      <c r="E379" s="144"/>
      <c r="F379" s="146"/>
      <c r="G379" s="556">
        <f>G380</f>
        <v>14971999</v>
      </c>
      <c r="H379" s="556">
        <f t="shared" ref="H379:H380" si="228">H380</f>
        <v>0</v>
      </c>
      <c r="I379" s="556">
        <f t="shared" si="212"/>
        <v>14971999</v>
      </c>
      <c r="J379" s="556">
        <f>J380</f>
        <v>14971999</v>
      </c>
      <c r="K379" s="379">
        <f t="shared" ref="K379:K380" si="229">K380</f>
        <v>0</v>
      </c>
      <c r="L379" s="379">
        <f t="shared" si="214"/>
        <v>14971999</v>
      </c>
    </row>
    <row r="380" spans="1:12" ht="63">
      <c r="A380" s="148" t="str">
        <f>IF(B380&gt;0,VLOOKUP(B380,КВСР!A239:B1404,2),IF(C380&gt;0,VLOOKUP(C380,КФСР!A239:B1751,2),IF(D380&gt;0,VLOOKUP(D380,Программа!A$1:B$5091,2),IF(F380&gt;0,VLOOKUP(F380,КВР!A$1:B$5001,2),IF(E380&gt;0,VLOOKUP(E380,Направление!A$1:B$4750,2))))))</f>
        <v>Муниципальная программа "Социальная поддержка населения Тутаевского муниципального района"</v>
      </c>
      <c r="B380" s="149"/>
      <c r="C380" s="144"/>
      <c r="D380" s="145" t="s">
        <v>548</v>
      </c>
      <c r="E380" s="144"/>
      <c r="F380" s="146"/>
      <c r="G380" s="556">
        <f>G381</f>
        <v>14971999</v>
      </c>
      <c r="H380" s="556">
        <f t="shared" si="228"/>
        <v>0</v>
      </c>
      <c r="I380" s="556">
        <f t="shared" si="212"/>
        <v>14971999</v>
      </c>
      <c r="J380" s="556">
        <f>J381</f>
        <v>14971999</v>
      </c>
      <c r="K380" s="379">
        <f t="shared" si="229"/>
        <v>0</v>
      </c>
      <c r="L380" s="379">
        <f t="shared" si="214"/>
        <v>14971999</v>
      </c>
    </row>
    <row r="381" spans="1:12" ht="78.75">
      <c r="A381" s="148" t="str">
        <f>IF(B381&gt;0,VLOOKUP(B381,КВСР!A240:B1405,2),IF(C381&gt;0,VLOOKUP(C381,КФСР!A240:B1752,2),IF(D381&gt;0,VLOOKUP(D381,Программа!A$1:B$5091,2),IF(F381&gt;0,VLOOKUP(F381,КВР!A$1:B$5001,2),IF(E381&gt;0,VLOOKUP(E381,Направление!A$1:B$4750,2))))))</f>
        <v xml:space="preserve">Ведомственная целевая программа «Социальная поддержка населения Тутаевского муниципального района» </v>
      </c>
      <c r="B381" s="149"/>
      <c r="C381" s="144"/>
      <c r="D381" s="145" t="s">
        <v>620</v>
      </c>
      <c r="E381" s="144"/>
      <c r="F381" s="146"/>
      <c r="G381" s="556">
        <f>G382+G389</f>
        <v>14971999</v>
      </c>
      <c r="H381" s="556">
        <f t="shared" ref="H381" si="230">H382+H389</f>
        <v>0</v>
      </c>
      <c r="I381" s="556">
        <f t="shared" si="212"/>
        <v>14971999</v>
      </c>
      <c r="J381" s="556">
        <f>J382+J389</f>
        <v>14971999</v>
      </c>
      <c r="K381" s="379">
        <f t="shared" ref="K381" si="231">K382+K389</f>
        <v>0</v>
      </c>
      <c r="L381" s="379">
        <f t="shared" si="214"/>
        <v>14971999</v>
      </c>
    </row>
    <row r="382" spans="1:12" ht="63">
      <c r="A382" s="148" t="str">
        <f>IF(B382&gt;0,VLOOKUP(B382,КВСР!A241:B1406,2),IF(C382&gt;0,VLOOKUP(C382,КФСР!A241:B1753,2),IF(D382&gt;0,VLOOKUP(D382,Программа!A$1:B$5091,2),IF(F382&gt;0,VLOOKUP(F382,КВР!A$1:B$5001,2),IF(E382&gt;0,VLOOKUP(E382,Направление!A$1:B$4750,2))))))</f>
        <v>Исполнение публичных обязательств по предоставлению выплат, пособий и компенсаций</v>
      </c>
      <c r="B382" s="149"/>
      <c r="C382" s="144"/>
      <c r="D382" s="145" t="s">
        <v>622</v>
      </c>
      <c r="E382" s="144"/>
      <c r="F382" s="146"/>
      <c r="G382" s="556">
        <f>G383+G385</f>
        <v>14199999</v>
      </c>
      <c r="H382" s="556">
        <f t="shared" ref="H382" si="232">H383+H385</f>
        <v>0</v>
      </c>
      <c r="I382" s="556">
        <f t="shared" si="212"/>
        <v>14199999</v>
      </c>
      <c r="J382" s="556">
        <f>J383+J385</f>
        <v>14199999</v>
      </c>
      <c r="K382" s="379">
        <f t="shared" ref="K382" si="233">K383+K385</f>
        <v>0</v>
      </c>
      <c r="L382" s="379">
        <f t="shared" si="214"/>
        <v>14199999</v>
      </c>
    </row>
    <row r="383" spans="1:12" ht="31.5">
      <c r="A383" s="148" t="str">
        <f>IF(B383&gt;0,VLOOKUP(B383,КВСР!A242:B1407,2),IF(C383&gt;0,VLOOKUP(C383,КФСР!A242:B1754,2),IF(D383&gt;0,VLOOKUP(D383,Программа!A$1:B$5091,2),IF(F383&gt;0,VLOOKUP(F383,КВР!A$1:B$5001,2),IF(E383&gt;0,VLOOKUP(E383,Направление!A$1:B$4750,2))))))</f>
        <v>Содержание центрального аппарата</v>
      </c>
      <c r="B383" s="149"/>
      <c r="C383" s="144"/>
      <c r="D383" s="145"/>
      <c r="E383" s="144">
        <v>12010</v>
      </c>
      <c r="F383" s="146"/>
      <c r="G383" s="556">
        <f>G384</f>
        <v>347699</v>
      </c>
      <c r="H383" s="556">
        <f t="shared" ref="H383" si="234">H384</f>
        <v>0</v>
      </c>
      <c r="I383" s="556">
        <f t="shared" si="212"/>
        <v>347699</v>
      </c>
      <c r="J383" s="556">
        <f>J384</f>
        <v>347699</v>
      </c>
      <c r="K383" s="379">
        <f t="shared" ref="K383" si="235">K384</f>
        <v>0</v>
      </c>
      <c r="L383" s="379">
        <f t="shared" si="214"/>
        <v>347699</v>
      </c>
    </row>
    <row r="384" spans="1:12" ht="173.25">
      <c r="A384" s="148" t="str">
        <f>IF(B384&gt;0,VLOOKUP(B384,КВСР!A242:B1407,2),IF(C384&gt;0,VLOOKUP(C384,КФСР!A242:B1754,2),IF(D384&gt;0,VLOOKUP(D384,Программа!A$1:B$5091,2),IF(F384&gt;0,VLOOKUP(F384,КВР!A$1:B$5001,2),IF(E384&gt;0,VLOOKUP(E384,Направление!A$1:B$4750,2))))))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4" s="149"/>
      <c r="C384" s="144"/>
      <c r="D384" s="145"/>
      <c r="E384" s="144"/>
      <c r="F384" s="146">
        <v>100</v>
      </c>
      <c r="G384" s="556">
        <v>347699</v>
      </c>
      <c r="H384" s="556"/>
      <c r="I384" s="556">
        <f t="shared" si="212"/>
        <v>347699</v>
      </c>
      <c r="J384" s="556">
        <v>347699</v>
      </c>
      <c r="K384" s="379"/>
      <c r="L384" s="379">
        <f t="shared" si="214"/>
        <v>347699</v>
      </c>
    </row>
    <row r="385" spans="1:12" ht="94.5">
      <c r="A385" s="148" t="str">
        <f>IF(B385&gt;0,VLOOKUP(B385,КВСР!A244:B1409,2),IF(C385&gt;0,VLOOKUP(C385,КФСР!A244:B1756,2),IF(D385&gt;0,VLOOKUP(D385,Программа!A$1:B$5091,2),IF(F385&gt;0,VLOOKUP(F385,КВР!A$1:B$5001,2),IF(E385&gt;0,VLOOKUP(E385,Направление!A$1:B$4750,2))))))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85" s="149"/>
      <c r="C385" s="144"/>
      <c r="D385" s="145"/>
      <c r="E385" s="144">
        <v>70870</v>
      </c>
      <c r="F385" s="146"/>
      <c r="G385" s="556">
        <f>G386+G387+G388</f>
        <v>13852300</v>
      </c>
      <c r="H385" s="556">
        <f t="shared" ref="H385" si="236">H386+H387+H388</f>
        <v>0</v>
      </c>
      <c r="I385" s="556">
        <f t="shared" si="212"/>
        <v>13852300</v>
      </c>
      <c r="J385" s="556">
        <f>J386+J387+J388</f>
        <v>13852300</v>
      </c>
      <c r="K385" s="379">
        <f t="shared" ref="K385" si="237">K386+K387+K388</f>
        <v>0</v>
      </c>
      <c r="L385" s="379">
        <f t="shared" si="214"/>
        <v>13852300</v>
      </c>
    </row>
    <row r="386" spans="1:12" ht="173.25">
      <c r="A386" s="148" t="str">
        <f>IF(B386&gt;0,VLOOKUP(B386,КВСР!A245:B1410,2),IF(C386&gt;0,VLOOKUP(C386,КФСР!A245:B1757,2),IF(D386&gt;0,VLOOKUP(D386,Программа!A$1:B$5091,2),IF(F386&gt;0,VLOOKUP(F386,КВР!A$1:B$5001,2),IF(E386&gt;0,VLOOKUP(E386,Направление!A$1:B$4750,2))))))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6" s="149"/>
      <c r="C386" s="144"/>
      <c r="D386" s="145"/>
      <c r="E386" s="144"/>
      <c r="F386" s="146">
        <v>100</v>
      </c>
      <c r="G386" s="556">
        <v>12300500</v>
      </c>
      <c r="H386" s="556"/>
      <c r="I386" s="556">
        <f t="shared" si="212"/>
        <v>12300500</v>
      </c>
      <c r="J386" s="556">
        <v>12300500</v>
      </c>
      <c r="K386" s="379"/>
      <c r="L386" s="379">
        <f t="shared" si="214"/>
        <v>12300500</v>
      </c>
    </row>
    <row r="387" spans="1:12" ht="78.75">
      <c r="A387" s="148" t="str">
        <f>IF(B387&gt;0,VLOOKUP(B387,КВСР!A246:B1411,2),IF(C387&gt;0,VLOOKUP(C387,КФСР!A246:B1758,2),IF(D387&gt;0,VLOOKUP(D387,Программа!A$1:B$5091,2),IF(F387&gt;0,VLOOKUP(F387,КВР!A$1:B$5001,2),IF(E387&gt;0,VLOOKUP(E387,Направление!A$1:B$4750,2))))))</f>
        <v xml:space="preserve">Закупка товаров, работ и услуг для обеспечения государственных (муниципальных) нужд
</v>
      </c>
      <c r="B387" s="149"/>
      <c r="C387" s="144"/>
      <c r="D387" s="145"/>
      <c r="E387" s="144"/>
      <c r="F387" s="146">
        <v>200</v>
      </c>
      <c r="G387" s="556">
        <v>1526800</v>
      </c>
      <c r="H387" s="556"/>
      <c r="I387" s="556">
        <f t="shared" si="212"/>
        <v>1526800</v>
      </c>
      <c r="J387" s="556">
        <v>1526800</v>
      </c>
      <c r="K387" s="379"/>
      <c r="L387" s="379">
        <f t="shared" si="214"/>
        <v>1526800</v>
      </c>
    </row>
    <row r="388" spans="1:12" ht="31.5">
      <c r="A388" s="148" t="str">
        <f>IF(B388&gt;0,VLOOKUP(B388,КВСР!A247:B1412,2),IF(C388&gt;0,VLOOKUP(C388,КФСР!A247:B1759,2),IF(D388&gt;0,VLOOKUP(D388,Программа!A$1:B$5091,2),IF(F388&gt;0,VLOOKUP(F388,КВР!A$1:B$5001,2),IF(E388&gt;0,VLOOKUP(E388,Направление!A$1:B$4750,2))))))</f>
        <v>Иные бюджетные ассигнования</v>
      </c>
      <c r="B388" s="149"/>
      <c r="C388" s="144"/>
      <c r="D388" s="145"/>
      <c r="E388" s="144"/>
      <c r="F388" s="146">
        <v>800</v>
      </c>
      <c r="G388" s="556">
        <v>25000</v>
      </c>
      <c r="H388" s="556"/>
      <c r="I388" s="556">
        <f t="shared" si="212"/>
        <v>25000</v>
      </c>
      <c r="J388" s="556">
        <v>25000</v>
      </c>
      <c r="K388" s="379"/>
      <c r="L388" s="379">
        <f t="shared" si="214"/>
        <v>25000</v>
      </c>
    </row>
    <row r="389" spans="1:12" ht="47.25">
      <c r="A389" s="148" t="str">
        <f>IF(B389&gt;0,VLOOKUP(B389,КВСР!A248:B1413,2),IF(C389&gt;0,VLOOKUP(C389,КФСР!A248:B1760,2),IF(D389&gt;0,VLOOKUP(D389,Программа!A$1:B$5091,2),IF(F389&gt;0,VLOOKUP(F389,КВР!A$1:B$5001,2),IF(E389&gt;0,VLOOKUP(E389,Направление!A$1:B$4750,2))))))</f>
        <v>Информационное обеспечение реализации мероприятий программы</v>
      </c>
      <c r="B389" s="149"/>
      <c r="C389" s="144"/>
      <c r="D389" s="145" t="s">
        <v>1408</v>
      </c>
      <c r="E389" s="144"/>
      <c r="F389" s="146"/>
      <c r="G389" s="556">
        <f>G390</f>
        <v>772000</v>
      </c>
      <c r="H389" s="556">
        <f t="shared" ref="H389:H390" si="238">H390</f>
        <v>0</v>
      </c>
      <c r="I389" s="556">
        <f t="shared" si="212"/>
        <v>772000</v>
      </c>
      <c r="J389" s="556">
        <f>J390</f>
        <v>772000</v>
      </c>
      <c r="K389" s="379">
        <f t="shared" ref="K389:K390" si="239">K390</f>
        <v>0</v>
      </c>
      <c r="L389" s="379">
        <f t="shared" si="214"/>
        <v>772000</v>
      </c>
    </row>
    <row r="390" spans="1:12" ht="94.5">
      <c r="A390" s="148" t="str">
        <f>IF(B390&gt;0,VLOOKUP(B390,КВСР!A249:B1414,2),IF(C390&gt;0,VLOOKUP(C390,КФСР!A249:B1761,2),IF(D390&gt;0,VLOOKUP(D390,Программа!A$1:B$5091,2),IF(F390&gt;0,VLOOKUP(F390,КВР!A$1:B$5001,2),IF(E390&gt;0,VLOOKUP(E390,Направление!A$1:B$4750,2))))))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90" s="149"/>
      <c r="C390" s="144"/>
      <c r="D390" s="145"/>
      <c r="E390" s="144">
        <v>70870</v>
      </c>
      <c r="F390" s="146"/>
      <c r="G390" s="556">
        <f>G391</f>
        <v>772000</v>
      </c>
      <c r="H390" s="556">
        <f t="shared" si="238"/>
        <v>0</v>
      </c>
      <c r="I390" s="556">
        <f t="shared" si="212"/>
        <v>772000</v>
      </c>
      <c r="J390" s="556">
        <f>J391</f>
        <v>772000</v>
      </c>
      <c r="K390" s="379">
        <f t="shared" si="239"/>
        <v>0</v>
      </c>
      <c r="L390" s="379">
        <f t="shared" si="214"/>
        <v>772000</v>
      </c>
    </row>
    <row r="391" spans="1:12" ht="78.75">
      <c r="A391" s="148" t="str">
        <f>IF(B391&gt;0,VLOOKUP(B391,КВСР!A250:B1415,2),IF(C391&gt;0,VLOOKUP(C391,КФСР!A250:B1762,2),IF(D391&gt;0,VLOOKUP(D391,Программа!A$1:B$5091,2),IF(F391&gt;0,VLOOKUP(F391,КВР!A$1:B$5001,2),IF(E391&gt;0,VLOOKUP(E391,Направление!A$1:B$4750,2))))))</f>
        <v xml:space="preserve">Закупка товаров, работ и услуг для обеспечения государственных (муниципальных) нужд
</v>
      </c>
      <c r="B391" s="149"/>
      <c r="C391" s="144"/>
      <c r="D391" s="145"/>
      <c r="E391" s="144"/>
      <c r="F391" s="146">
        <v>200</v>
      </c>
      <c r="G391" s="556">
        <v>772000</v>
      </c>
      <c r="H391" s="556"/>
      <c r="I391" s="556">
        <f t="shared" si="212"/>
        <v>772000</v>
      </c>
      <c r="J391" s="556">
        <v>772000</v>
      </c>
      <c r="K391" s="379"/>
      <c r="L391" s="379">
        <f t="shared" si="214"/>
        <v>772000</v>
      </c>
    </row>
    <row r="392" spans="1:12" ht="31.5">
      <c r="A392" s="142" t="str">
        <f>IF(B392&gt;0,VLOOKUP(B392,КВСР!A247:B1412,2),IF(C392&gt;0,VLOOKUP(C392,КФСР!A247:B1759,2),IF(D392&gt;0,VLOOKUP(D392,Программа!A$1:B$5091,2),IF(F392&gt;0,VLOOKUP(F392,КВР!A$1:B$5001,2),IF(E392&gt;0,VLOOKUP(E392,Направление!A$1:B$4750,2))))))</f>
        <v>Департамент финансов администрации ТМР</v>
      </c>
      <c r="B392" s="143">
        <v>955</v>
      </c>
      <c r="C392" s="144"/>
      <c r="D392" s="145"/>
      <c r="E392" s="144"/>
      <c r="F392" s="146"/>
      <c r="G392" s="560">
        <f t="shared" ref="G392:L392" si="240">G393+G415+G419+G411+G402</f>
        <v>28005584</v>
      </c>
      <c r="H392" s="560">
        <f t="shared" si="240"/>
        <v>-3482269</v>
      </c>
      <c r="I392" s="560">
        <f t="shared" si="240"/>
        <v>24523315</v>
      </c>
      <c r="J392" s="560">
        <f t="shared" si="240"/>
        <v>24468796</v>
      </c>
      <c r="K392" s="555">
        <f t="shared" si="240"/>
        <v>-845481</v>
      </c>
      <c r="L392" s="555">
        <f t="shared" si="240"/>
        <v>23623315</v>
      </c>
    </row>
    <row r="393" spans="1:12" ht="94.5">
      <c r="A393" s="148" t="str">
        <f>IF(B393&gt;0,VLOOKUP(B393,КВСР!A248:B1413,2),IF(C393&gt;0,VLOOKUP(C393,КФСР!A248:B1760,2),IF(D393&gt;0,VLOOKUP(D393,Программа!A$1:B$5091,2),IF(F393&gt;0,VLOOKUP(F393,КВР!A$1:B$5001,2),IF(E393&gt;0,VLOOKUP(E393,Направление!A$1:B$4750,2))))))</f>
        <v>Обеспечение деятельности финансовых, налоговых и таможенных органов и органов финансового (финансово-бюджетного) надзора</v>
      </c>
      <c r="B393" s="149"/>
      <c r="C393" s="144">
        <v>106</v>
      </c>
      <c r="D393" s="145"/>
      <c r="E393" s="144"/>
      <c r="F393" s="146"/>
      <c r="G393" s="556">
        <f>G394</f>
        <v>14422267</v>
      </c>
      <c r="H393" s="556">
        <f t="shared" ref="H393:L393" si="241">H394</f>
        <v>0</v>
      </c>
      <c r="I393" s="556">
        <f t="shared" si="241"/>
        <v>14422267</v>
      </c>
      <c r="J393" s="556">
        <f t="shared" si="241"/>
        <v>14422267</v>
      </c>
      <c r="K393" s="379">
        <f t="shared" si="241"/>
        <v>0</v>
      </c>
      <c r="L393" s="379">
        <f t="shared" si="241"/>
        <v>14422267</v>
      </c>
    </row>
    <row r="394" spans="1:12" ht="31.5">
      <c r="A394" s="148" t="str">
        <f>IF(B394&gt;0,VLOOKUP(B394,КВСР!A249:B1414,2),IF(C394&gt;0,VLOOKUP(C394,КФСР!A249:B1761,2),IF(D394&gt;0,VLOOKUP(D394,Программа!A$1:B$5091,2),IF(F394&gt;0,VLOOKUP(F394,КВР!A$1:B$5001,2),IF(E394&gt;0,VLOOKUP(E394,Направление!A$1:B$4750,2))))))</f>
        <v>Непрограммные расходы бюджета</v>
      </c>
      <c r="B394" s="149"/>
      <c r="C394" s="144"/>
      <c r="D394" s="145" t="s">
        <v>480</v>
      </c>
      <c r="E394" s="144"/>
      <c r="F394" s="146"/>
      <c r="G394" s="556">
        <f>G395</f>
        <v>14422267</v>
      </c>
      <c r="H394" s="556">
        <f t="shared" ref="H394:L394" si="242">H395</f>
        <v>0</v>
      </c>
      <c r="I394" s="556">
        <f t="shared" si="242"/>
        <v>14422267</v>
      </c>
      <c r="J394" s="556">
        <f t="shared" si="242"/>
        <v>14422267</v>
      </c>
      <c r="K394" s="379">
        <f t="shared" si="242"/>
        <v>0</v>
      </c>
      <c r="L394" s="379">
        <f t="shared" si="242"/>
        <v>14422267</v>
      </c>
    </row>
    <row r="395" spans="1:12" ht="31.5">
      <c r="A395" s="148" t="str">
        <f>IF(B395&gt;0,VLOOKUP(B395,КВСР!A252:B1417,2),IF(C395&gt;0,VLOOKUP(C395,КФСР!A252:B1764,2),IF(D395&gt;0,VLOOKUP(D395,Программа!A$1:B$5091,2),IF(F395&gt;0,VLOOKUP(F395,КВР!A$1:B$5001,2),IF(E395&gt;0,VLOOKUP(E395,Направление!A$1:B$4750,2))))))</f>
        <v>Содержание центрального аппарата</v>
      </c>
      <c r="B395" s="149"/>
      <c r="C395" s="144"/>
      <c r="D395" s="145"/>
      <c r="E395" s="144">
        <v>12010</v>
      </c>
      <c r="F395" s="146"/>
      <c r="G395" s="556">
        <f>G396+G397+G398</f>
        <v>14422267</v>
      </c>
      <c r="H395" s="556">
        <f t="shared" ref="H395:L395" si="243">H396+H397+H398</f>
        <v>0</v>
      </c>
      <c r="I395" s="556">
        <f t="shared" si="243"/>
        <v>14422267</v>
      </c>
      <c r="J395" s="556">
        <f t="shared" si="243"/>
        <v>14422267</v>
      </c>
      <c r="K395" s="379">
        <f t="shared" si="243"/>
        <v>0</v>
      </c>
      <c r="L395" s="379">
        <f t="shared" si="243"/>
        <v>14422267</v>
      </c>
    </row>
    <row r="396" spans="1:12" ht="173.25">
      <c r="A396" s="148" t="str">
        <f>IF(B396&gt;0,VLOOKUP(B396,КВСР!A251:B1416,2),IF(C396&gt;0,VLOOKUP(C396,КФСР!A251:B1763,2),IF(D396&gt;0,VLOOKUP(D396,Программа!A$1:B$5091,2),IF(F396&gt;0,VLOOKUP(F396,КВР!A$1:B$5001,2),IF(E396&gt;0,VLOOKUP(E396,Направление!A$1:B$4750,2))))))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149"/>
      <c r="C396" s="144"/>
      <c r="D396" s="145"/>
      <c r="E396" s="144"/>
      <c r="F396" s="146">
        <v>100</v>
      </c>
      <c r="G396" s="556">
        <v>13032517</v>
      </c>
      <c r="H396" s="556"/>
      <c r="I396" s="556">
        <f t="shared" si="212"/>
        <v>13032517</v>
      </c>
      <c r="J396" s="556">
        <v>13032517</v>
      </c>
      <c r="K396" s="379"/>
      <c r="L396" s="379">
        <f t="shared" si="214"/>
        <v>13032517</v>
      </c>
    </row>
    <row r="397" spans="1:12" ht="78.75">
      <c r="A397" s="148" t="str">
        <f>IF(B397&gt;0,VLOOKUP(B397,КВСР!A252:B1417,2),IF(C397&gt;0,VLOOKUP(C397,КФСР!A252:B1764,2),IF(D397&gt;0,VLOOKUP(D397,Программа!A$1:B$5091,2),IF(F397&gt;0,VLOOKUP(F397,КВР!A$1:B$5001,2),IF(E397&gt;0,VLOOKUP(E397,Направление!A$1:B$4750,2))))))</f>
        <v xml:space="preserve">Закупка товаров, работ и услуг для обеспечения государственных (муниципальных) нужд
</v>
      </c>
      <c r="B397" s="149"/>
      <c r="C397" s="144"/>
      <c r="D397" s="145"/>
      <c r="E397" s="144"/>
      <c r="F397" s="146">
        <v>200</v>
      </c>
      <c r="G397" s="556">
        <f>1351750</f>
        <v>1351750</v>
      </c>
      <c r="H397" s="556"/>
      <c r="I397" s="556">
        <f t="shared" si="212"/>
        <v>1351750</v>
      </c>
      <c r="J397" s="556">
        <v>1351750</v>
      </c>
      <c r="K397" s="379"/>
      <c r="L397" s="379">
        <f t="shared" si="214"/>
        <v>1351750</v>
      </c>
    </row>
    <row r="398" spans="1:12" ht="31.5">
      <c r="A398" s="148" t="str">
        <f>IF(B398&gt;0,VLOOKUP(B398,КВСР!A253:B1418,2),IF(C398&gt;0,VLOOKUP(C398,КФСР!A253:B1765,2),IF(D398&gt;0,VLOOKUP(D398,Программа!A$1:B$5091,2),IF(F398&gt;0,VLOOKUP(F398,КВР!A$1:B$5001,2),IF(E398&gt;0,VLOOKUP(E398,Направление!A$1:B$4750,2))))))</f>
        <v>Иные бюджетные ассигнования</v>
      </c>
      <c r="B398" s="149"/>
      <c r="C398" s="144"/>
      <c r="D398" s="145"/>
      <c r="E398" s="144"/>
      <c r="F398" s="146">
        <v>800</v>
      </c>
      <c r="G398" s="556">
        <v>38000</v>
      </c>
      <c r="H398" s="556"/>
      <c r="I398" s="556">
        <f t="shared" si="212"/>
        <v>38000</v>
      </c>
      <c r="J398" s="556">
        <v>38000</v>
      </c>
      <c r="K398" s="379"/>
      <c r="L398" s="379">
        <f t="shared" si="214"/>
        <v>38000</v>
      </c>
    </row>
    <row r="399" spans="1:12" ht="47.25" hidden="1">
      <c r="A399" s="148" t="str">
        <f>IF(B399&gt;0,VLOOKUP(B399,КВСР!A252:B1417,2),IF(C399&gt;0,VLOOKUP(C399,КФСР!A252:B1764,2),IF(D399&gt;0,VLOOKUP(D399,Программа!A$1:B$5091,2),IF(F399&gt;0,VLOOKUP(F399,КВР!A$1:B$5001,2),IF(E399&gt;0,VLOOKUP(E399,Направление!A$1:B$4750,2))))))</f>
        <v>Содержание органов местного самоуправления за счет средств поселений</v>
      </c>
      <c r="B399" s="149"/>
      <c r="C399" s="144"/>
      <c r="D399" s="145"/>
      <c r="E399" s="144">
        <v>29016</v>
      </c>
      <c r="F399" s="146"/>
      <c r="G399" s="556">
        <f>G400+G401</f>
        <v>0</v>
      </c>
      <c r="H399" s="556">
        <f t="shared" ref="H399" si="244">H400+H401</f>
        <v>0</v>
      </c>
      <c r="I399" s="556">
        <f t="shared" si="212"/>
        <v>0</v>
      </c>
      <c r="J399" s="556">
        <f>J400+J401</f>
        <v>0</v>
      </c>
      <c r="K399" s="379">
        <f t="shared" ref="K399" si="245">K400+K401</f>
        <v>0</v>
      </c>
      <c r="L399" s="379">
        <f t="shared" si="214"/>
        <v>0</v>
      </c>
    </row>
    <row r="400" spans="1:12" ht="173.25" hidden="1">
      <c r="A400" s="148" t="str">
        <f>IF(B400&gt;0,VLOOKUP(B400,КВСР!A253:B1418,2),IF(C400&gt;0,VLOOKUP(C400,КФСР!A253:B1765,2),IF(D400&gt;0,VLOOKUP(D400,Программа!A$1:B$5091,2),IF(F400&gt;0,VLOOKUP(F400,КВР!A$1:B$5001,2),IF(E400&gt;0,VLOOKUP(E400,Направление!A$1:B$4750,2))))))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49"/>
      <c r="C400" s="144"/>
      <c r="D400" s="145"/>
      <c r="E400" s="144"/>
      <c r="F400" s="146">
        <v>100</v>
      </c>
      <c r="G400" s="556"/>
      <c r="H400" s="556"/>
      <c r="I400" s="556">
        <f t="shared" si="212"/>
        <v>0</v>
      </c>
      <c r="J400" s="556"/>
      <c r="K400" s="379"/>
      <c r="L400" s="379">
        <f t="shared" si="214"/>
        <v>0</v>
      </c>
    </row>
    <row r="401" spans="1:12" ht="78.75" hidden="1">
      <c r="A401" s="148" t="str">
        <f>IF(B401&gt;0,VLOOKUP(B401,КВСР!A254:B1419,2),IF(C401&gt;0,VLOOKUP(C401,КФСР!A254:B1766,2),IF(D401&gt;0,VLOOKUP(D401,Программа!A$1:B$5091,2),IF(F401&gt;0,VLOOKUP(F401,КВР!A$1:B$5001,2),IF(E401&gt;0,VLOOKUP(E401,Направление!A$1:B$4750,2))))))</f>
        <v xml:space="preserve">Закупка товаров, работ и услуг для обеспечения государственных (муниципальных) нужд
</v>
      </c>
      <c r="B401" s="149"/>
      <c r="C401" s="144"/>
      <c r="D401" s="145"/>
      <c r="E401" s="144"/>
      <c r="F401" s="146">
        <v>200</v>
      </c>
      <c r="G401" s="556"/>
      <c r="H401" s="556"/>
      <c r="I401" s="556">
        <f t="shared" si="212"/>
        <v>0</v>
      </c>
      <c r="J401" s="556"/>
      <c r="K401" s="379"/>
      <c r="L401" s="379">
        <f t="shared" si="214"/>
        <v>0</v>
      </c>
    </row>
    <row r="402" spans="1:12" ht="47.25">
      <c r="A402" s="148" t="str">
        <f>IF(B402&gt;0,VLOOKUP(B402,КВСР!A255:B1420,2),IF(C402&gt;0,VLOOKUP(C402,КФСР!A255:B1767,2),IF(D402&gt;0,VLOOKUP(D402,Программа!A$1:B$5091,2),IF(F402&gt;0,VLOOKUP(F402,КВР!A$1:B$5001,2),IF(E402&gt;0,VLOOKUP(E402,Направление!A$1:B$4750,2))))))</f>
        <v>Другие общегосударственные вопросы</v>
      </c>
      <c r="B402" s="149"/>
      <c r="C402" s="144">
        <v>113</v>
      </c>
      <c r="D402" s="145"/>
      <c r="E402" s="144"/>
      <c r="F402" s="146"/>
      <c r="G402" s="556">
        <f>G403+G407</f>
        <v>9701048</v>
      </c>
      <c r="H402" s="556">
        <f t="shared" ref="H402:L402" si="246">H403+H407</f>
        <v>0</v>
      </c>
      <c r="I402" s="556">
        <f t="shared" si="246"/>
        <v>9701048</v>
      </c>
      <c r="J402" s="556">
        <f t="shared" si="246"/>
        <v>9001048</v>
      </c>
      <c r="K402" s="379">
        <f t="shared" si="246"/>
        <v>0</v>
      </c>
      <c r="L402" s="379">
        <f t="shared" si="246"/>
        <v>9001048</v>
      </c>
    </row>
    <row r="403" spans="1:12" ht="110.25">
      <c r="A403" s="148" t="str">
        <f>IF(B403&gt;0,VLOOKUP(B403,КВСР!A256:B1421,2),IF(C403&gt;0,VLOOKUP(C403,КФСР!A256:B1768,2),IF(D403&gt;0,VLOOKUP(D403,Программа!A$1:B$5091,2),IF(F403&gt;0,VLOOKUP(F403,КВР!A$1:B$5001,2),IF(E403&gt;0,VLOOKUP(E403,Направление!A$1:B$4750,2))))))</f>
        <v>Муниципальная программа "Информатизация управленческой деятельности Администрации Тутаевского муниципального района"</v>
      </c>
      <c r="B403" s="149"/>
      <c r="C403" s="144"/>
      <c r="D403" s="145" t="s">
        <v>496</v>
      </c>
      <c r="E403" s="144"/>
      <c r="F403" s="146"/>
      <c r="G403" s="556">
        <f>G404</f>
        <v>700000</v>
      </c>
      <c r="H403" s="556">
        <f t="shared" ref="H403:L405" si="247">H404</f>
        <v>0</v>
      </c>
      <c r="I403" s="556">
        <f t="shared" si="247"/>
        <v>700000</v>
      </c>
      <c r="J403" s="556">
        <f t="shared" si="247"/>
        <v>0</v>
      </c>
      <c r="K403" s="379">
        <f t="shared" si="247"/>
        <v>0</v>
      </c>
      <c r="L403" s="379">
        <f t="shared" si="247"/>
        <v>0</v>
      </c>
    </row>
    <row r="404" spans="1:12" ht="47.25">
      <c r="A404" s="148" t="str">
        <f>IF(B404&gt;0,VLOOKUP(B404,КВСР!A257:B1422,2),IF(C404&gt;0,VLOOKUP(C404,КФСР!A257:B1769,2),IF(D404&gt;0,VLOOKUP(D404,Программа!A$1:B$5091,2),IF(F404&gt;0,VLOOKUP(F404,КВР!A$1:B$5001,2),IF(E404&gt;0,VLOOKUP(E404,Направление!A$1:B$4750,2))))))</f>
        <v>Бесперебойное функционирование информационных систем</v>
      </c>
      <c r="B404" s="149"/>
      <c r="C404" s="144"/>
      <c r="D404" s="145" t="s">
        <v>532</v>
      </c>
      <c r="E404" s="144"/>
      <c r="F404" s="146"/>
      <c r="G404" s="556">
        <f>G405</f>
        <v>700000</v>
      </c>
      <c r="H404" s="556">
        <f t="shared" si="247"/>
        <v>0</v>
      </c>
      <c r="I404" s="556">
        <f t="shared" si="247"/>
        <v>700000</v>
      </c>
      <c r="J404" s="556">
        <f t="shared" si="247"/>
        <v>0</v>
      </c>
      <c r="K404" s="379">
        <f t="shared" si="247"/>
        <v>0</v>
      </c>
      <c r="L404" s="379">
        <f t="shared" si="247"/>
        <v>0</v>
      </c>
    </row>
    <row r="405" spans="1:12" ht="47.25">
      <c r="A405" s="148" t="str">
        <f>IF(B405&gt;0,VLOOKUP(B405,КВСР!A258:B1423,2),IF(C405&gt;0,VLOOKUP(C405,КФСР!A258:B1770,2),IF(D405&gt;0,VLOOKUP(D405,Программа!A$1:B$5091,2),IF(F405&gt;0,VLOOKUP(F405,КВР!A$1:B$5001,2),IF(E405&gt;0,VLOOKUP(E405,Направление!A$1:B$4750,2))))))</f>
        <v>Расходы на проведение мероприятий по информатизации</v>
      </c>
      <c r="B405" s="149"/>
      <c r="C405" s="144"/>
      <c r="D405" s="145"/>
      <c r="E405" s="144">
        <v>12210</v>
      </c>
      <c r="F405" s="146"/>
      <c r="G405" s="556">
        <f>G406</f>
        <v>700000</v>
      </c>
      <c r="H405" s="556">
        <f t="shared" si="247"/>
        <v>0</v>
      </c>
      <c r="I405" s="556">
        <f t="shared" si="247"/>
        <v>700000</v>
      </c>
      <c r="J405" s="556">
        <f t="shared" si="247"/>
        <v>0</v>
      </c>
      <c r="K405" s="379">
        <f t="shared" si="247"/>
        <v>0</v>
      </c>
      <c r="L405" s="379">
        <f t="shared" si="247"/>
        <v>0</v>
      </c>
    </row>
    <row r="406" spans="1:12" ht="78.75">
      <c r="A406" s="148" t="str">
        <f>IF(B406&gt;0,VLOOKUP(B406,КВСР!A258:B1423,2),IF(C406&gt;0,VLOOKUP(C406,КФСР!A258:B1770,2),IF(D406&gt;0,VLOOKUP(D406,Программа!A$1:B$5091,2),IF(F406&gt;0,VLOOKUP(F406,КВР!A$1:B$5001,2),IF(E406&gt;0,VLOOKUP(E406,Направление!A$1:B$4750,2))))))</f>
        <v xml:space="preserve">Закупка товаров, работ и услуг для обеспечения государственных (муниципальных) нужд
</v>
      </c>
      <c r="B406" s="149"/>
      <c r="C406" s="144"/>
      <c r="D406" s="145"/>
      <c r="E406" s="144"/>
      <c r="F406" s="146">
        <v>200</v>
      </c>
      <c r="G406" s="556">
        <v>700000</v>
      </c>
      <c r="H406" s="556"/>
      <c r="I406" s="556">
        <f t="shared" si="212"/>
        <v>700000</v>
      </c>
      <c r="J406" s="556">
        <v>0</v>
      </c>
      <c r="K406" s="379"/>
      <c r="L406" s="379">
        <f t="shared" si="214"/>
        <v>0</v>
      </c>
    </row>
    <row r="407" spans="1:12" ht="31.5">
      <c r="A407" s="148" t="str">
        <f>IF(B407&gt;0,VLOOKUP(B407,КВСР!A259:B1424,2),IF(C407&gt;0,VLOOKUP(C407,КФСР!A259:B1771,2),IF(D407&gt;0,VLOOKUP(D407,Программа!A$1:B$5091,2),IF(F407&gt;0,VLOOKUP(F407,КВР!A$1:B$5001,2),IF(E407&gt;0,VLOOKUP(E407,Направление!A$1:B$4750,2))))))</f>
        <v>Непрограммные расходы бюджета</v>
      </c>
      <c r="B407" s="149"/>
      <c r="C407" s="144"/>
      <c r="D407" s="145" t="s">
        <v>480</v>
      </c>
      <c r="E407" s="144"/>
      <c r="F407" s="146"/>
      <c r="G407" s="556">
        <f>G408</f>
        <v>9001048</v>
      </c>
      <c r="H407" s="556">
        <f t="shared" ref="H407:K407" si="248">H408</f>
        <v>0</v>
      </c>
      <c r="I407" s="556">
        <f t="shared" si="212"/>
        <v>9001048</v>
      </c>
      <c r="J407" s="556">
        <f t="shared" si="248"/>
        <v>9001048</v>
      </c>
      <c r="K407" s="379">
        <f t="shared" si="248"/>
        <v>0</v>
      </c>
      <c r="L407" s="379">
        <f t="shared" si="214"/>
        <v>9001048</v>
      </c>
    </row>
    <row r="408" spans="1:12" ht="63">
      <c r="A408" s="148" t="str">
        <f>IF(B408&gt;0,VLOOKUP(B408,КВСР!A260:B1425,2),IF(C408&gt;0,VLOOKUP(C408,КФСР!A260:B1772,2),IF(D408&gt;0,VLOOKUP(D408,Программа!A$1:B$5091,2),IF(F408&gt;0,VLOOKUP(F408,КВР!A$1:B$5001,2),IF(E408&gt;0,VLOOKUP(E408,Направление!A$1:B$4750,2))))))</f>
        <v>Обеспечение деятельности подведомственных учреждений органов местного самоуправления</v>
      </c>
      <c r="B408" s="149"/>
      <c r="C408" s="144"/>
      <c r="D408" s="145"/>
      <c r="E408" s="144">
        <v>12100</v>
      </c>
      <c r="F408" s="146"/>
      <c r="G408" s="556">
        <f>G409+G410</f>
        <v>9001048</v>
      </c>
      <c r="H408" s="556">
        <f t="shared" ref="H408:K408" si="249">H409+H410</f>
        <v>0</v>
      </c>
      <c r="I408" s="556">
        <f t="shared" si="212"/>
        <v>9001048</v>
      </c>
      <c r="J408" s="556">
        <f t="shared" si="249"/>
        <v>9001048</v>
      </c>
      <c r="K408" s="379">
        <f t="shared" si="249"/>
        <v>0</v>
      </c>
      <c r="L408" s="379">
        <f t="shared" si="214"/>
        <v>9001048</v>
      </c>
    </row>
    <row r="409" spans="1:12" ht="173.25">
      <c r="A409" s="148" t="str">
        <f>IF(B409&gt;0,VLOOKUP(B409,КВСР!A261:B1426,2),IF(C409&gt;0,VLOOKUP(C409,КФСР!A261:B1773,2),IF(D409&gt;0,VLOOKUP(D409,Программа!A$1:B$5091,2),IF(F409&gt;0,VLOOKUP(F409,КВР!A$1:B$5001,2),IF(E409&gt;0,VLOOKUP(E409,Направление!A$1:B$4750,2))))))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49"/>
      <c r="C409" s="144"/>
      <c r="D409" s="145"/>
      <c r="E409" s="144"/>
      <c r="F409" s="146">
        <v>100</v>
      </c>
      <c r="G409" s="556">
        <v>7843248</v>
      </c>
      <c r="H409" s="556"/>
      <c r="I409" s="556">
        <f t="shared" si="212"/>
        <v>7843248</v>
      </c>
      <c r="J409" s="556">
        <v>7843248</v>
      </c>
      <c r="K409" s="379"/>
      <c r="L409" s="379">
        <f t="shared" si="214"/>
        <v>7843248</v>
      </c>
    </row>
    <row r="410" spans="1:12" ht="78.75">
      <c r="A410" s="148" t="str">
        <f>IF(B410&gt;0,VLOOKUP(B410,КВСР!A262:B1427,2),IF(C410&gt;0,VLOOKUP(C410,КФСР!A262:B1774,2),IF(D410&gt;0,VLOOKUP(D410,Программа!A$1:B$5091,2),IF(F410&gt;0,VLOOKUP(F410,КВР!A$1:B$5001,2),IF(E410&gt;0,VLOOKUP(E410,Направление!A$1:B$4750,2))))))</f>
        <v xml:space="preserve">Закупка товаров, работ и услуг для обеспечения государственных (муниципальных) нужд
</v>
      </c>
      <c r="B410" s="149"/>
      <c r="C410" s="144"/>
      <c r="D410" s="145"/>
      <c r="E410" s="144"/>
      <c r="F410" s="146">
        <v>200</v>
      </c>
      <c r="G410" s="556">
        <v>1157800</v>
      </c>
      <c r="H410" s="556"/>
      <c r="I410" s="556">
        <f t="shared" si="212"/>
        <v>1157800</v>
      </c>
      <c r="J410" s="556">
        <v>1157800</v>
      </c>
      <c r="K410" s="379"/>
      <c r="L410" s="379">
        <f t="shared" si="214"/>
        <v>1157800</v>
      </c>
    </row>
    <row r="411" spans="1:12" ht="31.5" hidden="1">
      <c r="A411" s="148" t="str">
        <f>IF(B411&gt;0,VLOOKUP(B411,КВСР!A258:B1423,2),IF(C411&gt;0,VLOOKUP(C411,КФСР!A258:B1770,2),IF(D411&gt;0,VLOOKUP(D411,Программа!A$1:B$5091,2),IF(F411&gt;0,VLOOKUP(F411,КВР!A$1:B$5001,2),IF(E411&gt;0,VLOOKUP(E411,Направление!A$1:B$4750,2))))))</f>
        <v>Мобилизационная и вневойсковая подготовка</v>
      </c>
      <c r="B411" s="149"/>
      <c r="C411" s="144">
        <v>203</v>
      </c>
      <c r="D411" s="145"/>
      <c r="E411" s="144"/>
      <c r="F411" s="146"/>
      <c r="G411" s="556">
        <f t="shared" ref="G411:H413" si="250">G412</f>
        <v>817269</v>
      </c>
      <c r="H411" s="556">
        <f t="shared" si="250"/>
        <v>-817269</v>
      </c>
      <c r="I411" s="556">
        <f t="shared" si="212"/>
        <v>0</v>
      </c>
      <c r="J411" s="556">
        <f t="shared" ref="J411:K413" si="251">J412</f>
        <v>845481</v>
      </c>
      <c r="K411" s="379">
        <f t="shared" si="251"/>
        <v>-845481</v>
      </c>
      <c r="L411" s="379">
        <f t="shared" si="214"/>
        <v>0</v>
      </c>
    </row>
    <row r="412" spans="1:12" ht="47.25" hidden="1">
      <c r="A412" s="148" t="str">
        <f>IF(B412&gt;0,VLOOKUP(B412,КВСР!A259:B1424,2),IF(C412&gt;0,VLOOKUP(C412,КФСР!A259:B1771,2),IF(D412&gt;0,VLOOKUP(D412,Программа!A$1:B$5091,2),IF(F412&gt;0,VLOOKUP(F412,КВР!A$1:B$5001,2),IF(E412&gt;0,VLOOKUP(E412,Направление!A$1:B$4750,2))))))</f>
        <v>Межбюджетные трансферты  поселениям района</v>
      </c>
      <c r="B412" s="149"/>
      <c r="C412" s="144"/>
      <c r="D412" s="145" t="s">
        <v>653</v>
      </c>
      <c r="E412" s="144"/>
      <c r="F412" s="146"/>
      <c r="G412" s="556">
        <f t="shared" si="250"/>
        <v>817269</v>
      </c>
      <c r="H412" s="556">
        <f t="shared" si="250"/>
        <v>-817269</v>
      </c>
      <c r="I412" s="556">
        <f t="shared" si="212"/>
        <v>0</v>
      </c>
      <c r="J412" s="556">
        <f t="shared" si="251"/>
        <v>845481</v>
      </c>
      <c r="K412" s="379">
        <f t="shared" si="251"/>
        <v>-845481</v>
      </c>
      <c r="L412" s="379">
        <f t="shared" si="214"/>
        <v>0</v>
      </c>
    </row>
    <row r="413" spans="1:12" ht="94.5" hidden="1">
      <c r="A413" s="148" t="str">
        <f>IF(B413&gt;0,VLOOKUP(B413,КВСР!A260:B1425,2),IF(C413&gt;0,VLOOKUP(C413,КФСР!A260:B1772,2),IF(D413&gt;0,VLOOKUP(D413,Программа!A$1:B$5091,2),IF(F413&gt;0,VLOOKUP(F413,КВР!A$1:B$5001,2),IF(E413&gt;0,VLOOKUP(E413,Направление!A$1:B$4750,2))))))</f>
        <v>Субвенция  на осуществление первичного воинского учета на территориях, где отсутствуют военные комиссариаты</v>
      </c>
      <c r="B413" s="149"/>
      <c r="C413" s="144"/>
      <c r="D413" s="145"/>
      <c r="E413" s="144">
        <v>51180</v>
      </c>
      <c r="F413" s="146"/>
      <c r="G413" s="556">
        <f>G414</f>
        <v>817269</v>
      </c>
      <c r="H413" s="556">
        <f t="shared" si="250"/>
        <v>-817269</v>
      </c>
      <c r="I413" s="556">
        <f t="shared" si="212"/>
        <v>0</v>
      </c>
      <c r="J413" s="556">
        <f>J414</f>
        <v>845481</v>
      </c>
      <c r="K413" s="379">
        <f t="shared" si="251"/>
        <v>-845481</v>
      </c>
      <c r="L413" s="379">
        <f t="shared" si="214"/>
        <v>0</v>
      </c>
    </row>
    <row r="414" spans="1:12" ht="31.5" hidden="1">
      <c r="A414" s="148" t="str">
        <f>IF(B414&gt;0,VLOOKUP(B414,КВСР!A261:B1426,2),IF(C414&gt;0,VLOOKUP(C414,КФСР!A261:B1773,2),IF(D414&gt;0,VLOOKUP(D414,Программа!A$1:B$5091,2),IF(F414&gt;0,VLOOKUP(F414,КВР!A$1:B$5001,2),IF(E414&gt;0,VLOOKUP(E414,Направление!A$1:B$4750,2))))))</f>
        <v xml:space="preserve"> Межбюджетные трансферты</v>
      </c>
      <c r="B414" s="149"/>
      <c r="C414" s="144"/>
      <c r="D414" s="146"/>
      <c r="E414" s="144"/>
      <c r="F414" s="146">
        <v>500</v>
      </c>
      <c r="G414" s="556">
        <v>817269</v>
      </c>
      <c r="H414" s="556">
        <v>-817269</v>
      </c>
      <c r="I414" s="556">
        <f t="shared" si="212"/>
        <v>0</v>
      </c>
      <c r="J414" s="556">
        <v>845481</v>
      </c>
      <c r="K414" s="379">
        <v>-845481</v>
      </c>
      <c r="L414" s="379">
        <f t="shared" si="214"/>
        <v>0</v>
      </c>
    </row>
    <row r="415" spans="1:12" ht="47.25">
      <c r="A415" s="148" t="str">
        <f>IF(B415&gt;0,VLOOKUP(B415,КВСР!A262:B1427,2),IF(C415&gt;0,VLOOKUP(C415,КФСР!A262:B1774,2),IF(D415&gt;0,VLOOKUP(D415,Программа!A$1:B$5091,2),IF(F415&gt;0,VLOOKUP(F415,КВР!A$1:B$5001,2),IF(E415&gt;0,VLOOKUP(E415,Направление!A$1:B$4750,2))))))</f>
        <v>Обслуживание внутреннего государственного и муниципального долга</v>
      </c>
      <c r="B415" s="149"/>
      <c r="C415" s="144">
        <v>1301</v>
      </c>
      <c r="D415" s="145"/>
      <c r="E415" s="144"/>
      <c r="F415" s="146"/>
      <c r="G415" s="556">
        <f>G416</f>
        <v>200000</v>
      </c>
      <c r="H415" s="556">
        <f t="shared" ref="H415:H416" si="252">H416</f>
        <v>0</v>
      </c>
      <c r="I415" s="556">
        <f t="shared" si="212"/>
        <v>200000</v>
      </c>
      <c r="J415" s="556">
        <f>J416</f>
        <v>200000</v>
      </c>
      <c r="K415" s="379">
        <f t="shared" ref="K415:K417" si="253">K416</f>
        <v>0</v>
      </c>
      <c r="L415" s="379">
        <f t="shared" si="214"/>
        <v>200000</v>
      </c>
    </row>
    <row r="416" spans="1:12" ht="31.5">
      <c r="A416" s="148" t="str">
        <f>IF(B416&gt;0,VLOOKUP(B416,КВСР!A263:B1428,2),IF(C416&gt;0,VLOOKUP(C416,КФСР!A263:B1775,2),IF(D416&gt;0,VLOOKUP(D416,Программа!A$1:B$5091,2),IF(F416&gt;0,VLOOKUP(F416,КВР!A$1:B$5001,2),IF(E416&gt;0,VLOOKUP(E416,Направление!A$1:B$4750,2))))))</f>
        <v>Непрограммные расходы бюджета</v>
      </c>
      <c r="B416" s="149"/>
      <c r="C416" s="144"/>
      <c r="D416" s="145" t="s">
        <v>480</v>
      </c>
      <c r="E416" s="144"/>
      <c r="F416" s="146"/>
      <c r="G416" s="556">
        <f>G417</f>
        <v>200000</v>
      </c>
      <c r="H416" s="556">
        <f t="shared" si="252"/>
        <v>0</v>
      </c>
      <c r="I416" s="556">
        <f t="shared" si="212"/>
        <v>200000</v>
      </c>
      <c r="J416" s="556">
        <f>J417</f>
        <v>200000</v>
      </c>
      <c r="K416" s="379">
        <f t="shared" si="253"/>
        <v>0</v>
      </c>
      <c r="L416" s="379">
        <f t="shared" si="214"/>
        <v>200000</v>
      </c>
    </row>
    <row r="417" spans="1:12" ht="47.25">
      <c r="A417" s="148" t="str">
        <f>IF(B417&gt;0,VLOOKUP(B417,КВСР!A264:B1429,2),IF(C417&gt;0,VLOOKUP(C417,КФСР!A264:B1776,2),IF(D417&gt;0,VLOOKUP(D417,Программа!A$1:B$5091,2),IF(F417&gt;0,VLOOKUP(F417,КВР!A$1:B$5001,2),IF(E417&gt;0,VLOOKUP(E417,Направление!A$1:B$4750,2))))))</f>
        <v>Процентные платежи по обслуживанию муниципального долга</v>
      </c>
      <c r="B417" s="149"/>
      <c r="C417" s="144"/>
      <c r="D417" s="145"/>
      <c r="E417" s="144">
        <v>12800</v>
      </c>
      <c r="F417" s="146"/>
      <c r="G417" s="556">
        <f t="shared" ref="G417:H417" si="254">G418</f>
        <v>200000</v>
      </c>
      <c r="H417" s="556">
        <f t="shared" si="254"/>
        <v>0</v>
      </c>
      <c r="I417" s="556">
        <f t="shared" si="212"/>
        <v>200000</v>
      </c>
      <c r="J417" s="556">
        <f>J418</f>
        <v>200000</v>
      </c>
      <c r="K417" s="379">
        <f t="shared" si="253"/>
        <v>0</v>
      </c>
      <c r="L417" s="379">
        <f t="shared" si="214"/>
        <v>200000</v>
      </c>
    </row>
    <row r="418" spans="1:12" ht="47.25">
      <c r="A418" s="148" t="str">
        <f>IF(B418&gt;0,VLOOKUP(B418,КВСР!A265:B1430,2),IF(C418&gt;0,VLOOKUP(C418,КФСР!A265:B1777,2),IF(D418&gt;0,VLOOKUP(D418,Программа!A$1:B$5091,2),IF(F418&gt;0,VLOOKUP(F418,КВР!A$1:B$5001,2),IF(E418&gt;0,VLOOKUP(E418,Направление!A$1:B$4750,2))))))</f>
        <v>Обслуживание государственного долга Российской Федерации</v>
      </c>
      <c r="B418" s="149"/>
      <c r="C418" s="144"/>
      <c r="D418" s="145"/>
      <c r="E418" s="144"/>
      <c r="F418" s="146">
        <v>700</v>
      </c>
      <c r="G418" s="556">
        <v>200000</v>
      </c>
      <c r="H418" s="556"/>
      <c r="I418" s="556">
        <f t="shared" si="212"/>
        <v>200000</v>
      </c>
      <c r="J418" s="556">
        <v>200000</v>
      </c>
      <c r="K418" s="379"/>
      <c r="L418" s="379">
        <f t="shared" si="214"/>
        <v>200000</v>
      </c>
    </row>
    <row r="419" spans="1:12" ht="94.5">
      <c r="A419" s="148" t="str">
        <f>IF(B419&gt;0,VLOOKUP(B419,КВСР!A265:B1430,2),IF(C419&gt;0,VLOOKUP(C419,КФСР!A265:B1777,2),IF(D419&gt;0,VLOOKUP(D419,Программа!A$1:B$5091,2),IF(F419&gt;0,VLOOKUP(F419,КВР!A$1:B$5001,2),IF(E419&gt;0,VLOOKUP(E419,Направление!A$1:B$4750,2))))))</f>
        <v>Дотации на выравнивание бюджетной обеспеченности субъектов Российской Федерации и муниципальных образований</v>
      </c>
      <c r="B419" s="149"/>
      <c r="C419" s="144">
        <v>1401</v>
      </c>
      <c r="D419" s="145"/>
      <c r="E419" s="144"/>
      <c r="F419" s="146"/>
      <c r="G419" s="556">
        <f>G420</f>
        <v>2865000</v>
      </c>
      <c r="H419" s="556">
        <f t="shared" ref="H419" si="255">H420</f>
        <v>-2665000</v>
      </c>
      <c r="I419" s="556">
        <f t="shared" si="212"/>
        <v>200000</v>
      </c>
      <c r="J419" s="556">
        <f>J420</f>
        <v>0</v>
      </c>
      <c r="K419" s="379">
        <f t="shared" ref="K419" si="256">K420</f>
        <v>0</v>
      </c>
      <c r="L419" s="379">
        <f t="shared" si="214"/>
        <v>0</v>
      </c>
    </row>
    <row r="420" spans="1:12" ht="48" customHeight="1">
      <c r="A420" s="148" t="str">
        <f>IF(B420&gt;0,VLOOKUP(B420,КВСР!A270:B1435,2),IF(C420&gt;0,VLOOKUP(C420,КФСР!A270:B1782,2),IF(D420&gt;0,VLOOKUP(D420,Программа!A$1:B$5091,2),IF(F420&gt;0,VLOOKUP(F420,КВР!A$1:B$5001,2),IF(E420&gt;0,VLOOKUP(E420,Направление!A$1:B$4750,2))))))</f>
        <v>Межбюджетные трансферты  поселениям района</v>
      </c>
      <c r="B420" s="149"/>
      <c r="C420" s="144"/>
      <c r="D420" s="145" t="s">
        <v>653</v>
      </c>
      <c r="E420" s="144"/>
      <c r="F420" s="146"/>
      <c r="G420" s="556">
        <f>G421+G423</f>
        <v>2865000</v>
      </c>
      <c r="H420" s="556">
        <f t="shared" ref="H420" si="257">H421+H423</f>
        <v>-2665000</v>
      </c>
      <c r="I420" s="556">
        <f t="shared" si="212"/>
        <v>200000</v>
      </c>
      <c r="J420" s="556">
        <f>J421+J423</f>
        <v>0</v>
      </c>
      <c r="K420" s="379">
        <f t="shared" ref="K420" si="258">K421+K423</f>
        <v>0</v>
      </c>
      <c r="L420" s="379">
        <f t="shared" si="214"/>
        <v>0</v>
      </c>
    </row>
    <row r="421" spans="1:12" ht="34.5" customHeight="1">
      <c r="A421" s="148" t="str">
        <f>IF(B421&gt;0,VLOOKUP(B421,КВСР!A272:B1437,2),IF(C421&gt;0,VLOOKUP(C421,КФСР!A272:B1784,2),IF(D421&gt;0,VLOOKUP(D421,Программа!A$1:B$5091,2),IF(F421&gt;0,VLOOKUP(F421,КВР!A$1:B$5001,2),IF(E421&gt;0,VLOOKUP(E421,Направление!A$1:B$4750,2))))))</f>
        <v>Дотации поселениям района  на выравнивание бюджетной обеспеченности</v>
      </c>
      <c r="B421" s="149"/>
      <c r="C421" s="144"/>
      <c r="D421" s="145"/>
      <c r="E421" s="144">
        <v>10800</v>
      </c>
      <c r="F421" s="146"/>
      <c r="G421" s="556">
        <f>G422</f>
        <v>200000</v>
      </c>
      <c r="H421" s="556">
        <f t="shared" ref="H421" si="259">H422</f>
        <v>0</v>
      </c>
      <c r="I421" s="556">
        <f t="shared" si="212"/>
        <v>200000</v>
      </c>
      <c r="J421" s="556">
        <f>J422</f>
        <v>0</v>
      </c>
      <c r="K421" s="379">
        <f t="shared" ref="K421" si="260">K422</f>
        <v>0</v>
      </c>
      <c r="L421" s="379">
        <f t="shared" si="214"/>
        <v>0</v>
      </c>
    </row>
    <row r="422" spans="1:12" ht="27" customHeight="1">
      <c r="A422" s="148" t="str">
        <f>IF(B422&gt;0,VLOOKUP(B422,КВСР!A273:B1438,2),IF(C422&gt;0,VLOOKUP(C422,КФСР!A273:B1785,2),IF(D422&gt;0,VLOOKUP(D422,Программа!A$1:B$5091,2),IF(F422&gt;0,VLOOKUP(F422,КВР!A$1:B$5001,2),IF(E422&gt;0,VLOOKUP(E422,Направление!A$1:B$4750,2))))))</f>
        <v xml:space="preserve"> Межбюджетные трансферты</v>
      </c>
      <c r="B422" s="149"/>
      <c r="C422" s="144"/>
      <c r="D422" s="145"/>
      <c r="E422" s="144"/>
      <c r="F422" s="146">
        <v>500</v>
      </c>
      <c r="G422" s="556">
        <v>200000</v>
      </c>
      <c r="H422" s="556"/>
      <c r="I422" s="556">
        <f t="shared" si="212"/>
        <v>200000</v>
      </c>
      <c r="J422" s="556">
        <v>0</v>
      </c>
      <c r="K422" s="379"/>
      <c r="L422" s="379">
        <f t="shared" si="214"/>
        <v>0</v>
      </c>
    </row>
    <row r="423" spans="1:12" ht="63" hidden="1">
      <c r="A423" s="148" t="str">
        <f>IF(B423&gt;0,VLOOKUP(B423,КВСР!A271:B1436,2),IF(C423&gt;0,VLOOKUP(C423,КФСР!A271:B1783,2),IF(D423&gt;0,VLOOKUP(D423,Программа!A$1:B$5091,2),IF(F423&gt;0,VLOOKUP(F423,КВР!A$1:B$5001,2),IF(E423&gt;0,VLOOKUP(E423,Направление!A$1:B$4750,2))))))</f>
        <v>Дотации поселениям Ярославской области на выравнивание бюджетной обеспеченности</v>
      </c>
      <c r="B423" s="149"/>
      <c r="C423" s="144"/>
      <c r="D423" s="145"/>
      <c r="E423" s="144">
        <v>72970</v>
      </c>
      <c r="F423" s="146"/>
      <c r="G423" s="556">
        <f>G424</f>
        <v>2665000</v>
      </c>
      <c r="H423" s="556">
        <f t="shared" ref="H423" si="261">H424</f>
        <v>-2665000</v>
      </c>
      <c r="I423" s="556">
        <f t="shared" si="212"/>
        <v>0</v>
      </c>
      <c r="J423" s="556">
        <f>J424</f>
        <v>0</v>
      </c>
      <c r="K423" s="379">
        <f t="shared" ref="K423" si="262">K424</f>
        <v>0</v>
      </c>
      <c r="L423" s="379">
        <f t="shared" si="214"/>
        <v>0</v>
      </c>
    </row>
    <row r="424" spans="1:12" ht="26.25" hidden="1" customHeight="1">
      <c r="A424" s="148" t="str">
        <f>IF(B424&gt;0,VLOOKUP(B424,КВСР!A272:B1437,2),IF(C424&gt;0,VLOOKUP(C424,КФСР!A272:B1784,2),IF(D424&gt;0,VLOOKUP(D424,Программа!A$1:B$5091,2),IF(F424&gt;0,VLOOKUP(F424,КВР!A$1:B$5001,2),IF(E424&gt;0,VLOOKUP(E424,Направление!A$1:B$4750,2))))))</f>
        <v xml:space="preserve"> Межбюджетные трансферты</v>
      </c>
      <c r="B424" s="149"/>
      <c r="C424" s="144"/>
      <c r="D424" s="145"/>
      <c r="E424" s="144"/>
      <c r="F424" s="146">
        <v>500</v>
      </c>
      <c r="G424" s="556">
        <v>2665000</v>
      </c>
      <c r="H424" s="556">
        <v>-2665000</v>
      </c>
      <c r="I424" s="556">
        <f t="shared" si="212"/>
        <v>0</v>
      </c>
      <c r="J424" s="556">
        <v>0</v>
      </c>
      <c r="K424" s="379"/>
      <c r="L424" s="379">
        <f t="shared" si="214"/>
        <v>0</v>
      </c>
    </row>
    <row r="425" spans="1:12" ht="63">
      <c r="A425" s="142" t="str">
        <f>IF(B425&gt;0,VLOOKUP(B425,КВСР!A276:B1441,2),IF(C425&gt;0,VLOOKUP(C425,КФСР!A276:B1788,2),IF(D425&gt;0,VLOOKUP(D425,Программа!A$1:B$5091,2),IF(F425&gt;0,VLOOKUP(F425,КВР!A$1:B$5001,2),IF(E425&gt;0,VLOOKUP(E425,Направление!A$1:B$4750,2))))))</f>
        <v>Департамент культуры, туризма и молодежной политики Администрации ТМР</v>
      </c>
      <c r="B425" s="143">
        <v>956</v>
      </c>
      <c r="C425" s="144"/>
      <c r="D425" s="145"/>
      <c r="E425" s="144"/>
      <c r="F425" s="146"/>
      <c r="G425" s="560">
        <f>G431+G437+G447+G464+G479+G426</f>
        <v>130584695</v>
      </c>
      <c r="H425" s="560">
        <f t="shared" ref="H425:L425" si="263">H431+H437+H447+H464+H479+H426</f>
        <v>1450000</v>
      </c>
      <c r="I425" s="560">
        <f t="shared" si="263"/>
        <v>132034695</v>
      </c>
      <c r="J425" s="560">
        <f t="shared" si="263"/>
        <v>69584695</v>
      </c>
      <c r="K425" s="560">
        <f t="shared" si="263"/>
        <v>1450000</v>
      </c>
      <c r="L425" s="560">
        <f t="shared" si="263"/>
        <v>71034695</v>
      </c>
    </row>
    <row r="426" spans="1:12" ht="63">
      <c r="A426" s="148" t="str">
        <f>IF(B426&gt;0,VLOOKUP(B426,КВСР!A277:B1442,2),IF(C426&gt;0,VLOOKUP(C426,КФСР!A277:B1789,2),IF(D426&gt;0,VLOOKUP(D426,Программа!A$1:B$5091,2),IF(F426&gt;0,VLOOKUP(F426,КВР!A$1:B$5001,2),IF(E426&gt;0,VLOOKUP(E426,Направление!A$1:B$4750,2))))))</f>
        <v>Другие вопросы в области национальной безопасности и правоохранительной деятельности</v>
      </c>
      <c r="B426" s="143"/>
      <c r="C426" s="144">
        <v>314</v>
      </c>
      <c r="D426" s="145"/>
      <c r="E426" s="144"/>
      <c r="F426" s="146"/>
      <c r="G426" s="673">
        <f>G427</f>
        <v>0</v>
      </c>
      <c r="H426" s="673">
        <f t="shared" ref="H426:L429" si="264">H427</f>
        <v>150000</v>
      </c>
      <c r="I426" s="673">
        <f t="shared" si="264"/>
        <v>150000</v>
      </c>
      <c r="J426" s="673">
        <f t="shared" si="264"/>
        <v>0</v>
      </c>
      <c r="K426" s="673">
        <f t="shared" si="264"/>
        <v>150000</v>
      </c>
      <c r="L426" s="673">
        <f t="shared" si="264"/>
        <v>150000</v>
      </c>
    </row>
    <row r="427" spans="1:12" ht="110.25">
      <c r="A427" s="148" t="str">
        <f>IF(B427&gt;0,VLOOKUP(B427,КВСР!A278:B1443,2),IF(C427&gt;0,VLOOKUP(C427,КФСР!A278:B1790,2),IF(D427&gt;0,VLOOKUP(D427,Программа!A$1:B$5091,2),IF(F427&gt;0,VLOOKUP(F427,КВР!A$1:B$5001,2),IF(E427&gt;0,VLOOKUP(E427,Направление!A$1:B$4750,2))))))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27" s="143"/>
      <c r="C427" s="144"/>
      <c r="D427" s="145" t="s">
        <v>600</v>
      </c>
      <c r="E427" s="144"/>
      <c r="F427" s="146"/>
      <c r="G427" s="673">
        <f>G428</f>
        <v>0</v>
      </c>
      <c r="H427" s="673">
        <f t="shared" si="264"/>
        <v>150000</v>
      </c>
      <c r="I427" s="673">
        <f t="shared" si="264"/>
        <v>150000</v>
      </c>
      <c r="J427" s="673">
        <f t="shared" si="264"/>
        <v>0</v>
      </c>
      <c r="K427" s="673">
        <f t="shared" si="264"/>
        <v>150000</v>
      </c>
      <c r="L427" s="673">
        <f t="shared" si="264"/>
        <v>150000</v>
      </c>
    </row>
    <row r="428" spans="1:12" ht="47.25">
      <c r="A428" s="148" t="str">
        <f>IF(B428&gt;0,VLOOKUP(B428,КВСР!A279:B1444,2),IF(C428&gt;0,VLOOKUP(C428,КФСР!A279:B1791,2),IF(D428&gt;0,VLOOKUP(D428,Программа!A$1:B$5091,2),IF(F428&gt;0,VLOOKUP(F428,КВР!A$1:B$5001,2),IF(E428&gt;0,VLOOKUP(E428,Направление!A$1:B$4750,2))))))</f>
        <v>Реализация мероприятий по профилактике правонарушений</v>
      </c>
      <c r="B428" s="143"/>
      <c r="C428" s="144"/>
      <c r="D428" s="145" t="s">
        <v>602</v>
      </c>
      <c r="E428" s="144"/>
      <c r="F428" s="146"/>
      <c r="G428" s="673">
        <f>G429</f>
        <v>0</v>
      </c>
      <c r="H428" s="673">
        <f t="shared" si="264"/>
        <v>150000</v>
      </c>
      <c r="I428" s="673">
        <f t="shared" si="264"/>
        <v>150000</v>
      </c>
      <c r="J428" s="673">
        <f t="shared" si="264"/>
        <v>0</v>
      </c>
      <c r="K428" s="673">
        <f t="shared" si="264"/>
        <v>150000</v>
      </c>
      <c r="L428" s="673">
        <f t="shared" si="264"/>
        <v>150000</v>
      </c>
    </row>
    <row r="429" spans="1:12" ht="31.5">
      <c r="A429" s="148" t="str">
        <f>IF(B429&gt;0,VLOOKUP(B429,КВСР!A280:B1445,2),IF(C429&gt;0,VLOOKUP(C429,КФСР!A280:B1792,2),IF(D429&gt;0,VLOOKUP(D429,Программа!A$1:B$5091,2),IF(F429&gt;0,VLOOKUP(F429,КВР!A$1:B$5001,2),IF(E429&gt;0,VLOOKUP(E429,Направление!A$1:B$4750,2))))))</f>
        <v>Обеспечение деятельности народных дружин</v>
      </c>
      <c r="B429" s="143"/>
      <c r="C429" s="144"/>
      <c r="D429" s="145"/>
      <c r="E429" s="144">
        <v>29486</v>
      </c>
      <c r="F429" s="146"/>
      <c r="G429" s="673">
        <f>G430</f>
        <v>0</v>
      </c>
      <c r="H429" s="673">
        <f t="shared" si="264"/>
        <v>150000</v>
      </c>
      <c r="I429" s="673">
        <f t="shared" si="264"/>
        <v>150000</v>
      </c>
      <c r="J429" s="673">
        <f t="shared" si="264"/>
        <v>0</v>
      </c>
      <c r="K429" s="673">
        <f t="shared" si="264"/>
        <v>150000</v>
      </c>
      <c r="L429" s="673">
        <f t="shared" si="264"/>
        <v>150000</v>
      </c>
    </row>
    <row r="430" spans="1:12" ht="78.75">
      <c r="A430" s="148" t="str">
        <f>IF(B430&gt;0,VLOOKUP(B430,КВСР!A281:B1446,2),IF(C430&gt;0,VLOOKUP(C430,КФСР!A281:B1793,2),IF(D430&gt;0,VLOOKUP(D430,Программа!A$1:B$5091,2),IF(F430&gt;0,VLOOKUP(F430,КВР!A$1:B$5001,2),IF(E430&gt;0,VLOOKUP(E430,Направление!A$1:B$4750,2))))))</f>
        <v>Предоставление субсидий бюджетным, автономным учреждениям и иным некоммерческим организациям</v>
      </c>
      <c r="B430" s="143"/>
      <c r="C430" s="144"/>
      <c r="D430" s="145"/>
      <c r="E430" s="144"/>
      <c r="F430" s="146">
        <v>600</v>
      </c>
      <c r="G430" s="673"/>
      <c r="H430" s="673">
        <v>150000</v>
      </c>
      <c r="I430" s="673">
        <f>G430+H430</f>
        <v>150000</v>
      </c>
      <c r="J430" s="673"/>
      <c r="K430" s="673">
        <v>150000</v>
      </c>
      <c r="L430" s="673">
        <f>J430+K430</f>
        <v>150000</v>
      </c>
    </row>
    <row r="431" spans="1:12" ht="31.5">
      <c r="A431" s="148" t="str">
        <f>IF(B431&gt;0,VLOOKUP(B431,КВСР!A282:B1447,2),IF(C431&gt;0,VLOOKUP(C431,КФСР!A282:B1794,2),IF(D431&gt;0,VLOOKUP(D431,Программа!A$1:B$5091,2),IF(F431&gt;0,VLOOKUP(F431,КВР!A$1:B$5001,2),IF(E431&gt;0,VLOOKUP(E431,Направление!A$1:B$4750,2))))))</f>
        <v>Дополнительное образование детей</v>
      </c>
      <c r="B431" s="149"/>
      <c r="C431" s="144">
        <v>703</v>
      </c>
      <c r="D431" s="145"/>
      <c r="E431" s="144"/>
      <c r="F431" s="146"/>
      <c r="G431" s="556">
        <f>G432</f>
        <v>25180562</v>
      </c>
      <c r="H431" s="556">
        <f t="shared" ref="H431" si="265">H432</f>
        <v>0</v>
      </c>
      <c r="I431" s="556">
        <f t="shared" si="212"/>
        <v>25180562</v>
      </c>
      <c r="J431" s="556">
        <f>J432</f>
        <v>12180562</v>
      </c>
      <c r="K431" s="379">
        <f t="shared" ref="K431" si="266">K432</f>
        <v>0</v>
      </c>
      <c r="L431" s="379">
        <f t="shared" si="214"/>
        <v>12180562</v>
      </c>
    </row>
    <row r="432" spans="1:12" ht="78.75">
      <c r="A432" s="148" t="str">
        <f>IF(B432&gt;0,VLOOKUP(B432,КВСР!A283:B1448,2),IF(C432&gt;0,VLOOKUP(C432,КФСР!A283:B1795,2),IF(D432&gt;0,VLOOKUP(D432,Программа!A$1:B$5091,2),IF(F432&gt;0,VLOOKUP(F432,КВР!A$1:B$5001,2),IF(E432&gt;0,VLOOKUP(E432,Направление!A$1:B$4750,2))))))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432" s="149"/>
      <c r="C432" s="144"/>
      <c r="D432" s="163" t="s">
        <v>569</v>
      </c>
      <c r="E432" s="161"/>
      <c r="F432" s="146"/>
      <c r="G432" s="556">
        <f>G434</f>
        <v>25180562</v>
      </c>
      <c r="H432" s="556">
        <f t="shared" ref="H432" si="267">H434</f>
        <v>0</v>
      </c>
      <c r="I432" s="556">
        <f t="shared" si="212"/>
        <v>25180562</v>
      </c>
      <c r="J432" s="556">
        <f>J434</f>
        <v>12180562</v>
      </c>
      <c r="K432" s="379">
        <f t="shared" ref="K432" si="268">K434</f>
        <v>0</v>
      </c>
      <c r="L432" s="379">
        <f t="shared" si="214"/>
        <v>12180562</v>
      </c>
    </row>
    <row r="433" spans="1:12" ht="78.75">
      <c r="A433" s="148" t="str">
        <f>IF(B433&gt;0,VLOOKUP(B433,КВСР!A284:B1449,2),IF(C433&gt;0,VLOOKUP(C433,КФСР!A284:B1796,2),IF(D433&gt;0,VLOOKUP(D433,Программа!A$1:B$5091,2),IF(F433&gt;0,VLOOKUP(F433,КВР!A$1:B$5001,2),IF(E433&gt;0,VLOOKUP(E433,Направление!A$1:B$4750,2))))))</f>
        <v>Ведомственная целевая программа «Сохранение и развитие культуры Тутаевского муниципального района»</v>
      </c>
      <c r="B433" s="149"/>
      <c r="C433" s="144"/>
      <c r="D433" s="163" t="s">
        <v>671</v>
      </c>
      <c r="E433" s="161"/>
      <c r="F433" s="146"/>
      <c r="G433" s="556">
        <f t="shared" ref="G433:H435" si="269">G434</f>
        <v>25180562</v>
      </c>
      <c r="H433" s="556">
        <f t="shared" si="269"/>
        <v>0</v>
      </c>
      <c r="I433" s="556">
        <f t="shared" si="212"/>
        <v>25180562</v>
      </c>
      <c r="J433" s="556">
        <f>J434</f>
        <v>12180562</v>
      </c>
      <c r="K433" s="379">
        <f t="shared" ref="K433:K435" si="270">K434</f>
        <v>0</v>
      </c>
      <c r="L433" s="379">
        <f t="shared" si="214"/>
        <v>12180562</v>
      </c>
    </row>
    <row r="434" spans="1:12" ht="63">
      <c r="A434" s="148" t="str">
        <f>IF(B434&gt;0,VLOOKUP(B434,КВСР!A285:B1450,2),IF(C434&gt;0,VLOOKUP(C434,КФСР!A285:B1797,2),IF(D434&gt;0,VLOOKUP(D434,Программа!A$1:B$5091,2),IF(F434&gt;0,VLOOKUP(F434,КВР!A$1:B$5001,2),IF(E434&gt;0,VLOOKUP(E434,Направление!A$1:B$4750,2))))))</f>
        <v>Реализация дополнительных образовательных программ в сфере культуры</v>
      </c>
      <c r="B434" s="149"/>
      <c r="C434" s="144"/>
      <c r="D434" s="145" t="s">
        <v>673</v>
      </c>
      <c r="E434" s="144"/>
      <c r="F434" s="146"/>
      <c r="G434" s="556">
        <f t="shared" si="269"/>
        <v>25180562</v>
      </c>
      <c r="H434" s="556">
        <f t="shared" si="269"/>
        <v>0</v>
      </c>
      <c r="I434" s="556">
        <f t="shared" si="212"/>
        <v>25180562</v>
      </c>
      <c r="J434" s="556">
        <f>J435</f>
        <v>12180562</v>
      </c>
      <c r="K434" s="379">
        <f t="shared" si="270"/>
        <v>0</v>
      </c>
      <c r="L434" s="379">
        <f t="shared" si="214"/>
        <v>12180562</v>
      </c>
    </row>
    <row r="435" spans="1:12" ht="63">
      <c r="A435" s="148" t="str">
        <f>IF(B435&gt;0,VLOOKUP(B435,КВСР!A285:B1450,2),IF(C435&gt;0,VLOOKUP(C435,КФСР!A285:B1797,2),IF(D435&gt;0,VLOOKUP(D435,Программа!A$1:B$5091,2),IF(F435&gt;0,VLOOKUP(F435,КВР!A$1:B$5001,2),IF(E435&gt;0,VLOOKUP(E435,Направление!A$1:B$4750,2))))))</f>
        <v>Обеспечение деятельности учреждений дополнительного образования</v>
      </c>
      <c r="B435" s="149"/>
      <c r="C435" s="144"/>
      <c r="D435" s="145"/>
      <c r="E435" s="144">
        <v>13210</v>
      </c>
      <c r="F435" s="146"/>
      <c r="G435" s="556">
        <f t="shared" si="269"/>
        <v>25180562</v>
      </c>
      <c r="H435" s="556">
        <f t="shared" si="269"/>
        <v>0</v>
      </c>
      <c r="I435" s="556">
        <f t="shared" si="212"/>
        <v>25180562</v>
      </c>
      <c r="J435" s="556">
        <f>J436</f>
        <v>12180562</v>
      </c>
      <c r="K435" s="379">
        <f t="shared" si="270"/>
        <v>0</v>
      </c>
      <c r="L435" s="379">
        <f t="shared" si="214"/>
        <v>12180562</v>
      </c>
    </row>
    <row r="436" spans="1:12" ht="78.75">
      <c r="A436" s="148" t="str">
        <f>IF(B436&gt;0,VLOOKUP(B436,КВСР!A286:B1451,2),IF(C436&gt;0,VLOOKUP(C436,КФСР!A286:B1798,2),IF(D436&gt;0,VLOOKUP(D436,Программа!A$1:B$5091,2),IF(F436&gt;0,VLOOKUP(F436,КВР!A$1:B$5001,2),IF(E436&gt;0,VLOOKUP(E436,Направление!A$1:B$4750,2))))))</f>
        <v>Предоставление субсидий бюджетным, автономным учреждениям и иным некоммерческим организациям</v>
      </c>
      <c r="B436" s="149"/>
      <c r="C436" s="144"/>
      <c r="D436" s="145"/>
      <c r="E436" s="144"/>
      <c r="F436" s="146">
        <v>600</v>
      </c>
      <c r="G436" s="556">
        <f>20000000+5180562</f>
        <v>25180562</v>
      </c>
      <c r="H436" s="556"/>
      <c r="I436" s="556">
        <f t="shared" si="212"/>
        <v>25180562</v>
      </c>
      <c r="J436" s="556">
        <f>7000000+5180562</f>
        <v>12180562</v>
      </c>
      <c r="K436" s="379"/>
      <c r="L436" s="379">
        <f t="shared" si="214"/>
        <v>12180562</v>
      </c>
    </row>
    <row r="437" spans="1:12" ht="15.75">
      <c r="A437" s="148" t="str">
        <f>IF(B437&gt;0,VLOOKUP(B437,КВСР!A286:B1451,2),IF(C437&gt;0,VLOOKUP(C437,КФСР!A286:B1798,2),IF(D437&gt;0,VLOOKUP(D437,Программа!A$1:B$5091,2),IF(F437&gt;0,VLOOKUP(F437,КВР!A$1:B$5001,2),IF(E437&gt;0,VLOOKUP(E437,Направление!A$1:B$4750,2))))))</f>
        <v>Молодежная политика</v>
      </c>
      <c r="B437" s="149"/>
      <c r="C437" s="144">
        <v>707</v>
      </c>
      <c r="D437" s="145"/>
      <c r="E437" s="144"/>
      <c r="F437" s="146"/>
      <c r="G437" s="556">
        <f>G438</f>
        <v>7000000</v>
      </c>
      <c r="H437" s="556">
        <f t="shared" ref="H437" si="271">H438</f>
        <v>0</v>
      </c>
      <c r="I437" s="556">
        <f t="shared" si="212"/>
        <v>7000000</v>
      </c>
      <c r="J437" s="556">
        <f>J438</f>
        <v>3000000</v>
      </c>
      <c r="K437" s="379">
        <f t="shared" ref="K437" si="272">K438</f>
        <v>0</v>
      </c>
      <c r="L437" s="379">
        <f t="shared" si="214"/>
        <v>3000000</v>
      </c>
    </row>
    <row r="438" spans="1:12" ht="78.75">
      <c r="A438" s="148" t="str">
        <f>IF(B438&gt;0,VLOOKUP(B438,КВСР!A287:B1452,2),IF(C438&gt;0,VLOOKUP(C438,КФСР!A287:B1799,2),IF(D438&gt;0,VLOOKUP(D438,Программа!A$1:B$5091,2),IF(F438&gt;0,VLOOKUP(F438,КВР!A$1:B$5001,2),IF(E438&gt;0,VLOOKUP(E438,Направление!A$1:B$4750,2))))))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438" s="149"/>
      <c r="C438" s="144"/>
      <c r="D438" s="145" t="s">
        <v>569</v>
      </c>
      <c r="E438" s="144"/>
      <c r="F438" s="146"/>
      <c r="G438" s="556">
        <f>G440</f>
        <v>7000000</v>
      </c>
      <c r="H438" s="556">
        <f t="shared" ref="H438" si="273">H440</f>
        <v>0</v>
      </c>
      <c r="I438" s="556">
        <f t="shared" si="212"/>
        <v>7000000</v>
      </c>
      <c r="J438" s="556">
        <f>J440</f>
        <v>3000000</v>
      </c>
      <c r="K438" s="379">
        <f t="shared" ref="K438" si="274">K440</f>
        <v>0</v>
      </c>
      <c r="L438" s="379">
        <f t="shared" si="214"/>
        <v>3000000</v>
      </c>
    </row>
    <row r="439" spans="1:12" ht="31.5">
      <c r="A439" s="148" t="str">
        <f>IF(B439&gt;0,VLOOKUP(B439,КВСР!A288:B1453,2),IF(C439&gt;0,VLOOKUP(C439,КФСР!A288:B1800,2),IF(D439&gt;0,VLOOKUP(D439,Программа!A$1:B$5091,2),IF(F439&gt;0,VLOOKUP(F439,КВР!A$1:B$5001,2),IF(E439&gt;0,VLOOKUP(E439,Направление!A$1:B$4750,2))))))</f>
        <v>Ведомственная целевая программа «Молодежь»</v>
      </c>
      <c r="B439" s="149"/>
      <c r="C439" s="144"/>
      <c r="D439" s="145" t="s">
        <v>676</v>
      </c>
      <c r="E439" s="144"/>
      <c r="F439" s="146"/>
      <c r="G439" s="556">
        <f>G440</f>
        <v>7000000</v>
      </c>
      <c r="H439" s="556">
        <f t="shared" ref="H439" si="275">H440</f>
        <v>0</v>
      </c>
      <c r="I439" s="556">
        <f t="shared" si="212"/>
        <v>7000000</v>
      </c>
      <c r="J439" s="556">
        <f>J440</f>
        <v>3000000</v>
      </c>
      <c r="K439" s="379">
        <f t="shared" ref="K439" si="276">K440</f>
        <v>0</v>
      </c>
      <c r="L439" s="379">
        <f t="shared" si="214"/>
        <v>3000000</v>
      </c>
    </row>
    <row r="440" spans="1:12" ht="94.5">
      <c r="A440" s="148" t="str">
        <f>IF(B440&gt;0,VLOOKUP(B440,КВСР!A289:B1454,2),IF(C440&gt;0,VLOOKUP(C440,КФСР!A289:B1801,2),IF(D440&gt;0,VLOOKUP(D440,Программа!A$1:B$5091,2),IF(F440&gt;0,VLOOKUP(F440,КВР!A$1:B$5001,2),IF(E440&gt;0,VLOOKUP(E440,Направление!A$1:B$4750,2))))))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40" s="149"/>
      <c r="C440" s="144"/>
      <c r="D440" s="145" t="s">
        <v>678</v>
      </c>
      <c r="E440" s="144"/>
      <c r="F440" s="146"/>
      <c r="G440" s="556">
        <f>G441+G443+G445</f>
        <v>7000000</v>
      </c>
      <c r="H440" s="556">
        <f t="shared" ref="H440" si="277">H441+H443+H445</f>
        <v>0</v>
      </c>
      <c r="I440" s="556">
        <f t="shared" si="212"/>
        <v>7000000</v>
      </c>
      <c r="J440" s="556">
        <f>J441+J443+J445</f>
        <v>3000000</v>
      </c>
      <c r="K440" s="379">
        <f t="shared" ref="K440" si="278">K441+K443+K445</f>
        <v>0</v>
      </c>
      <c r="L440" s="379">
        <f t="shared" si="214"/>
        <v>3000000</v>
      </c>
    </row>
    <row r="441" spans="1:12" ht="47.25">
      <c r="A441" s="148" t="str">
        <f>IF(B441&gt;0,VLOOKUP(B441,КВСР!A289:B1454,2),IF(C441&gt;0,VLOOKUP(C441,КФСР!A289:B1801,2),IF(D441&gt;0,VLOOKUP(D441,Программа!A$1:B$5091,2),IF(F441&gt;0,VLOOKUP(F441,КВР!A$1:B$5001,2),IF(E441&gt;0,VLOOKUP(E441,Направление!A$1:B$4750,2))))))</f>
        <v xml:space="preserve">Обеспечение деятельности учреждений в сфере молодежной политики </v>
      </c>
      <c r="B441" s="149"/>
      <c r="C441" s="144"/>
      <c r="D441" s="145"/>
      <c r="E441" s="144">
        <v>14510</v>
      </c>
      <c r="F441" s="146"/>
      <c r="G441" s="556">
        <f>G442</f>
        <v>7000000</v>
      </c>
      <c r="H441" s="556">
        <f t="shared" ref="H441" si="279">H442</f>
        <v>0</v>
      </c>
      <c r="I441" s="556">
        <f t="shared" si="212"/>
        <v>7000000</v>
      </c>
      <c r="J441" s="556">
        <f>J442</f>
        <v>3000000</v>
      </c>
      <c r="K441" s="379">
        <f t="shared" ref="K441" si="280">K442</f>
        <v>0</v>
      </c>
      <c r="L441" s="379">
        <f t="shared" si="214"/>
        <v>3000000</v>
      </c>
    </row>
    <row r="442" spans="1:12" ht="78.75">
      <c r="A442" s="148" t="str">
        <f>IF(B442&gt;0,VLOOKUP(B442,КВСР!A290:B1455,2),IF(C442&gt;0,VLOOKUP(C442,КФСР!A290:B1802,2),IF(D442&gt;0,VLOOKUP(D442,Программа!A$1:B$5091,2),IF(F442&gt;0,VLOOKUP(F442,КВР!A$1:B$5001,2),IF(E442&gt;0,VLOOKUP(E442,Направление!A$1:B$4750,2))))))</f>
        <v>Предоставление субсидий бюджетным, автономным учреждениям и иным некоммерческим организациям</v>
      </c>
      <c r="B442" s="149"/>
      <c r="C442" s="144"/>
      <c r="D442" s="145"/>
      <c r="E442" s="144"/>
      <c r="F442" s="146">
        <v>600</v>
      </c>
      <c r="G442" s="556">
        <v>7000000</v>
      </c>
      <c r="H442" s="556"/>
      <c r="I442" s="556">
        <f t="shared" si="212"/>
        <v>7000000</v>
      </c>
      <c r="J442" s="556">
        <v>3000000</v>
      </c>
      <c r="K442" s="379"/>
      <c r="L442" s="379">
        <f t="shared" si="214"/>
        <v>3000000</v>
      </c>
    </row>
    <row r="443" spans="1:12" ht="110.25" hidden="1">
      <c r="A443" s="148" t="str">
        <f>IF(B443&gt;0,VLOOKUP(B443,КВСР!A291:B1456,2),IF(C443&gt;0,VLOOKUP(C443,КФСР!A291:B1803,2),IF(D443&gt;0,VLOOKUP(D443,Программа!A$1:B$5091,2),IF(F443&gt;0,VLOOKUP(F443,КВР!A$1:B$5001,2),IF(E443&gt;0,VLOOKUP(E443,Направление!A$1:B$4750,2))))))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43" s="149"/>
      <c r="C443" s="144"/>
      <c r="D443" s="145"/>
      <c r="E443" s="144" t="s">
        <v>682</v>
      </c>
      <c r="F443" s="146"/>
      <c r="G443" s="556">
        <f>G444</f>
        <v>0</v>
      </c>
      <c r="H443" s="556">
        <f t="shared" ref="H443" si="281">H444</f>
        <v>0</v>
      </c>
      <c r="I443" s="556">
        <f t="shared" ref="I443:I518" si="282">SUM(G443:H443)</f>
        <v>0</v>
      </c>
      <c r="J443" s="556">
        <f>J444</f>
        <v>0</v>
      </c>
      <c r="K443" s="379">
        <f t="shared" ref="K443" si="283">K444</f>
        <v>0</v>
      </c>
      <c r="L443" s="379">
        <f t="shared" ref="L443:L518" si="284">SUM(J443:K443)</f>
        <v>0</v>
      </c>
    </row>
    <row r="444" spans="1:12" ht="78.75" hidden="1">
      <c r="A444" s="148" t="str">
        <f>IF(B444&gt;0,VLOOKUP(B444,КВСР!A292:B1457,2),IF(C444&gt;0,VLOOKUP(C444,КФСР!A292:B1804,2),IF(D444&gt;0,VLOOKUP(D444,Программа!A$1:B$5091,2),IF(F444&gt;0,VLOOKUP(F444,КВР!A$1:B$5001,2),IF(E444&gt;0,VLOOKUP(E444,Направление!A$1:B$4750,2))))))</f>
        <v>Предоставление субсидий бюджетным, автономным учреждениям и иным некоммерческим организациям</v>
      </c>
      <c r="B444" s="149"/>
      <c r="C444" s="144"/>
      <c r="D444" s="145"/>
      <c r="E444" s="144"/>
      <c r="F444" s="146">
        <v>600</v>
      </c>
      <c r="G444" s="556"/>
      <c r="H444" s="556"/>
      <c r="I444" s="556">
        <f t="shared" si="282"/>
        <v>0</v>
      </c>
      <c r="J444" s="556"/>
      <c r="K444" s="379"/>
      <c r="L444" s="379">
        <f t="shared" si="284"/>
        <v>0</v>
      </c>
    </row>
    <row r="445" spans="1:12" ht="110.25" hidden="1">
      <c r="A445" s="148" t="str">
        <f>IF(B445&gt;0,VLOOKUP(B445,КВСР!A293:B1458,2),IF(C445&gt;0,VLOOKUP(C445,КФСР!A293:B1805,2),IF(D445&gt;0,VLOOKUP(D445,Программа!A$1:B$5091,2),IF(F445&gt;0,VLOOKUP(F445,КВР!A$1:B$5001,2),IF(E445&gt;0,VLOOKUP(E445,Направление!A$1:B$4750,2))))))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45" s="149"/>
      <c r="C445" s="144"/>
      <c r="D445" s="145"/>
      <c r="E445" s="144">
        <v>70650</v>
      </c>
      <c r="F445" s="146"/>
      <c r="G445" s="556">
        <f>G446</f>
        <v>0</v>
      </c>
      <c r="H445" s="556">
        <f t="shared" ref="H445" si="285">H446</f>
        <v>0</v>
      </c>
      <c r="I445" s="556">
        <f t="shared" si="282"/>
        <v>0</v>
      </c>
      <c r="J445" s="556">
        <f>J446</f>
        <v>0</v>
      </c>
      <c r="K445" s="379">
        <f t="shared" ref="K445" si="286">K446</f>
        <v>0</v>
      </c>
      <c r="L445" s="379">
        <f t="shared" si="284"/>
        <v>0</v>
      </c>
    </row>
    <row r="446" spans="1:12" ht="78.75" hidden="1">
      <c r="A446" s="148" t="str">
        <f>IF(B446&gt;0,VLOOKUP(B446,КВСР!A294:B1459,2),IF(C446&gt;0,VLOOKUP(C446,КФСР!A294:B1806,2),IF(D446&gt;0,VLOOKUP(D446,Программа!A$1:B$5091,2),IF(F446&gt;0,VLOOKUP(F446,КВР!A$1:B$5001,2),IF(E446&gt;0,VLOOKUP(E446,Направление!A$1:B$4750,2))))))</f>
        <v>Предоставление субсидий бюджетным, автономным учреждениям и иным некоммерческим организациям</v>
      </c>
      <c r="B446" s="149"/>
      <c r="C446" s="144"/>
      <c r="D446" s="145"/>
      <c r="E446" s="144"/>
      <c r="F446" s="146">
        <v>600</v>
      </c>
      <c r="G446" s="556"/>
      <c r="H446" s="556"/>
      <c r="I446" s="556">
        <f t="shared" si="282"/>
        <v>0</v>
      </c>
      <c r="J446" s="556"/>
      <c r="K446" s="379"/>
      <c r="L446" s="379">
        <f t="shared" si="284"/>
        <v>0</v>
      </c>
    </row>
    <row r="447" spans="1:12" ht="15.75">
      <c r="A447" s="148" t="str">
        <f>IF(B447&gt;0,VLOOKUP(B447,КВСР!A309:B1474,2),IF(C447&gt;0,VLOOKUP(C447,КФСР!A309:B1821,2),IF(D447&gt;0,VLOOKUP(D447,Программа!A$1:B$5091,2),IF(F447&gt;0,VLOOKUP(F447,КВР!A$1:B$5001,2),IF(E447&gt;0,VLOOKUP(E447,Направление!A$1:B$4750,2))))))</f>
        <v>Культура</v>
      </c>
      <c r="B447" s="149"/>
      <c r="C447" s="144">
        <v>801</v>
      </c>
      <c r="D447" s="163"/>
      <c r="E447" s="161"/>
      <c r="F447" s="162"/>
      <c r="G447" s="556">
        <f>G448</f>
        <v>72223555</v>
      </c>
      <c r="H447" s="556">
        <f t="shared" ref="H447" si="287">H448</f>
        <v>1300000</v>
      </c>
      <c r="I447" s="556">
        <f t="shared" si="282"/>
        <v>73523555</v>
      </c>
      <c r="J447" s="556">
        <f>J448</f>
        <v>42223555</v>
      </c>
      <c r="K447" s="379">
        <f t="shared" ref="K447" si="288">K448</f>
        <v>1300000</v>
      </c>
      <c r="L447" s="379">
        <f t="shared" si="284"/>
        <v>43523555</v>
      </c>
    </row>
    <row r="448" spans="1:12" ht="78.75">
      <c r="A448" s="148" t="str">
        <f>IF(B448&gt;0,VLOOKUP(B448,КВСР!A310:B1475,2),IF(C448&gt;0,VLOOKUP(C448,КФСР!A310:B1822,2),IF(D448&gt;0,VLOOKUP(D448,Программа!A$1:B$5091,2),IF(F448&gt;0,VLOOKUP(F448,КВР!A$1:B$5001,2),IF(E448&gt;0,VLOOKUP(E448,Направление!A$1:B$4750,2))))))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448" s="149"/>
      <c r="C448" s="144"/>
      <c r="D448" s="163" t="s">
        <v>569</v>
      </c>
      <c r="E448" s="161"/>
      <c r="F448" s="162"/>
      <c r="G448" s="556">
        <f>G453+G449</f>
        <v>72223555</v>
      </c>
      <c r="H448" s="556">
        <f t="shared" ref="H448:L448" si="289">H453+H449</f>
        <v>1300000</v>
      </c>
      <c r="I448" s="556">
        <f t="shared" si="289"/>
        <v>73523555</v>
      </c>
      <c r="J448" s="556">
        <f t="shared" si="289"/>
        <v>42223555</v>
      </c>
      <c r="K448" s="556">
        <f t="shared" si="289"/>
        <v>1300000</v>
      </c>
      <c r="L448" s="556">
        <f t="shared" si="289"/>
        <v>43523555</v>
      </c>
    </row>
    <row r="449" spans="1:12" ht="126">
      <c r="A449" s="148" t="str">
        <f>IF(B449&gt;0,VLOOKUP(B449,КВСР!A311:B1476,2),IF(C449&gt;0,VLOOKUP(C449,КФСР!A311:B1823,2),IF(D449&gt;0,VLOOKUP(D449,Программа!A$1:B$5091,2),IF(F449&gt;0,VLOOKUP(F449,КВР!A$1:B$5001,2),IF(E449&gt;0,VLOOKUP(E449,Направление!A$1:B$4750,2))))))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49" s="149"/>
      <c r="C449" s="144"/>
      <c r="D449" s="163" t="s">
        <v>571</v>
      </c>
      <c r="E449" s="161"/>
      <c r="F449" s="162"/>
      <c r="G449" s="556">
        <f>G450</f>
        <v>0</v>
      </c>
      <c r="H449" s="556">
        <f t="shared" ref="H449:L451" si="290">H450</f>
        <v>300000</v>
      </c>
      <c r="I449" s="556">
        <f t="shared" si="290"/>
        <v>300000</v>
      </c>
      <c r="J449" s="556">
        <f t="shared" si="290"/>
        <v>0</v>
      </c>
      <c r="K449" s="556">
        <f t="shared" si="290"/>
        <v>300000</v>
      </c>
      <c r="L449" s="556">
        <f t="shared" si="290"/>
        <v>300000</v>
      </c>
    </row>
    <row r="450" spans="1:12" ht="141.75">
      <c r="A450" s="148" t="str">
        <f>IF(B450&gt;0,VLOOKUP(B450,КВСР!A312:B1477,2),IF(C450&gt;0,VLOOKUP(C450,КФСР!A312:B1824,2),IF(D450&gt;0,VLOOKUP(D450,Программа!A$1:B$5091,2),IF(F450&gt;0,VLOOKUP(F450,КВР!A$1:B$5001,2),IF(E450&gt;0,VLOOKUP(E450,Направление!A$1:B$4750,2))))))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50" s="149"/>
      <c r="C450" s="144"/>
      <c r="D450" s="163" t="s">
        <v>573</v>
      </c>
      <c r="E450" s="161"/>
      <c r="F450" s="162"/>
      <c r="G450" s="556">
        <f>G451</f>
        <v>0</v>
      </c>
      <c r="H450" s="556">
        <f t="shared" si="290"/>
        <v>300000</v>
      </c>
      <c r="I450" s="556">
        <f t="shared" si="290"/>
        <v>300000</v>
      </c>
      <c r="J450" s="556">
        <f t="shared" si="290"/>
        <v>0</v>
      </c>
      <c r="K450" s="556">
        <f t="shared" si="290"/>
        <v>300000</v>
      </c>
      <c r="L450" s="556">
        <f t="shared" si="290"/>
        <v>300000</v>
      </c>
    </row>
    <row r="451" spans="1:12" ht="63">
      <c r="A451" s="148" t="str">
        <f>IF(B451&gt;0,VLOOKUP(B451,КВСР!A313:B1478,2),IF(C451&gt;0,VLOOKUP(C451,КФСР!A313:B1825,2),IF(D451&gt;0,VLOOKUP(D451,Программа!A$1:B$5091,2),IF(F451&gt;0,VLOOKUP(F451,КВР!A$1:B$5001,2),IF(E451&gt;0,VLOOKUP(E451,Направление!A$1:B$4750,2))))))</f>
        <v>Обеспечение мероприятий по содержанию  военно-мемориального комплекса пл.Юности</v>
      </c>
      <c r="B451" s="149"/>
      <c r="C451" s="144"/>
      <c r="D451" s="163"/>
      <c r="E451" s="161">
        <v>29686</v>
      </c>
      <c r="F451" s="162"/>
      <c r="G451" s="556">
        <f>G452</f>
        <v>0</v>
      </c>
      <c r="H451" s="556">
        <f t="shared" si="290"/>
        <v>300000</v>
      </c>
      <c r="I451" s="556">
        <f t="shared" si="290"/>
        <v>300000</v>
      </c>
      <c r="J451" s="556">
        <f t="shared" si="290"/>
        <v>0</v>
      </c>
      <c r="K451" s="556">
        <f t="shared" si="290"/>
        <v>300000</v>
      </c>
      <c r="L451" s="556">
        <f t="shared" si="290"/>
        <v>300000</v>
      </c>
    </row>
    <row r="452" spans="1:12" ht="78.75">
      <c r="A452" s="148" t="str">
        <f>IF(B452&gt;0,VLOOKUP(B452,КВСР!A314:B1479,2),IF(C452&gt;0,VLOOKUP(C452,КФСР!A314:B1826,2),IF(D452&gt;0,VLOOKUP(D452,Программа!A$1:B$5091,2),IF(F452&gt;0,VLOOKUP(F452,КВР!A$1:B$5001,2),IF(E452&gt;0,VLOOKUP(E452,Направление!A$1:B$4750,2))))))</f>
        <v>Предоставление субсидий бюджетным, автономным учреждениям и иным некоммерческим организациям</v>
      </c>
      <c r="B452" s="149"/>
      <c r="C452" s="144"/>
      <c r="D452" s="163"/>
      <c r="E452" s="161"/>
      <c r="F452" s="162">
        <v>600</v>
      </c>
      <c r="G452" s="556"/>
      <c r="H452" s="556">
        <v>300000</v>
      </c>
      <c r="I452" s="556">
        <f>G452+H452</f>
        <v>300000</v>
      </c>
      <c r="J452" s="556"/>
      <c r="K452" s="379">
        <v>300000</v>
      </c>
      <c r="L452" s="379">
        <f>J452+K452</f>
        <v>300000</v>
      </c>
    </row>
    <row r="453" spans="1:12" ht="78.75">
      <c r="A453" s="148" t="str">
        <f>IF(B453&gt;0,VLOOKUP(B453,КВСР!A311:B1476,2),IF(C453&gt;0,VLOOKUP(C453,КФСР!A311:B1823,2),IF(D453&gt;0,VLOOKUP(D453,Программа!A$1:B$5091,2),IF(F453&gt;0,VLOOKUP(F453,КВР!A$1:B$5001,2),IF(E453&gt;0,VLOOKUP(E453,Направление!A$1:B$4750,2))))))</f>
        <v>Ведомственная целевая программа «Сохранение и развитие культуры Тутаевского муниципального района»</v>
      </c>
      <c r="B453" s="149"/>
      <c r="C453" s="144"/>
      <c r="D453" s="163" t="s">
        <v>671</v>
      </c>
      <c r="E453" s="161"/>
      <c r="F453" s="162"/>
      <c r="G453" s="556">
        <f>G454+G459</f>
        <v>72223555</v>
      </c>
      <c r="H453" s="556">
        <f t="shared" ref="H453" si="291">H454+H459</f>
        <v>1000000</v>
      </c>
      <c r="I453" s="556">
        <f t="shared" si="282"/>
        <v>73223555</v>
      </c>
      <c r="J453" s="556">
        <f>J454+J459</f>
        <v>42223555</v>
      </c>
      <c r="K453" s="379">
        <f t="shared" ref="K453" si="292">K454+K459</f>
        <v>1000000</v>
      </c>
      <c r="L453" s="379">
        <f t="shared" si="284"/>
        <v>43223555</v>
      </c>
    </row>
    <row r="454" spans="1:12" ht="47.25">
      <c r="A454" s="148" t="str">
        <f>IF(B454&gt;0,VLOOKUP(B454,КВСР!A312:B1477,2),IF(C454&gt;0,VLOOKUP(C454,КФСР!A312:B1824,2),IF(D454&gt;0,VLOOKUP(D454,Программа!A$1:B$5091,2),IF(F454&gt;0,VLOOKUP(F454,КВР!A$1:B$5001,2),IF(E454&gt;0,VLOOKUP(E454,Направление!A$1:B$4750,2))))))</f>
        <v>Содействие доступу граждан к культурным ценностям</v>
      </c>
      <c r="B454" s="149"/>
      <c r="C454" s="144"/>
      <c r="D454" s="163" t="s">
        <v>690</v>
      </c>
      <c r="E454" s="161"/>
      <c r="F454" s="162"/>
      <c r="G454" s="556">
        <f>G455+G457</f>
        <v>56988980</v>
      </c>
      <c r="H454" s="556">
        <f t="shared" ref="H454:L454" si="293">H455+H457</f>
        <v>870000</v>
      </c>
      <c r="I454" s="556">
        <f t="shared" si="293"/>
        <v>57858980</v>
      </c>
      <c r="J454" s="556">
        <f t="shared" si="293"/>
        <v>31988980</v>
      </c>
      <c r="K454" s="556">
        <f t="shared" si="293"/>
        <v>870000</v>
      </c>
      <c r="L454" s="556">
        <f t="shared" si="293"/>
        <v>32858980</v>
      </c>
    </row>
    <row r="455" spans="1:12" ht="47.25">
      <c r="A455" s="148" t="str">
        <f>IF(B455&gt;0,VLOOKUP(B455,КВСР!A312:B1477,2),IF(C455&gt;0,VLOOKUP(C455,КФСР!A312:B1824,2),IF(D455&gt;0,VLOOKUP(D455,Программа!A$1:B$5091,2),IF(F455&gt;0,VLOOKUP(F455,КВР!A$1:B$5001,2),IF(E455&gt;0,VLOOKUP(E455,Направление!A$1:B$4750,2))))))</f>
        <v>Обеспечение деятельности учреждений по организации досуга в сфере культуры</v>
      </c>
      <c r="B455" s="149"/>
      <c r="C455" s="144"/>
      <c r="D455" s="163"/>
      <c r="E455" s="161">
        <v>15010</v>
      </c>
      <c r="F455" s="162"/>
      <c r="G455" s="556">
        <f>G456</f>
        <v>56988980</v>
      </c>
      <c r="H455" s="556">
        <f t="shared" ref="H455" si="294">H456</f>
        <v>0</v>
      </c>
      <c r="I455" s="556">
        <f t="shared" si="282"/>
        <v>56988980</v>
      </c>
      <c r="J455" s="556">
        <f>J456</f>
        <v>31988980</v>
      </c>
      <c r="K455" s="379">
        <f t="shared" ref="K455" si="295">K456</f>
        <v>0</v>
      </c>
      <c r="L455" s="379">
        <f t="shared" si="284"/>
        <v>31988980</v>
      </c>
    </row>
    <row r="456" spans="1:12" ht="78.75">
      <c r="A456" s="148" t="str">
        <f>IF(B456&gt;0,VLOOKUP(B456,КВСР!A313:B1478,2),IF(C456&gt;0,VLOOKUP(C456,КФСР!A313:B1825,2),IF(D456&gt;0,VLOOKUP(D456,Программа!A$1:B$5091,2),IF(F456&gt;0,VLOOKUP(F456,КВР!A$1:B$5001,2),IF(E456&gt;0,VLOOKUP(E456,Направление!A$1:B$4750,2))))))</f>
        <v>Предоставление субсидий бюджетным, автономным учреждениям и иным некоммерческим организациям</v>
      </c>
      <c r="B456" s="149"/>
      <c r="C456" s="144"/>
      <c r="D456" s="163"/>
      <c r="E456" s="161"/>
      <c r="F456" s="162">
        <v>600</v>
      </c>
      <c r="G456" s="556">
        <f>40000000+16988980</f>
        <v>56988980</v>
      </c>
      <c r="H456" s="556"/>
      <c r="I456" s="556">
        <f t="shared" si="282"/>
        <v>56988980</v>
      </c>
      <c r="J456" s="556">
        <f>16988980+15000000</f>
        <v>31988980</v>
      </c>
      <c r="K456" s="379"/>
      <c r="L456" s="379">
        <f t="shared" si="284"/>
        <v>31988980</v>
      </c>
    </row>
    <row r="457" spans="1:12" ht="31.5">
      <c r="A457" s="148" t="str">
        <f>IF(B457&gt;0,VLOOKUP(B457,КВСР!A314:B1479,2),IF(C457&gt;0,VLOOKUP(C457,КФСР!A314:B1826,2),IF(D457&gt;0,VLOOKUP(D457,Программа!A$1:B$5091,2),IF(F457&gt;0,VLOOKUP(F457,КВР!A$1:B$5001,2),IF(E457&gt;0,VLOOKUP(E457,Направление!A$1:B$4750,2))))))</f>
        <v xml:space="preserve">Обеспечение культурно-досуговых мероприятий </v>
      </c>
      <c r="B457" s="149"/>
      <c r="C457" s="144"/>
      <c r="D457" s="163"/>
      <c r="E457" s="161">
        <v>29216</v>
      </c>
      <c r="F457" s="162"/>
      <c r="G457" s="556">
        <f>G458</f>
        <v>0</v>
      </c>
      <c r="H457" s="556">
        <f t="shared" ref="H457:L457" si="296">H458</f>
        <v>870000</v>
      </c>
      <c r="I457" s="556">
        <f t="shared" si="296"/>
        <v>870000</v>
      </c>
      <c r="J457" s="556">
        <f t="shared" si="296"/>
        <v>0</v>
      </c>
      <c r="K457" s="556">
        <f t="shared" si="296"/>
        <v>870000</v>
      </c>
      <c r="L457" s="556">
        <f t="shared" si="296"/>
        <v>870000</v>
      </c>
    </row>
    <row r="458" spans="1:12" ht="78.75">
      <c r="A458" s="148" t="str">
        <f>IF(B458&gt;0,VLOOKUP(B458,КВСР!A315:B1480,2),IF(C458&gt;0,VLOOKUP(C458,КФСР!A315:B1827,2),IF(D458&gt;0,VLOOKUP(D458,Программа!A$1:B$5091,2),IF(F458&gt;0,VLOOKUP(F458,КВР!A$1:B$5001,2),IF(E458&gt;0,VLOOKUP(E458,Направление!A$1:B$4750,2))))))</f>
        <v>Предоставление субсидий бюджетным, автономным учреждениям и иным некоммерческим организациям</v>
      </c>
      <c r="B458" s="149"/>
      <c r="C458" s="144"/>
      <c r="D458" s="163"/>
      <c r="E458" s="161"/>
      <c r="F458" s="162">
        <v>600</v>
      </c>
      <c r="G458" s="556"/>
      <c r="H458" s="556">
        <v>870000</v>
      </c>
      <c r="I458" s="556">
        <f>G458+H458</f>
        <v>870000</v>
      </c>
      <c r="J458" s="556"/>
      <c r="K458" s="379">
        <v>870000</v>
      </c>
      <c r="L458" s="379">
        <f>J458+K458</f>
        <v>870000</v>
      </c>
    </row>
    <row r="459" spans="1:12" ht="47.25">
      <c r="A459" s="148" t="str">
        <f>IF(B459&gt;0,VLOOKUP(B459,КВСР!A314:B1479,2),IF(C459&gt;0,VLOOKUP(C459,КФСР!A314:B1826,2),IF(D459&gt;0,VLOOKUP(D459,Программа!A$1:B$5091,2),IF(F459&gt;0,VLOOKUP(F459,КВР!A$1:B$5001,2),IF(E459&gt;0,VLOOKUP(E459,Направление!A$1:B$4750,2))))))</f>
        <v>Поддержка доступа граждан к информационно-библиотечным ресурсам</v>
      </c>
      <c r="B459" s="149"/>
      <c r="C459" s="144"/>
      <c r="D459" s="163" t="s">
        <v>695</v>
      </c>
      <c r="E459" s="161"/>
      <c r="F459" s="162"/>
      <c r="G459" s="556">
        <f>G460+G462</f>
        <v>15234575</v>
      </c>
      <c r="H459" s="556">
        <f t="shared" ref="H459:L459" si="297">H460+H462</f>
        <v>130000</v>
      </c>
      <c r="I459" s="556">
        <f t="shared" si="297"/>
        <v>15364575</v>
      </c>
      <c r="J459" s="556">
        <f t="shared" si="297"/>
        <v>10234575</v>
      </c>
      <c r="K459" s="556">
        <f t="shared" si="297"/>
        <v>130000</v>
      </c>
      <c r="L459" s="556">
        <f t="shared" si="297"/>
        <v>10364575</v>
      </c>
    </row>
    <row r="460" spans="1:12" ht="31.5">
      <c r="A460" s="148" t="str">
        <f>IF(B460&gt;0,VLOOKUP(B460,КВСР!A315:B1480,2),IF(C460&gt;0,VLOOKUP(C460,КФСР!A315:B1827,2),IF(D460&gt;0,VLOOKUP(D460,Программа!A$1:B$5091,2),IF(F460&gt;0,VLOOKUP(F460,КВР!A$1:B$5001,2),IF(E460&gt;0,VLOOKUP(E460,Направление!A$1:B$4750,2))))))</f>
        <v>Обеспечение деятельности библиотек</v>
      </c>
      <c r="B460" s="149"/>
      <c r="C460" s="144"/>
      <c r="D460" s="163"/>
      <c r="E460" s="161">
        <v>15110</v>
      </c>
      <c r="F460" s="162"/>
      <c r="G460" s="556">
        <f>G461</f>
        <v>15234575</v>
      </c>
      <c r="H460" s="556">
        <f t="shared" ref="H460" si="298">H461</f>
        <v>0</v>
      </c>
      <c r="I460" s="556">
        <f t="shared" si="282"/>
        <v>15234575</v>
      </c>
      <c r="J460" s="556">
        <f>J461</f>
        <v>10234575</v>
      </c>
      <c r="K460" s="379">
        <f t="shared" ref="K460" si="299">K461</f>
        <v>0</v>
      </c>
      <c r="L460" s="379">
        <f t="shared" si="284"/>
        <v>10234575</v>
      </c>
    </row>
    <row r="461" spans="1:12" ht="78.75">
      <c r="A461" s="148" t="str">
        <f>IF(B461&gt;0,VLOOKUP(B461,КВСР!A316:B1481,2),IF(C461&gt;0,VLOOKUP(C461,КФСР!A316:B1828,2),IF(D461&gt;0,VLOOKUP(D461,Программа!A$1:B$5091,2),IF(F461&gt;0,VLOOKUP(F461,КВР!A$1:B$5001,2),IF(E461&gt;0,VLOOKUP(E461,Направление!A$1:B$4750,2))))))</f>
        <v>Предоставление субсидий бюджетным, автономным учреждениям и иным некоммерческим организациям</v>
      </c>
      <c r="B461" s="149"/>
      <c r="C461" s="144"/>
      <c r="D461" s="163"/>
      <c r="E461" s="161"/>
      <c r="F461" s="162">
        <v>600</v>
      </c>
      <c r="G461" s="556">
        <f>10000000+5234575</f>
        <v>15234575</v>
      </c>
      <c r="H461" s="556"/>
      <c r="I461" s="556">
        <f t="shared" si="282"/>
        <v>15234575</v>
      </c>
      <c r="J461" s="556">
        <v>10234575</v>
      </c>
      <c r="K461" s="379"/>
      <c r="L461" s="379">
        <f t="shared" si="284"/>
        <v>10234575</v>
      </c>
    </row>
    <row r="462" spans="1:12" ht="31.5">
      <c r="A462" s="148" t="str">
        <f>IF(B462&gt;0,VLOOKUP(B462,КВСР!A317:B1482,2),IF(C462&gt;0,VLOOKUP(C462,КФСР!A317:B1829,2),IF(D462&gt;0,VLOOKUP(D462,Программа!A$1:B$5091,2),IF(F462&gt;0,VLOOKUP(F462,КВР!A$1:B$5001,2),IF(E462&gt;0,VLOOKUP(E462,Направление!A$1:B$4750,2))))))</f>
        <v xml:space="preserve">Обеспечение культурно-досуговых мероприятий </v>
      </c>
      <c r="B462" s="149"/>
      <c r="C462" s="144"/>
      <c r="D462" s="163"/>
      <c r="E462" s="161">
        <v>29216</v>
      </c>
      <c r="F462" s="162"/>
      <c r="G462" s="556">
        <f>G463</f>
        <v>0</v>
      </c>
      <c r="H462" s="556">
        <f t="shared" ref="H462:L462" si="300">H463</f>
        <v>130000</v>
      </c>
      <c r="I462" s="556">
        <f t="shared" si="300"/>
        <v>130000</v>
      </c>
      <c r="J462" s="556">
        <f t="shared" si="300"/>
        <v>0</v>
      </c>
      <c r="K462" s="556">
        <f t="shared" si="300"/>
        <v>130000</v>
      </c>
      <c r="L462" s="556">
        <f t="shared" si="300"/>
        <v>130000</v>
      </c>
    </row>
    <row r="463" spans="1:12" ht="78.75">
      <c r="A463" s="148" t="str">
        <f>IF(B463&gt;0,VLOOKUP(B463,КВСР!A318:B1483,2),IF(C463&gt;0,VLOOKUP(C463,КФСР!A318:B1830,2),IF(D463&gt;0,VLOOKUP(D463,Программа!A$1:B$5091,2),IF(F463&gt;0,VLOOKUP(F463,КВР!A$1:B$5001,2),IF(E463&gt;0,VLOOKUP(E463,Направление!A$1:B$4750,2))))))</f>
        <v>Предоставление субсидий бюджетным, автономным учреждениям и иным некоммерческим организациям</v>
      </c>
      <c r="B463" s="149"/>
      <c r="C463" s="144"/>
      <c r="D463" s="163"/>
      <c r="E463" s="161"/>
      <c r="F463" s="162">
        <v>600</v>
      </c>
      <c r="G463" s="556"/>
      <c r="H463" s="556">
        <v>130000</v>
      </c>
      <c r="I463" s="556">
        <f>G463+H463</f>
        <v>130000</v>
      </c>
      <c r="J463" s="556"/>
      <c r="K463" s="379">
        <v>130000</v>
      </c>
      <c r="L463" s="379">
        <f>J463+K463</f>
        <v>130000</v>
      </c>
    </row>
    <row r="464" spans="1:12" ht="31.5">
      <c r="A464" s="148" t="str">
        <f>IF(B464&gt;0,VLOOKUP(B464,КВСР!A317:B1482,2),IF(C464&gt;0,VLOOKUP(C464,КФСР!A317:B1829,2),IF(D464&gt;0,VLOOKUP(D464,Программа!A$1:B$5091,2),IF(F464&gt;0,VLOOKUP(F464,КВР!A$1:B$5001,2),IF(E464&gt;0,VLOOKUP(E464,Направление!A$1:B$4750,2))))))</f>
        <v>Другие вопросы в области культуры, кинематографии</v>
      </c>
      <c r="B464" s="149"/>
      <c r="C464" s="144">
        <v>804</v>
      </c>
      <c r="D464" s="145"/>
      <c r="E464" s="144"/>
      <c r="F464" s="146"/>
      <c r="G464" s="556">
        <f>G465</f>
        <v>24180578</v>
      </c>
      <c r="H464" s="556">
        <f t="shared" ref="H464" si="301">H465</f>
        <v>0</v>
      </c>
      <c r="I464" s="556">
        <f t="shared" si="282"/>
        <v>24180578</v>
      </c>
      <c r="J464" s="556">
        <f>J465</f>
        <v>11180578</v>
      </c>
      <c r="K464" s="379">
        <f t="shared" ref="K464" si="302">K465</f>
        <v>0</v>
      </c>
      <c r="L464" s="379">
        <f t="shared" si="284"/>
        <v>11180578</v>
      </c>
    </row>
    <row r="465" spans="1:12" ht="78.75">
      <c r="A465" s="148" t="str">
        <f>IF(B465&gt;0,VLOOKUP(B465,КВСР!A329:B1494,2),IF(C465&gt;0,VLOOKUP(C465,КФСР!A329:B1841,2),IF(D465&gt;0,VLOOKUP(D465,Программа!A$1:B$5091,2),IF(F465&gt;0,VLOOKUP(F465,КВР!A$1:B$5001,2),IF(E465&gt;0,VLOOKUP(E465,Направление!A$1:B$4750,2))))))</f>
        <v>Муниципальная программа  "Развитие культуры, туризма и молодежной политики в Тутаевском муниципальном районе"</v>
      </c>
      <c r="B465" s="149"/>
      <c r="C465" s="144"/>
      <c r="D465" s="145" t="s">
        <v>569</v>
      </c>
      <c r="E465" s="144"/>
      <c r="F465" s="146"/>
      <c r="G465" s="556">
        <f>G467</f>
        <v>24180578</v>
      </c>
      <c r="H465" s="556">
        <f t="shared" ref="H465" si="303">H467</f>
        <v>0</v>
      </c>
      <c r="I465" s="556">
        <f t="shared" si="282"/>
        <v>24180578</v>
      </c>
      <c r="J465" s="556">
        <f>J467</f>
        <v>11180578</v>
      </c>
      <c r="K465" s="379">
        <f t="shared" ref="K465" si="304">K467</f>
        <v>0</v>
      </c>
      <c r="L465" s="379">
        <f t="shared" si="284"/>
        <v>11180578</v>
      </c>
    </row>
    <row r="466" spans="1:12" ht="78.75">
      <c r="A466" s="148" t="str">
        <f>IF(B466&gt;0,VLOOKUP(B466,КВСР!A330:B1495,2),IF(C466&gt;0,VLOOKUP(C466,КФСР!A330:B1842,2),IF(D466&gt;0,VLOOKUP(D466,Программа!A$1:B$5091,2),IF(F466&gt;0,VLOOKUP(F466,КВР!A$1:B$5001,2),IF(E466&gt;0,VLOOKUP(E466,Направление!A$1:B$4750,2))))))</f>
        <v>Ведомственная целевая программа «Сохранение и развитие культуры Тутаевского муниципального района»</v>
      </c>
      <c r="B466" s="149"/>
      <c r="C466" s="144"/>
      <c r="D466" s="145" t="s">
        <v>671</v>
      </c>
      <c r="E466" s="144"/>
      <c r="F466" s="146"/>
      <c r="G466" s="556">
        <f>G467</f>
        <v>24180578</v>
      </c>
      <c r="H466" s="556">
        <f t="shared" ref="H466" si="305">H467</f>
        <v>0</v>
      </c>
      <c r="I466" s="556">
        <f t="shared" si="282"/>
        <v>24180578</v>
      </c>
      <c r="J466" s="556">
        <f>J467</f>
        <v>11180578</v>
      </c>
      <c r="K466" s="379">
        <f t="shared" ref="K466" si="306">K467</f>
        <v>0</v>
      </c>
      <c r="L466" s="379">
        <f t="shared" si="284"/>
        <v>11180578</v>
      </c>
    </row>
    <row r="467" spans="1:12" ht="47.25">
      <c r="A467" s="148" t="str">
        <f>IF(B467&gt;0,VLOOKUP(B467,КВСР!A331:B1496,2),IF(C467&gt;0,VLOOKUP(C467,КФСР!A331:B1843,2),IF(D467&gt;0,VLOOKUP(D467,Программа!A$1:B$5091,2),IF(F467&gt;0,VLOOKUP(F467,КВР!A$1:B$5001,2),IF(E467&gt;0,VLOOKUP(E467,Направление!A$1:B$4750,2))))))</f>
        <v>Обеспечение эффективности управления системой культуры</v>
      </c>
      <c r="B467" s="149"/>
      <c r="C467" s="144"/>
      <c r="D467" s="145" t="s">
        <v>698</v>
      </c>
      <c r="E467" s="144"/>
      <c r="F467" s="146"/>
      <c r="G467" s="556">
        <f>G468+G472+G476</f>
        <v>24180578</v>
      </c>
      <c r="H467" s="556">
        <f t="shared" ref="H467" si="307">H468+H472+H476</f>
        <v>0</v>
      </c>
      <c r="I467" s="556">
        <f t="shared" si="282"/>
        <v>24180578</v>
      </c>
      <c r="J467" s="556">
        <f>J468+J472+J476</f>
        <v>11180578</v>
      </c>
      <c r="K467" s="379">
        <f t="shared" ref="K467" si="308">K468+K472+K476</f>
        <v>0</v>
      </c>
      <c r="L467" s="379">
        <f t="shared" si="284"/>
        <v>11180578</v>
      </c>
    </row>
    <row r="468" spans="1:12" ht="31.5">
      <c r="A468" s="148" t="str">
        <f>IF(B468&gt;0,VLOOKUP(B468,КВСР!A332:B1497,2),IF(C468&gt;0,VLOOKUP(C468,КФСР!A332:B1844,2),IF(D468&gt;0,VLOOKUP(D468,Программа!A$1:B$5091,2),IF(F468&gt;0,VLOOKUP(F468,КВР!A$1:B$5001,2),IF(E468&gt;0,VLOOKUP(E468,Направление!A$1:B$4750,2))))))</f>
        <v>Содержание центрального аппарата</v>
      </c>
      <c r="B468" s="149"/>
      <c r="C468" s="144"/>
      <c r="D468" s="145"/>
      <c r="E468" s="144">
        <v>12010</v>
      </c>
      <c r="F468" s="146"/>
      <c r="G468" s="556">
        <f>G469+G470+G471</f>
        <v>4180578</v>
      </c>
      <c r="H468" s="556">
        <f t="shared" ref="H468:L468" si="309">H469+H470+H471</f>
        <v>0</v>
      </c>
      <c r="I468" s="556">
        <f t="shared" si="309"/>
        <v>4180578</v>
      </c>
      <c r="J468" s="556">
        <f t="shared" si="309"/>
        <v>4180578</v>
      </c>
      <c r="K468" s="379">
        <f t="shared" si="309"/>
        <v>0</v>
      </c>
      <c r="L468" s="379">
        <f t="shared" si="309"/>
        <v>4180578</v>
      </c>
    </row>
    <row r="469" spans="1:12" ht="173.25">
      <c r="A469" s="148" t="str">
        <f>IF(B469&gt;0,VLOOKUP(B469,КВСР!A332:B1497,2),IF(C469&gt;0,VLOOKUP(C469,КФСР!A332:B1844,2),IF(D469&gt;0,VLOOKUP(D469,Программа!A$1:B$5091,2),IF(F469&gt;0,VLOOKUP(F469,КВР!A$1:B$5001,2),IF(E469&gt;0,VLOOKUP(E469,Направление!A$1:B$4750,2))))))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49"/>
      <c r="C469" s="144"/>
      <c r="D469" s="145"/>
      <c r="E469" s="144"/>
      <c r="F469" s="146">
        <v>100</v>
      </c>
      <c r="G469" s="556">
        <v>3690578</v>
      </c>
      <c r="H469" s="556"/>
      <c r="I469" s="556">
        <f t="shared" si="282"/>
        <v>3690578</v>
      </c>
      <c r="J469" s="556">
        <v>3690578</v>
      </c>
      <c r="K469" s="379"/>
      <c r="L469" s="379">
        <f t="shared" si="284"/>
        <v>3690578</v>
      </c>
    </row>
    <row r="470" spans="1:12" ht="78.75">
      <c r="A470" s="148" t="str">
        <f>IF(B470&gt;0,VLOOKUP(B470,КВСР!A333:B1498,2),IF(C470&gt;0,VLOOKUP(C470,КФСР!A333:B1845,2),IF(D470&gt;0,VLOOKUP(D470,Программа!A$1:B$5091,2),IF(F470&gt;0,VLOOKUP(F470,КВР!A$1:B$5001,2),IF(E470&gt;0,VLOOKUP(E470,Направление!A$1:B$4750,2))))))</f>
        <v xml:space="preserve">Закупка товаров, работ и услуг для обеспечения государственных (муниципальных) нужд
</v>
      </c>
      <c r="B470" s="149"/>
      <c r="C470" s="144"/>
      <c r="D470" s="145"/>
      <c r="E470" s="144"/>
      <c r="F470" s="146">
        <v>200</v>
      </c>
      <c r="G470" s="556">
        <v>434000</v>
      </c>
      <c r="H470" s="556"/>
      <c r="I470" s="556">
        <f t="shared" si="282"/>
        <v>434000</v>
      </c>
      <c r="J470" s="556">
        <v>434000</v>
      </c>
      <c r="K470" s="379"/>
      <c r="L470" s="379">
        <f t="shared" si="284"/>
        <v>434000</v>
      </c>
    </row>
    <row r="471" spans="1:12" ht="31.5">
      <c r="A471" s="148" t="str">
        <f>IF(B471&gt;0,VLOOKUP(B471,КВСР!A334:B1499,2),IF(C471&gt;0,VLOOKUP(C471,КФСР!A334:B1846,2),IF(D471&gt;0,VLOOKUP(D471,Программа!A$1:B$5091,2),IF(F471&gt;0,VLOOKUP(F471,КВР!A$1:B$5001,2),IF(E471&gt;0,VLOOKUP(E471,Направление!A$1:B$4750,2))))))</f>
        <v>Иные бюджетные ассигнования</v>
      </c>
      <c r="B471" s="149"/>
      <c r="C471" s="144"/>
      <c r="D471" s="145"/>
      <c r="E471" s="144"/>
      <c r="F471" s="146">
        <v>800</v>
      </c>
      <c r="G471" s="556">
        <v>56000</v>
      </c>
      <c r="H471" s="556"/>
      <c r="I471" s="556">
        <f t="shared" si="282"/>
        <v>56000</v>
      </c>
      <c r="J471" s="556">
        <v>56000</v>
      </c>
      <c r="K471" s="379"/>
      <c r="L471" s="379">
        <f t="shared" si="284"/>
        <v>56000</v>
      </c>
    </row>
    <row r="472" spans="1:12" ht="47.25">
      <c r="A472" s="148" t="str">
        <f>IF(B472&gt;0,VLOOKUP(B472,КВСР!A333:B1498,2),IF(C472&gt;0,VLOOKUP(C472,КФСР!A333:B1845,2),IF(D472&gt;0,VLOOKUP(D472,Программа!A$1:B$5091,2),IF(F472&gt;0,VLOOKUP(F472,КВР!A$1:B$5001,2),IF(E472&gt;0,VLOOKUP(E472,Направление!A$1:B$4750,2))))))</f>
        <v>Обеспечение деятельности прочих учреждений в сфере культуры</v>
      </c>
      <c r="B472" s="149"/>
      <c r="C472" s="144"/>
      <c r="D472" s="145"/>
      <c r="E472" s="144">
        <v>15210</v>
      </c>
      <c r="F472" s="146"/>
      <c r="G472" s="556">
        <f>G473+G474+G475</f>
        <v>20000000</v>
      </c>
      <c r="H472" s="556">
        <f t="shared" ref="H472:L472" si="310">H473+H474+H475</f>
        <v>0</v>
      </c>
      <c r="I472" s="556">
        <f t="shared" si="310"/>
        <v>20000000</v>
      </c>
      <c r="J472" s="556">
        <f t="shared" si="310"/>
        <v>7000000</v>
      </c>
      <c r="K472" s="379">
        <f t="shared" si="310"/>
        <v>0</v>
      </c>
      <c r="L472" s="379">
        <f t="shared" si="310"/>
        <v>7000000</v>
      </c>
    </row>
    <row r="473" spans="1:12" ht="173.25">
      <c r="A473" s="148" t="str">
        <f>IF(B473&gt;0,VLOOKUP(B473,КВСР!A334:B1499,2),IF(C473&gt;0,VLOOKUP(C473,КФСР!A334:B1846,2),IF(D473&gt;0,VLOOKUP(D473,Программа!A$1:B$5091,2),IF(F473&gt;0,VLOOKUP(F473,КВР!A$1:B$5001,2),IF(E473&gt;0,VLOOKUP(E473,Направление!A$1:B$4750,2))))))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3" s="149"/>
      <c r="C473" s="144"/>
      <c r="D473" s="145"/>
      <c r="E473" s="144"/>
      <c r="F473" s="146">
        <v>100</v>
      </c>
      <c r="G473" s="556">
        <v>19400000</v>
      </c>
      <c r="H473" s="556"/>
      <c r="I473" s="556">
        <f t="shared" si="282"/>
        <v>19400000</v>
      </c>
      <c r="J473" s="556">
        <v>7000000</v>
      </c>
      <c r="K473" s="379"/>
      <c r="L473" s="379">
        <f t="shared" si="284"/>
        <v>7000000</v>
      </c>
    </row>
    <row r="474" spans="1:12" ht="78.75">
      <c r="A474" s="148" t="str">
        <f>IF(B474&gt;0,VLOOKUP(B474,КВСР!A335:B1500,2),IF(C474&gt;0,VLOOKUP(C474,КФСР!A335:B1847,2),IF(D474&gt;0,VLOOKUP(D474,Программа!A$1:B$5091,2),IF(F474&gt;0,VLOOKUP(F474,КВР!A$1:B$5001,2),IF(E474&gt;0,VLOOKUP(E474,Направление!A$1:B$4750,2))))))</f>
        <v xml:space="preserve">Закупка товаров, работ и услуг для обеспечения государственных (муниципальных) нужд
</v>
      </c>
      <c r="B474" s="149"/>
      <c r="C474" s="144"/>
      <c r="D474" s="145"/>
      <c r="E474" s="144"/>
      <c r="F474" s="146">
        <v>200</v>
      </c>
      <c r="G474" s="556">
        <v>600000</v>
      </c>
      <c r="H474" s="556"/>
      <c r="I474" s="556">
        <f t="shared" si="282"/>
        <v>600000</v>
      </c>
      <c r="J474" s="556">
        <v>0</v>
      </c>
      <c r="K474" s="379"/>
      <c r="L474" s="379">
        <f t="shared" si="284"/>
        <v>0</v>
      </c>
    </row>
    <row r="475" spans="1:12" ht="31.5" hidden="1">
      <c r="A475" s="148" t="str">
        <f>IF(B475&gt;0,VLOOKUP(B475,КВСР!A336:B1501,2),IF(C475&gt;0,VLOOKUP(C475,КФСР!A336:B1848,2),IF(D475&gt;0,VLOOKUP(D475,Программа!A$1:B$5091,2),IF(F475&gt;0,VLOOKUP(F475,КВР!A$1:B$5001,2),IF(E475&gt;0,VLOOKUP(E475,Направление!A$1:B$4750,2))))))</f>
        <v>Иные бюджетные ассигнования</v>
      </c>
      <c r="B475" s="149"/>
      <c r="C475" s="144"/>
      <c r="D475" s="145"/>
      <c r="E475" s="144"/>
      <c r="F475" s="146">
        <v>800</v>
      </c>
      <c r="G475" s="556"/>
      <c r="H475" s="556"/>
      <c r="I475" s="556">
        <f t="shared" si="282"/>
        <v>0</v>
      </c>
      <c r="J475" s="556"/>
      <c r="K475" s="379"/>
      <c r="L475" s="379">
        <f t="shared" si="284"/>
        <v>0</v>
      </c>
    </row>
    <row r="476" spans="1:12" ht="47.25" hidden="1">
      <c r="A476" s="148" t="str">
        <f>IF(B476&gt;0,VLOOKUP(B476,КВСР!A335:B1500,2),IF(C476&gt;0,VLOOKUP(C476,КФСР!A335:B1847,2),IF(D476&gt;0,VLOOKUP(D476,Программа!A$1:B$5091,2),IF(F476&gt;0,VLOOKUP(F476,КВР!A$1:B$5001,2),IF(E476&gt;0,VLOOKUP(E476,Направление!A$1:B$4750,2))))))</f>
        <v>Содержание органов местного самоуправления за счет средств поселений</v>
      </c>
      <c r="B476" s="149"/>
      <c r="C476" s="144"/>
      <c r="D476" s="145"/>
      <c r="E476" s="144">
        <v>29016</v>
      </c>
      <c r="F476" s="146"/>
      <c r="G476" s="556">
        <f>G477+G478</f>
        <v>0</v>
      </c>
      <c r="H476" s="556">
        <f t="shared" ref="H476" si="311">H477+H478</f>
        <v>0</v>
      </c>
      <c r="I476" s="556">
        <f t="shared" si="282"/>
        <v>0</v>
      </c>
      <c r="J476" s="556">
        <f>J477+J478</f>
        <v>0</v>
      </c>
      <c r="K476" s="379">
        <f t="shared" ref="K476" si="312">K477+K478</f>
        <v>0</v>
      </c>
      <c r="L476" s="379">
        <f t="shared" si="284"/>
        <v>0</v>
      </c>
    </row>
    <row r="477" spans="1:12" ht="173.25" hidden="1">
      <c r="A477" s="148" t="str">
        <f>IF(B477&gt;0,VLOOKUP(B477,КВСР!A336:B1501,2),IF(C477&gt;0,VLOOKUP(C477,КФСР!A336:B1848,2),IF(D477&gt;0,VLOOKUP(D477,Программа!A$1:B$5091,2),IF(F477&gt;0,VLOOKUP(F477,КВР!A$1:B$5001,2),IF(E477&gt;0,VLOOKUP(E477,Направление!A$1:B$4750,2))))))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49"/>
      <c r="C477" s="144"/>
      <c r="D477" s="145"/>
      <c r="E477" s="144"/>
      <c r="F477" s="146">
        <v>100</v>
      </c>
      <c r="G477" s="556"/>
      <c r="H477" s="556"/>
      <c r="I477" s="556">
        <f t="shared" si="282"/>
        <v>0</v>
      </c>
      <c r="J477" s="556"/>
      <c r="K477" s="379"/>
      <c r="L477" s="379">
        <f t="shared" si="284"/>
        <v>0</v>
      </c>
    </row>
    <row r="478" spans="1:12" ht="78.75" hidden="1">
      <c r="A478" s="148" t="str">
        <f>IF(B478&gt;0,VLOOKUP(B478,КВСР!A337:B1502,2),IF(C478&gt;0,VLOOKUP(C478,КФСР!A337:B1849,2),IF(D478&gt;0,VLOOKUP(D478,Программа!A$1:B$5091,2),IF(F478&gt;0,VLOOKUP(F478,КВР!A$1:B$5001,2),IF(E478&gt;0,VLOOKUP(E478,Направление!A$1:B$4750,2))))))</f>
        <v xml:space="preserve">Закупка товаров, работ и услуг для обеспечения государственных (муниципальных) нужд
</v>
      </c>
      <c r="B478" s="149"/>
      <c r="C478" s="144"/>
      <c r="D478" s="145"/>
      <c r="E478" s="144"/>
      <c r="F478" s="146">
        <v>200</v>
      </c>
      <c r="G478" s="556"/>
      <c r="H478" s="556"/>
      <c r="I478" s="556">
        <f t="shared" si="282"/>
        <v>0</v>
      </c>
      <c r="J478" s="556"/>
      <c r="K478" s="379"/>
      <c r="L478" s="379">
        <f t="shared" si="284"/>
        <v>0</v>
      </c>
    </row>
    <row r="479" spans="1:12" ht="31.5">
      <c r="A479" s="148" t="str">
        <f>IF(B479&gt;0,VLOOKUP(B479,КВСР!A347:B1512,2),IF(C479&gt;0,VLOOKUP(C479,КФСР!A347:B1859,2),IF(D479&gt;0,VLOOKUP(D479,Программа!A$1:B$5091,2),IF(F479&gt;0,VLOOKUP(F479,КВР!A$1:B$5001,2),IF(E479&gt;0,VLOOKUP(E479,Направление!A$1:B$4750,2))))))</f>
        <v>Периодическая печать и издательства</v>
      </c>
      <c r="B479" s="149"/>
      <c r="C479" s="144">
        <v>1202</v>
      </c>
      <c r="D479" s="145"/>
      <c r="E479" s="144"/>
      <c r="F479" s="146"/>
      <c r="G479" s="556">
        <f t="shared" ref="G479:H481" si="313">G480</f>
        <v>2000000</v>
      </c>
      <c r="H479" s="556">
        <f t="shared" si="313"/>
        <v>0</v>
      </c>
      <c r="I479" s="556">
        <f t="shared" si="282"/>
        <v>2000000</v>
      </c>
      <c r="J479" s="556">
        <f>J480</f>
        <v>1000000</v>
      </c>
      <c r="K479" s="379">
        <f t="shared" ref="K479:K481" si="314">K480</f>
        <v>0</v>
      </c>
      <c r="L479" s="379">
        <f t="shared" si="284"/>
        <v>1000000</v>
      </c>
    </row>
    <row r="480" spans="1:12" ht="31.5">
      <c r="A480" s="148" t="str">
        <f>IF(B480&gt;0,VLOOKUP(B480,КВСР!A348:B1513,2),IF(C480&gt;0,VLOOKUP(C480,КФСР!A348:B1860,2),IF(D480&gt;0,VLOOKUP(D480,Программа!A$1:B$5091,2),IF(F480&gt;0,VLOOKUP(F480,КВР!A$1:B$5001,2),IF(E480&gt;0,VLOOKUP(E480,Направление!A$1:B$4750,2))))))</f>
        <v>Непрограммные расходы бюджета</v>
      </c>
      <c r="B480" s="149"/>
      <c r="C480" s="144"/>
      <c r="D480" s="145" t="s">
        <v>480</v>
      </c>
      <c r="E480" s="144"/>
      <c r="F480" s="146"/>
      <c r="G480" s="556">
        <f t="shared" si="313"/>
        <v>2000000</v>
      </c>
      <c r="H480" s="556">
        <f t="shared" si="313"/>
        <v>0</v>
      </c>
      <c r="I480" s="556">
        <f t="shared" si="282"/>
        <v>2000000</v>
      </c>
      <c r="J480" s="556">
        <f>J481</f>
        <v>1000000</v>
      </c>
      <c r="K480" s="379">
        <f t="shared" si="314"/>
        <v>0</v>
      </c>
      <c r="L480" s="379">
        <f t="shared" si="284"/>
        <v>1000000</v>
      </c>
    </row>
    <row r="481" spans="1:12" ht="31.5">
      <c r="A481" s="148" t="str">
        <f>IF(B481&gt;0,VLOOKUP(B481,КВСР!A349:B1514,2),IF(C481&gt;0,VLOOKUP(C481,КФСР!A349:B1861,2),IF(D481&gt;0,VLOOKUP(D481,Программа!A$1:B$5091,2),IF(F481&gt;0,VLOOKUP(F481,КВР!A$1:B$5001,2),IF(E481&gt;0,VLOOKUP(E481,Направление!A$1:B$4750,2))))))</f>
        <v xml:space="preserve">Поддержка периодических изданий </v>
      </c>
      <c r="B481" s="149"/>
      <c r="C481" s="144"/>
      <c r="D481" s="145"/>
      <c r="E481" s="144">
        <v>12750</v>
      </c>
      <c r="F481" s="146"/>
      <c r="G481" s="556">
        <f t="shared" si="313"/>
        <v>2000000</v>
      </c>
      <c r="H481" s="556">
        <f t="shared" si="313"/>
        <v>0</v>
      </c>
      <c r="I481" s="556">
        <f t="shared" si="282"/>
        <v>2000000</v>
      </c>
      <c r="J481" s="556">
        <f>J482</f>
        <v>1000000</v>
      </c>
      <c r="K481" s="379">
        <f t="shared" si="314"/>
        <v>0</v>
      </c>
      <c r="L481" s="379">
        <f t="shared" si="284"/>
        <v>1000000</v>
      </c>
    </row>
    <row r="482" spans="1:12" ht="78.75">
      <c r="A482" s="148" t="str">
        <f>IF(B482&gt;0,VLOOKUP(B482,КВСР!A350:B1515,2),IF(C482&gt;0,VLOOKUP(C482,КФСР!A350:B1862,2),IF(D482&gt;0,VLOOKUP(D482,Программа!A$1:B$5091,2),IF(F482&gt;0,VLOOKUP(F482,КВР!A$1:B$5001,2),IF(E482&gt;0,VLOOKUP(E482,Направление!A$1:B$4750,2))))))</f>
        <v>Предоставление субсидий бюджетным, автономным учреждениям и иным некоммерческим организациям</v>
      </c>
      <c r="B482" s="149"/>
      <c r="C482" s="144"/>
      <c r="D482" s="145"/>
      <c r="E482" s="144"/>
      <c r="F482" s="146">
        <v>600</v>
      </c>
      <c r="G482" s="556">
        <v>2000000</v>
      </c>
      <c r="H482" s="556"/>
      <c r="I482" s="556">
        <f t="shared" si="282"/>
        <v>2000000</v>
      </c>
      <c r="J482" s="556">
        <v>1000000</v>
      </c>
      <c r="K482" s="379"/>
      <c r="L482" s="379">
        <f t="shared" si="284"/>
        <v>1000000</v>
      </c>
    </row>
    <row r="483" spans="1:12" ht="47.25" hidden="1">
      <c r="A483" s="142" t="str">
        <f>IF(B483&gt;0,VLOOKUP(B483,КВСР!A366:B1531,2),IF(C483&gt;0,VLOOKUP(C483,КФСР!A366:B1878,2),IF(D483&gt;0,VLOOKUP(D483,Программа!A$1:B$5091,2),IF(F483&gt;0,VLOOKUP(F483,КВР!A$1:B$5001,2),IF(E483&gt;0,VLOOKUP(E483,Направление!A$1:B$4750,2))))))</f>
        <v>Департамент ЖКХ и строительства Администрации ТМР</v>
      </c>
      <c r="B483" s="143">
        <v>958</v>
      </c>
      <c r="C483" s="144"/>
      <c r="D483" s="145"/>
      <c r="E483" s="144"/>
      <c r="F483" s="146"/>
      <c r="G483" s="560">
        <f>G484+G488+G497+G512+G518+G534+G528+G492</f>
        <v>0</v>
      </c>
      <c r="H483" s="560">
        <f t="shared" ref="H483" si="315">H484+H488+H497+H512+H518+H534+H528+H492</f>
        <v>0</v>
      </c>
      <c r="I483" s="570">
        <f t="shared" si="282"/>
        <v>0</v>
      </c>
      <c r="J483" s="570">
        <f>J484+J488+J497+J512+J518+J534+J528+J492</f>
        <v>0</v>
      </c>
      <c r="K483" s="558">
        <f t="shared" ref="K483" si="316">K484+K488+K497+K512+K518+K534+K528+K492</f>
        <v>0</v>
      </c>
      <c r="L483" s="558">
        <f t="shared" si="284"/>
        <v>0</v>
      </c>
    </row>
    <row r="484" spans="1:12" ht="47.25" hidden="1">
      <c r="A484" s="148" t="str">
        <f>IF(B484&gt;0,VLOOKUP(B484,КВСР!A357:B1522,2),IF(C484&gt;0,VLOOKUP(C484,КФСР!A357:B1869,2),IF(D484&gt;0,VLOOKUP(D484,Программа!A$1:B$5091,2),IF(F484&gt;0,VLOOKUP(F484,КВР!A$1:B$5001,2),IF(E484&gt;0,VLOOKUP(E484,Направление!A$1:B$4750,2))))))</f>
        <v>Другие общегосударственные вопросы</v>
      </c>
      <c r="B484" s="143"/>
      <c r="C484" s="144">
        <v>113</v>
      </c>
      <c r="D484" s="145"/>
      <c r="E484" s="144"/>
      <c r="F484" s="146"/>
      <c r="G484" s="556">
        <f t="shared" ref="G484:H486" si="317">G485</f>
        <v>0</v>
      </c>
      <c r="H484" s="556">
        <f t="shared" si="317"/>
        <v>0</v>
      </c>
      <c r="I484" s="556">
        <f t="shared" si="282"/>
        <v>0</v>
      </c>
      <c r="J484" s="556">
        <f>J485</f>
        <v>0</v>
      </c>
      <c r="K484" s="379">
        <f t="shared" ref="K484:K486" si="318">K485</f>
        <v>0</v>
      </c>
      <c r="L484" s="379">
        <f t="shared" si="284"/>
        <v>0</v>
      </c>
    </row>
    <row r="485" spans="1:12" ht="31.5" hidden="1">
      <c r="A485" s="148" t="str">
        <f>IF(B485&gt;0,VLOOKUP(B485,КВСР!A358:B1523,2),IF(C485&gt;0,VLOOKUP(C485,КФСР!A358:B1870,2),IF(D485&gt;0,VLOOKUP(D485,Программа!A$1:B$5091,2),IF(F485&gt;0,VLOOKUP(F485,КВР!A$1:B$5001,2),IF(E485&gt;0,VLOOKUP(E485,Направление!A$1:B$4750,2))))))</f>
        <v>Непрограммные расходы бюджета</v>
      </c>
      <c r="B485" s="143"/>
      <c r="C485" s="144"/>
      <c r="D485" s="145" t="s">
        <v>480</v>
      </c>
      <c r="E485" s="144"/>
      <c r="F485" s="146"/>
      <c r="G485" s="556">
        <f t="shared" si="317"/>
        <v>0</v>
      </c>
      <c r="H485" s="556">
        <f t="shared" si="317"/>
        <v>0</v>
      </c>
      <c r="I485" s="556">
        <f t="shared" si="282"/>
        <v>0</v>
      </c>
      <c r="J485" s="556">
        <f>J486</f>
        <v>0</v>
      </c>
      <c r="K485" s="379">
        <f t="shared" si="318"/>
        <v>0</v>
      </c>
      <c r="L485" s="379">
        <f t="shared" si="284"/>
        <v>0</v>
      </c>
    </row>
    <row r="486" spans="1:12" ht="63" hidden="1">
      <c r="A486" s="148" t="str">
        <f>IF(B486&gt;0,VLOOKUP(B486,КВСР!A359:B1524,2),IF(C486&gt;0,VLOOKUP(C486,КФСР!A359:B1871,2),IF(D486&gt;0,VLOOKUP(D486,Программа!A$1:B$5091,2),IF(F486&gt;0,VLOOKUP(F486,КВР!A$1:B$5001,2),IF(E486&gt;0,VLOOKUP(E486,Направление!A$1:B$4750,2))))))</f>
        <v>Обеспечение деятельности подведомственных учреждений органов местного самоуправления</v>
      </c>
      <c r="B486" s="143"/>
      <c r="C486" s="144"/>
      <c r="D486" s="145"/>
      <c r="E486" s="144">
        <v>12100</v>
      </c>
      <c r="F486" s="146"/>
      <c r="G486" s="556">
        <f t="shared" si="317"/>
        <v>0</v>
      </c>
      <c r="H486" s="556">
        <f t="shared" si="317"/>
        <v>0</v>
      </c>
      <c r="I486" s="556">
        <f t="shared" si="282"/>
        <v>0</v>
      </c>
      <c r="J486" s="556">
        <f>J487</f>
        <v>0</v>
      </c>
      <c r="K486" s="379">
        <f t="shared" si="318"/>
        <v>0</v>
      </c>
      <c r="L486" s="379">
        <f t="shared" si="284"/>
        <v>0</v>
      </c>
    </row>
    <row r="487" spans="1:12" ht="78.75" hidden="1">
      <c r="A487" s="148" t="str">
        <f>IF(B487&gt;0,VLOOKUP(B487,КВСР!A360:B1525,2),IF(C487&gt;0,VLOOKUP(C487,КФСР!A360:B1872,2),IF(D487&gt;0,VLOOKUP(D487,Программа!A$1:B$5091,2),IF(F487&gt;0,VLOOKUP(F487,КВР!A$1:B$5001,2),IF(E487&gt;0,VLOOKUP(E487,Направление!A$1:B$4750,2))))))</f>
        <v>Предоставление субсидий бюджетным, автономным учреждениям и иным некоммерческим организациям</v>
      </c>
      <c r="B487" s="143"/>
      <c r="C487" s="144"/>
      <c r="D487" s="145"/>
      <c r="E487" s="144"/>
      <c r="F487" s="146">
        <v>600</v>
      </c>
      <c r="G487" s="556"/>
      <c r="H487" s="556"/>
      <c r="I487" s="556">
        <f t="shared" si="282"/>
        <v>0</v>
      </c>
      <c r="J487" s="556"/>
      <c r="K487" s="379"/>
      <c r="L487" s="379">
        <f t="shared" si="284"/>
        <v>0</v>
      </c>
    </row>
    <row r="488" spans="1:12" ht="31.5" hidden="1">
      <c r="A488" s="148" t="str">
        <f>IF(B488&gt;0,VLOOKUP(B488,КВСР!A367:B1532,2),IF(C488&gt;0,VLOOKUP(C488,КФСР!A367:B1879,2),IF(D488&gt;0,VLOOKUP(D488,Программа!A$1:B$5091,2),IF(F488&gt;0,VLOOKUP(F488,КВР!A$1:B$5001,2),IF(E488&gt;0,VLOOKUP(E488,Направление!A$1:B$4750,2))))))</f>
        <v>Сельское хозяйство и рыболовство</v>
      </c>
      <c r="B488" s="143"/>
      <c r="C488" s="144">
        <v>405</v>
      </c>
      <c r="D488" s="145"/>
      <c r="E488" s="144"/>
      <c r="F488" s="146"/>
      <c r="G488" s="556">
        <f t="shared" ref="G488:H490" si="319">G489</f>
        <v>0</v>
      </c>
      <c r="H488" s="556">
        <f t="shared" si="319"/>
        <v>0</v>
      </c>
      <c r="I488" s="556">
        <f t="shared" si="282"/>
        <v>0</v>
      </c>
      <c r="J488" s="556">
        <f>J489</f>
        <v>0</v>
      </c>
      <c r="K488" s="379">
        <f t="shared" ref="K488:K490" si="320">K489</f>
        <v>0</v>
      </c>
      <c r="L488" s="379">
        <f t="shared" si="284"/>
        <v>0</v>
      </c>
    </row>
    <row r="489" spans="1:12" ht="36" hidden="1" customHeight="1">
      <c r="A489" s="148" t="str">
        <f>IF(B489&gt;0,VLOOKUP(B489,КВСР!A368:B1533,2),IF(C489&gt;0,VLOOKUP(C489,КФСР!A368:B1880,2),IF(D489&gt;0,VLOOKUP(D489,Программа!A$1:B$5091,2),IF(F489&gt;0,VLOOKUP(F489,КВР!A$1:B$5001,2),IF(E489&gt;0,VLOOKUP(E489,Направление!A$1:B$4750,2))))))</f>
        <v>Непрограммные расходы бюджета</v>
      </c>
      <c r="B489" s="143"/>
      <c r="C489" s="144"/>
      <c r="D489" s="145" t="s">
        <v>480</v>
      </c>
      <c r="E489" s="144"/>
      <c r="F489" s="146"/>
      <c r="G489" s="556">
        <f t="shared" si="319"/>
        <v>0</v>
      </c>
      <c r="H489" s="556">
        <f t="shared" si="319"/>
        <v>0</v>
      </c>
      <c r="I489" s="556">
        <f t="shared" si="282"/>
        <v>0</v>
      </c>
      <c r="J489" s="556">
        <f>J490</f>
        <v>0</v>
      </c>
      <c r="K489" s="379">
        <f t="shared" si="320"/>
        <v>0</v>
      </c>
      <c r="L489" s="379">
        <f t="shared" si="284"/>
        <v>0</v>
      </c>
    </row>
    <row r="490" spans="1:12" ht="47.25" hidden="1">
      <c r="A490" s="148" t="str">
        <f>IF(B490&gt;0,VLOOKUP(B490,КВСР!A369:B1534,2),IF(C490&gt;0,VLOOKUP(C490,КФСР!A369:B1881,2),IF(D490&gt;0,VLOOKUP(D490,Программа!A$1:B$5091,2),IF(F490&gt;0,VLOOKUP(F490,КВР!A$1:B$5001,2),IF(E490&gt;0,VLOOKUP(E490,Направление!A$1:B$4750,2))))))</f>
        <v>Субвенция на отлов и содержание безнадзорных животных</v>
      </c>
      <c r="B490" s="143"/>
      <c r="C490" s="144"/>
      <c r="D490" s="145"/>
      <c r="E490" s="144">
        <v>74420</v>
      </c>
      <c r="F490" s="146"/>
      <c r="G490" s="556">
        <f t="shared" si="319"/>
        <v>0</v>
      </c>
      <c r="H490" s="556">
        <f t="shared" si="319"/>
        <v>0</v>
      </c>
      <c r="I490" s="556">
        <f t="shared" si="282"/>
        <v>0</v>
      </c>
      <c r="J490" s="556">
        <f>J491</f>
        <v>0</v>
      </c>
      <c r="K490" s="379">
        <f t="shared" si="320"/>
        <v>0</v>
      </c>
      <c r="L490" s="379">
        <f t="shared" si="284"/>
        <v>0</v>
      </c>
    </row>
    <row r="491" spans="1:12" ht="36.75" hidden="1" customHeight="1">
      <c r="A491" s="148" t="str">
        <f>IF(B491&gt;0,VLOOKUP(B491,КВСР!A370:B1535,2),IF(C491&gt;0,VLOOKUP(C491,КФСР!A370:B1882,2),IF(D491&gt;0,VLOOKUP(D491,Программа!A$1:B$5091,2),IF(F491&gt;0,VLOOKUP(F491,КВР!A$1:B$5001,2),IF(E491&gt;0,VLOOKUP(E491,Направление!A$1:B$4750,2))))))</f>
        <v xml:space="preserve">Закупка товаров, работ и услуг для обеспечения государственных (муниципальных) нужд
</v>
      </c>
      <c r="B491" s="143"/>
      <c r="C491" s="144"/>
      <c r="D491" s="145"/>
      <c r="E491" s="144"/>
      <c r="F491" s="146">
        <v>200</v>
      </c>
      <c r="G491" s="556"/>
      <c r="H491" s="556"/>
      <c r="I491" s="556">
        <f t="shared" si="282"/>
        <v>0</v>
      </c>
      <c r="J491" s="556"/>
      <c r="K491" s="379"/>
      <c r="L491" s="379">
        <f t="shared" si="284"/>
        <v>0</v>
      </c>
    </row>
    <row r="492" spans="1:12" ht="28.5" hidden="1" customHeight="1">
      <c r="A492" s="148" t="str">
        <f>IF(B492&gt;0,VLOOKUP(B492,КВСР!A371:B1536,2),IF(C492&gt;0,VLOOKUP(C492,КФСР!A371:B1883,2),IF(D492&gt;0,VLOOKUP(D492,Программа!A$1:B$5091,2),IF(F492&gt;0,VLOOKUP(F492,КВР!A$1:B$5001,2),IF(E492&gt;0,VLOOKUP(E492,Направление!A$1:B$4750,2))))))</f>
        <v>Транспорт</v>
      </c>
      <c r="B492" s="143"/>
      <c r="C492" s="144">
        <v>408</v>
      </c>
      <c r="D492" s="145"/>
      <c r="E492" s="144"/>
      <c r="F492" s="146"/>
      <c r="G492" s="556">
        <f t="shared" ref="G492:H495" si="321">G493</f>
        <v>0</v>
      </c>
      <c r="H492" s="556">
        <f t="shared" si="321"/>
        <v>0</v>
      </c>
      <c r="I492" s="556">
        <f t="shared" si="282"/>
        <v>0</v>
      </c>
      <c r="J492" s="556">
        <f>J493</f>
        <v>0</v>
      </c>
      <c r="K492" s="379">
        <f t="shared" ref="K492:K495" si="322">K493</f>
        <v>0</v>
      </c>
      <c r="L492" s="379">
        <f t="shared" si="284"/>
        <v>0</v>
      </c>
    </row>
    <row r="493" spans="1:12" ht="36.75" hidden="1" customHeight="1">
      <c r="A493" s="148" t="str">
        <f>IF(B493&gt;0,VLOOKUP(B493,КВСР!A372:B1537,2),IF(C493&gt;0,VLOOKUP(C493,КФСР!A372:B1884,2),IF(D493&gt;0,VLOOKUP(D493,Программа!A$1:B$5091,2),IF(F493&gt;0,VLOOKUP(F493,КВР!A$1:B$5001,2),IF(E493&gt;0,VLOOKUP(E493,Направление!A$1:B$4750,2))))))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493" s="143"/>
      <c r="C493" s="144"/>
      <c r="D493" s="145" t="s">
        <v>713</v>
      </c>
      <c r="E493" s="144"/>
      <c r="F493" s="146"/>
      <c r="G493" s="556">
        <f t="shared" si="321"/>
        <v>0</v>
      </c>
      <c r="H493" s="556">
        <f t="shared" si="321"/>
        <v>0</v>
      </c>
      <c r="I493" s="556">
        <f t="shared" si="282"/>
        <v>0</v>
      </c>
      <c r="J493" s="556">
        <f>J494</f>
        <v>0</v>
      </c>
      <c r="K493" s="379">
        <f t="shared" si="322"/>
        <v>0</v>
      </c>
      <c r="L493" s="379">
        <f t="shared" si="284"/>
        <v>0</v>
      </c>
    </row>
    <row r="494" spans="1:12" ht="36.75" hidden="1" customHeight="1">
      <c r="A494" s="148" t="str">
        <f>IF(B494&gt;0,VLOOKUP(B494,КВСР!A373:B1538,2),IF(C494&gt;0,VLOOKUP(C494,КФСР!A373:B1885,2),IF(D494&gt;0,VLOOKUP(D494,Программа!A$1:B$5091,2),IF(F494&gt;0,VLOOKUP(F494,КВР!A$1:B$5001,2),IF(E494&gt;0,VLOOKUP(E494,Направление!A$1:B$4750,2))))))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494" s="143"/>
      <c r="C494" s="144"/>
      <c r="D494" s="145" t="s">
        <v>719</v>
      </c>
      <c r="E494" s="144"/>
      <c r="F494" s="146"/>
      <c r="G494" s="556">
        <f t="shared" si="321"/>
        <v>0</v>
      </c>
      <c r="H494" s="556">
        <f t="shared" si="321"/>
        <v>0</v>
      </c>
      <c r="I494" s="556">
        <f t="shared" si="282"/>
        <v>0</v>
      </c>
      <c r="J494" s="556">
        <f>J495</f>
        <v>0</v>
      </c>
      <c r="K494" s="379">
        <f t="shared" si="322"/>
        <v>0</v>
      </c>
      <c r="L494" s="379">
        <f t="shared" si="284"/>
        <v>0</v>
      </c>
    </row>
    <row r="495" spans="1:12" ht="36.75" hidden="1" customHeight="1">
      <c r="A495" s="148" t="str">
        <f>IF(B495&gt;0,VLOOKUP(B495,КВСР!A374:B1539,2),IF(C495&gt;0,VLOOKUP(C495,КФСР!A374:B1886,2),IF(D495&gt;0,VLOOKUP(D495,Программа!A$1:B$5091,2),IF(F495&gt;0,VLOOKUP(F495,КВР!A$1:B$5001,2),IF(E495&gt;0,VLOOKUP(E495,Направление!A$1:B$4750,2))))))</f>
        <v>Субсидия на возмещение затрат по пассажирским перевозкам внутримуниципальным транспортом общего пользования</v>
      </c>
      <c r="B495" s="143"/>
      <c r="C495" s="144"/>
      <c r="D495" s="145"/>
      <c r="E495" s="144">
        <v>10100</v>
      </c>
      <c r="F495" s="146"/>
      <c r="G495" s="556">
        <f t="shared" si="321"/>
        <v>0</v>
      </c>
      <c r="H495" s="556">
        <f t="shared" si="321"/>
        <v>0</v>
      </c>
      <c r="I495" s="556">
        <f t="shared" si="282"/>
        <v>0</v>
      </c>
      <c r="J495" s="556">
        <f>J496</f>
        <v>0</v>
      </c>
      <c r="K495" s="379">
        <f t="shared" si="322"/>
        <v>0</v>
      </c>
      <c r="L495" s="379">
        <f t="shared" si="284"/>
        <v>0</v>
      </c>
    </row>
    <row r="496" spans="1:12" ht="36.75" hidden="1" customHeight="1">
      <c r="A496" s="148" t="str">
        <f>IF(B496&gt;0,VLOOKUP(B496,КВСР!A375:B1540,2),IF(C496&gt;0,VLOOKUP(C496,КФСР!A375:B1887,2),IF(D496&gt;0,VLOOKUP(D496,Программа!A$1:B$5091,2),IF(F496&gt;0,VLOOKUP(F496,КВР!A$1:B$5001,2),IF(E496&gt;0,VLOOKUP(E496,Направление!A$1:B$4750,2))))))</f>
        <v>Иные бюджетные ассигнования</v>
      </c>
      <c r="B496" s="143"/>
      <c r="C496" s="144"/>
      <c r="D496" s="145"/>
      <c r="E496" s="144"/>
      <c r="F496" s="146">
        <v>800</v>
      </c>
      <c r="G496" s="556"/>
      <c r="H496" s="556"/>
      <c r="I496" s="556">
        <f t="shared" si="282"/>
        <v>0</v>
      </c>
      <c r="J496" s="556"/>
      <c r="K496" s="379"/>
      <c r="L496" s="379">
        <f t="shared" si="284"/>
        <v>0</v>
      </c>
    </row>
    <row r="497" spans="1:12" ht="15.75" hidden="1">
      <c r="A497" s="148" t="str">
        <f>IF(B497&gt;0,VLOOKUP(B497,КВСР!A371:B1536,2),IF(C497&gt;0,VLOOKUP(C497,КФСР!A371:B1883,2),IF(D497&gt;0,VLOOKUP(D497,Программа!A$1:B$5091,2),IF(F497&gt;0,VLOOKUP(F497,КВР!A$1:B$5001,2),IF(E497&gt;0,VLOOKUP(E497,Направление!A$1:B$4750,2))))))</f>
        <v>Дорожное хозяйство</v>
      </c>
      <c r="B497" s="143"/>
      <c r="C497" s="144">
        <v>409</v>
      </c>
      <c r="D497" s="145"/>
      <c r="E497" s="144"/>
      <c r="F497" s="146"/>
      <c r="G497" s="556">
        <f>G498+G509</f>
        <v>0</v>
      </c>
      <c r="H497" s="556">
        <f t="shared" ref="H497" si="323">H498+H509</f>
        <v>0</v>
      </c>
      <c r="I497" s="556">
        <f t="shared" si="282"/>
        <v>0</v>
      </c>
      <c r="J497" s="556">
        <f>J498+J509</f>
        <v>0</v>
      </c>
      <c r="K497" s="379">
        <f t="shared" ref="K497" si="324">K498+K509</f>
        <v>0</v>
      </c>
      <c r="L497" s="379">
        <f t="shared" si="284"/>
        <v>0</v>
      </c>
    </row>
    <row r="498" spans="1:12" ht="78.75" hidden="1">
      <c r="A498" s="148" t="str">
        <f>IF(B498&gt;0,VLOOKUP(B498,КВСР!A372:B1537,2),IF(C498&gt;0,VLOOKUP(C498,КФСР!A372:B1884,2),IF(D498&gt;0,VLOOKUP(D498,Программа!A$1:B$5091,2),IF(F498&gt;0,VLOOKUP(F498,КВР!A$1:B$5001,2),IF(E498&gt;0,VLOOKUP(E498,Направление!A$1:B$4750,2))))))</f>
        <v>Муниципальная программа "Развитие дорожного хозяйства и транспорта в Тутаевском муниципальном районе"</v>
      </c>
      <c r="B498" s="143"/>
      <c r="C498" s="144"/>
      <c r="D498" s="145" t="s">
        <v>720</v>
      </c>
      <c r="E498" s="144"/>
      <c r="F498" s="146"/>
      <c r="G498" s="556">
        <f>G499+G503</f>
        <v>0</v>
      </c>
      <c r="H498" s="556">
        <f t="shared" ref="H498" si="325">H499+H503</f>
        <v>0</v>
      </c>
      <c r="I498" s="556">
        <f t="shared" si="282"/>
        <v>0</v>
      </c>
      <c r="J498" s="556">
        <f>J499+J503</f>
        <v>0</v>
      </c>
      <c r="K498" s="379">
        <f t="shared" ref="K498" si="326">K499+K503</f>
        <v>0</v>
      </c>
      <c r="L498" s="379">
        <f t="shared" si="284"/>
        <v>0</v>
      </c>
    </row>
    <row r="499" spans="1:12" ht="94.5" hidden="1">
      <c r="A499" s="148" t="str">
        <f>IF(B499&gt;0,VLOOKUP(B499,КВСР!A373:B1538,2),IF(C499&gt;0,VLOOKUP(C499,КФСР!A373:B1885,2),IF(D499&gt;0,VLOOKUP(D499,Программа!A$1:B$5091,2),IF(F499&gt;0,VLOOKUP(F499,КВР!A$1:B$5001,2),IF(E499&gt;0,VLOOKUP(E499,Направление!A$1:B$4750,2))))))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499" s="143"/>
      <c r="C499" s="144"/>
      <c r="D499" s="145" t="s">
        <v>722</v>
      </c>
      <c r="E499" s="144"/>
      <c r="F499" s="146"/>
      <c r="G499" s="556">
        <f>G500</f>
        <v>0</v>
      </c>
      <c r="H499" s="556">
        <f t="shared" ref="H499" si="327">H500</f>
        <v>0</v>
      </c>
      <c r="I499" s="556">
        <f t="shared" si="282"/>
        <v>0</v>
      </c>
      <c r="J499" s="556">
        <f>J500</f>
        <v>0</v>
      </c>
      <c r="K499" s="379">
        <f t="shared" ref="K499" si="328">K500</f>
        <v>0</v>
      </c>
      <c r="L499" s="379">
        <f t="shared" si="284"/>
        <v>0</v>
      </c>
    </row>
    <row r="500" spans="1:12" ht="63.75" hidden="1" customHeight="1">
      <c r="A500" s="148" t="str">
        <f>IF(B500&gt;0,VLOOKUP(B500,КВСР!A374:B1539,2),IF(C500&gt;0,VLOOKUP(C500,КФСР!A374:B1886,2),IF(D500&gt;0,VLOOKUP(D500,Программа!A$1:B$5091,2),IF(F500&gt;0,VLOOKUP(F500,КВР!A$1:B$5001,2),IF(E500&gt;0,VLOOKUP(E500,Направление!A$1:B$4750,2))))))</f>
        <v>Повышение безопасности дорожного движения на автомобильных дорогах</v>
      </c>
      <c r="B500" s="143"/>
      <c r="C500" s="144"/>
      <c r="D500" s="145" t="s">
        <v>724</v>
      </c>
      <c r="E500" s="144"/>
      <c r="F500" s="146"/>
      <c r="G500" s="556">
        <f>G502</f>
        <v>0</v>
      </c>
      <c r="H500" s="556">
        <f t="shared" ref="H500" si="329">H502</f>
        <v>0</v>
      </c>
      <c r="I500" s="556">
        <f t="shared" si="282"/>
        <v>0</v>
      </c>
      <c r="J500" s="556">
        <f>J502</f>
        <v>0</v>
      </c>
      <c r="K500" s="379">
        <f t="shared" ref="K500" si="330">K502</f>
        <v>0</v>
      </c>
      <c r="L500" s="379">
        <f t="shared" si="284"/>
        <v>0</v>
      </c>
    </row>
    <row r="501" spans="1:12" ht="56.25" hidden="1" customHeight="1">
      <c r="A501" s="148" t="str">
        <f>IF(B501&gt;0,VLOOKUP(B501,КВСР!A374:B1539,2),IF(C501&gt;0,VLOOKUP(C501,КФСР!A374:B1886,2),IF(D501&gt;0,VLOOKUP(D501,Программа!A$1:B$5091,2),IF(F501&gt;0,VLOOKUP(F501,КВР!A$1:B$5001,2),IF(E501&gt;0,VLOOKUP(E501,Направление!A$1:B$4750,2))))))</f>
        <v>Содержание и ремонт  автомобильных дорог общего пользования</v>
      </c>
      <c r="B501" s="143"/>
      <c r="C501" s="144"/>
      <c r="D501" s="145"/>
      <c r="E501" s="144">
        <v>10200</v>
      </c>
      <c r="F501" s="146"/>
      <c r="G501" s="556">
        <f>G502</f>
        <v>0</v>
      </c>
      <c r="H501" s="556">
        <f t="shared" ref="H501" si="331">H502</f>
        <v>0</v>
      </c>
      <c r="I501" s="556">
        <f t="shared" si="282"/>
        <v>0</v>
      </c>
      <c r="J501" s="556">
        <f>J502</f>
        <v>0</v>
      </c>
      <c r="K501" s="379">
        <f t="shared" ref="K501" si="332">K502</f>
        <v>0</v>
      </c>
      <c r="L501" s="379">
        <f t="shared" si="284"/>
        <v>0</v>
      </c>
    </row>
    <row r="502" spans="1:12" ht="78.75" hidden="1">
      <c r="A502" s="148" t="str">
        <f>IF(B502&gt;0,VLOOKUP(B502,КВСР!A375:B1540,2),IF(C502&gt;0,VLOOKUP(C502,КФСР!A375:B1887,2),IF(D502&gt;0,VLOOKUP(D502,Программа!A$1:B$5091,2),IF(F502&gt;0,VLOOKUP(F502,КВР!A$1:B$5001,2),IF(E502&gt;0,VLOOKUP(E502,Направление!A$1:B$4750,2))))))</f>
        <v xml:space="preserve">Закупка товаров, работ и услуг для обеспечения государственных (муниципальных) нужд
</v>
      </c>
      <c r="B502" s="143"/>
      <c r="C502" s="144"/>
      <c r="D502" s="145"/>
      <c r="E502" s="144"/>
      <c r="F502" s="146">
        <v>200</v>
      </c>
      <c r="G502" s="556"/>
      <c r="H502" s="556"/>
      <c r="I502" s="556">
        <f t="shared" si="282"/>
        <v>0</v>
      </c>
      <c r="J502" s="556"/>
      <c r="K502" s="379"/>
      <c r="L502" s="379">
        <f t="shared" si="284"/>
        <v>0</v>
      </c>
    </row>
    <row r="503" spans="1:12" ht="94.5" hidden="1">
      <c r="A503" s="148" t="str">
        <f>IF(B503&gt;0,VLOOKUP(B503,КВСР!A376:B1541,2),IF(C503&gt;0,VLOOKUP(C503,КФСР!A376:B1888,2),IF(D503&gt;0,VLOOKUP(D503,Программа!A$1:B$5091,2),IF(F503&gt;0,VLOOKUP(F503,КВР!A$1:B$5001,2),IF(E503&gt;0,VLOOKUP(E503,Направление!A$1:B$4750,2))))))</f>
        <v>Муниципальная целевая программа «Сохранность автомобильных дорог общего пользования Тутаевского муниципального района»</v>
      </c>
      <c r="B503" s="143"/>
      <c r="C503" s="144"/>
      <c r="D503" s="145" t="s">
        <v>727</v>
      </c>
      <c r="E503" s="144"/>
      <c r="F503" s="146"/>
      <c r="G503" s="556">
        <f>G504</f>
        <v>0</v>
      </c>
      <c r="H503" s="556">
        <f t="shared" ref="H503" si="333">H504</f>
        <v>0</v>
      </c>
      <c r="I503" s="556">
        <f t="shared" si="282"/>
        <v>0</v>
      </c>
      <c r="J503" s="556">
        <f>J504</f>
        <v>0</v>
      </c>
      <c r="K503" s="379">
        <f t="shared" ref="K503" si="334">K504</f>
        <v>0</v>
      </c>
      <c r="L503" s="379">
        <f t="shared" si="284"/>
        <v>0</v>
      </c>
    </row>
    <row r="504" spans="1:12" ht="65.25" hidden="1" customHeight="1">
      <c r="A504" s="148" t="str">
        <f>IF(B504&gt;0,VLOOKUP(B504,КВСР!A377:B1542,2),IF(C504&gt;0,VLOOKUP(C504,КФСР!A377:B1889,2),IF(D504&gt;0,VLOOKUP(D504,Программа!A$1:B$5091,2),IF(F504&gt;0,VLOOKUP(F504,КВР!A$1:B$5001,2),IF(E504&gt;0,VLOOKUP(E504,Направление!A$1:B$4750,2))))))</f>
        <v>Приведение  в нормативное состояние автомобильных дорог общего пользования</v>
      </c>
      <c r="B504" s="143"/>
      <c r="C504" s="144"/>
      <c r="D504" s="145" t="s">
        <v>729</v>
      </c>
      <c r="E504" s="144"/>
      <c r="F504" s="146"/>
      <c r="G504" s="556">
        <f>G505+G507</f>
        <v>0</v>
      </c>
      <c r="H504" s="556">
        <f t="shared" ref="H504" si="335">H505+H507</f>
        <v>0</v>
      </c>
      <c r="I504" s="556">
        <f t="shared" si="282"/>
        <v>0</v>
      </c>
      <c r="J504" s="556">
        <f>J505+J507</f>
        <v>0</v>
      </c>
      <c r="K504" s="379">
        <f t="shared" ref="K504" si="336">K505+K507</f>
        <v>0</v>
      </c>
      <c r="L504" s="379">
        <f t="shared" si="284"/>
        <v>0</v>
      </c>
    </row>
    <row r="505" spans="1:12" ht="49.5" hidden="1" customHeight="1">
      <c r="A505" s="148" t="str">
        <f>IF(B505&gt;0,VLOOKUP(B505,КВСР!A377:B1542,2),IF(C505&gt;0,VLOOKUP(C505,КФСР!A377:B1889,2),IF(D505&gt;0,VLOOKUP(D505,Программа!A$1:B$5091,2),IF(F505&gt;0,VLOOKUP(F505,КВР!A$1:B$5001,2),IF(E505&gt;0,VLOOKUP(E505,Направление!A$1:B$4750,2))))))</f>
        <v>Содержание и ремонт  автомобильных дорог общего пользования</v>
      </c>
      <c r="B505" s="143"/>
      <c r="C505" s="144"/>
      <c r="D505" s="145"/>
      <c r="E505" s="144">
        <v>10200</v>
      </c>
      <c r="F505" s="146"/>
      <c r="G505" s="556">
        <f>G506</f>
        <v>0</v>
      </c>
      <c r="H505" s="556">
        <f t="shared" ref="H505" si="337">H506</f>
        <v>0</v>
      </c>
      <c r="I505" s="556">
        <f t="shared" si="282"/>
        <v>0</v>
      </c>
      <c r="J505" s="556">
        <f>J506</f>
        <v>0</v>
      </c>
      <c r="K505" s="379">
        <f t="shared" ref="K505" si="338">K506</f>
        <v>0</v>
      </c>
      <c r="L505" s="379">
        <f t="shared" si="284"/>
        <v>0</v>
      </c>
    </row>
    <row r="506" spans="1:12" ht="78.75" hidden="1">
      <c r="A506" s="148" t="str">
        <f>IF(B506&gt;0,VLOOKUP(B506,КВСР!A376:B1541,2),IF(C506&gt;0,VLOOKUP(C506,КФСР!A376:B1888,2),IF(D506&gt;0,VLOOKUP(D506,Программа!A$1:B$5091,2),IF(F506&gt;0,VLOOKUP(F506,КВР!A$1:B$5001,2),IF(E506&gt;0,VLOOKUP(E506,Направление!A$1:B$4750,2))))))</f>
        <v xml:space="preserve">Закупка товаров, работ и услуг для обеспечения государственных (муниципальных) нужд
</v>
      </c>
      <c r="B506" s="143"/>
      <c r="C506" s="144"/>
      <c r="D506" s="145"/>
      <c r="E506" s="144"/>
      <c r="F506" s="146">
        <v>200</v>
      </c>
      <c r="G506" s="556"/>
      <c r="H506" s="556"/>
      <c r="I506" s="556">
        <f t="shared" si="282"/>
        <v>0</v>
      </c>
      <c r="J506" s="556"/>
      <c r="K506" s="379"/>
      <c r="L506" s="379">
        <f t="shared" si="284"/>
        <v>0</v>
      </c>
    </row>
    <row r="507" spans="1:12" ht="63" hidden="1">
      <c r="A507" s="148" t="str">
        <f>IF(B507&gt;0,VLOOKUP(B507,КВСР!A377:B1542,2),IF(C507&gt;0,VLOOKUP(C507,КФСР!A377:B1889,2),IF(D507&gt;0,VLOOKUP(D507,Программа!A$1:B$5091,2),IF(F507&gt;0,VLOOKUP(F507,КВР!A$1:B$5001,2),IF(E507&gt;0,VLOOKUP(E507,Направление!A$1:B$4750,2))))))</f>
        <v>Расходы на финансирование дорожного хозяйства за счет средств областного бюджета</v>
      </c>
      <c r="B507" s="143"/>
      <c r="C507" s="144"/>
      <c r="D507" s="145"/>
      <c r="E507" s="144">
        <v>72440</v>
      </c>
      <c r="F507" s="146"/>
      <c r="G507" s="556">
        <f>G508</f>
        <v>0</v>
      </c>
      <c r="H507" s="556">
        <f t="shared" ref="H507" si="339">H508</f>
        <v>0</v>
      </c>
      <c r="I507" s="556">
        <f t="shared" si="282"/>
        <v>0</v>
      </c>
      <c r="J507" s="556">
        <f>J508</f>
        <v>0</v>
      </c>
      <c r="K507" s="379">
        <f t="shared" ref="K507" si="340">K508</f>
        <v>0</v>
      </c>
      <c r="L507" s="379">
        <f t="shared" si="284"/>
        <v>0</v>
      </c>
    </row>
    <row r="508" spans="1:12" ht="78.75" hidden="1">
      <c r="A508" s="148" t="str">
        <f>IF(B508&gt;0,VLOOKUP(B508,КВСР!A378:B1543,2),IF(C508&gt;0,VLOOKUP(C508,КФСР!A378:B1890,2),IF(D508&gt;0,VLOOKUP(D508,Программа!A$1:B$5091,2),IF(F508&gt;0,VLOOKUP(F508,КВР!A$1:B$5001,2),IF(E508&gt;0,VLOOKUP(E508,Направление!A$1:B$4750,2))))))</f>
        <v xml:space="preserve">Закупка товаров, работ и услуг для обеспечения государственных (муниципальных) нужд
</v>
      </c>
      <c r="B508" s="143"/>
      <c r="C508" s="144"/>
      <c r="D508" s="145"/>
      <c r="E508" s="144"/>
      <c r="F508" s="146">
        <v>200</v>
      </c>
      <c r="G508" s="556"/>
      <c r="H508" s="556"/>
      <c r="I508" s="556">
        <f t="shared" si="282"/>
        <v>0</v>
      </c>
      <c r="J508" s="556"/>
      <c r="K508" s="379"/>
      <c r="L508" s="379">
        <f t="shared" si="284"/>
        <v>0</v>
      </c>
    </row>
    <row r="509" spans="1:12" ht="47.25" hidden="1">
      <c r="A509" s="148" t="str">
        <f>IF(B509&gt;0,VLOOKUP(B509,КВСР!A379:B1544,2),IF(C509&gt;0,VLOOKUP(C509,КФСР!A379:B1891,2),IF(D509&gt;0,VLOOKUP(D509,Программа!A$1:B$5091,2),IF(F509&gt;0,VLOOKUP(F509,КВР!A$1:B$5001,2),IF(E509&gt;0,VLOOKUP(E509,Направление!A$1:B$4750,2))))))</f>
        <v>Межбюджетные трансферты  поселениям района</v>
      </c>
      <c r="B509" s="143"/>
      <c r="C509" s="144"/>
      <c r="D509" s="145" t="s">
        <v>653</v>
      </c>
      <c r="E509" s="144"/>
      <c r="F509" s="146"/>
      <c r="G509" s="556">
        <f>G510</f>
        <v>0</v>
      </c>
      <c r="H509" s="556">
        <f t="shared" ref="H509:H510" si="341">H510</f>
        <v>0</v>
      </c>
      <c r="I509" s="556">
        <f t="shared" si="282"/>
        <v>0</v>
      </c>
      <c r="J509" s="556">
        <f>J510</f>
        <v>0</v>
      </c>
      <c r="K509" s="379">
        <f t="shared" ref="K509:K510" si="342">K510</f>
        <v>0</v>
      </c>
      <c r="L509" s="379">
        <f t="shared" si="284"/>
        <v>0</v>
      </c>
    </row>
    <row r="510" spans="1:12" ht="63" hidden="1">
      <c r="A510" s="148" t="str">
        <f>IF(B510&gt;0,VLOOKUP(B510,КВСР!A380:B1545,2),IF(C510&gt;0,VLOOKUP(C510,КФСР!A380:B1892,2),IF(D510&gt;0,VLOOKUP(D510,Программа!A$1:B$5091,2),IF(F510&gt;0,VLOOKUP(F510,КВР!A$1:B$5001,2),IF(E510&gt;0,VLOOKUP(E510,Направление!A$1:B$4750,2))))))</f>
        <v>Расходы на финансирование дорожного хозяйства за счет средств областного бюджета</v>
      </c>
      <c r="B510" s="143"/>
      <c r="C510" s="144"/>
      <c r="D510" s="145"/>
      <c r="E510" s="144">
        <v>72440</v>
      </c>
      <c r="F510" s="146"/>
      <c r="G510" s="556">
        <f>G511</f>
        <v>0</v>
      </c>
      <c r="H510" s="556">
        <f t="shared" si="341"/>
        <v>0</v>
      </c>
      <c r="I510" s="556">
        <f t="shared" si="282"/>
        <v>0</v>
      </c>
      <c r="J510" s="556">
        <f>J511</f>
        <v>0</v>
      </c>
      <c r="K510" s="379">
        <f t="shared" si="342"/>
        <v>0</v>
      </c>
      <c r="L510" s="379">
        <f t="shared" si="284"/>
        <v>0</v>
      </c>
    </row>
    <row r="511" spans="1:12" ht="31.5" hidden="1">
      <c r="A511" s="148" t="str">
        <f>IF(B511&gt;0,VLOOKUP(B511,КВСР!A381:B1546,2),IF(C511&gt;0,VLOOKUP(C511,КФСР!A381:B1893,2),IF(D511&gt;0,VLOOKUP(D511,Программа!A$1:B$5091,2),IF(F511&gt;0,VLOOKUP(F511,КВР!A$1:B$5001,2),IF(E511&gt;0,VLOOKUP(E511,Направление!A$1:B$4750,2))))))</f>
        <v xml:space="preserve"> Межбюджетные трансферты</v>
      </c>
      <c r="B511" s="143"/>
      <c r="C511" s="144"/>
      <c r="D511" s="145"/>
      <c r="E511" s="144"/>
      <c r="F511" s="146">
        <v>500</v>
      </c>
      <c r="G511" s="556"/>
      <c r="H511" s="556"/>
      <c r="I511" s="556">
        <f t="shared" si="282"/>
        <v>0</v>
      </c>
      <c r="J511" s="556"/>
      <c r="K511" s="379"/>
      <c r="L511" s="379">
        <f t="shared" si="284"/>
        <v>0</v>
      </c>
    </row>
    <row r="512" spans="1:12" ht="15.75" hidden="1">
      <c r="A512" s="148" t="str">
        <f>IF(B512&gt;0,VLOOKUP(B512,КВСР!A377:B1542,2),IF(C512&gt;0,VLOOKUP(C512,КФСР!A377:B1889,2),IF(D512&gt;0,VLOOKUP(D512,Программа!A$1:B$5091,2),IF(F512&gt;0,VLOOKUP(F512,КВР!A$1:B$5001,2),IF(E512&gt;0,VLOOKUP(E512,Направление!A$1:B$4750,2))))))</f>
        <v>Коммунальное хозяйство</v>
      </c>
      <c r="B512" s="143"/>
      <c r="C512" s="144">
        <v>502</v>
      </c>
      <c r="D512" s="145"/>
      <c r="E512" s="144"/>
      <c r="F512" s="146"/>
      <c r="G512" s="556">
        <f t="shared" ref="G512:H516" si="343">G513</f>
        <v>0</v>
      </c>
      <c r="H512" s="556">
        <f t="shared" si="343"/>
        <v>0</v>
      </c>
      <c r="I512" s="556">
        <f t="shared" si="282"/>
        <v>0</v>
      </c>
      <c r="J512" s="556">
        <f>J513</f>
        <v>0</v>
      </c>
      <c r="K512" s="379">
        <f t="shared" ref="K512:K516" si="344">K513</f>
        <v>0</v>
      </c>
      <c r="L512" s="379">
        <f t="shared" si="284"/>
        <v>0</v>
      </c>
    </row>
    <row r="513" spans="1:12" ht="94.5" hidden="1">
      <c r="A513" s="148" t="str">
        <f>IF(B513&gt;0,VLOOKUP(B513,КВСР!A378:B1543,2),IF(C513&gt;0,VLOOKUP(C513,КФСР!A378:B1890,2),IF(D513&gt;0,VLOOKUP(D513,Программа!A$1:B$5091,2),IF(F513&gt;0,VLOOKUP(F513,КВР!A$1:B$5001,2),IF(E513&gt;0,VLOOKUP(E513,Направление!A$1:B$4750,2))))))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513" s="143"/>
      <c r="C513" s="144"/>
      <c r="D513" s="145" t="s">
        <v>703</v>
      </c>
      <c r="E513" s="144"/>
      <c r="F513" s="146"/>
      <c r="G513" s="556">
        <f t="shared" si="343"/>
        <v>0</v>
      </c>
      <c r="H513" s="556">
        <f t="shared" si="343"/>
        <v>0</v>
      </c>
      <c r="I513" s="556">
        <f t="shared" si="282"/>
        <v>0</v>
      </c>
      <c r="J513" s="556">
        <f>J514</f>
        <v>0</v>
      </c>
      <c r="K513" s="379">
        <f t="shared" si="344"/>
        <v>0</v>
      </c>
      <c r="L513" s="379">
        <f t="shared" si="284"/>
        <v>0</v>
      </c>
    </row>
    <row r="514" spans="1:12" ht="114" hidden="1" customHeight="1">
      <c r="A514" s="148" t="str">
        <f>IF(B514&gt;0,VLOOKUP(B514,КВСР!A379:B1544,2),IF(C514&gt;0,VLOOKUP(C514,КФСР!A379:B1891,2),IF(D514&gt;0,VLOOKUP(D514,Программа!A$1:B$5091,2),IF(F514&gt;0,VLOOKUP(F514,КВР!A$1:B$5001,2),IF(E514&gt;0,VLOOKUP(E514,Направление!A$1:B$4750,2))))))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14" s="143"/>
      <c r="C514" s="144"/>
      <c r="D514" s="145" t="s">
        <v>734</v>
      </c>
      <c r="E514" s="144"/>
      <c r="F514" s="146"/>
      <c r="G514" s="556">
        <f t="shared" si="343"/>
        <v>0</v>
      </c>
      <c r="H514" s="556">
        <f t="shared" si="343"/>
        <v>0</v>
      </c>
      <c r="I514" s="556">
        <f t="shared" si="282"/>
        <v>0</v>
      </c>
      <c r="J514" s="556">
        <f>J515</f>
        <v>0</v>
      </c>
      <c r="K514" s="379">
        <f t="shared" si="344"/>
        <v>0</v>
      </c>
      <c r="L514" s="379">
        <f t="shared" si="284"/>
        <v>0</v>
      </c>
    </row>
    <row r="515" spans="1:12" ht="82.5" hidden="1" customHeight="1">
      <c r="A515" s="148" t="str">
        <f>IF(B515&gt;0,VLOOKUP(B515,КВСР!A380:B1545,2),IF(C515&gt;0,VLOOKUP(C515,КФСР!A380:B1892,2),IF(D515&gt;0,VLOOKUP(D515,Программа!A$1:B$5091,2),IF(F515&gt;0,VLOOKUP(F515,КВР!A$1:B$5001,2),IF(E515&gt;0,VLOOKUP(E515,Направление!A$1:B$4750,2))))))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515" s="143"/>
      <c r="C515" s="144"/>
      <c r="D515" s="145" t="s">
        <v>776</v>
      </c>
      <c r="E515" s="144"/>
      <c r="F515" s="146"/>
      <c r="G515" s="556">
        <f t="shared" si="343"/>
        <v>0</v>
      </c>
      <c r="H515" s="556">
        <f t="shared" si="343"/>
        <v>0</v>
      </c>
      <c r="I515" s="556">
        <f t="shared" si="282"/>
        <v>0</v>
      </c>
      <c r="J515" s="556">
        <f>J516</f>
        <v>0</v>
      </c>
      <c r="K515" s="379">
        <f t="shared" si="344"/>
        <v>0</v>
      </c>
      <c r="L515" s="379">
        <f t="shared" si="284"/>
        <v>0</v>
      </c>
    </row>
    <row r="516" spans="1:12" ht="48" hidden="1" customHeight="1">
      <c r="A516" s="148" t="str">
        <f>IF(B516&gt;0,VLOOKUP(B516,КВСР!A380:B1545,2),IF(C516&gt;0,VLOOKUP(C516,КФСР!A380:B1892,2),IF(D516&gt;0,VLOOKUP(D516,Программа!A$1:B$5091,2),IF(F516&gt;0,VLOOKUP(F516,КВР!A$1:B$5001,2),IF(E516&gt;0,VLOOKUP(E516,Направление!A$1:B$4750,2))))))</f>
        <v>Бюджетные инвестиции в объекты капитального строительства муниципальной собственности</v>
      </c>
      <c r="B516" s="143"/>
      <c r="C516" s="144"/>
      <c r="D516" s="145"/>
      <c r="E516" s="144">
        <v>10010</v>
      </c>
      <c r="F516" s="146"/>
      <c r="G516" s="556">
        <f t="shared" si="343"/>
        <v>0</v>
      </c>
      <c r="H516" s="556">
        <f t="shared" si="343"/>
        <v>0</v>
      </c>
      <c r="I516" s="556">
        <f t="shared" si="282"/>
        <v>0</v>
      </c>
      <c r="J516" s="556">
        <f>J517</f>
        <v>0</v>
      </c>
      <c r="K516" s="379">
        <f t="shared" si="344"/>
        <v>0</v>
      </c>
      <c r="L516" s="379">
        <f t="shared" si="284"/>
        <v>0</v>
      </c>
    </row>
    <row r="517" spans="1:12" ht="20.25" hidden="1" customHeight="1">
      <c r="A517" s="148" t="str">
        <f>IF(B517&gt;0,VLOOKUP(B517,КВСР!A381:B1546,2),IF(C517&gt;0,VLOOKUP(C517,КФСР!A381:B1893,2),IF(D517&gt;0,VLOOKUP(D517,Программа!A$1:B$5091,2),IF(F517&gt;0,VLOOKUP(F517,КВР!A$1:B$5001,2),IF(E517&gt;0,VLOOKUP(E517,Направление!A$1:B$4750,2))))))</f>
        <v>Капитальные вложения в объекты государственной (муниципальной) собственности</v>
      </c>
      <c r="B517" s="143"/>
      <c r="C517" s="144"/>
      <c r="D517" s="145"/>
      <c r="E517" s="144"/>
      <c r="F517" s="146">
        <v>400</v>
      </c>
      <c r="G517" s="556"/>
      <c r="H517" s="556"/>
      <c r="I517" s="556">
        <f t="shared" si="282"/>
        <v>0</v>
      </c>
      <c r="J517" s="556"/>
      <c r="K517" s="379"/>
      <c r="L517" s="379">
        <f t="shared" si="284"/>
        <v>0</v>
      </c>
    </row>
    <row r="518" spans="1:12" ht="47.25" hidden="1">
      <c r="A518" s="148" t="str">
        <f>IF(B518&gt;0,VLOOKUP(B518,КВСР!A390:B1555,2),IF(C518&gt;0,VLOOKUP(C518,КФСР!A390:B1902,2),IF(D518&gt;0,VLOOKUP(D518,Программа!A$1:B$5091,2),IF(F518&gt;0,VLOOKUP(F518,КВР!A$1:B$5001,2),IF(E518&gt;0,VLOOKUP(E518,Направление!A$1:B$4750,2))))))</f>
        <v>Другие вопросы в области жилищно-коммунального хозяйства</v>
      </c>
      <c r="B518" s="145"/>
      <c r="C518" s="144">
        <v>505</v>
      </c>
      <c r="D518" s="145"/>
      <c r="E518" s="144"/>
      <c r="F518" s="146"/>
      <c r="G518" s="556">
        <f>G519</f>
        <v>0</v>
      </c>
      <c r="H518" s="556">
        <f t="shared" ref="H518" si="345">H519</f>
        <v>0</v>
      </c>
      <c r="I518" s="556">
        <f t="shared" si="282"/>
        <v>0</v>
      </c>
      <c r="J518" s="556">
        <f>J519</f>
        <v>0</v>
      </c>
      <c r="K518" s="379">
        <f t="shared" ref="K518" si="346">K519</f>
        <v>0</v>
      </c>
      <c r="L518" s="379">
        <f t="shared" si="284"/>
        <v>0</v>
      </c>
    </row>
    <row r="519" spans="1:12" ht="31.5" hidden="1">
      <c r="A519" s="148" t="str">
        <f>IF(B519&gt;0,VLOOKUP(B519,КВСР!A391:B1556,2),IF(C519&gt;0,VLOOKUP(C519,КФСР!A391:B1903,2),IF(D519&gt;0,VLOOKUP(D519,Программа!A$1:B$5091,2),IF(F519&gt;0,VLOOKUP(F519,КВР!A$1:B$5001,2),IF(E519&gt;0,VLOOKUP(E519,Направление!A$1:B$4750,2))))))</f>
        <v>Непрограммные расходы бюджета</v>
      </c>
      <c r="B519" s="149"/>
      <c r="C519" s="144"/>
      <c r="D519" s="145" t="s">
        <v>480</v>
      </c>
      <c r="E519" s="144"/>
      <c r="F519" s="146"/>
      <c r="G519" s="556">
        <f>G520+G524</f>
        <v>0</v>
      </c>
      <c r="H519" s="556">
        <f t="shared" ref="H519" si="347">H520+H524</f>
        <v>0</v>
      </c>
      <c r="I519" s="556">
        <f t="shared" ref="I519:I556" si="348">SUM(G519:H519)</f>
        <v>0</v>
      </c>
      <c r="J519" s="556">
        <f>J520+J524</f>
        <v>0</v>
      </c>
      <c r="K519" s="379">
        <f t="shared" ref="K519" si="349">K520+K524</f>
        <v>0</v>
      </c>
      <c r="L519" s="379">
        <f t="shared" ref="L519:L556" si="350">SUM(J519:K519)</f>
        <v>0</v>
      </c>
    </row>
    <row r="520" spans="1:12" ht="33.75" hidden="1" customHeight="1">
      <c r="A520" s="148" t="str">
        <f>IF(B520&gt;0,VLOOKUP(B520,КВСР!A392:B1557,2),IF(C520&gt;0,VLOOKUP(C520,КФСР!A392:B1904,2),IF(D520&gt;0,VLOOKUP(D520,Программа!A$1:B$5091,2),IF(F520&gt;0,VLOOKUP(F520,КВР!A$1:B$5001,2),IF(E520&gt;0,VLOOKUP(E520,Направление!A$1:B$4750,2))))))</f>
        <v>Содержание центрального аппарата</v>
      </c>
      <c r="B520" s="149"/>
      <c r="C520" s="144"/>
      <c r="D520" s="145"/>
      <c r="E520" s="144">
        <v>12010</v>
      </c>
      <c r="F520" s="146"/>
      <c r="G520" s="556">
        <f>G521+G522+G523</f>
        <v>0</v>
      </c>
      <c r="H520" s="556">
        <f t="shared" ref="H520" si="351">H521</f>
        <v>0</v>
      </c>
      <c r="I520" s="556">
        <f t="shared" si="348"/>
        <v>0</v>
      </c>
      <c r="J520" s="556">
        <f>J521+J522+J523</f>
        <v>0</v>
      </c>
      <c r="K520" s="379">
        <f t="shared" ref="K520" si="352">K521</f>
        <v>0</v>
      </c>
      <c r="L520" s="379">
        <f t="shared" si="350"/>
        <v>0</v>
      </c>
    </row>
    <row r="521" spans="1:12" ht="173.25" hidden="1">
      <c r="A521" s="148" t="str">
        <f>IF(B521&gt;0,VLOOKUP(B521,КВСР!A393:B1558,2),IF(C521&gt;0,VLOOKUP(C521,КФСР!A393:B1905,2),IF(D521&gt;0,VLOOKUP(D521,Программа!A$1:B$5091,2),IF(F521&gt;0,VLOOKUP(F521,КВР!A$1:B$5001,2),IF(E521&gt;0,VLOOKUP(E521,Направление!A$1:B$4750,2))))))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1" s="149"/>
      <c r="C521" s="144"/>
      <c r="D521" s="145"/>
      <c r="E521" s="144"/>
      <c r="F521" s="146">
        <v>100</v>
      </c>
      <c r="G521" s="556"/>
      <c r="H521" s="556"/>
      <c r="I521" s="556">
        <f t="shared" si="348"/>
        <v>0</v>
      </c>
      <c r="J521" s="556"/>
      <c r="K521" s="379"/>
      <c r="L521" s="379">
        <f t="shared" si="350"/>
        <v>0</v>
      </c>
    </row>
    <row r="522" spans="1:12" ht="68.25" hidden="1" customHeight="1">
      <c r="A522" s="148" t="str">
        <f>IF(B522&gt;0,VLOOKUP(B522,КВСР!A394:B1559,2),IF(C522&gt;0,VLOOKUP(C522,КФСР!A394:B1906,2),IF(D522&gt;0,VLOOKUP(D522,Программа!A$1:B$5091,2),IF(F522&gt;0,VLOOKUP(F522,КВР!A$1:B$5001,2),IF(E522&gt;0,VLOOKUP(E522,Направление!A$1:B$4750,2))))))</f>
        <v xml:space="preserve">Закупка товаров, работ и услуг для обеспечения государственных (муниципальных) нужд
</v>
      </c>
      <c r="B522" s="149"/>
      <c r="C522" s="144"/>
      <c r="D522" s="145"/>
      <c r="E522" s="144"/>
      <c r="F522" s="146">
        <v>200</v>
      </c>
      <c r="G522" s="556"/>
      <c r="H522" s="556"/>
      <c r="I522" s="556">
        <f>SUM(G522:H522)</f>
        <v>0</v>
      </c>
      <c r="J522" s="556"/>
      <c r="K522" s="379"/>
      <c r="L522" s="379">
        <f>SUM(J522:K522)</f>
        <v>0</v>
      </c>
    </row>
    <row r="523" spans="1:12" ht="42" hidden="1" customHeight="1">
      <c r="A523" s="148" t="str">
        <f>IF(B523&gt;0,VLOOKUP(B523,КВСР!A395:B1560,2),IF(C523&gt;0,VLOOKUP(C523,КФСР!A395:B1907,2),IF(D523&gt;0,VLOOKUP(D523,Программа!A$1:B$5091,2),IF(F523&gt;0,VLOOKUP(F523,КВР!A$1:B$5001,2),IF(E523&gt;0,VLOOKUP(E523,Направление!A$1:B$4750,2))))))</f>
        <v>Иные бюджетные ассигнования</v>
      </c>
      <c r="B523" s="149"/>
      <c r="C523" s="144"/>
      <c r="D523" s="145"/>
      <c r="E523" s="144"/>
      <c r="F523" s="146">
        <v>800</v>
      </c>
      <c r="G523" s="556"/>
      <c r="H523" s="556"/>
      <c r="I523" s="556">
        <f>SUM(G523:H523)</f>
        <v>0</v>
      </c>
      <c r="J523" s="556"/>
      <c r="K523" s="379"/>
      <c r="L523" s="379">
        <f>SUM(J523:K523)</f>
        <v>0</v>
      </c>
    </row>
    <row r="524" spans="1:12" ht="47.25" hidden="1">
      <c r="A524" s="148" t="str">
        <f>IF(B524&gt;0,VLOOKUP(B524,КВСР!A394:B1559,2),IF(C524&gt;0,VLOOKUP(C524,КФСР!A394:B1906,2),IF(D524&gt;0,VLOOKUP(D524,Программа!A$1:B$5091,2),IF(F524&gt;0,VLOOKUP(F524,КВР!A$1:B$5001,2),IF(E524&gt;0,VLOOKUP(E524,Направление!A$1:B$4750,2))))))</f>
        <v>Содержание органов местного самоуправления за счет средств поселений</v>
      </c>
      <c r="B524" s="149"/>
      <c r="C524" s="144"/>
      <c r="D524" s="145"/>
      <c r="E524" s="144">
        <v>29016</v>
      </c>
      <c r="F524" s="146"/>
      <c r="G524" s="556">
        <f>G525+G526+G527</f>
        <v>0</v>
      </c>
      <c r="H524" s="556">
        <f t="shared" ref="H524" si="353">H525+H526+H527</f>
        <v>0</v>
      </c>
      <c r="I524" s="556">
        <f t="shared" si="348"/>
        <v>0</v>
      </c>
      <c r="J524" s="556">
        <f>J525+J526+J527</f>
        <v>0</v>
      </c>
      <c r="K524" s="379">
        <f t="shared" ref="K524" si="354">K525+K526+K527</f>
        <v>0</v>
      </c>
      <c r="L524" s="379">
        <f t="shared" si="350"/>
        <v>0</v>
      </c>
    </row>
    <row r="525" spans="1:12" ht="173.25" hidden="1">
      <c r="A525" s="148" t="str">
        <f>IF(B525&gt;0,VLOOKUP(B525,КВСР!A395:B1560,2),IF(C525&gt;0,VLOOKUP(C525,КФСР!A395:B1907,2),IF(D525&gt;0,VLOOKUP(D525,Программа!A$1:B$5091,2),IF(F525&gt;0,VLOOKUP(F525,КВР!A$1:B$5001,2),IF(E525&gt;0,VLOOKUP(E525,Направление!A$1:B$4750,2))))))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5" s="149"/>
      <c r="C525" s="144"/>
      <c r="D525" s="145"/>
      <c r="E525" s="144"/>
      <c r="F525" s="146">
        <v>100</v>
      </c>
      <c r="G525" s="556"/>
      <c r="H525" s="556"/>
      <c r="I525" s="556">
        <f t="shared" si="348"/>
        <v>0</v>
      </c>
      <c r="J525" s="556"/>
      <c r="K525" s="379"/>
      <c r="L525" s="379">
        <f t="shared" si="350"/>
        <v>0</v>
      </c>
    </row>
    <row r="526" spans="1:12" ht="78.75" hidden="1">
      <c r="A526" s="148" t="str">
        <f>IF(B526&gt;0,VLOOKUP(B526,КВСР!A396:B1561,2),IF(C526&gt;0,VLOOKUP(C526,КФСР!A396:B1908,2),IF(D526&gt;0,VLOOKUP(D526,Программа!A$1:B$5091,2),IF(F526&gt;0,VLOOKUP(F526,КВР!A$1:B$5001,2),IF(E526&gt;0,VLOOKUP(E526,Направление!A$1:B$4750,2))))))</f>
        <v xml:space="preserve">Закупка товаров, работ и услуг для обеспечения государственных (муниципальных) нужд
</v>
      </c>
      <c r="B526" s="149"/>
      <c r="C526" s="144"/>
      <c r="D526" s="145"/>
      <c r="E526" s="144"/>
      <c r="F526" s="146">
        <v>200</v>
      </c>
      <c r="G526" s="556"/>
      <c r="H526" s="556"/>
      <c r="I526" s="556">
        <f t="shared" si="348"/>
        <v>0</v>
      </c>
      <c r="J526" s="556"/>
      <c r="K526" s="379"/>
      <c r="L526" s="379">
        <f t="shared" si="350"/>
        <v>0</v>
      </c>
    </row>
    <row r="527" spans="1:12" ht="31.5" hidden="1">
      <c r="A527" s="148" t="str">
        <f>IF(B527&gt;0,VLOOKUP(B527,КВСР!A397:B1562,2),IF(C527&gt;0,VLOOKUP(C527,КФСР!A397:B1909,2),IF(D527&gt;0,VLOOKUP(D527,Программа!A$1:B$5091,2),IF(F527&gt;0,VLOOKUP(F527,КВР!A$1:B$5001,2),IF(E527&gt;0,VLOOKUP(E527,Направление!A$1:B$4750,2))))))</f>
        <v>Иные бюджетные ассигнования</v>
      </c>
      <c r="B527" s="149"/>
      <c r="C527" s="144"/>
      <c r="D527" s="145"/>
      <c r="E527" s="144"/>
      <c r="F527" s="146">
        <v>800</v>
      </c>
      <c r="G527" s="556"/>
      <c r="H527" s="556"/>
      <c r="I527" s="556">
        <f t="shared" si="348"/>
        <v>0</v>
      </c>
      <c r="J527" s="556"/>
      <c r="K527" s="379"/>
      <c r="L527" s="379">
        <f t="shared" si="350"/>
        <v>0</v>
      </c>
    </row>
    <row r="528" spans="1:12" ht="31.5" hidden="1">
      <c r="A528" s="148" t="str">
        <f>IF(B528&gt;0,VLOOKUP(B528,КВСР!A398:B1563,2),IF(C528&gt;0,VLOOKUP(C528,КФСР!A398:B1910,2),IF(D528&gt;0,VLOOKUP(D528,Программа!A$1:B$5091,2),IF(F528&gt;0,VLOOKUP(F528,КВР!A$1:B$5001,2),IF(E528&gt;0,VLOOKUP(E528,Направление!A$1:B$4750,2))))))</f>
        <v>Дополнительное образование детей</v>
      </c>
      <c r="B528" s="149"/>
      <c r="C528" s="144">
        <v>703</v>
      </c>
      <c r="D528" s="145"/>
      <c r="E528" s="144"/>
      <c r="F528" s="146"/>
      <c r="G528" s="556">
        <f t="shared" ref="G528:H532" si="355">G529</f>
        <v>0</v>
      </c>
      <c r="H528" s="556">
        <f t="shared" si="355"/>
        <v>0</v>
      </c>
      <c r="I528" s="556">
        <f t="shared" si="348"/>
        <v>0</v>
      </c>
      <c r="J528" s="556">
        <f>J529</f>
        <v>0</v>
      </c>
      <c r="K528" s="379">
        <f t="shared" ref="K528:K532" si="356">K529</f>
        <v>0</v>
      </c>
      <c r="L528" s="379">
        <f t="shared" si="350"/>
        <v>0</v>
      </c>
    </row>
    <row r="529" spans="1:13" ht="94.5" hidden="1">
      <c r="A529" s="148" t="str">
        <f>IF(B529&gt;0,VLOOKUP(B529,КВСР!A399:B1564,2),IF(C529&gt;0,VLOOKUP(C529,КФСР!A399:B1911,2),IF(D529&gt;0,VLOOKUP(D529,Программа!A$1:B$5091,2),IF(F529&gt;0,VLOOKUP(F529,КВР!A$1:B$5001,2),IF(E529&gt;0,VLOOKUP(E529,Направление!A$1:B$4750,2))))))</f>
        <v>Муниципальная программа "Обеспечение качественными коммунальными услугами населения Тутаевского муниципального района"</v>
      </c>
      <c r="B529" s="149"/>
      <c r="C529" s="144"/>
      <c r="D529" s="145" t="s">
        <v>703</v>
      </c>
      <c r="E529" s="144"/>
      <c r="F529" s="146"/>
      <c r="G529" s="556">
        <f t="shared" si="355"/>
        <v>0</v>
      </c>
      <c r="H529" s="556">
        <f t="shared" si="355"/>
        <v>0</v>
      </c>
      <c r="I529" s="556">
        <f t="shared" si="348"/>
        <v>0</v>
      </c>
      <c r="J529" s="556">
        <f>J530</f>
        <v>0</v>
      </c>
      <c r="K529" s="379">
        <f t="shared" si="356"/>
        <v>0</v>
      </c>
      <c r="L529" s="379">
        <f t="shared" si="350"/>
        <v>0</v>
      </c>
    </row>
    <row r="530" spans="1:13" ht="110.25" hidden="1">
      <c r="A530" s="148" t="str">
        <f>IF(B530&gt;0,VLOOKUP(B530,КВСР!A400:B1565,2),IF(C530&gt;0,VLOOKUP(C530,КФСР!A400:B1912,2),IF(D530&gt;0,VLOOKUP(D530,Программа!A$1:B$5091,2),IF(F530&gt;0,VLOOKUP(F530,КВР!A$1:B$5001,2),IF(E530&gt;0,VLOOKUP(E530,Направление!A$1:B$4750,2))))))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30" s="149"/>
      <c r="C530" s="144"/>
      <c r="D530" s="145" t="s">
        <v>734</v>
      </c>
      <c r="E530" s="144"/>
      <c r="F530" s="146"/>
      <c r="G530" s="556">
        <f t="shared" si="355"/>
        <v>0</v>
      </c>
      <c r="H530" s="556">
        <f t="shared" si="355"/>
        <v>0</v>
      </c>
      <c r="I530" s="556">
        <f t="shared" si="348"/>
        <v>0</v>
      </c>
      <c r="J530" s="556">
        <f>J531</f>
        <v>0</v>
      </c>
      <c r="K530" s="379">
        <f t="shared" si="356"/>
        <v>0</v>
      </c>
      <c r="L530" s="379">
        <f t="shared" si="350"/>
        <v>0</v>
      </c>
    </row>
    <row r="531" spans="1:13" ht="63" hidden="1">
      <c r="A531" s="148" t="str">
        <f>IF(B531&gt;0,VLOOKUP(B531,КВСР!A401:B1566,2),IF(C531&gt;0,VLOOKUP(C531,КФСР!A401:B1913,2),IF(D531&gt;0,VLOOKUP(D531,Программа!A$1:B$5091,2),IF(F531&gt;0,VLOOKUP(F531,КВР!A$1:B$5001,2),IF(E531&gt;0,VLOOKUP(E531,Направление!A$1:B$4750,2))))))</f>
        <v>Повышение уровня газификации и модернизации объектов социальной сферы</v>
      </c>
      <c r="B531" s="149"/>
      <c r="C531" s="144"/>
      <c r="D531" s="145" t="s">
        <v>735</v>
      </c>
      <c r="E531" s="144"/>
      <c r="F531" s="146"/>
      <c r="G531" s="556">
        <f t="shared" si="355"/>
        <v>0</v>
      </c>
      <c r="H531" s="556">
        <f t="shared" si="355"/>
        <v>0</v>
      </c>
      <c r="I531" s="556">
        <f t="shared" si="348"/>
        <v>0</v>
      </c>
      <c r="J531" s="556">
        <f>J532</f>
        <v>0</v>
      </c>
      <c r="K531" s="379">
        <f t="shared" si="356"/>
        <v>0</v>
      </c>
      <c r="L531" s="379">
        <f t="shared" si="350"/>
        <v>0</v>
      </c>
    </row>
    <row r="532" spans="1:13" ht="63" hidden="1">
      <c r="A532" s="148" t="str">
        <f>IF(B532&gt;0,VLOOKUP(B532,КВСР!A402:B1567,2),IF(C532&gt;0,VLOOKUP(C532,КФСР!A402:B1914,2),IF(D532&gt;0,VLOOKUP(D532,Программа!A$1:B$5091,2),IF(F532&gt;0,VLOOKUP(F532,КВР!A$1:B$5001,2),IF(E532&gt;0,VLOOKUP(E532,Направление!A$1:B$4750,2))))))</f>
        <v>Обеспечение деятельности учреждений дополнительного образования</v>
      </c>
      <c r="B532" s="149"/>
      <c r="C532" s="144"/>
      <c r="D532" s="146"/>
      <c r="E532" s="144">
        <v>13210</v>
      </c>
      <c r="F532" s="146"/>
      <c r="G532" s="556">
        <f t="shared" si="355"/>
        <v>0</v>
      </c>
      <c r="H532" s="556">
        <f t="shared" si="355"/>
        <v>0</v>
      </c>
      <c r="I532" s="556">
        <f t="shared" si="348"/>
        <v>0</v>
      </c>
      <c r="J532" s="556">
        <f>J533</f>
        <v>0</v>
      </c>
      <c r="K532" s="379">
        <f t="shared" si="356"/>
        <v>0</v>
      </c>
      <c r="L532" s="379">
        <f t="shared" si="350"/>
        <v>0</v>
      </c>
    </row>
    <row r="533" spans="1:13" ht="63" hidden="1">
      <c r="A533" s="148" t="str">
        <f>IF(B533&gt;0,VLOOKUP(B533,КВСР!A401:B1566,2),IF(C533&gt;0,VLOOKUP(C533,КФСР!A401:B1913,2),IF(D533&gt;0,VLOOKUP(D533,Программа!A$1:B$5091,2),IF(F533&gt;0,VLOOKUP(F533,КВР!A$1:B$5001,2),IF(E533&gt;0,VLOOKUP(E533,Направление!A$1:B$4750,2))))))</f>
        <v>Капитальные вложения в объекты государственной (муниципальной) собственности</v>
      </c>
      <c r="B533" s="149"/>
      <c r="C533" s="144"/>
      <c r="D533" s="146"/>
      <c r="E533" s="144"/>
      <c r="F533" s="146">
        <v>400</v>
      </c>
      <c r="G533" s="556"/>
      <c r="H533" s="556"/>
      <c r="I533" s="556">
        <f t="shared" si="348"/>
        <v>0</v>
      </c>
      <c r="J533" s="556"/>
      <c r="K533" s="379"/>
      <c r="L533" s="379">
        <f t="shared" si="350"/>
        <v>0</v>
      </c>
    </row>
    <row r="534" spans="1:13" ht="31.5" hidden="1">
      <c r="A534" s="148" t="str">
        <f>IF(B534&gt;0,VLOOKUP(B534,КВСР!A398:B1563,2),IF(C534&gt;0,VLOOKUP(C534,КФСР!A398:B1910,2),IF(D534&gt;0,VLOOKUP(D534,Программа!A$1:B$5091,2),IF(F534&gt;0,VLOOKUP(F534,КВР!A$1:B$5001,2),IF(E534&gt;0,VLOOKUP(E534,Направление!A$1:B$4750,2))))))</f>
        <v>Социальное обеспечение населения</v>
      </c>
      <c r="B534" s="149"/>
      <c r="C534" s="144">
        <v>1003</v>
      </c>
      <c r="D534" s="145"/>
      <c r="E534" s="144"/>
      <c r="F534" s="146"/>
      <c r="G534" s="556">
        <f>G535</f>
        <v>0</v>
      </c>
      <c r="H534" s="556">
        <f t="shared" ref="H534" si="357">H535</f>
        <v>0</v>
      </c>
      <c r="I534" s="556">
        <f t="shared" si="348"/>
        <v>0</v>
      </c>
      <c r="J534" s="556">
        <f>J535</f>
        <v>0</v>
      </c>
      <c r="K534" s="379">
        <f t="shared" ref="K534" si="358">K535</f>
        <v>0</v>
      </c>
      <c r="L534" s="379">
        <f t="shared" si="350"/>
        <v>0</v>
      </c>
    </row>
    <row r="535" spans="1:13" ht="99.75" hidden="1" customHeight="1">
      <c r="A535" s="148" t="str">
        <f>IF(B535&gt;0,VLOOKUP(B535,КВСР!A399:B1564,2),IF(C535&gt;0,VLOOKUP(C535,КФСР!A399:B1911,2),IF(D535&gt;0,VLOOKUP(D535,Программа!A$1:B$5091,2),IF(F535&gt;0,VLOOKUP(F535,КВР!A$1:B$5001,2),IF(E535&gt;0,VLOOKUP(E535,Направление!A$1:B$4750,2))))))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35" s="149"/>
      <c r="C535" s="144"/>
      <c r="D535" s="145" t="s">
        <v>713</v>
      </c>
      <c r="E535" s="144"/>
      <c r="F535" s="146"/>
      <c r="G535" s="556">
        <f>G536+G539</f>
        <v>0</v>
      </c>
      <c r="H535" s="556">
        <f t="shared" ref="H535" si="359">H536+H539</f>
        <v>0</v>
      </c>
      <c r="I535" s="556">
        <f t="shared" si="348"/>
        <v>0</v>
      </c>
      <c r="J535" s="556">
        <f>J536+J539</f>
        <v>0</v>
      </c>
      <c r="K535" s="379">
        <f t="shared" ref="K535" si="360">K536+K539</f>
        <v>0</v>
      </c>
      <c r="L535" s="379">
        <f t="shared" si="350"/>
        <v>0</v>
      </c>
    </row>
    <row r="536" spans="1:13" ht="129.75" hidden="1" customHeight="1">
      <c r="A536" s="148" t="str">
        <f>IF(B536&gt;0,VLOOKUP(B536,КВСР!A400:B1565,2),IF(C536&gt;0,VLOOKUP(C536,КФСР!A400:B1912,2),IF(D536&gt;0,VLOOKUP(D536,Программа!A$1:B$5091,2),IF(F536&gt;0,VLOOKUP(F536,КВР!A$1:B$5001,2),IF(E536&gt;0,VLOOKUP(E536,Направление!A$1:B$4750,2))))))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536" s="149"/>
      <c r="C536" s="144"/>
      <c r="D536" s="145" t="s">
        <v>715</v>
      </c>
      <c r="E536" s="144"/>
      <c r="F536" s="146"/>
      <c r="G536" s="556">
        <f>G537</f>
        <v>0</v>
      </c>
      <c r="H536" s="556">
        <f t="shared" ref="H536:H537" si="361">H537</f>
        <v>0</v>
      </c>
      <c r="I536" s="556">
        <f t="shared" si="348"/>
        <v>0</v>
      </c>
      <c r="J536" s="556">
        <f>J537</f>
        <v>0</v>
      </c>
      <c r="K536" s="379">
        <f t="shared" ref="K536:K537" si="362">K537</f>
        <v>0</v>
      </c>
      <c r="L536" s="379">
        <f t="shared" si="350"/>
        <v>0</v>
      </c>
    </row>
    <row r="537" spans="1:13" ht="132" hidden="1" customHeight="1">
      <c r="A537" s="148" t="str">
        <f>IF(B537&gt;0,VLOOKUP(B537,КВСР!A401:B1566,2),IF(C537&gt;0,VLOOKUP(C537,КФСР!A401:B1913,2),IF(D537&gt;0,VLOOKUP(D537,Программа!A$1:B$5091,2),IF(F537&gt;0,VLOOKUP(F537,КВР!A$1:B$5001,2),IF(E537&gt;0,VLOOKUP(E537,Направление!A$1:B$4750,2))))))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37" s="149"/>
      <c r="C537" s="144"/>
      <c r="D537" s="145"/>
      <c r="E537" s="144">
        <v>72550</v>
      </c>
      <c r="F537" s="146"/>
      <c r="G537" s="556">
        <f>G538</f>
        <v>0</v>
      </c>
      <c r="H537" s="556">
        <f t="shared" si="361"/>
        <v>0</v>
      </c>
      <c r="I537" s="556">
        <f t="shared" si="348"/>
        <v>0</v>
      </c>
      <c r="J537" s="556">
        <f>J538</f>
        <v>0</v>
      </c>
      <c r="K537" s="379">
        <f t="shared" si="362"/>
        <v>0</v>
      </c>
      <c r="L537" s="379">
        <f t="shared" si="350"/>
        <v>0</v>
      </c>
    </row>
    <row r="538" spans="1:13" ht="31.5" hidden="1">
      <c r="A538" s="148" t="str">
        <f>IF(B538&gt;0,VLOOKUP(B538,КВСР!A402:B1567,2),IF(C538&gt;0,VLOOKUP(C538,КФСР!A402:B1914,2),IF(D538&gt;0,VLOOKUP(D538,Программа!A$1:B$5091,2),IF(F538&gt;0,VLOOKUP(F538,КВР!A$1:B$5001,2),IF(E538&gt;0,VLOOKUP(E538,Направление!A$1:B$4750,2))))))</f>
        <v>Иные бюджетные ассигнования</v>
      </c>
      <c r="B538" s="149"/>
      <c r="C538" s="144"/>
      <c r="D538" s="145"/>
      <c r="E538" s="144"/>
      <c r="F538" s="146">
        <v>800</v>
      </c>
      <c r="G538" s="556"/>
      <c r="H538" s="556"/>
      <c r="I538" s="556">
        <f t="shared" si="348"/>
        <v>0</v>
      </c>
      <c r="J538" s="556"/>
      <c r="K538" s="379"/>
      <c r="L538" s="379">
        <f t="shared" si="350"/>
        <v>0</v>
      </c>
    </row>
    <row r="539" spans="1:13" ht="126" hidden="1">
      <c r="A539" s="148" t="str">
        <f>IF(B539&gt;0,VLOOKUP(B539,КВСР!A403:B1568,2),IF(C539&gt;0,VLOOKUP(C539,КФСР!A403:B1915,2),IF(D539&gt;0,VLOOKUP(D539,Программа!A$1:B$5091,2),IF(F539&gt;0,VLOOKUP(F539,КВР!A$1:B$5001,2),IF(E539&gt;0,VLOOKUP(E539,Направление!A$1:B$4750,2))))))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539" s="149"/>
      <c r="C539" s="144"/>
      <c r="D539" s="145" t="s">
        <v>717</v>
      </c>
      <c r="E539" s="144"/>
      <c r="F539" s="146"/>
      <c r="G539" s="556">
        <f>G540</f>
        <v>0</v>
      </c>
      <c r="H539" s="556">
        <f t="shared" ref="H539:H540" si="363">H540</f>
        <v>0</v>
      </c>
      <c r="I539" s="556">
        <f t="shared" si="348"/>
        <v>0</v>
      </c>
      <c r="J539" s="556">
        <f>J540</f>
        <v>0</v>
      </c>
      <c r="K539" s="379">
        <f t="shared" ref="K539:K540" si="364">K540</f>
        <v>0</v>
      </c>
      <c r="L539" s="379">
        <f t="shared" si="350"/>
        <v>0</v>
      </c>
    </row>
    <row r="540" spans="1:13" ht="114" hidden="1" customHeight="1">
      <c r="A540" s="148" t="str">
        <f>IF(B540&gt;0,VLOOKUP(B540,КВСР!A404:B1569,2),IF(C540&gt;0,VLOOKUP(C540,КФСР!A404:B1916,2),IF(D540&gt;0,VLOOKUP(D540,Программа!A$1:B$5091,2),IF(F540&gt;0,VLOOKUP(F540,КВР!A$1:B$5001,2),IF(E540&gt;0,VLOOKUP(E540,Направление!A$1:B$4750,2))))))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40" s="149"/>
      <c r="C540" s="144"/>
      <c r="D540" s="145"/>
      <c r="E540" s="144">
        <v>72560</v>
      </c>
      <c r="F540" s="146"/>
      <c r="G540" s="556">
        <f>G541</f>
        <v>0</v>
      </c>
      <c r="H540" s="556">
        <f t="shared" si="363"/>
        <v>0</v>
      </c>
      <c r="I540" s="556">
        <f t="shared" si="348"/>
        <v>0</v>
      </c>
      <c r="J540" s="556">
        <f>J541</f>
        <v>0</v>
      </c>
      <c r="K540" s="379">
        <f t="shared" si="364"/>
        <v>0</v>
      </c>
      <c r="L540" s="379">
        <f t="shared" si="350"/>
        <v>0</v>
      </c>
    </row>
    <row r="541" spans="1:13" ht="31.5" hidden="1">
      <c r="A541" s="148" t="str">
        <f>IF(B541&gt;0,VLOOKUP(B541,КВСР!A405:B1570,2),IF(C541&gt;0,VLOOKUP(C541,КФСР!A405:B1917,2),IF(D541&gt;0,VLOOKUP(D541,Программа!A$1:B$5091,2),IF(F541&gt;0,VLOOKUP(F541,КВР!A$1:B$5001,2),IF(E541&gt;0,VLOOKUP(E541,Направление!A$1:B$4750,2))))))</f>
        <v>Иные бюджетные ассигнования</v>
      </c>
      <c r="B541" s="149"/>
      <c r="C541" s="144"/>
      <c r="D541" s="145"/>
      <c r="E541" s="144"/>
      <c r="F541" s="146">
        <v>800</v>
      </c>
      <c r="G541" s="556"/>
      <c r="H541" s="556"/>
      <c r="I541" s="556">
        <f t="shared" si="348"/>
        <v>0</v>
      </c>
      <c r="J541" s="556"/>
      <c r="K541" s="379"/>
      <c r="L541" s="379">
        <f t="shared" si="350"/>
        <v>0</v>
      </c>
    </row>
    <row r="542" spans="1:13" ht="31.5">
      <c r="A542" s="142" t="str">
        <f>IF(B542&gt;0,VLOOKUP(B542,КВСР!A415:B1580,2),IF(C542&gt;0,VLOOKUP(C542,КФСР!A415:B1927,2),IF(D542&gt;0,VLOOKUP(D542,Программа!A$1:B$5091,2),IF(F542&gt;0,VLOOKUP(F542,КВР!A$1:B$5001,2),IF(E542&gt;0,VLOOKUP(E542,Направление!A$1:B$4750,2))))))</f>
        <v>МУ Контрольно-счетная палата ТМР</v>
      </c>
      <c r="B542" s="143">
        <v>982</v>
      </c>
      <c r="C542" s="176"/>
      <c r="D542" s="177"/>
      <c r="E542" s="176"/>
      <c r="F542" s="178"/>
      <c r="G542" s="560">
        <f>G543</f>
        <v>1365144</v>
      </c>
      <c r="H542" s="560">
        <f t="shared" ref="H542:H543" si="365">H543</f>
        <v>0</v>
      </c>
      <c r="I542" s="560">
        <f t="shared" si="348"/>
        <v>1365144</v>
      </c>
      <c r="J542" s="560">
        <f>J543</f>
        <v>1365144</v>
      </c>
      <c r="K542" s="555">
        <f t="shared" ref="K542:K543" si="366">K543</f>
        <v>0</v>
      </c>
      <c r="L542" s="555">
        <f t="shared" si="350"/>
        <v>1365144</v>
      </c>
      <c r="M542" s="185"/>
    </row>
    <row r="543" spans="1:13" ht="94.5">
      <c r="A543" s="148" t="str">
        <f>IF(B543&gt;0,VLOOKUP(B543,КВСР!A416:B1581,2),IF(C543&gt;0,VLOOKUP(C543,КФСР!A416:B1928,2),IF(D543&gt;0,VLOOKUP(D543,Программа!A$1:B$5091,2),IF(F543&gt;0,VLOOKUP(F543,КВР!A$1:B$5001,2),IF(E543&gt;0,VLOOKUP(E543,Направление!A$1:B$4750,2))))))</f>
        <v>Обеспечение деятельности финансовых, налоговых и таможенных органов и органов финансового (финансово-бюджетного) надзора</v>
      </c>
      <c r="B543" s="173"/>
      <c r="C543" s="144">
        <v>106</v>
      </c>
      <c r="D543" s="167"/>
      <c r="E543" s="168"/>
      <c r="F543" s="170"/>
      <c r="G543" s="556">
        <f>G544</f>
        <v>1365144</v>
      </c>
      <c r="H543" s="556">
        <f t="shared" si="365"/>
        <v>0</v>
      </c>
      <c r="I543" s="556">
        <f t="shared" si="348"/>
        <v>1365144</v>
      </c>
      <c r="J543" s="556">
        <f>J544</f>
        <v>1365144</v>
      </c>
      <c r="K543" s="379">
        <f t="shared" si="366"/>
        <v>0</v>
      </c>
      <c r="L543" s="379">
        <f t="shared" si="350"/>
        <v>1365144</v>
      </c>
    </row>
    <row r="544" spans="1:13" ht="31.5">
      <c r="A544" s="148" t="str">
        <f>IF(B544&gt;0,VLOOKUP(B544,КВСР!A417:B1582,2),IF(C544&gt;0,VLOOKUP(C544,КФСР!A417:B1929,2),IF(D544&gt;0,VLOOKUP(D544,Программа!A$1:B$5091,2),IF(F544&gt;0,VLOOKUP(F544,КВР!A$1:B$5001,2),IF(E544&gt;0,VLOOKUP(E544,Направление!A$1:B$4750,2))))))</f>
        <v>Непрограммные расходы бюджета</v>
      </c>
      <c r="B544" s="173"/>
      <c r="C544" s="144"/>
      <c r="D544" s="167" t="s">
        <v>480</v>
      </c>
      <c r="E544" s="168"/>
      <c r="F544" s="170"/>
      <c r="G544" s="556">
        <f>G545+G549+G551</f>
        <v>1365144</v>
      </c>
      <c r="H544" s="556">
        <f t="shared" ref="H544" si="367">H545+H549+H551</f>
        <v>0</v>
      </c>
      <c r="I544" s="556">
        <f t="shared" si="348"/>
        <v>1365144</v>
      </c>
      <c r="J544" s="556">
        <f>J545+J549+J551</f>
        <v>1365144</v>
      </c>
      <c r="K544" s="379">
        <f t="shared" ref="K544" si="368">K545+K549+K551</f>
        <v>0</v>
      </c>
      <c r="L544" s="379">
        <f t="shared" si="350"/>
        <v>1365144</v>
      </c>
    </row>
    <row r="545" spans="1:12" ht="31.5">
      <c r="A545" s="148" t="str">
        <f>IF(B545&gt;0,VLOOKUP(B545,КВСР!A418:B1583,2),IF(C545&gt;0,VLOOKUP(C545,КФСР!A418:B1930,2),IF(D545&gt;0,VLOOKUP(D545,Программа!A$1:B$5091,2),IF(F545&gt;0,VLOOKUP(F545,КВР!A$1:B$5001,2),IF(E545&gt;0,VLOOKUP(E545,Направление!A$1:B$4750,2))))))</f>
        <v>Содержание центрального аппарата</v>
      </c>
      <c r="B545" s="173"/>
      <c r="C545" s="168"/>
      <c r="D545" s="145"/>
      <c r="E545" s="144">
        <v>12010</v>
      </c>
      <c r="F545" s="170"/>
      <c r="G545" s="556">
        <f>G546+G547+G548</f>
        <v>377065</v>
      </c>
      <c r="H545" s="556">
        <f t="shared" ref="H545:L545" si="369">H546+H547+H548</f>
        <v>0</v>
      </c>
      <c r="I545" s="556">
        <f t="shared" si="369"/>
        <v>377065</v>
      </c>
      <c r="J545" s="556">
        <f t="shared" si="369"/>
        <v>377065</v>
      </c>
      <c r="K545" s="379">
        <f t="shared" si="369"/>
        <v>0</v>
      </c>
      <c r="L545" s="379">
        <f t="shared" si="369"/>
        <v>377065</v>
      </c>
    </row>
    <row r="546" spans="1:12" ht="173.25">
      <c r="A546" s="148" t="str">
        <f>IF(B546&gt;0,VLOOKUP(B546,КВСР!A419:B1584,2),IF(C546&gt;0,VLOOKUP(C546,КФСР!A419:B1931,2),IF(D546&gt;0,VLOOKUP(D546,Программа!A$1:B$5091,2),IF(F546&gt;0,VLOOKUP(F546,КВР!A$1:B$5001,2),IF(E546&gt;0,VLOOKUP(E546,Направление!A$1:B$4750,2))))))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6" s="173"/>
      <c r="C546" s="168"/>
      <c r="D546" s="167"/>
      <c r="E546" s="168"/>
      <c r="F546" s="170">
        <v>100</v>
      </c>
      <c r="G546" s="556">
        <v>372065</v>
      </c>
      <c r="H546" s="556"/>
      <c r="I546" s="556">
        <f t="shared" si="348"/>
        <v>372065</v>
      </c>
      <c r="J546" s="556">
        <v>372065</v>
      </c>
      <c r="K546" s="379"/>
      <c r="L546" s="379">
        <f t="shared" si="350"/>
        <v>372065</v>
      </c>
    </row>
    <row r="547" spans="1:12" ht="78.75">
      <c r="A547" s="148" t="str">
        <f>IF(B547&gt;0,VLOOKUP(B547,КВСР!A420:B1585,2),IF(C547&gt;0,VLOOKUP(C547,КФСР!A420:B1932,2),IF(D547&gt;0,VLOOKUP(D547,Программа!A$1:B$5091,2),IF(F547&gt;0,VLOOKUP(F547,КВР!A$1:B$5001,2),IF(E547&gt;0,VLOOKUP(E547,Направление!A$1:B$4750,2))))))</f>
        <v xml:space="preserve">Закупка товаров, работ и услуг для обеспечения государственных (муниципальных) нужд
</v>
      </c>
      <c r="B547" s="173"/>
      <c r="C547" s="168"/>
      <c r="D547" s="167"/>
      <c r="E547" s="168"/>
      <c r="F547" s="170">
        <v>200</v>
      </c>
      <c r="G547" s="556">
        <v>5000</v>
      </c>
      <c r="H547" s="556"/>
      <c r="I547" s="556">
        <f t="shared" si="348"/>
        <v>5000</v>
      </c>
      <c r="J547" s="556">
        <v>5000</v>
      </c>
      <c r="K547" s="379"/>
      <c r="L547" s="379">
        <f t="shared" si="350"/>
        <v>5000</v>
      </c>
    </row>
    <row r="548" spans="1:12" ht="31.5" hidden="1">
      <c r="A548" s="148" t="str">
        <f>IF(B548&gt;0,VLOOKUP(B548,КВСР!A421:B1586,2),IF(C548&gt;0,VLOOKUP(C548,КФСР!A421:B1933,2),IF(D548&gt;0,VLOOKUP(D548,Программа!A$1:B$5091,2),IF(F548&gt;0,VLOOKUP(F548,КВР!A$1:B$5001,2),IF(E548&gt;0,VLOOKUP(E548,Направление!A$1:B$4750,2))))))</f>
        <v>Иные бюджетные ассигнования</v>
      </c>
      <c r="B548" s="173"/>
      <c r="C548" s="168"/>
      <c r="D548" s="167"/>
      <c r="E548" s="168"/>
      <c r="F548" s="170">
        <v>800</v>
      </c>
      <c r="G548" s="556"/>
      <c r="H548" s="556"/>
      <c r="I548" s="556">
        <f t="shared" si="348"/>
        <v>0</v>
      </c>
      <c r="J548" s="556"/>
      <c r="K548" s="379"/>
      <c r="L548" s="379">
        <f t="shared" si="350"/>
        <v>0</v>
      </c>
    </row>
    <row r="549" spans="1:12" ht="78.75">
      <c r="A549" s="148" t="str">
        <f>IF(B549&gt;0,VLOOKUP(B549,КВСР!A420:B1585,2),IF(C549&gt;0,VLOOKUP(C549,КФСР!A420:B1932,2),IF(D549&gt;0,VLOOKUP(D549,Программа!A$1:B$5091,2),IF(F549&gt;0,VLOOKUP(F549,КВР!A$1:B$5001,2),IF(E549&gt;0,VLOOKUP(E549,Направление!A$1:B$4750,2))))))</f>
        <v>Содержание руководителя контрольно-счетной палаты муниципального образования и его заместителей</v>
      </c>
      <c r="B549" s="173"/>
      <c r="C549" s="168"/>
      <c r="D549" s="167"/>
      <c r="E549" s="168">
        <v>12030</v>
      </c>
      <c r="F549" s="170"/>
      <c r="G549" s="556">
        <f>G550</f>
        <v>934984</v>
      </c>
      <c r="H549" s="556">
        <f t="shared" ref="H549" si="370">H550</f>
        <v>0</v>
      </c>
      <c r="I549" s="556">
        <f t="shared" si="348"/>
        <v>934984</v>
      </c>
      <c r="J549" s="556">
        <f>J550</f>
        <v>934984</v>
      </c>
      <c r="K549" s="379">
        <f t="shared" ref="K549" si="371">K550</f>
        <v>0</v>
      </c>
      <c r="L549" s="379">
        <f t="shared" si="350"/>
        <v>934984</v>
      </c>
    </row>
    <row r="550" spans="1:12" ht="173.25">
      <c r="A550" s="148" t="str">
        <f>IF(B550&gt;0,VLOOKUP(B550,КВСР!A421:B1586,2),IF(C550&gt;0,VLOOKUP(C550,КФСР!A421:B1933,2),IF(D550&gt;0,VLOOKUP(D550,Программа!A$1:B$5091,2),IF(F550&gt;0,VLOOKUP(F550,КВР!A$1:B$5001,2),IF(E550&gt;0,VLOOKUP(E550,Направление!A$1:B$4750,2))))))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0" s="173"/>
      <c r="C550" s="168"/>
      <c r="D550" s="167"/>
      <c r="E550" s="168"/>
      <c r="F550" s="170">
        <v>100</v>
      </c>
      <c r="G550" s="556">
        <v>934984</v>
      </c>
      <c r="H550" s="556"/>
      <c r="I550" s="556">
        <f t="shared" si="348"/>
        <v>934984</v>
      </c>
      <c r="J550" s="556">
        <v>934984</v>
      </c>
      <c r="K550" s="379"/>
      <c r="L550" s="379">
        <f t="shared" si="350"/>
        <v>934984</v>
      </c>
    </row>
    <row r="551" spans="1:12" ht="47.25">
      <c r="A551" s="148" t="str">
        <f>IF(B551&gt;0,VLOOKUP(B551,КВСР!A422:B1587,2),IF(C551&gt;0,VLOOKUP(C551,КФСР!A422:B1934,2),IF(D551&gt;0,VLOOKUP(D551,Программа!A$1:B$5091,2),IF(F551&gt;0,VLOOKUP(F551,КВР!A$1:B$5001,2),IF(E551&gt;0,VLOOKUP(E551,Направление!A$1:B$4750,2))))))</f>
        <v>Содержание органов местного самоуправления за счет средств поселений</v>
      </c>
      <c r="B551" s="173"/>
      <c r="C551" s="168"/>
      <c r="D551" s="167"/>
      <c r="E551" s="168">
        <v>29016</v>
      </c>
      <c r="F551" s="170"/>
      <c r="G551" s="556">
        <f>G552+G553</f>
        <v>53095</v>
      </c>
      <c r="H551" s="556">
        <f t="shared" ref="H551" si="372">H552+H553</f>
        <v>0</v>
      </c>
      <c r="I551" s="556">
        <f t="shared" si="348"/>
        <v>53095</v>
      </c>
      <c r="J551" s="556">
        <f>J552+J553</f>
        <v>53095</v>
      </c>
      <c r="K551" s="379">
        <f t="shared" ref="K551" si="373">K552+K553</f>
        <v>0</v>
      </c>
      <c r="L551" s="379">
        <f t="shared" si="350"/>
        <v>53095</v>
      </c>
    </row>
    <row r="552" spans="1:12" ht="173.25">
      <c r="A552" s="148" t="str">
        <f>IF(B552&gt;0,VLOOKUP(B552,КВСР!A423:B1588,2),IF(C552&gt;0,VLOOKUP(C552,КФСР!A423:B1935,2),IF(D552&gt;0,VLOOKUP(D552,Программа!A$1:B$5091,2),IF(F552&gt;0,VLOOKUP(F552,КВР!A$1:B$5001,2),IF(E552&gt;0,VLOOKUP(E552,Направление!A$1:B$4750,2))))))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2" s="173"/>
      <c r="C552" s="168"/>
      <c r="D552" s="167"/>
      <c r="E552" s="168"/>
      <c r="F552" s="170">
        <v>100</v>
      </c>
      <c r="G552" s="556">
        <v>48268</v>
      </c>
      <c r="H552" s="556"/>
      <c r="I552" s="556">
        <f t="shared" si="348"/>
        <v>48268</v>
      </c>
      <c r="J552" s="556">
        <v>48268</v>
      </c>
      <c r="K552" s="379"/>
      <c r="L552" s="379">
        <f t="shared" si="350"/>
        <v>48268</v>
      </c>
    </row>
    <row r="553" spans="1:12" ht="78.75">
      <c r="A553" s="148" t="str">
        <f>IF(B553&gt;0,VLOOKUP(B553,КВСР!A424:B1589,2),IF(C553&gt;0,VLOOKUP(C553,КФСР!A424:B1936,2),IF(D553&gt;0,VLOOKUP(D553,Программа!A$1:B$5091,2),IF(F553&gt;0,VLOOKUP(F553,КВР!A$1:B$5001,2),IF(E553&gt;0,VLOOKUP(E553,Направление!A$1:B$4750,2))))))</f>
        <v xml:space="preserve">Закупка товаров, работ и услуг для обеспечения государственных (муниципальных) нужд
</v>
      </c>
      <c r="B553" s="173"/>
      <c r="C553" s="168"/>
      <c r="D553" s="167"/>
      <c r="E553" s="168"/>
      <c r="F553" s="170">
        <v>200</v>
      </c>
      <c r="G553" s="556">
        <v>4827</v>
      </c>
      <c r="H553" s="556"/>
      <c r="I553" s="556">
        <f t="shared" si="348"/>
        <v>4827</v>
      </c>
      <c r="J553" s="556">
        <v>4827</v>
      </c>
      <c r="K553" s="379"/>
      <c r="L553" s="379">
        <f t="shared" si="350"/>
        <v>4827</v>
      </c>
    </row>
    <row r="554" spans="1:12" ht="15.75">
      <c r="A554" s="188" t="s">
        <v>165</v>
      </c>
      <c r="B554" s="189"/>
      <c r="C554" s="189"/>
      <c r="D554" s="189"/>
      <c r="E554" s="190"/>
      <c r="F554" s="189"/>
      <c r="G554" s="571">
        <f>G10+G151+G179+G292+G392+G425+G483+G542</f>
        <v>1712698136</v>
      </c>
      <c r="H554" s="571">
        <f>H10+H151+H179+H292+H392+H425+H483+H542</f>
        <v>111940198</v>
      </c>
      <c r="I554" s="560">
        <f t="shared" si="348"/>
        <v>1824638334</v>
      </c>
      <c r="J554" s="571">
        <f>J10+J151+J179+J292+J392+J425+J483+J542</f>
        <v>1490964325</v>
      </c>
      <c r="K554" s="559">
        <f>K10+K151+K179+K292+K392+K425+K483+K542</f>
        <v>113808137</v>
      </c>
      <c r="L554" s="555">
        <f t="shared" si="350"/>
        <v>1604772462</v>
      </c>
    </row>
    <row r="555" spans="1:12" s="185" customFormat="1" ht="15.75">
      <c r="A555" s="191" t="s">
        <v>291</v>
      </c>
      <c r="B555" s="191"/>
      <c r="C555" s="191"/>
      <c r="D555" s="192"/>
      <c r="E555" s="193"/>
      <c r="F555" s="191"/>
      <c r="G555" s="560">
        <v>13991900</v>
      </c>
      <c r="H555" s="560"/>
      <c r="I555" s="560">
        <f>SUM(G555:H555)</f>
        <v>13991900</v>
      </c>
      <c r="J555" s="560">
        <v>17463400</v>
      </c>
      <c r="K555" s="555"/>
      <c r="L555" s="555">
        <f t="shared" si="350"/>
        <v>17463400</v>
      </c>
    </row>
    <row r="556" spans="1:12" s="185" customFormat="1" ht="15.75">
      <c r="A556" s="191" t="s">
        <v>751</v>
      </c>
      <c r="B556" s="191"/>
      <c r="C556" s="191"/>
      <c r="D556" s="192"/>
      <c r="E556" s="193"/>
      <c r="F556" s="191"/>
      <c r="G556" s="560">
        <f>G554+G555</f>
        <v>1726690036</v>
      </c>
      <c r="H556" s="560">
        <f>H554+H555</f>
        <v>111940198</v>
      </c>
      <c r="I556" s="560">
        <f t="shared" si="348"/>
        <v>1838630234</v>
      </c>
      <c r="J556" s="560">
        <f>J554+J555</f>
        <v>1508427725</v>
      </c>
      <c r="K556" s="555">
        <f t="shared" ref="K556" si="374">K554+K555</f>
        <v>113808137</v>
      </c>
      <c r="L556" s="555">
        <f t="shared" si="350"/>
        <v>1622235862</v>
      </c>
    </row>
    <row r="557" spans="1:12">
      <c r="A557" s="83"/>
      <c r="B557" s="83"/>
      <c r="C557" s="83"/>
      <c r="D557" s="194"/>
      <c r="E557" s="195"/>
      <c r="F557" s="83"/>
    </row>
  </sheetData>
  <autoFilter ref="A8:L556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0"/>
  <sheetViews>
    <sheetView showGridLines="0" view="pageBreakPreview" topLeftCell="B30" zoomScale="115" zoomScaleSheetLayoutView="115" workbookViewId="0">
      <selection activeCell="B35" sqref="B35"/>
    </sheetView>
  </sheetViews>
  <sheetFormatPr defaultColWidth="9.140625" defaultRowHeight="12.75"/>
  <cols>
    <col min="1" max="1" width="6" style="196" hidden="1" customWidth="1"/>
    <col min="2" max="2" width="63.7109375" style="121" customWidth="1"/>
    <col min="3" max="3" width="13.28515625" style="121" customWidth="1"/>
    <col min="4" max="4" width="15.85546875" style="121" hidden="1" customWidth="1"/>
    <col min="5" max="5" width="14.140625" style="121" hidden="1" customWidth="1"/>
    <col min="6" max="6" width="19.5703125" style="121" customWidth="1"/>
    <col min="7" max="16384" width="9.140625" style="121"/>
  </cols>
  <sheetData>
    <row r="1" spans="1:6" ht="15.75">
      <c r="A1" s="682" t="s">
        <v>292</v>
      </c>
      <c r="B1" s="682"/>
      <c r="C1" s="682"/>
      <c r="D1" s="682"/>
      <c r="E1" s="682"/>
      <c r="F1" s="682"/>
    </row>
    <row r="2" spans="1:6" ht="15.75">
      <c r="A2" s="682" t="s">
        <v>1</v>
      </c>
      <c r="B2" s="682"/>
      <c r="C2" s="682"/>
      <c r="D2" s="682"/>
      <c r="E2" s="682"/>
      <c r="F2" s="682"/>
    </row>
    <row r="3" spans="1:6" ht="15.75">
      <c r="A3" s="682" t="s">
        <v>2</v>
      </c>
      <c r="B3" s="682"/>
      <c r="C3" s="682"/>
      <c r="D3" s="682"/>
      <c r="E3" s="682"/>
      <c r="F3" s="682"/>
    </row>
    <row r="4" spans="1:6" ht="15.75">
      <c r="A4" s="682" t="s">
        <v>1822</v>
      </c>
      <c r="B4" s="682"/>
      <c r="C4" s="682"/>
      <c r="D4" s="682"/>
      <c r="E4" s="682"/>
      <c r="F4" s="682"/>
    </row>
    <row r="5" spans="1:6" ht="15.75">
      <c r="A5" s="197"/>
      <c r="B5" s="1"/>
      <c r="C5" s="1"/>
      <c r="D5" s="732"/>
      <c r="E5" s="732"/>
      <c r="F5" s="732"/>
    </row>
    <row r="6" spans="1:6" ht="34.5" customHeight="1">
      <c r="A6" s="693" t="s">
        <v>1436</v>
      </c>
      <c r="B6" s="693"/>
      <c r="C6" s="693"/>
      <c r="D6" s="693"/>
      <c r="E6" s="693"/>
      <c r="F6" s="693"/>
    </row>
    <row r="7" spans="1:6" ht="16.5" thickBot="1">
      <c r="A7" s="197"/>
      <c r="B7" s="1"/>
      <c r="C7" s="1"/>
      <c r="D7" s="787"/>
      <c r="E7" s="787"/>
      <c r="F7" s="787"/>
    </row>
    <row r="8" spans="1:6" ht="3" customHeight="1" thickBot="1">
      <c r="A8" s="789" t="s">
        <v>752</v>
      </c>
      <c r="B8" s="788" t="s">
        <v>753</v>
      </c>
      <c r="C8" s="790" t="s">
        <v>754</v>
      </c>
      <c r="D8" s="788" t="s">
        <v>178</v>
      </c>
      <c r="E8" s="788" t="s">
        <v>178</v>
      </c>
      <c r="F8" s="788" t="s">
        <v>178</v>
      </c>
    </row>
    <row r="9" spans="1:6" ht="13.5" thickBot="1">
      <c r="A9" s="789"/>
      <c r="B9" s="788"/>
      <c r="C9" s="791"/>
      <c r="D9" s="788"/>
      <c r="E9" s="788"/>
      <c r="F9" s="788"/>
    </row>
    <row r="10" spans="1:6" s="198" customFormat="1" ht="48" thickBot="1">
      <c r="A10" s="536">
        <v>1</v>
      </c>
      <c r="B10" s="29" t="str">
        <f>IF(C10&gt;0,VLOOKUP(C10,Программа!A$2:B$5091,2))</f>
        <v>Муниципальная программа  "Развитие культуры, туризма и молодежной политики в Тутаевском муниципальном районе"</v>
      </c>
      <c r="C10" s="538" t="s">
        <v>569</v>
      </c>
      <c r="D10" s="539">
        <f>SUMIFS(Пр12!G$10:G$1393,Пр12!$D$10:$D$1393,C10)</f>
        <v>177616587</v>
      </c>
      <c r="E10" s="227">
        <f>SUMIFS(Пр12!H$10:H$1393,Пр12!$D$10:$D$1393,C10)</f>
        <v>6840482</v>
      </c>
      <c r="F10" s="539">
        <f>SUMIFS(Пр12!I$10:I$1393,Пр12!$D$10:$D$1393,C10)</f>
        <v>184457069</v>
      </c>
    </row>
    <row r="11" spans="1:6" s="199" customFormat="1" ht="16.5" thickBot="1">
      <c r="A11" s="221" t="s">
        <v>755</v>
      </c>
      <c r="B11" s="540" t="str">
        <f>IF(C11&gt;0,VLOOKUP(C11,Программа!A$2:B$5091,2))</f>
        <v>Ведомственная целевая программа «Молодежь»</v>
      </c>
      <c r="C11" s="541" t="s">
        <v>676</v>
      </c>
      <c r="D11" s="229">
        <f>SUMIFS(Пр12!G$10:G$1393,Пр12!$D$10:$D$1393,C11)</f>
        <v>9860000</v>
      </c>
      <c r="E11" s="227">
        <f>SUMIFS(Пр12!H$10:H$1393,Пр12!$D$10:$D$1393,C11)</f>
        <v>4300000</v>
      </c>
      <c r="F11" s="229">
        <f>SUMIFS(Пр12!I$10:I$1393,Пр12!$D$10:$D$1393,C11)</f>
        <v>14160000</v>
      </c>
    </row>
    <row r="12" spans="1:6" ht="48" thickBot="1">
      <c r="A12" s="220" t="s">
        <v>756</v>
      </c>
      <c r="B12" s="31" t="str">
        <f>IF(C12&gt;0,VLOOKUP(C12,Программа!A$2:B$5091,2))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42" t="s">
        <v>678</v>
      </c>
      <c r="D12" s="227">
        <f>SUMIFS(Пр12!G$10:G$1393,Пр12!$D$10:$D$1393,C12)</f>
        <v>9770000</v>
      </c>
      <c r="E12" s="227">
        <f>SUMIFS(Пр12!H$10:H$1393,Пр12!$D$10:$D$1393,C12)</f>
        <v>4300000</v>
      </c>
      <c r="F12" s="229">
        <f>SUMIFS(Пр12!I$10:I$1393,Пр12!$D$10:$D$1393,C12)</f>
        <v>14070000</v>
      </c>
    </row>
    <row r="13" spans="1:6" ht="32.25" thickBot="1">
      <c r="A13" s="220"/>
      <c r="B13" s="31" t="str">
        <f>IF(C13&gt;0,VLOOKUP(C13,Программа!A$2:B$5091,2))</f>
        <v>Обеспечение качества и доступности услуг(работ) в сфере молодежной политики</v>
      </c>
      <c r="C13" s="542" t="s">
        <v>1300</v>
      </c>
      <c r="D13" s="227">
        <f>SUMIFS(Пр12!G$10:G$1393,Пр12!$D$10:$D$1393,C13)</f>
        <v>90000</v>
      </c>
      <c r="E13" s="227">
        <f>SUMIFS(Пр12!H$10:H$1393,Пр12!$D$10:$D$1393,C13)</f>
        <v>0</v>
      </c>
      <c r="F13" s="229">
        <f>SUMIFS(Пр12!I$10:I$1393,Пр12!$D$10:$D$1393,C13)</f>
        <v>90000</v>
      </c>
    </row>
    <row r="14" spans="1:6" s="199" customFormat="1" ht="63.75" thickBot="1">
      <c r="A14" s="537" t="s">
        <v>757</v>
      </c>
      <c r="B14" s="540" t="str">
        <f>IF(C14&gt;0,VLOOKUP(C14,Программа!A$2:B$5091,2))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43" t="s">
        <v>571</v>
      </c>
      <c r="D14" s="229">
        <f>SUMIFS(Пр12!G$10:G$1393,Пр12!$D$10:$D$1393,C14)</f>
        <v>614000</v>
      </c>
      <c r="E14" s="227">
        <f>SUMIFS(Пр12!H$10:H$1393,Пр12!$D$10:$D$1393,C14)</f>
        <v>0</v>
      </c>
      <c r="F14" s="229">
        <f>SUMIFS(Пр12!I$10:I$1393,Пр12!$D$10:$D$1393,C14)</f>
        <v>614000</v>
      </c>
    </row>
    <row r="15" spans="1:6" ht="48" thickBot="1">
      <c r="A15" s="216" t="s">
        <v>758</v>
      </c>
      <c r="B15" s="31" t="str">
        <f>IF(C15&gt;0,VLOOKUP(C15,Программа!A$2:B$5091,2))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44" t="s">
        <v>573</v>
      </c>
      <c r="D15" s="227">
        <f>SUMIFS(Пр12!G$10:G$1393,Пр12!$D$10:$D$1393,C15)</f>
        <v>614000</v>
      </c>
      <c r="E15" s="227">
        <f>SUMIFS(Пр12!H$10:H$1393,Пр12!$D$10:$D$1393,C15)</f>
        <v>0</v>
      </c>
      <c r="F15" s="229">
        <f>SUMIFS(Пр12!I$10:I$1393,Пр12!$D$10:$D$1393,C15)</f>
        <v>614000</v>
      </c>
    </row>
    <row r="16" spans="1:6" s="199" customFormat="1" ht="48" thickBot="1">
      <c r="A16" s="383" t="s">
        <v>80</v>
      </c>
      <c r="B16" s="540" t="str">
        <f>IF(C16&gt;0,VLOOKUP(C16,Программа!A$2:B$5091,2))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543" t="s">
        <v>576</v>
      </c>
      <c r="D16" s="229">
        <f>SUMIFS(Пр12!G$10:G$1393,Пр12!$D$10:$D$1393,C16)</f>
        <v>480000</v>
      </c>
      <c r="E16" s="227">
        <f>SUMIFS(Пр12!H$10:H$1393,Пр12!$D$10:$D$1393,C16)</f>
        <v>0</v>
      </c>
      <c r="F16" s="229">
        <f>SUMIFS(Пр12!I$10:I$1393,Пр12!$D$10:$D$1393,C16)</f>
        <v>480000</v>
      </c>
    </row>
    <row r="17" spans="1:6" ht="32.25" thickBot="1">
      <c r="A17" s="220" t="s">
        <v>759</v>
      </c>
      <c r="B17" s="31" t="str">
        <f>IF(C17&gt;0,VLOOKUP(C17,Программа!A$2:B$5091,2))</f>
        <v>Развитие системы профилактики немедицинского потребления наркотиков</v>
      </c>
      <c r="C17" s="544" t="s">
        <v>578</v>
      </c>
      <c r="D17" s="227">
        <f>SUMIFS(Пр12!G$10:G$1393,Пр12!$D$10:$D$1393,C17)</f>
        <v>480000</v>
      </c>
      <c r="E17" s="227">
        <f>SUMIFS(Пр12!H$10:H$1393,Пр12!$D$10:$D$1393,C17)</f>
        <v>0</v>
      </c>
      <c r="F17" s="229">
        <f>SUMIFS(Пр12!I$10:I$1393,Пр12!$D$10:$D$1393,C17)</f>
        <v>480000</v>
      </c>
    </row>
    <row r="18" spans="1:6" s="199" customFormat="1" ht="32.25" thickBot="1">
      <c r="A18" s="221" t="s">
        <v>760</v>
      </c>
      <c r="B18" s="540" t="str">
        <f>IF(C18&gt;0,VLOOKUP(C18,Программа!A$2:B$5091,2))</f>
        <v>Ведомственная целевая программа «Сохранение и развитие культуры Тутаевского муниципального района»</v>
      </c>
      <c r="C18" s="543" t="s">
        <v>671</v>
      </c>
      <c r="D18" s="229">
        <f>SUMIFS(Пр12!G$10:G$1393,Пр12!$D$10:$D$1393,C18)</f>
        <v>166662587</v>
      </c>
      <c r="E18" s="227">
        <f>SUMIFS(Пр12!H$10:H$1393,Пр12!$D$10:$D$1393,C18)</f>
        <v>2540482</v>
      </c>
      <c r="F18" s="229">
        <f>SUMIFS(Пр12!I$10:I$1393,Пр12!$D$10:$D$1393,C18)</f>
        <v>169203069</v>
      </c>
    </row>
    <row r="19" spans="1:6" ht="32.25" thickBot="1">
      <c r="A19" s="220" t="s">
        <v>761</v>
      </c>
      <c r="B19" s="31" t="str">
        <f>IF(C19&gt;0,VLOOKUP(C19,Программа!A$2:B$5091,2))</f>
        <v>Реализация дополнительных образовательных программ в сфере культуры</v>
      </c>
      <c r="C19" s="544" t="s">
        <v>673</v>
      </c>
      <c r="D19" s="227">
        <f>SUMIFS(Пр12!G$10:G$1393,Пр12!$D$10:$D$1393,C19)</f>
        <v>32536562</v>
      </c>
      <c r="E19" s="227">
        <f>SUMIFS(Пр12!H$10:H$1393,Пр12!$D$10:$D$1393,C19)</f>
        <v>0</v>
      </c>
      <c r="F19" s="229">
        <f>SUMIFS(Пр12!I$10:I$1393,Пр12!$D$10:$D$1393,C19)</f>
        <v>32536562</v>
      </c>
    </row>
    <row r="20" spans="1:6" ht="16.5" thickBot="1">
      <c r="A20" s="220" t="s">
        <v>762</v>
      </c>
      <c r="B20" s="31" t="str">
        <f>IF(C20&gt;0,VLOOKUP(C20,Программа!A$2:B$5091,2))</f>
        <v>Содействие доступу граждан к культурным ценностям</v>
      </c>
      <c r="C20" s="544" t="s">
        <v>690</v>
      </c>
      <c r="D20" s="227">
        <f>SUMIFS(Пр12!G$10:G$1393,Пр12!$D$10:$D$1393,C20)</f>
        <v>81414942</v>
      </c>
      <c r="E20" s="227">
        <f>SUMIFS(Пр12!H$10:H$1393,Пр12!$D$10:$D$1393,C20)</f>
        <v>2399982</v>
      </c>
      <c r="F20" s="229">
        <f>SUMIFS(Пр12!I$10:I$1393,Пр12!$D$10:$D$1393,C20)</f>
        <v>83814924</v>
      </c>
    </row>
    <row r="21" spans="1:6" ht="32.25" thickBot="1">
      <c r="A21" s="219" t="s">
        <v>763</v>
      </c>
      <c r="B21" s="31" t="str">
        <f>IF(C21&gt;0,VLOOKUP(C21,Программа!A$2:B$5091,2))</f>
        <v>Поддержка доступа граждан к информационно-библиотечным ресурсам</v>
      </c>
      <c r="C21" s="544" t="s">
        <v>695</v>
      </c>
      <c r="D21" s="227">
        <f>SUMIFS(Пр12!G$10:G$1393,Пр12!$D$10:$D$1393,C21)</f>
        <v>22113875</v>
      </c>
      <c r="E21" s="227">
        <f>SUMIFS(Пр12!H$10:H$1393,Пр12!$D$10:$D$1393,C21)</f>
        <v>140500</v>
      </c>
      <c r="F21" s="229">
        <f>SUMIFS(Пр12!I$10:I$1393,Пр12!$D$10:$D$1393,C21)</f>
        <v>22254375</v>
      </c>
    </row>
    <row r="22" spans="1:6" ht="16.5" thickBot="1">
      <c r="A22" s="220" t="s">
        <v>764</v>
      </c>
      <c r="B22" s="31" t="str">
        <f>IF(C22&gt;0,VLOOKUP(C22,Программа!A$2:B$5091,2))</f>
        <v>Обеспечение эффективности управления системой культуры</v>
      </c>
      <c r="C22" s="544" t="s">
        <v>698</v>
      </c>
      <c r="D22" s="227">
        <f>SUMIFS(Пр12!G$10:G$1393,Пр12!$D$10:$D$1393,C22)</f>
        <v>30597208</v>
      </c>
      <c r="E22" s="227">
        <f>SUMIFS(Пр12!H$10:H$1393,Пр12!$D$10:$D$1393,C22)</f>
        <v>0</v>
      </c>
      <c r="F22" s="229">
        <f>SUMIFS(Пр12!I$10:I$1393,Пр12!$D$10:$D$1393,C22)</f>
        <v>30597208</v>
      </c>
    </row>
    <row r="23" spans="1:6" s="199" customFormat="1" ht="48" hidden="1" thickBot="1">
      <c r="A23" s="383" t="s">
        <v>765</v>
      </c>
      <c r="B23" s="540" t="str">
        <f>IF(C23&gt;0,VLOOKUP(C23,Программа!A$2:B$5091,2))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543" t="s">
        <v>666</v>
      </c>
      <c r="D23" s="229">
        <f>SUMIFS(Пр12!G$10:G$1393,Пр12!$D$10:$D$1393,C23)</f>
        <v>0</v>
      </c>
      <c r="E23" s="227">
        <f>SUMIFS(Пр12!H$10:H$1393,Пр12!$D$10:$D$1393,C23)</f>
        <v>0</v>
      </c>
      <c r="F23" s="229">
        <f>SUMIFS(Пр12!I$10:I$1393,Пр12!$D$10:$D$1393,C23)</f>
        <v>0</v>
      </c>
    </row>
    <row r="24" spans="1:6" ht="16.5" hidden="1" thickBot="1">
      <c r="A24" s="220" t="s">
        <v>766</v>
      </c>
      <c r="B24" s="31" t="str">
        <f>IF(C24&gt;0,VLOOKUP(C24,Программа!A$2:B$5091,2))</f>
        <v>Создание благоприятных условий для развития туризма</v>
      </c>
      <c r="C24" s="544" t="s">
        <v>668</v>
      </c>
      <c r="D24" s="227">
        <f>SUMIFS(Пр12!G$10:G$1393,Пр12!$D$10:$D$1393,C24)</f>
        <v>0</v>
      </c>
      <c r="E24" s="227">
        <f>SUMIFS(Пр12!H$10:H$1393,Пр12!$D$10:$D$1393,C24)</f>
        <v>0</v>
      </c>
      <c r="F24" s="229">
        <f>SUMIFS(Пр12!I$10:I$1393,Пр12!$D$10:$D$1393,C24)</f>
        <v>0</v>
      </c>
    </row>
    <row r="25" spans="1:6" s="198" customFormat="1" ht="48" thickBot="1">
      <c r="A25" s="536" t="s">
        <v>767</v>
      </c>
      <c r="B25" s="29" t="str">
        <f>IF(C25&gt;0,VLOOKUP(C25,Программа!A$2:B$5091,2))</f>
        <v>Муниципальная программа "Развитие образования, физической культуры и спорта в Тутаевском муниципальном районе"</v>
      </c>
      <c r="C25" s="538" t="s">
        <v>539</v>
      </c>
      <c r="D25" s="539">
        <f>SUMIFS(Пр12!G$10:G$1393,Пр12!$D$10:$D$1393,C25)</f>
        <v>1080219774</v>
      </c>
      <c r="E25" s="227">
        <f>SUMIFS(Пр12!H$10:H$1393,Пр12!$D$10:$D$1393,C25)</f>
        <v>7600979</v>
      </c>
      <c r="F25" s="667">
        <f>SUMIFS(Пр12!I$10:I$1393,Пр12!$D$10:$D$1393,C25)</f>
        <v>1087820753</v>
      </c>
    </row>
    <row r="26" spans="1:6" s="199" customFormat="1" ht="48" thickBot="1">
      <c r="A26" s="383" t="s">
        <v>768</v>
      </c>
      <c r="B26" s="540" t="str">
        <f>IF(C26&gt;0,VLOOKUP(C26,Программа!A$2:B$5091,2))</f>
        <v xml:space="preserve">Ведомственная целевая программа департамента образования Администрации Тутаевского муниципального района </v>
      </c>
      <c r="C26" s="543" t="s">
        <v>541</v>
      </c>
      <c r="D26" s="229">
        <f>SUMIFS(Пр12!G$10:G$1393,Пр12!$D$10:$D$1393,C26)</f>
        <v>1038651596</v>
      </c>
      <c r="E26" s="227">
        <f>SUMIFS(Пр12!H$10:H$1393,Пр12!$D$10:$D$1393,C26)</f>
        <v>5929679</v>
      </c>
      <c r="F26" s="229">
        <f>SUMIFS(Пр12!I$10:I$1393,Пр12!$D$10:$D$1393,C26)</f>
        <v>1044581275</v>
      </c>
    </row>
    <row r="27" spans="1:6" ht="32.25" thickBot="1">
      <c r="A27" s="219" t="s">
        <v>769</v>
      </c>
      <c r="B27" s="31" t="str">
        <f>IF(C27&gt;0,VLOOKUP(C27,Программа!A$2:B$5091,2))</f>
        <v>Обеспечение качества и доступности образовательных услуг в сфере дошкольного образования</v>
      </c>
      <c r="C27" s="544" t="s">
        <v>542</v>
      </c>
      <c r="D27" s="227">
        <f>SUMIFS(Пр12!G$10:G$1393,Пр12!$D$10:$D$1393,C27)</f>
        <v>433819754</v>
      </c>
      <c r="E27" s="227">
        <f>SUMIFS(Пр12!H$10:H$1393,Пр12!$D$10:$D$1393,C27)</f>
        <v>3122765</v>
      </c>
      <c r="F27" s="229">
        <f>SUMIFS(Пр12!I$10:I$1393,Пр12!$D$10:$D$1393,C27)</f>
        <v>436942519</v>
      </c>
    </row>
    <row r="28" spans="1:6" ht="32.25" thickBot="1">
      <c r="A28" s="219" t="s">
        <v>770</v>
      </c>
      <c r="B28" s="31" t="str">
        <f>IF(C28&gt;0,VLOOKUP(C28,Программа!A$2:B$5091,2))</f>
        <v>Обеспечение качества и доступности образовательных услуг в сфере общего образования</v>
      </c>
      <c r="C28" s="544" t="s">
        <v>582</v>
      </c>
      <c r="D28" s="227">
        <f>SUMIFS(Пр12!G$10:G$1393,Пр12!$D$10:$D$1393,C28)</f>
        <v>458209368</v>
      </c>
      <c r="E28" s="227">
        <f>SUMIFS(Пр12!H$10:H$1393,Пр12!$D$10:$D$1393,C28)</f>
        <v>1527984</v>
      </c>
      <c r="F28" s="229">
        <f>SUMIFS(Пр12!I$10:I$1393,Пр12!$D$10:$D$1393,C28)</f>
        <v>459737352</v>
      </c>
    </row>
    <row r="29" spans="1:6" ht="32.25" thickBot="1">
      <c r="A29" s="219" t="s">
        <v>771</v>
      </c>
      <c r="B29" s="31" t="str">
        <f>IF(C29&gt;0,VLOOKUP(C29,Программа!A$2:B$5091,2))</f>
        <v>Обеспечение качества и доступности образовательных услуг в сфере дополнительного образования</v>
      </c>
      <c r="C29" s="544" t="s">
        <v>605</v>
      </c>
      <c r="D29" s="227">
        <f>SUMIFS(Пр12!G$10:G$1393,Пр12!$D$10:$D$1393,C29)</f>
        <v>59350887</v>
      </c>
      <c r="E29" s="227">
        <f>SUMIFS(Пр12!H$10:H$1393,Пр12!$D$10:$D$1393,C29)</f>
        <v>1094300</v>
      </c>
      <c r="F29" s="229">
        <f>SUMIFS(Пр12!I$10:I$1393,Пр12!$D$10:$D$1393,C29)</f>
        <v>60445187</v>
      </c>
    </row>
    <row r="30" spans="1:6" ht="32.25" thickBot="1">
      <c r="A30" s="220" t="s">
        <v>772</v>
      </c>
      <c r="B30" s="31" t="str">
        <f>IF(C30&gt;0,VLOOKUP(C30,Программа!A$2:B$5091,2))</f>
        <v>Повышение мотивации участников образовательного процесса</v>
      </c>
      <c r="C30" s="544" t="s">
        <v>584</v>
      </c>
      <c r="D30" s="227">
        <f>SUMIFS(Пр12!G$10:G$1393,Пр12!$D$10:$D$1393,C30)</f>
        <v>332000</v>
      </c>
      <c r="E30" s="227">
        <f>SUMIFS(Пр12!H$10:H$1393,Пр12!$D$10:$D$1393,C30)</f>
        <v>0</v>
      </c>
      <c r="F30" s="229">
        <f>SUMIFS(Пр12!I$10:I$1393,Пр12!$D$10:$D$1393,C30)</f>
        <v>332000</v>
      </c>
    </row>
    <row r="31" spans="1:6" ht="48" thickBot="1">
      <c r="A31" s="219" t="s">
        <v>773</v>
      </c>
      <c r="B31" s="31" t="str">
        <f>IF(C31&gt;0,VLOOKUP(C31,Программа!A$2:B$5091,2))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44" t="s">
        <v>561</v>
      </c>
      <c r="D31" s="227">
        <f>SUMIFS(Пр12!G$10:G$1393,Пр12!$D$10:$D$1393,C31)</f>
        <v>11048037</v>
      </c>
      <c r="E31" s="227">
        <f>SUMIFS(Пр12!H$10:H$1393,Пр12!$D$10:$D$1393,C31)</f>
        <v>184630</v>
      </c>
      <c r="F31" s="229">
        <f>SUMIFS(Пр12!I$10:I$1393,Пр12!$D$10:$D$1393,C31)</f>
        <v>11232667</v>
      </c>
    </row>
    <row r="32" spans="1:6" ht="48" thickBot="1">
      <c r="A32" s="220" t="s">
        <v>774</v>
      </c>
      <c r="B32" s="31" t="str">
        <f>IF(C32&gt;0,VLOOKUP(C32,Программа!A$2:B$5091,2))</f>
        <v>Обеспечение качества реализации мер по социальной поддержке детей-сирот и детей, оставшихся без попечения родителей</v>
      </c>
      <c r="C32" s="544" t="s">
        <v>590</v>
      </c>
      <c r="D32" s="227">
        <f>SUMIFS(Пр12!G$10:G$1393,Пр12!$D$10:$D$1393,C32)</f>
        <v>28196778</v>
      </c>
      <c r="E32" s="227">
        <f>SUMIFS(Пр12!H$10:H$1393,Пр12!$D$10:$D$1393,C32)</f>
        <v>0</v>
      </c>
      <c r="F32" s="229">
        <f>SUMIFS(Пр12!I$10:I$1393,Пр12!$D$10:$D$1393,C32)</f>
        <v>28196778</v>
      </c>
    </row>
    <row r="33" spans="1:6" ht="32.25" thickBot="1">
      <c r="A33" s="220"/>
      <c r="B33" s="31" t="str">
        <f>IF(C33&gt;0,VLOOKUP(C33,Программа!A$2:B$5091,2))</f>
        <v>Обеспечение детей организованными формами отдыха и оздоровления</v>
      </c>
      <c r="C33" s="544" t="s">
        <v>1254</v>
      </c>
      <c r="D33" s="227">
        <f>SUMIFS(Пр12!G$10:G$1393,Пр12!$D$10:$D$1393,C33)</f>
        <v>5306000</v>
      </c>
      <c r="E33" s="227">
        <f>SUMIFS(Пр12!H$10:H$1393,Пр12!$D$10:$D$1393,C33)</f>
        <v>0</v>
      </c>
      <c r="F33" s="229">
        <f>SUMIFS(Пр12!I$10:I$1393,Пр12!$D$10:$D$1393,C33)</f>
        <v>5306000</v>
      </c>
    </row>
    <row r="34" spans="1:6" ht="16.5" thickBot="1">
      <c r="A34" s="220"/>
      <c r="B34" s="31" t="str">
        <f>IF(C34&gt;0,VLOOKUP(C34,Программа!A$2:B$5091,2))</f>
        <v>Обеспечение компенсационных выплат</v>
      </c>
      <c r="C34" s="544" t="s">
        <v>1259</v>
      </c>
      <c r="D34" s="227">
        <f>SUMIFS(Пр12!G$10:G$1393,Пр12!$D$10:$D$1393,C34)</f>
        <v>13416786</v>
      </c>
      <c r="E34" s="227">
        <f>SUMIFS(Пр12!H$10:H$1393,Пр12!$D$10:$D$1393,C34)</f>
        <v>0</v>
      </c>
      <c r="F34" s="229">
        <f>SUMIFS(Пр12!I$10:I$1393,Пр12!$D$10:$D$1393,C34)</f>
        <v>13416786</v>
      </c>
    </row>
    <row r="35" spans="1:6" ht="32.25" thickBot="1">
      <c r="A35" s="220"/>
      <c r="B35" s="31" t="str">
        <f>IF(C35&gt;0,VLOOKUP(C35,Программа!A$2:B$5091,2))</f>
        <v>Обеспечение эффективности управления системой образования</v>
      </c>
      <c r="C35" s="544" t="s">
        <v>1256</v>
      </c>
      <c r="D35" s="227">
        <f>SUMIFS(Пр12!G$10:G$1393,Пр12!$D$10:$D$1393,C35)</f>
        <v>28971986</v>
      </c>
      <c r="E35" s="227">
        <f>SUMIFS(Пр12!H$10:H$1393,Пр12!$D$10:$D$1393,C35)</f>
        <v>0</v>
      </c>
      <c r="F35" s="229">
        <f>SUMIFS(Пр12!I$10:I$1393,Пр12!$D$10:$D$1393,C35)</f>
        <v>28971986</v>
      </c>
    </row>
    <row r="36" spans="1:6" s="199" customFormat="1" ht="48" thickBot="1">
      <c r="A36" s="221" t="s">
        <v>775</v>
      </c>
      <c r="B36" s="540" t="str">
        <f>IF(C36&gt;0,VLOOKUP(C36,Программа!A$2:B$5091,2))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543" t="s">
        <v>592</v>
      </c>
      <c r="D36" s="229">
        <f>SUMIFS(Пр12!G$10:G$1393,Пр12!$D$10:$D$1393,C36)</f>
        <v>56000</v>
      </c>
      <c r="E36" s="227">
        <f>SUMIFS(Пр12!H$10:H$1393,Пр12!$D$10:$D$1393,C36)</f>
        <v>0</v>
      </c>
      <c r="F36" s="229">
        <f>SUMIFS(Пр12!I$10:I$1393,Пр12!$D$10:$D$1393,C36)</f>
        <v>56000</v>
      </c>
    </row>
    <row r="37" spans="1:6" ht="32.25" thickBot="1">
      <c r="A37" s="220"/>
      <c r="B37" s="31" t="str">
        <f>IF(C37&gt;0,VLOOKUP(C37,Программа!A$2:B$5091,2))</f>
        <v>Реализация мер по созданию целостной системы духовно-нравственного воспитания и просвещения населения</v>
      </c>
      <c r="C37" s="544" t="s">
        <v>594</v>
      </c>
      <c r="D37" s="227">
        <f>SUMIFS(Пр12!G$10:G$1393,Пр12!$D$10:$D$1393,C37)</f>
        <v>56000</v>
      </c>
      <c r="E37" s="227">
        <f>SUMIFS(Пр12!H$10:H$1393,Пр12!$D$10:$D$1393,C37)</f>
        <v>0</v>
      </c>
      <c r="F37" s="229">
        <f>SUMIFS(Пр12!I$10:I$1393,Пр12!$D$10:$D$1393,C37)</f>
        <v>56000</v>
      </c>
    </row>
    <row r="38" spans="1:6" s="199" customFormat="1" ht="32.25" thickBot="1">
      <c r="A38" s="221"/>
      <c r="B38" s="540" t="str">
        <f>IF(C38&gt;0,VLOOKUP(C38,Программа!A$2:B$5091,2))</f>
        <v>Муниципальная целевая программа "Развитие физической культуры и спорта в Тутаевском муниципальном районе"</v>
      </c>
      <c r="C38" s="543" t="s">
        <v>559</v>
      </c>
      <c r="D38" s="229">
        <f>SUMIFS(Пр12!G$10:G$1393,Пр12!$D$10:$D$1393,C38)</f>
        <v>41512178</v>
      </c>
      <c r="E38" s="227">
        <f>SUMIFS(Пр12!H$10:H$1393,Пр12!$D$10:$D$1393,C38)</f>
        <v>1671300</v>
      </c>
      <c r="F38" s="229">
        <f>SUMIFS(Пр12!I$10:I$1393,Пр12!$D$10:$D$1393,C38)</f>
        <v>43183478</v>
      </c>
    </row>
    <row r="39" spans="1:6" ht="63.75" thickBot="1">
      <c r="A39" s="220"/>
      <c r="B39" s="31" t="str">
        <f>IF(C39&gt;0,VLOOKUP(C39,Программа!A$2:B$5091,2))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44" t="s">
        <v>615</v>
      </c>
      <c r="D39" s="227">
        <f>SUMIFS(Пр12!G$10:G$1393,Пр12!$D$10:$D$1393,C39)</f>
        <v>41512178</v>
      </c>
      <c r="E39" s="227">
        <f>SUMIFS(Пр12!H$10:H$1393,Пр12!$D$10:$D$1393,C39)</f>
        <v>121300</v>
      </c>
      <c r="F39" s="229">
        <f>SUMIFS(Пр12!I$10:I$1393,Пр12!$D$10:$D$1393,C39)</f>
        <v>41633478</v>
      </c>
    </row>
    <row r="40" spans="1:6" ht="32.25" thickBot="1">
      <c r="A40" s="220"/>
      <c r="B40" s="31" t="str">
        <f>IF(C40&gt;0,VLOOKUP(C40,Программа!A$2:B$5091,2))</f>
        <v>Строительство и реконструкция спортивных сооружений и укрепление материальной базы</v>
      </c>
      <c r="C40" s="544" t="s">
        <v>560</v>
      </c>
      <c r="D40" s="227"/>
      <c r="E40" s="227"/>
      <c r="F40" s="229">
        <f>SUMIFS(Пр12!I$10:I$1393,Пр12!$D$10:$D$1393,C40)</f>
        <v>1550000</v>
      </c>
    </row>
    <row r="41" spans="1:6" ht="16.5" hidden="1" thickBot="1">
      <c r="A41" s="220"/>
      <c r="B41" s="31" t="str">
        <f>IF(C41&gt;0,VLOOKUP(C41,Программа!A$2:B$5091,2))</f>
        <v>Развитие сети плоскостных спортивных сооружений</v>
      </c>
      <c r="C41" s="544" t="s">
        <v>596</v>
      </c>
      <c r="D41" s="227">
        <f>SUMIFS(Пр12!G$10:G$1393,Пр12!$D$10:$D$1393,C41)</f>
        <v>0</v>
      </c>
      <c r="E41" s="227">
        <f>SUMIFS(Пр12!H$10:H$1393,Пр12!$D$10:$D$1393,C41)</f>
        <v>0</v>
      </c>
      <c r="F41" s="229">
        <f>SUMIFS(Пр12!I$10:I$1393,Пр12!$D$10:$D$1393,C41)</f>
        <v>0</v>
      </c>
    </row>
    <row r="42" spans="1:6" s="198" customFormat="1" ht="32.25" thickBot="1">
      <c r="A42" s="214"/>
      <c r="B42" s="29" t="str">
        <f>IF(C42&gt;0,VLOOKUP(C42,Программа!A$2:B$5091,2))</f>
        <v>Муниципальная программа "Социальная поддержка населения Тутаевского муниципального района"</v>
      </c>
      <c r="C42" s="545" t="s">
        <v>548</v>
      </c>
      <c r="D42" s="539">
        <f>SUMIFS(Пр12!G$10:G$1393,Пр12!$D$10:$D$1393,C42)</f>
        <v>449557989</v>
      </c>
      <c r="E42" s="227">
        <f>SUMIFS(Пр12!H$10:H$1393,Пр12!$D$10:$D$1393,C42)</f>
        <v>727153</v>
      </c>
      <c r="F42" s="667">
        <f>SUMIFS(Пр12!I$10:I$1393,Пр12!$D$10:$D$1393,C42)</f>
        <v>450285142</v>
      </c>
    </row>
    <row r="43" spans="1:6" s="199" customFormat="1" ht="32.25" thickBot="1">
      <c r="A43" s="221"/>
      <c r="B43" s="540" t="str">
        <f>IF(C43&gt;0,VLOOKUP(C43,Программа!A$2:B$5091,2))</f>
        <v xml:space="preserve">Ведомственная целевая программа «Социальная поддержка населения Тутаевского муниципального района» </v>
      </c>
      <c r="C43" s="543" t="s">
        <v>620</v>
      </c>
      <c r="D43" s="229">
        <f>SUMIFS(Пр12!G$10:G$1393,Пр12!$D$10:$D$1393,C43)</f>
        <v>449049989</v>
      </c>
      <c r="E43" s="227">
        <f>SUMIFS(Пр12!H$10:H$1393,Пр12!$D$10:$D$1393,C43)</f>
        <v>727153</v>
      </c>
      <c r="F43" s="229">
        <f>SUMIFS(Пр12!I$10:I$1393,Пр12!$D$10:$D$1393,C43)</f>
        <v>449777142</v>
      </c>
    </row>
    <row r="44" spans="1:6" ht="32.25" thickBot="1">
      <c r="A44" s="220"/>
      <c r="B44" s="31" t="str">
        <f>IF(C44&gt;0,VLOOKUP(C44,Программа!A$2:B$5091,2))</f>
        <v>Исполнение публичных обязательств по предоставлению выплат, пособий и компенсаций</v>
      </c>
      <c r="C44" s="544" t="s">
        <v>622</v>
      </c>
      <c r="D44" s="227">
        <f>SUMIFS(Пр12!G$10:G$1393,Пр12!$D$10:$D$1393,C44)</f>
        <v>281418429</v>
      </c>
      <c r="E44" s="227">
        <f>SUMIFS(Пр12!H$10:H$1393,Пр12!$D$10:$D$1393,C44)</f>
        <v>182753</v>
      </c>
      <c r="F44" s="229">
        <f>SUMIFS(Пр12!I$10:I$1393,Пр12!$D$10:$D$1393,C44)</f>
        <v>281601182</v>
      </c>
    </row>
    <row r="45" spans="1:6" ht="48" thickBot="1">
      <c r="A45" s="220"/>
      <c r="B45" s="31" t="str">
        <f>IF(C45&gt;0,VLOOKUP(C45,Программа!A$2:B$5091,2))</f>
        <v>Предоставление социальных услуг населению Тутаевского муниципального района на основе соблюдения стандартов и нормативов</v>
      </c>
      <c r="C45" s="544" t="s">
        <v>625</v>
      </c>
      <c r="D45" s="227">
        <f>SUMIFS(Пр12!G$10:G$1393,Пр12!$D$10:$D$1393,C45)</f>
        <v>79748040</v>
      </c>
      <c r="E45" s="227">
        <f>SUMIFS(Пр12!H$10:H$1393,Пр12!$D$10:$D$1393,C45)</f>
        <v>0</v>
      </c>
      <c r="F45" s="229">
        <f>SUMIFS(Пр12!I$10:I$1393,Пр12!$D$10:$D$1393,C45)</f>
        <v>79748040</v>
      </c>
    </row>
    <row r="46" spans="1:6" ht="32.25" thickBot="1">
      <c r="A46" s="220"/>
      <c r="B46" s="31" t="str">
        <f>IF(C46&gt;0,VLOOKUP(C46,Программа!A$2:B$5091,2))</f>
        <v>Социальная защита семей с детьми, инвалидов, ветеранов, граждан и детей, оказавшихся в трудной жизненной ситуации</v>
      </c>
      <c r="C46" s="544" t="s">
        <v>640</v>
      </c>
      <c r="D46" s="227">
        <f>SUMIFS(Пр12!G$10:G$1393,Пр12!$D$10:$D$1393,C46)</f>
        <v>5146020</v>
      </c>
      <c r="E46" s="227">
        <f>SUMIFS(Пр12!H$10:H$1393,Пр12!$D$10:$D$1393,C46)</f>
        <v>-210000</v>
      </c>
      <c r="F46" s="229">
        <f>SUMIFS(Пр12!I$10:I$1393,Пр12!$D$10:$D$1393,C46)</f>
        <v>4936020</v>
      </c>
    </row>
    <row r="47" spans="1:6" ht="32.25" thickBot="1">
      <c r="A47" s="220"/>
      <c r="B47" s="31" t="str">
        <f>IF(C47&gt;0,VLOOKUP(C47,Программа!A$2:B$5091,2))</f>
        <v>Информационное обеспечение реализации мероприятий программы</v>
      </c>
      <c r="C47" s="544" t="s">
        <v>1408</v>
      </c>
      <c r="D47" s="227">
        <f>SUMIFS(Пр12!G$10:G$1393,Пр12!$D$10:$D$1393,C47)</f>
        <v>772000</v>
      </c>
      <c r="E47" s="227">
        <f>SUMIFS(Пр12!H$10:H$1393,Пр12!$D$10:$D$1393,C47)</f>
        <v>0</v>
      </c>
      <c r="F47" s="229">
        <f>SUMIFS(Пр12!I$10:I$1393,Пр12!$D$10:$D$1393,C47)</f>
        <v>772000</v>
      </c>
    </row>
    <row r="48" spans="1:6" ht="32.25" thickBot="1">
      <c r="A48" s="220"/>
      <c r="B48" s="31" t="str">
        <f>IF(C48&gt;0,VLOOKUP(C48,Программа!A$2:B$5091,2))</f>
        <v>Федеральный проект "Финансовая поддержка при рождении детей"</v>
      </c>
      <c r="C48" s="544" t="s">
        <v>1812</v>
      </c>
      <c r="D48" s="227">
        <f>SUMIFS(Пр12!G$10:G$1393,Пр12!$D$10:$D$1393,C48)</f>
        <v>81215500</v>
      </c>
      <c r="E48" s="227">
        <f>SUMIFS(Пр12!H$10:H$1393,Пр12!$D$10:$D$1393,C48)</f>
        <v>0</v>
      </c>
      <c r="F48" s="229">
        <f>SUMIFS(Пр12!I$10:I$1393,Пр12!$D$10:$D$1393,C48)</f>
        <v>81215500</v>
      </c>
    </row>
    <row r="49" spans="1:6" ht="16.5" thickBot="1">
      <c r="A49" s="220"/>
      <c r="B49" s="31" t="str">
        <f>IF(C49&gt;0,VLOOKUP(C49,Программа!A$2:B$5091,2))</f>
        <v>Федеральный проект "Старшее поколение"</v>
      </c>
      <c r="C49" s="544" t="s">
        <v>1813</v>
      </c>
      <c r="D49" s="227">
        <f>SUMIFS(Пр12!G$10:G$1393,Пр12!$D$10:$D$1393,C49)</f>
        <v>750000</v>
      </c>
      <c r="E49" s="227">
        <f>SUMIFS(Пр12!H$10:H$1393,Пр12!$D$10:$D$1393,C49)</f>
        <v>754400</v>
      </c>
      <c r="F49" s="229">
        <f>SUMIFS(Пр12!I$10:I$1393,Пр12!$D$10:$D$1393,C49)</f>
        <v>1504400</v>
      </c>
    </row>
    <row r="50" spans="1:6" s="199" customFormat="1" ht="32.25" thickBot="1">
      <c r="A50" s="221"/>
      <c r="B50" s="540" t="str">
        <f>IF(C50&gt;0,VLOOKUP(C50,Программа!A$2:B$5091,2))</f>
        <v>Муниципальная целевая программа "Улучшение условий и охраны труда" по Тутаевскому муниципальному району</v>
      </c>
      <c r="C50" s="543" t="s">
        <v>550</v>
      </c>
      <c r="D50" s="229">
        <f>SUMIFS(Пр12!G$10:G$1393,Пр12!$D$10:$D$1393,C50)</f>
        <v>508000</v>
      </c>
      <c r="E50" s="227">
        <f>SUMIFS(Пр12!H$10:H$1393,Пр12!$D$10:$D$1393,C50)</f>
        <v>0</v>
      </c>
      <c r="F50" s="229">
        <f>SUMIFS(Пр12!I$10:I$1393,Пр12!$D$10:$D$1393,C50)</f>
        <v>508000</v>
      </c>
    </row>
    <row r="51" spans="1:6" s="199" customFormat="1" ht="48" thickBot="1">
      <c r="A51" s="221"/>
      <c r="B51" s="31" t="str">
        <f>IF(C51&gt;0,VLOOKUP(C51,Программа!A$2:B$5091,2))</f>
        <v>Специальная оценка условий труда работающих в организациях, расположенных на территории Тутаевского муниципального района</v>
      </c>
      <c r="C51" s="543" t="s">
        <v>551</v>
      </c>
      <c r="D51" s="227">
        <f>SUMIFS(Пр12!G$10:G$1393,Пр12!$D$10:$D$1393,C51)</f>
        <v>343500</v>
      </c>
      <c r="E51" s="227">
        <f>SUMIFS(Пр12!H$10:H$1393,Пр12!$D$10:$D$1393,C51)</f>
        <v>-184500</v>
      </c>
      <c r="F51" s="229">
        <f>SUMIFS(Пр12!I$10:I$1393,Пр12!$D$10:$D$1393,C51)</f>
        <v>159000</v>
      </c>
    </row>
    <row r="52" spans="1:6" s="199" customFormat="1" ht="48" thickBot="1">
      <c r="A52" s="221"/>
      <c r="B52" s="31" t="str">
        <f>IF(C52&gt;0,VLOOKUP(C52,Программа!A$2:B$5091,2))</f>
        <v>Превентивные меры, направленные на снижение производственного травматизма и профессиональной заболеваемости</v>
      </c>
      <c r="C52" s="543" t="s">
        <v>1846</v>
      </c>
      <c r="D52" s="227">
        <f>SUMIFS(Пр12!G$10:G$1393,Пр12!$D$10:$D$1393,C52)</f>
        <v>24500</v>
      </c>
      <c r="E52" s="227">
        <f>SUMIFS(Пр12!H$10:H$1393,Пр12!$D$10:$D$1393,C52)</f>
        <v>100500</v>
      </c>
      <c r="F52" s="229">
        <f>SUMIFS(Пр12!I$10:I$1393,Пр12!$D$10:$D$1393,C52)</f>
        <v>125000</v>
      </c>
    </row>
    <row r="53" spans="1:6" ht="32.25" thickBot="1">
      <c r="A53" s="220"/>
      <c r="B53" s="31" t="str">
        <f>IF(C53&gt;0,VLOOKUP(C53,Программа!A$2:B$5091,2))</f>
        <v>Обучение по охране труда работников организаций Тутаевского муниципального района</v>
      </c>
      <c r="C53" s="544" t="s">
        <v>1234</v>
      </c>
      <c r="D53" s="227">
        <f>SUMIFS(Пр12!G$10:G$1393,Пр12!$D$10:$D$1393,C53)</f>
        <v>140000</v>
      </c>
      <c r="E53" s="227">
        <f>SUMIFS(Пр12!H$10:H$1393,Пр12!$D$10:$D$1393,C53)</f>
        <v>84000</v>
      </c>
      <c r="F53" s="229">
        <f>SUMIFS(Пр12!I$10:I$1393,Пр12!$D$10:$D$1393,C53)</f>
        <v>224000</v>
      </c>
    </row>
    <row r="54" spans="1:6" s="198" customFormat="1" ht="16.5" thickBot="1">
      <c r="A54" s="214"/>
      <c r="B54" s="29" t="str">
        <f>IF(C54&gt;0,VLOOKUP(C54,Программа!A$2:B$5091,2))</f>
        <v>Муниципальная программа "Доступная среда "</v>
      </c>
      <c r="C54" s="538" t="s">
        <v>685</v>
      </c>
      <c r="D54" s="539">
        <f>SUMIFS(Пр12!G$10:G$1393,Пр12!$D$10:$D$1393,C54)</f>
        <v>8500</v>
      </c>
      <c r="E54" s="227">
        <f>SUMIFS(Пр12!H$10:H$1393,Пр12!$D$10:$D$1393,C54)</f>
        <v>0</v>
      </c>
      <c r="F54" s="667">
        <f>SUMIFS(Пр12!I$10:I$1393,Пр12!$D$10:$D$1393,C54)</f>
        <v>8500</v>
      </c>
    </row>
    <row r="55" spans="1:6" ht="48" thickBot="1">
      <c r="A55" s="220"/>
      <c r="B55" s="31" t="str">
        <f>IF(C55&gt;0,VLOOKUP(C55,Программа!A$2:B$5091,2))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5" s="544" t="s">
        <v>687</v>
      </c>
      <c r="D55" s="227">
        <f>SUMIFS(Пр12!G$10:G$1393,Пр12!$D$10:$D$1393,C55)</f>
        <v>8500</v>
      </c>
      <c r="E55" s="227">
        <f>SUMIFS(Пр12!H$10:H$1393,Пр12!$D$10:$D$1393,C55)</f>
        <v>0</v>
      </c>
      <c r="F55" s="229">
        <f>SUMIFS(Пр12!I$10:I$1393,Пр12!$D$10:$D$1393,C55)</f>
        <v>8500</v>
      </c>
    </row>
    <row r="56" spans="1:6" s="198" customFormat="1" ht="48" thickBot="1">
      <c r="A56" s="214"/>
      <c r="B56" s="29" t="str">
        <f>IF(C56&gt;0,VLOOKUP(C56,Программа!A$2:B$5091,2))</f>
        <v>Муниципальная программа "Обеспечение качественными коммунальными услугами населения Тутаевского муниципального района"</v>
      </c>
      <c r="C56" s="538" t="s">
        <v>703</v>
      </c>
      <c r="D56" s="539">
        <f>SUMIFS(Пр12!G$10:G$1393,Пр12!$D$10:$D$1393,C56)</f>
        <v>9747970</v>
      </c>
      <c r="E56" s="227">
        <f>SUMIFS(Пр12!H$10:H$1393,Пр12!$D$10:$D$1393,C56)</f>
        <v>0</v>
      </c>
      <c r="F56" s="667">
        <f>SUMIFS(Пр12!I$10:I$1393,Пр12!$D$10:$D$1393,C56)</f>
        <v>9747970</v>
      </c>
    </row>
    <row r="57" spans="1:6" s="199" customFormat="1" ht="63.75" thickBot="1">
      <c r="A57" s="221"/>
      <c r="B57" s="540" t="str">
        <f>IF(C57&gt;0,VLOOKUP(C57,Программа!A$2:B$5091,2))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7" s="543" t="s">
        <v>705</v>
      </c>
      <c r="D57" s="229">
        <f>SUMIFS(Пр12!G$10:G$1393,Пр12!$D$10:$D$1393,C57)</f>
        <v>532620</v>
      </c>
      <c r="E57" s="227">
        <f>SUMIFS(Пр12!H$10:H$1393,Пр12!$D$10:$D$1393,C57)</f>
        <v>0</v>
      </c>
      <c r="F57" s="229">
        <f>SUMIFS(Пр12!I$10:I$1393,Пр12!$D$10:$D$1393,C57)</f>
        <v>532620</v>
      </c>
    </row>
    <row r="58" spans="1:6" ht="63.75" hidden="1" thickBot="1">
      <c r="A58" s="220"/>
      <c r="B58" s="31" t="str">
        <f>IF(C58&gt;0,VLOOKUP(C58,Программа!A$2:B$5091,2))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8" s="544" t="s">
        <v>731</v>
      </c>
      <c r="D58" s="227">
        <f>SUMIFS(Пр12!G$10:G$1393,Пр12!$D$10:$D$1393,C58)</f>
        <v>0</v>
      </c>
      <c r="E58" s="227">
        <f>SUMIFS(Пр12!H$10:H$1393,Пр12!$D$10:$D$1393,C58)</f>
        <v>0</v>
      </c>
      <c r="F58" s="229">
        <f>SUMIFS(Пр12!I$10:I$1393,Пр12!$D$10:$D$1393,C58)</f>
        <v>0</v>
      </c>
    </row>
    <row r="59" spans="1:6" ht="32.25" thickBot="1">
      <c r="A59" s="220"/>
      <c r="B59" s="31" t="str">
        <f>IF(C59&gt;0,VLOOKUP(C59,Программа!A$2:B$5091,2))</f>
        <v>Обеспечение надежного снабжения  твердым топливом  сельского населения, путем частичного возмещения расходов</v>
      </c>
      <c r="C59" s="544" t="s">
        <v>706</v>
      </c>
      <c r="D59" s="227">
        <f>SUMIFS(Пр12!G$10:G$1393,Пр12!$D$10:$D$1393,C59)</f>
        <v>532620</v>
      </c>
      <c r="E59" s="227">
        <f>SUMIFS(Пр12!H$10:H$1393,Пр12!$D$10:$D$1393,C59)</f>
        <v>0</v>
      </c>
      <c r="F59" s="229">
        <f>SUMIFS(Пр12!I$10:I$1393,Пр12!$D$10:$D$1393,C59)</f>
        <v>532620</v>
      </c>
    </row>
    <row r="60" spans="1:6" s="199" customFormat="1" ht="63.75" thickBot="1">
      <c r="A60" s="221"/>
      <c r="B60" s="540" t="str">
        <f>IF(C60&gt;0,VLOOKUP(C60,Программа!A$2:B$5091,2))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0" s="543" t="s">
        <v>734</v>
      </c>
      <c r="D60" s="229">
        <f>SUMIFS(Пр12!G$10:G$1393,Пр12!$D$10:$D$1393,C60)</f>
        <v>7044000</v>
      </c>
      <c r="E60" s="227">
        <f>SUMIFS(Пр12!H$10:H$1393,Пр12!$D$10:$D$1393,C60)</f>
        <v>0</v>
      </c>
      <c r="F60" s="229">
        <f>SUMIFS(Пр12!I$10:I$1393,Пр12!$D$10:$D$1393,C60)</f>
        <v>7044000</v>
      </c>
    </row>
    <row r="61" spans="1:6" ht="32.25" hidden="1" thickBot="1">
      <c r="A61" s="220"/>
      <c r="B61" s="31" t="str">
        <f>IF(C61&gt;0,VLOOKUP(C61,Программа!A$2:B$5091,2))</f>
        <v>Повышение уровня газификации и модернизации объектов социальной сферы</v>
      </c>
      <c r="C61" s="544" t="s">
        <v>735</v>
      </c>
      <c r="D61" s="227">
        <f>SUMIFS(Пр12!G$10:G$1393,Пр12!$D$10:$D$1393,C61)</f>
        <v>0</v>
      </c>
      <c r="E61" s="227">
        <f>SUMIFS(Пр12!H$10:H$1393,Пр12!$D$10:$D$1393,C61)</f>
        <v>0</v>
      </c>
      <c r="F61" s="229">
        <f>SUMIFS(Пр12!I$10:I$1393,Пр12!$D$10:$D$1393,C61)</f>
        <v>0</v>
      </c>
    </row>
    <row r="62" spans="1:6" ht="48" thickBot="1">
      <c r="A62" s="220"/>
      <c r="B62" s="31" t="str">
        <f>IF(C62&gt;0,VLOOKUP(C62,Программа!A$2:B$5091,2))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2" s="544" t="s">
        <v>776</v>
      </c>
      <c r="D62" s="227">
        <f>SUMIFS(Пр12!G$10:G$1393,Пр12!$D$10:$D$1393,C62)</f>
        <v>7044000</v>
      </c>
      <c r="E62" s="227">
        <f>SUMIFS(Пр12!H$10:H$1393,Пр12!$D$10:$D$1393,C62)</f>
        <v>0</v>
      </c>
      <c r="F62" s="229">
        <f>SUMIFS(Пр12!I$10:I$1393,Пр12!$D$10:$D$1393,C62)</f>
        <v>7044000</v>
      </c>
    </row>
    <row r="63" spans="1:6" s="199" customFormat="1" ht="48" thickBot="1">
      <c r="A63" s="221"/>
      <c r="B63" s="540" t="str">
        <f>IF(C63&gt;0,VLOOKUP(C63,Программа!A$2:B$5091,2))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3" s="543" t="s">
        <v>738</v>
      </c>
      <c r="D63" s="229">
        <f>SUMIFS(Пр12!G$10:G$1393,Пр12!$D$10:$D$1393,C63)</f>
        <v>2171350</v>
      </c>
      <c r="E63" s="227">
        <f>SUMIFS(Пр12!H$10:H$1393,Пр12!$D$10:$D$1393,C63)</f>
        <v>0</v>
      </c>
      <c r="F63" s="229">
        <f>SUMIFS(Пр12!I$10:I$1393,Пр12!$D$10:$D$1393,C63)</f>
        <v>2171350</v>
      </c>
    </row>
    <row r="64" spans="1:6" ht="48" thickBot="1">
      <c r="A64" s="220"/>
      <c r="B64" s="31" t="str">
        <f>IF(C64&gt;0,VLOOKUP(C64,Программа!A$2:B$5091,2))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4" s="544" t="s">
        <v>739</v>
      </c>
      <c r="D64" s="227">
        <f>SUMIFS(Пр12!G$10:G$1393,Пр12!$D$10:$D$1393,C64)</f>
        <v>2171350</v>
      </c>
      <c r="E64" s="227">
        <f>SUMIFS(Пр12!H$10:H$1393,Пр12!$D$10:$D$1393,C64)</f>
        <v>0</v>
      </c>
      <c r="F64" s="229">
        <f>SUMIFS(Пр12!I$10:I$1393,Пр12!$D$10:$D$1393,C64)</f>
        <v>2171350</v>
      </c>
    </row>
    <row r="65" spans="1:6" ht="48" hidden="1" thickBot="1">
      <c r="A65" s="220"/>
      <c r="B65" s="31" t="str">
        <f>IF(C65&gt;0,VLOOKUP(C65,Программа!A$2:B$5091,2))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5" s="544" t="s">
        <v>777</v>
      </c>
      <c r="D65" s="227">
        <f>SUMIFS(Пр12!G$10:G$1393,Пр12!$D$10:$D$1393,C65)</f>
        <v>0</v>
      </c>
      <c r="E65" s="227">
        <f>SUMIFS(Пр12!H$10:H$1393,Пр12!$D$10:$D$1393,C65)</f>
        <v>0</v>
      </c>
      <c r="F65" s="229">
        <f>SUMIFS(Пр12!I$10:I$1393,Пр12!$D$10:$D$1393,C65)</f>
        <v>0</v>
      </c>
    </row>
    <row r="66" spans="1:6" s="199" customFormat="1" ht="48" hidden="1" thickBot="1">
      <c r="A66" s="221"/>
      <c r="B66" s="540" t="str">
        <f>IF(C66&gt;0,VLOOKUP(C66,Программа!A$2:B$5091,2))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6" s="543" t="s">
        <v>741</v>
      </c>
      <c r="D66" s="229">
        <f>SUMIFS(Пр12!G$10:G$1393,Пр12!$D$10:$D$1393,C66)</f>
        <v>0</v>
      </c>
      <c r="E66" s="227">
        <f>SUMIFS(Пр12!H$10:H$1393,Пр12!$D$10:$D$1393,C66)</f>
        <v>0</v>
      </c>
      <c r="F66" s="229">
        <f>SUMIFS(Пр12!I$10:I$1393,Пр12!$D$10:$D$1393,C66)</f>
        <v>0</v>
      </c>
    </row>
    <row r="67" spans="1:6" ht="32.25" hidden="1" thickBot="1">
      <c r="A67" s="220"/>
      <c r="B67" s="31" t="str">
        <f>IF(C67&gt;0,VLOOKUP(C67,Программа!A$2:B$5091,2))</f>
        <v>Проведение комплекса работ по ремонту, замене и реконструкции объектов теплоснабжения</v>
      </c>
      <c r="C67" s="544" t="s">
        <v>743</v>
      </c>
      <c r="D67" s="227">
        <f>SUMIFS(Пр12!G$10:G$1393,Пр12!$D$10:$D$1393,C67)</f>
        <v>0</v>
      </c>
      <c r="E67" s="227">
        <f>SUMIFS(Пр12!H$10:H$1393,Пр12!$D$10:$D$1393,C67)</f>
        <v>0</v>
      </c>
      <c r="F67" s="229">
        <f>SUMIFS(Пр12!I$10:I$1393,Пр12!$D$10:$D$1393,C67)</f>
        <v>0</v>
      </c>
    </row>
    <row r="68" spans="1:6" ht="48" hidden="1" thickBot="1">
      <c r="A68" s="220"/>
      <c r="B68" s="31" t="str">
        <f>IF(C68&gt;0,VLOOKUP(C68,Программа!A$2:B$5091,2))</f>
        <v>Проведение комплекса работ по ремонту, замене и реконструкции объектов водоснабжения, водоотведения и очистки сточных вод</v>
      </c>
      <c r="C68" s="544" t="s">
        <v>746</v>
      </c>
      <c r="D68" s="227">
        <f>SUMIFS(Пр12!G$10:G$1393,Пр12!$D$10:$D$1393,C68)</f>
        <v>0</v>
      </c>
      <c r="E68" s="227">
        <f>SUMIFS(Пр12!H$10:H$1393,Пр12!$D$10:$D$1393,C68)</f>
        <v>0</v>
      </c>
      <c r="F68" s="229">
        <f>SUMIFS(Пр12!I$10:I$1393,Пр12!$D$10:$D$1393,C68)</f>
        <v>0</v>
      </c>
    </row>
    <row r="69" spans="1:6" ht="32.25" hidden="1" thickBot="1">
      <c r="A69" s="220"/>
      <c r="B69" s="31" t="str">
        <f>IF(C69&gt;0,VLOOKUP(C69,Программа!A$2:B$5091,2))</f>
        <v>Проведение комплекса работ по ремонту, замене и реконструкции объектов газоснабжения</v>
      </c>
      <c r="C69" s="544" t="s">
        <v>748</v>
      </c>
      <c r="D69" s="227">
        <f>SUMIFS(Пр12!G$10:G$1393,Пр12!$D$10:$D$1393,C69)</f>
        <v>0</v>
      </c>
      <c r="E69" s="227">
        <f>SUMIFS(Пр12!H$10:H$1393,Пр12!$D$10:$D$1393,C69)</f>
        <v>0</v>
      </c>
      <c r="F69" s="229">
        <f>SUMIFS(Пр12!I$10:I$1393,Пр12!$D$10:$D$1393,C69)</f>
        <v>0</v>
      </c>
    </row>
    <row r="70" spans="1:6" s="198" customFormat="1" ht="48" hidden="1" thickBot="1">
      <c r="A70" s="214"/>
      <c r="B70" s="29" t="str">
        <f>IF(C70&gt;0,VLOOKUP(C70,Программа!A$2:B$5091,2))</f>
        <v>Муниципальная  программа "Об энергосбережении и повышении энергетической эффективности Тутаевского муниципального района"</v>
      </c>
      <c r="C70" s="538" t="s">
        <v>708</v>
      </c>
      <c r="D70" s="539">
        <f>SUMIFS(Пр12!G$10:G$1393,Пр12!$D$10:$D$1393,C70)</f>
        <v>0</v>
      </c>
      <c r="E70" s="227">
        <f>SUMIFS(Пр12!H$10:H$1393,Пр12!$D$10:$D$1393,C70)</f>
        <v>0</v>
      </c>
      <c r="F70" s="667">
        <f>SUMIFS(Пр12!I$10:I$1393,Пр12!$D$10:$D$1393,C70)</f>
        <v>0</v>
      </c>
    </row>
    <row r="71" spans="1:6" ht="63.75" hidden="1" thickBot="1">
      <c r="A71" s="220"/>
      <c r="B71" s="31" t="str">
        <f>IF(C71&gt;0,VLOOKUP(C71,Программа!A$2:B$5091,2))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1" s="544" t="s">
        <v>710</v>
      </c>
      <c r="D71" s="227">
        <f>SUMIFS(Пр12!G$10:G$1393,Пр12!$D$10:$D$1393,C71)</f>
        <v>0</v>
      </c>
      <c r="E71" s="227">
        <f>SUMIFS(Пр12!H$10:H$1393,Пр12!$D$10:$D$1393,C71)</f>
        <v>0</v>
      </c>
      <c r="F71" s="229">
        <f>SUMIFS(Пр12!I$10:I$1393,Пр12!$D$10:$D$1393,C71)</f>
        <v>0</v>
      </c>
    </row>
    <row r="72" spans="1:6" s="198" customFormat="1" ht="48" thickBot="1">
      <c r="A72" s="214"/>
      <c r="B72" s="29" t="str">
        <f>IF(C72&gt;0,VLOOKUP(C72,Программа!A$2:B$5091,2))</f>
        <v>Муниципальная программа "Развитие дорожного хозяйства и транспорта в Тутаевском муниципальном районе"</v>
      </c>
      <c r="C72" s="538" t="s">
        <v>720</v>
      </c>
      <c r="D72" s="539">
        <f>SUMIFS(Пр12!G$10:G$1393,Пр12!$D$10:$D$1393,C72)</f>
        <v>116595560</v>
      </c>
      <c r="E72" s="227">
        <f>SUMIFS(Пр12!H$10:H$1393,Пр12!$D$10:$D$1393,C72)</f>
        <v>6802364</v>
      </c>
      <c r="F72" s="667">
        <f>SUMIFS(Пр12!I$10:I$1393,Пр12!$D$10:$D$1393,C72)</f>
        <v>123397924</v>
      </c>
    </row>
    <row r="73" spans="1:6" s="199" customFormat="1" ht="48" thickBot="1">
      <c r="A73" s="221"/>
      <c r="B73" s="540" t="str">
        <f>IF(C73&gt;0,VLOOKUP(C73,Программа!A$2:B$5091,2))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3" s="543" t="s">
        <v>722</v>
      </c>
      <c r="D73" s="229">
        <f>SUMIFS(Пр12!G$10:G$1393,Пр12!$D$10:$D$1393,C73)</f>
        <v>3465000</v>
      </c>
      <c r="E73" s="227">
        <f>SUMIFS(Пр12!H$10:H$1393,Пр12!$D$10:$D$1393,C73)</f>
        <v>313000</v>
      </c>
      <c r="F73" s="229">
        <f>SUMIFS(Пр12!I$10:I$1393,Пр12!$D$10:$D$1393,C73)</f>
        <v>3778000</v>
      </c>
    </row>
    <row r="74" spans="1:6" ht="32.25" thickBot="1">
      <c r="A74" s="220"/>
      <c r="B74" s="31" t="str">
        <f>IF(C74&gt;0,VLOOKUP(C74,Программа!A$2:B$5091,2))</f>
        <v>Повышение безопасности дорожного движения на автомобильных дорогах</v>
      </c>
      <c r="C74" s="544" t="s">
        <v>724</v>
      </c>
      <c r="D74" s="227">
        <f>SUMIFS(Пр12!G$10:G$1393,Пр12!$D$10:$D$1393,C74)</f>
        <v>3465000</v>
      </c>
      <c r="E74" s="227">
        <f>SUMIFS(Пр12!H$10:H$1393,Пр12!$D$10:$D$1393,C74)</f>
        <v>313000</v>
      </c>
      <c r="F74" s="229">
        <f>SUMIFS(Пр12!I$10:I$1393,Пр12!$D$10:$D$1393,C74)</f>
        <v>3778000</v>
      </c>
    </row>
    <row r="75" spans="1:6" s="199" customFormat="1" ht="48" thickBot="1">
      <c r="A75" s="221"/>
      <c r="B75" s="540" t="str">
        <f>IF(C75&gt;0,VLOOKUP(C75,Программа!A$2:B$5091,2))</f>
        <v>Муниципальная целевая программа «Сохранность автомобильных дорог общего пользования Тутаевского муниципального района»</v>
      </c>
      <c r="C75" s="543" t="s">
        <v>727</v>
      </c>
      <c r="D75" s="229">
        <f>SUMIFS(Пр12!G$10:G$1393,Пр12!$D$10:$D$1393,C75)</f>
        <v>113130560</v>
      </c>
      <c r="E75" s="227">
        <f>SUMIFS(Пр12!H$10:H$1393,Пр12!$D$10:$D$1393,C75)</f>
        <v>6489364</v>
      </c>
      <c r="F75" s="229">
        <f>SUMIFS(Пр12!I$10:I$1393,Пр12!$D$10:$D$1393,C75)</f>
        <v>119619924</v>
      </c>
    </row>
    <row r="76" spans="1:6" ht="32.25" thickBot="1">
      <c r="A76" s="220"/>
      <c r="B76" s="31" t="str">
        <f>IF(C76&gt;0,VLOOKUP(C76,Программа!A$2:B$5091,2))</f>
        <v>Приведение  в нормативное состояние автомобильных дорог общего пользования</v>
      </c>
      <c r="C76" s="544" t="s">
        <v>729</v>
      </c>
      <c r="D76" s="227">
        <f>SUMIFS(Пр12!G$10:G$1393,Пр12!$D$10:$D$1393,C76)</f>
        <v>113130560</v>
      </c>
      <c r="E76" s="227">
        <f>SUMIFS(Пр12!H$10:H$1393,Пр12!$D$10:$D$1393,C76)</f>
        <v>6489364</v>
      </c>
      <c r="F76" s="229">
        <f>SUMIFS(Пр12!I$10:I$1393,Пр12!$D$10:$D$1393,C76)</f>
        <v>119619924</v>
      </c>
    </row>
    <row r="77" spans="1:6" s="198" customFormat="1" ht="48" hidden="1" thickBot="1">
      <c r="A77" s="214"/>
      <c r="B77" s="29" t="str">
        <f>IF(C77&gt;0,VLOOKUP(C77,Программа!A$2:B$5091,2))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7" s="538" t="s">
        <v>779</v>
      </c>
      <c r="D77" s="539">
        <f>SUMIFS(Пр12!G$10:G$1393,Пр12!$D$10:$D$1393,C77)</f>
        <v>0</v>
      </c>
      <c r="E77" s="539">
        <f>SUMIFS(Пр12!H$10:H$1393,Пр12!$D$10:$D$1393,C77)</f>
        <v>0</v>
      </c>
      <c r="F77" s="667">
        <f>SUMIFS(Пр12!I$10:I$1393,Пр12!$D$10:$D$1393,C77)</f>
        <v>0</v>
      </c>
    </row>
    <row r="78" spans="1:6" s="199" customFormat="1" ht="63.75" hidden="1" thickBot="1">
      <c r="A78" s="221"/>
      <c r="B78" s="540" t="str">
        <f>IF(C78&gt;0,VLOOKUP(C78,Программа!A$2:B$5091,2))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8" s="543" t="s">
        <v>781</v>
      </c>
      <c r="D78" s="229">
        <f>SUMIFS(Пр12!G$10:G$1393,Пр12!$D$10:$D$1393,C78)</f>
        <v>0</v>
      </c>
      <c r="E78" s="227">
        <f>SUMIFS(Пр12!H$10:H$1393,Пр12!$D$10:$D$1393,C78)</f>
        <v>0</v>
      </c>
      <c r="F78" s="229">
        <f>SUMIFS(Пр12!I$10:I$1393,Пр12!$D$10:$D$1393,C78)</f>
        <v>0</v>
      </c>
    </row>
    <row r="79" spans="1:6" ht="79.5" hidden="1" thickBot="1">
      <c r="A79" s="220"/>
      <c r="B79" s="31" t="str">
        <f>IF(C79&gt;0,VLOOKUP(C79,Программа!A$2:B$5091,2))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9" s="544" t="s">
        <v>783</v>
      </c>
      <c r="D79" s="227">
        <f>SUMIFS(Пр12!G$10:G$1393,Пр12!$D$10:$D$1393,C79)</f>
        <v>0</v>
      </c>
      <c r="E79" s="227">
        <f>SUMIFS(Пр12!H$10:H$1393,Пр12!$D$10:$D$1393,C79)</f>
        <v>0</v>
      </c>
      <c r="F79" s="229">
        <f>SUMIFS(Пр12!I$10:I$1393,Пр12!$D$10:$D$1393,C79)</f>
        <v>0</v>
      </c>
    </row>
    <row r="80" spans="1:6" s="199" customFormat="1" ht="48" hidden="1" thickBot="1">
      <c r="A80" s="221"/>
      <c r="B80" s="540" t="str">
        <f>IF(C80&gt;0,VLOOKUP(C80,Программа!A$2:B$5091,2))</f>
        <v>Муниципальная целевая программа "Переселение граждан из аварийного жилищного фонда в Тутаевском муниципальном районе"</v>
      </c>
      <c r="C80" s="543" t="s">
        <v>785</v>
      </c>
      <c r="D80" s="229">
        <f>SUMIFS(Пр12!G$10:G$1393,Пр12!$D$10:$D$1393,C80)</f>
        <v>0</v>
      </c>
      <c r="E80" s="227">
        <f>SUMIFS(Пр12!H$10:H$1393,Пр12!$D$10:$D$1393,C80)</f>
        <v>0</v>
      </c>
      <c r="F80" s="229">
        <f>SUMIFS(Пр12!I$10:I$1393,Пр12!$D$10:$D$1393,C80)</f>
        <v>0</v>
      </c>
    </row>
    <row r="81" spans="1:6" ht="48" hidden="1" thickBot="1">
      <c r="A81" s="220"/>
      <c r="B81" s="31" t="str">
        <f>IF(C81&gt;0,VLOOKUP(C81,Программа!A$2:B$5091,2))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1" s="544" t="s">
        <v>787</v>
      </c>
      <c r="D81" s="227">
        <f>SUMIFS(Пр12!G$10:G$1393,Пр12!$D$10:$D$1393,C81)</f>
        <v>0</v>
      </c>
      <c r="E81" s="227">
        <f>SUMIFS(Пр12!H$10:H$1393,Пр12!$D$10:$D$1393,C81)</f>
        <v>0</v>
      </c>
      <c r="F81" s="229">
        <f>SUMIFS(Пр12!I$10:I$1393,Пр12!$D$10:$D$1393,C81)</f>
        <v>0</v>
      </c>
    </row>
    <row r="82" spans="1:6" s="199" customFormat="1" ht="63.75" hidden="1" thickBot="1">
      <c r="A82" s="221"/>
      <c r="B82" s="540" t="str">
        <f>IF(C82&gt;0,VLOOKUP(C82,Программа!A$2:B$5091,2))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2" s="543" t="s">
        <v>789</v>
      </c>
      <c r="D82" s="229">
        <f>SUMIFS(Пр12!G$10:G$1393,Пр12!$D$10:$D$1393,C82)</f>
        <v>0</v>
      </c>
      <c r="E82" s="227">
        <f>SUMIFS(Пр12!H$10:H$1393,Пр12!$D$10:$D$1393,C82)</f>
        <v>0</v>
      </c>
      <c r="F82" s="229">
        <f>SUMIFS(Пр12!I$10:I$1393,Пр12!$D$10:$D$1393,C82)</f>
        <v>0</v>
      </c>
    </row>
    <row r="83" spans="1:6" ht="48" hidden="1" thickBot="1">
      <c r="A83" s="220"/>
      <c r="B83" s="31" t="str">
        <f>IF(C83&gt;0,VLOOKUP(C83,Программа!A$2:B$5091,2))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3" s="544" t="s">
        <v>791</v>
      </c>
      <c r="D83" s="227">
        <f>SUMIFS(Пр12!G$10:G$1393,Пр12!$D$10:$D$1393,C83)</f>
        <v>0</v>
      </c>
      <c r="E83" s="227">
        <f>SUMIFS(Пр12!H$10:H$1393,Пр12!$D$10:$D$1393,C83)</f>
        <v>0</v>
      </c>
      <c r="F83" s="229">
        <f>SUMIFS(Пр12!I$10:I$1393,Пр12!$D$10:$D$1393,C83)</f>
        <v>0</v>
      </c>
    </row>
    <row r="84" spans="1:6" s="199" customFormat="1" ht="48" hidden="1" thickBot="1">
      <c r="A84" s="221"/>
      <c r="B84" s="540" t="str">
        <f>IF(C84&gt;0,VLOOKUP(C84,Программа!A$2:B$5091,2))</f>
        <v>Муниципальная целевая программа "Предоставление молодым семьям социальных выплат на приобретение(строительство) жилья"</v>
      </c>
      <c r="C84" s="543" t="s">
        <v>793</v>
      </c>
      <c r="D84" s="229">
        <f>SUMIFS(Пр12!G$10:G$1393,Пр12!$D$10:$D$1393,C84)</f>
        <v>0</v>
      </c>
      <c r="E84" s="227">
        <f>SUMIFS(Пр12!H$10:H$1393,Пр12!$D$10:$D$1393,C84)</f>
        <v>0</v>
      </c>
      <c r="F84" s="229">
        <f>SUMIFS(Пр12!I$10:I$1393,Пр12!$D$10:$D$1393,C84)</f>
        <v>0</v>
      </c>
    </row>
    <row r="85" spans="1:6" ht="32.25" hidden="1" thickBot="1">
      <c r="A85" s="220"/>
      <c r="B85" s="31" t="str">
        <f>IF(C85&gt;0,VLOOKUP(C85,Программа!A$2:B$5091,2))</f>
        <v>Создание условий для поддержки  молодых семей в приобретении (строительстве) жилья</v>
      </c>
      <c r="C85" s="544" t="s">
        <v>795</v>
      </c>
      <c r="D85" s="227">
        <f>SUMIFS(Пр12!G$10:G$1393,Пр12!$D$10:$D$1393,C85)</f>
        <v>0</v>
      </c>
      <c r="E85" s="227">
        <f>SUMIFS(Пр12!H$10:H$1393,Пр12!$D$10:$D$1393,C85)</f>
        <v>0</v>
      </c>
      <c r="F85" s="229">
        <f>SUMIFS(Пр12!I$10:I$1393,Пр12!$D$10:$D$1393,C85)</f>
        <v>0</v>
      </c>
    </row>
    <row r="86" spans="1:6" s="198" customFormat="1" ht="63.75" thickBot="1">
      <c r="A86" s="214"/>
      <c r="B86" s="29" t="str">
        <f>IF(C86&gt;0,VLOOKUP(C86,Программа!A$2:B$5091,2))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6" s="538" t="s">
        <v>509</v>
      </c>
      <c r="D86" s="539">
        <f>SUMIFS(Пр12!G$10:G$1393,Пр12!$D$10:$D$1393,C86)</f>
        <v>1620868</v>
      </c>
      <c r="E86" s="539">
        <f>SUMIFS(Пр12!H$10:H$1393,Пр12!$D$10:$D$1393,C86)</f>
        <v>-30000</v>
      </c>
      <c r="F86" s="667">
        <f>SUMIFS(Пр12!I$10:I$1393,Пр12!$D$10:$D$1393,C86)</f>
        <v>1590868</v>
      </c>
    </row>
    <row r="87" spans="1:6" s="199" customFormat="1" ht="48" hidden="1" thickBot="1">
      <c r="A87" s="221"/>
      <c r="B87" s="540" t="str">
        <f>IF(C87&gt;0,VLOOKUP(C87,Программа!A$2:B$5091,2))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7" s="543" t="s">
        <v>519</v>
      </c>
      <c r="D87" s="229">
        <f>SUMIFS(Пр12!G$10:G$1393,Пр12!$D$10:$D$1393,C87)</f>
        <v>0</v>
      </c>
      <c r="E87" s="227">
        <f>SUMIFS(Пр12!H$10:H$1393,Пр12!$D$10:$D$1393,C87)</f>
        <v>0</v>
      </c>
      <c r="F87" s="229">
        <f>SUMIFS(Пр12!I$10:I$1393,Пр12!$D$10:$D$1393,C87)</f>
        <v>0</v>
      </c>
    </row>
    <row r="88" spans="1:6" ht="63.75" hidden="1" thickBot="1">
      <c r="A88" s="220"/>
      <c r="B88" s="31" t="str">
        <f>IF(C88&gt;0,VLOOKUP(C88,Программа!A$2:B$5091,2))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8" s="544" t="s">
        <v>521</v>
      </c>
      <c r="D88" s="227">
        <f>SUMIFS(Пр12!G$10:G$1393,Пр12!$D$10:$D$1393,C88)</f>
        <v>0</v>
      </c>
      <c r="E88" s="227">
        <f>SUMIFS(Пр12!H$10:H$1393,Пр12!$D$10:$D$1393,C88)</f>
        <v>0</v>
      </c>
      <c r="F88" s="229">
        <f>SUMIFS(Пр12!I$10:I$1393,Пр12!$D$10:$D$1393,C88)</f>
        <v>0</v>
      </c>
    </row>
    <row r="89" spans="1:6" ht="32.25" hidden="1" thickBot="1">
      <c r="A89" s="220"/>
      <c r="B89" s="31" t="str">
        <f>IF(C89&gt;0,VLOOKUP(C89,Программа!A$2:B$5091,2))</f>
        <v>Развитие системы финансовой поддержки субъектов малого и среднего предпринимательства</v>
      </c>
      <c r="C89" s="544" t="s">
        <v>523</v>
      </c>
      <c r="D89" s="227">
        <f>SUMIFS(Пр12!G$10:G$1393,Пр12!$D$10:$D$1393,C89)</f>
        <v>0</v>
      </c>
      <c r="E89" s="227">
        <f>SUMIFS(Пр12!H$10:H$1393,Пр12!$D$10:$D$1393,C89)</f>
        <v>0</v>
      </c>
      <c r="F89" s="229">
        <f>SUMIFS(Пр12!I$10:I$1393,Пр12!$D$10:$D$1393,C89)</f>
        <v>0</v>
      </c>
    </row>
    <row r="90" spans="1:6" s="199" customFormat="1" ht="48" thickBot="1">
      <c r="A90" s="221"/>
      <c r="B90" s="540" t="str">
        <f>IF(C90&gt;0,VLOOKUP(C90,Программа!A$2:B$5091,2))</f>
        <v>Муниципальная целевая программа "Развитие потребительского рынка Тутаевского муниципального района "</v>
      </c>
      <c r="C90" s="543" t="s">
        <v>525</v>
      </c>
      <c r="D90" s="229">
        <f>SUMIFS(Пр12!G$10:G$1393,Пр12!$D$10:$D$1393,C90)</f>
        <v>200278</v>
      </c>
      <c r="E90" s="227">
        <f>SUMIFS(Пр12!H$10:H$1393,Пр12!$D$10:$D$1393,C90)</f>
        <v>-30000</v>
      </c>
      <c r="F90" s="229">
        <f>SUMIFS(Пр12!I$10:I$1393,Пр12!$D$10:$D$1393,C90)</f>
        <v>170278</v>
      </c>
    </row>
    <row r="91" spans="1:6" ht="32.25" thickBot="1">
      <c r="A91" s="220"/>
      <c r="B91" s="31" t="str">
        <f>IF(C91&gt;0,VLOOKUP(C91,Программа!A$2:B$5091,2))</f>
        <v>Обеспечение доступности товаров для сельского населения путем оказания государственной поддержки</v>
      </c>
      <c r="C91" s="544" t="s">
        <v>527</v>
      </c>
      <c r="D91" s="227">
        <f>SUMIFS(Пр12!G$10:G$1393,Пр12!$D$10:$D$1393,C91)</f>
        <v>200278</v>
      </c>
      <c r="E91" s="227">
        <f>SUMIFS(Пр12!H$10:H$1393,Пр12!$D$10:$D$1393,C91)</f>
        <v>-30000</v>
      </c>
      <c r="F91" s="229">
        <f>SUMIFS(Пр12!I$10:I$1393,Пр12!$D$10:$D$1393,C91)</f>
        <v>170278</v>
      </c>
    </row>
    <row r="92" spans="1:6" s="199" customFormat="1" ht="48" thickBot="1">
      <c r="A92" s="221"/>
      <c r="B92" s="540" t="str">
        <f>IF(C92&gt;0,VLOOKUP(C92,Программа!A$2:B$5091,2))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92" s="543" t="s">
        <v>510</v>
      </c>
      <c r="D92" s="229">
        <f>SUMIFS(Пр12!G$10:G$1393,Пр12!$D$10:$D$1393,C92)</f>
        <v>1420590</v>
      </c>
      <c r="E92" s="227">
        <f>SUMIFS(Пр12!H$10:H$1393,Пр12!$D$10:$D$1393,C92)</f>
        <v>0</v>
      </c>
      <c r="F92" s="229">
        <f>SUMIFS(Пр12!I$10:I$1393,Пр12!$D$10:$D$1393,C92)</f>
        <v>1420590</v>
      </c>
    </row>
    <row r="93" spans="1:6" ht="48" thickBot="1">
      <c r="A93" s="220"/>
      <c r="B93" s="31" t="str">
        <f>IF(C93&gt;0,VLOOKUP(C93,Программа!A$2:B$5091,2))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3" s="544" t="s">
        <v>512</v>
      </c>
      <c r="D93" s="227">
        <f>SUMIFS(Пр12!G$10:G$1393,Пр12!$D$10:$D$1393,C93)</f>
        <v>1154590</v>
      </c>
      <c r="E93" s="227">
        <f>SUMIFS(Пр12!H$10:H$1393,Пр12!$D$10:$D$1393,C93)</f>
        <v>0</v>
      </c>
      <c r="F93" s="229">
        <f>SUMIFS(Пр12!I$10:I$1393,Пр12!$D$10:$D$1393,C93)</f>
        <v>1154590</v>
      </c>
    </row>
    <row r="94" spans="1:6" ht="16.5" thickBot="1">
      <c r="A94" s="220"/>
      <c r="B94" s="31" t="str">
        <f>IF(C94&gt;0,VLOOKUP(C94,Программа!A$2:B$5091,2))</f>
        <v xml:space="preserve">Кадровое обеспечение агропромышленного комплекса </v>
      </c>
      <c r="C94" s="544" t="s">
        <v>514</v>
      </c>
      <c r="D94" s="227">
        <f>SUMIFS(Пр12!G$10:G$1393,Пр12!$D$10:$D$1393,C94)</f>
        <v>36000</v>
      </c>
      <c r="E94" s="227">
        <f>SUMIFS(Пр12!H$10:H$1393,Пр12!$D$10:$D$1393,C94)</f>
        <v>0</v>
      </c>
      <c r="F94" s="229">
        <f>SUMIFS(Пр12!I$10:I$1393,Пр12!$D$10:$D$1393,C94)</f>
        <v>36000</v>
      </c>
    </row>
    <row r="95" spans="1:6" ht="63.75" thickBot="1">
      <c r="A95" s="220"/>
      <c r="B95" s="31" t="str">
        <f>IF(C95&gt;0,VLOOKUP(C95,Программа!A$2:B$5091,2))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5" s="544" t="s">
        <v>517</v>
      </c>
      <c r="D95" s="227">
        <f>SUMIFS(Пр12!G$10:G$1393,Пр12!$D$10:$D$1393,C95)</f>
        <v>230000</v>
      </c>
      <c r="E95" s="227">
        <f>SUMIFS(Пр12!H$10:H$1393,Пр12!$D$10:$D$1393,C95)</f>
        <v>0</v>
      </c>
      <c r="F95" s="229">
        <f>SUMIFS(Пр12!I$10:I$1393,Пр12!$D$10:$D$1393,C95)</f>
        <v>230000</v>
      </c>
    </row>
    <row r="96" spans="1:6" s="198" customFormat="1" ht="32.25" hidden="1" thickBot="1">
      <c r="A96" s="214"/>
      <c r="B96" s="29" t="str">
        <f>IF(C96&gt;0,VLOOKUP(C96,Программа!A$2:B$5091,2))</f>
        <v>Муниципальная программа "Повышение эффективности управления муниципальными финансами"</v>
      </c>
      <c r="C96" s="538" t="s">
        <v>488</v>
      </c>
      <c r="D96" s="539">
        <f>SUMIFS(Пр12!G$10:G$1393,Пр12!$D$10:$D$1393,C96)</f>
        <v>0</v>
      </c>
      <c r="E96" s="539">
        <f>SUMIFS(Пр12!H$10:H$1393,Пр12!$D$10:$D$1393,C96)</f>
        <v>0</v>
      </c>
      <c r="F96" s="667">
        <f>SUMIFS(Пр12!I$10:I$1393,Пр12!$D$10:$D$1393,C96)</f>
        <v>0</v>
      </c>
    </row>
    <row r="97" spans="1:6" ht="16.5" hidden="1" thickBot="1">
      <c r="A97" s="220"/>
      <c r="B97" s="31" t="str">
        <f>IF(C97&gt;0,VLOOKUP(C97,Программа!A$2:B$5091,2))</f>
        <v>Совершенствование межбюджетных отношений</v>
      </c>
      <c r="C97" s="544" t="s">
        <v>661</v>
      </c>
      <c r="D97" s="227">
        <f>SUMIFS(Пр12!G$10:G$1393,Пр12!$D$10:$D$1393,C97)</f>
        <v>0</v>
      </c>
      <c r="E97" s="227">
        <f>SUMIFS(Пр12!H$10:H$1393,Пр12!$D$10:$D$1393,C97)</f>
        <v>0</v>
      </c>
      <c r="F97" s="229">
        <f>SUMIFS(Пр12!I$10:I$1393,Пр12!$D$10:$D$1393,C97)</f>
        <v>0</v>
      </c>
    </row>
    <row r="98" spans="1:6" ht="32.25" hidden="1" thickBot="1">
      <c r="A98" s="220"/>
      <c r="B98" s="31" t="str">
        <f>IF(C98&gt;0,VLOOKUP(C98,Программа!A$2:B$5091,2))</f>
        <v xml:space="preserve">Повышение эффективности управления муниципальным долгом </v>
      </c>
      <c r="C98" s="544" t="s">
        <v>657</v>
      </c>
      <c r="D98" s="227">
        <f>SUMIFS(Пр12!G$10:G$1393,Пр12!$D$10:$D$1393,C98)</f>
        <v>0</v>
      </c>
      <c r="E98" s="227">
        <f>SUMIFS(Пр12!H$10:H$1393,Пр12!$D$10:$D$1393,C98)</f>
        <v>0</v>
      </c>
      <c r="F98" s="229">
        <f>SUMIFS(Пр12!I$10:I$1393,Пр12!$D$10:$D$1393,C98)</f>
        <v>0</v>
      </c>
    </row>
    <row r="99" spans="1:6" s="199" customFormat="1" ht="32.25" hidden="1" thickBot="1">
      <c r="A99" s="221"/>
      <c r="B99" s="540" t="str">
        <f>IF(C99&gt;0,VLOOKUP(C99,Программа!A$2:B$5091,2))</f>
        <v>Ведомственная целевая программа департамента финансов администрации Тутаевского муниципального района</v>
      </c>
      <c r="C99" s="543" t="s">
        <v>649</v>
      </c>
      <c r="D99" s="229">
        <f>SUMIFS(Пр12!G$10:G$1393,Пр12!$D$10:$D$1393,C99)</f>
        <v>0</v>
      </c>
      <c r="E99" s="227">
        <f>SUMIFS(Пр12!H$10:H$1393,Пр12!$D$10:$D$1393,C99)</f>
        <v>0</v>
      </c>
      <c r="F99" s="229">
        <f>SUMIFS(Пр12!I$10:I$1393,Пр12!$D$10:$D$1393,C99)</f>
        <v>0</v>
      </c>
    </row>
    <row r="100" spans="1:6" ht="16.5" hidden="1" thickBot="1">
      <c r="A100" s="220"/>
      <c r="B100" s="31" t="str">
        <f>IF(C100&gt;0,VLOOKUP(C100,Программа!A$2:B$5091,2))</f>
        <v>Обеспечение деятельности финансового органа</v>
      </c>
      <c r="C100" s="544" t="s">
        <v>651</v>
      </c>
      <c r="D100" s="227">
        <f>SUMIFS(Пр12!G$10:G$1393,Пр12!$D$10:$D$1393,C100)</f>
        <v>0</v>
      </c>
      <c r="E100" s="227">
        <f>SUMIFS(Пр12!H$10:H$1393,Пр12!$D$10:$D$1393,C100)</f>
        <v>0</v>
      </c>
      <c r="F100" s="229">
        <f>SUMIFS(Пр12!I$10:I$1393,Пр12!$D$10:$D$1393,C100)</f>
        <v>0</v>
      </c>
    </row>
    <row r="101" spans="1:6" s="198" customFormat="1" ht="63.75" thickBot="1">
      <c r="A101" s="214"/>
      <c r="B101" s="29" t="str">
        <f>IF(C101&gt;0,VLOOKUP(C101,Программа!A$2:B$5091,2))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1" s="538" t="s">
        <v>492</v>
      </c>
      <c r="D101" s="539">
        <f>SUMIFS(Пр12!G$10:G$1393,Пр12!$D$10:$D$1393,C101)</f>
        <v>250000</v>
      </c>
      <c r="E101" s="227">
        <f>SUMIFS(Пр12!H$10:H$1393,Пр12!$D$10:$D$1393,C101)</f>
        <v>-24592</v>
      </c>
      <c r="F101" s="667">
        <f>SUMIFS(Пр12!I$10:I$1393,Пр12!$D$10:$D$1393,C101)</f>
        <v>225408</v>
      </c>
    </row>
    <row r="102" spans="1:6" ht="48" thickBot="1">
      <c r="A102" s="220"/>
      <c r="B102" s="31" t="str">
        <f>IF(C102&gt;0,VLOOKUP(C102,Программа!A$2:B$5091,2))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2" s="544" t="s">
        <v>493</v>
      </c>
      <c r="D102" s="227">
        <f>SUMIFS(Пр12!G$10:G$1393,Пр12!$D$10:$D$1393,C102)</f>
        <v>250000</v>
      </c>
      <c r="E102" s="227">
        <f>SUMIFS(Пр12!H$10:H$1393,Пр12!$D$10:$D$1393,C102)</f>
        <v>-24592</v>
      </c>
      <c r="F102" s="229">
        <f>SUMIFS(Пр12!I$10:I$1393,Пр12!$D$10:$D$1393,C102)</f>
        <v>225408</v>
      </c>
    </row>
    <row r="103" spans="1:6" s="198" customFormat="1" ht="48" thickBot="1">
      <c r="A103" s="214"/>
      <c r="B103" s="29" t="str">
        <f>IF(C103&gt;0,VLOOKUP(C103,Программа!A$2:B$5091,2))</f>
        <v>Муниципальная программа "Информатизация управленческой деятельности Администрации Тутаевского муниципального района"</v>
      </c>
      <c r="C103" s="538" t="s">
        <v>496</v>
      </c>
      <c r="D103" s="539">
        <f>SUMIFS(Пр12!G$10:G$1393,Пр12!$D$10:$D$1393,C103)</f>
        <v>2662620</v>
      </c>
      <c r="E103" s="227">
        <f>SUMIFS(Пр12!H$10:H$1393,Пр12!$D$10:$D$1393,C103)</f>
        <v>0</v>
      </c>
      <c r="F103" s="667">
        <f>SUMIFS(Пр12!I$10:I$1393,Пр12!$D$10:$D$1393,C103)</f>
        <v>2662620</v>
      </c>
    </row>
    <row r="104" spans="1:6" ht="16.5" thickBot="1">
      <c r="A104" s="220"/>
      <c r="B104" s="31" t="str">
        <f>IF(C104&gt;0,VLOOKUP(C104,Программа!A$2:B$5091,2))</f>
        <v>Бесперебойное функционирование информационных систем</v>
      </c>
      <c r="C104" s="544" t="s">
        <v>532</v>
      </c>
      <c r="D104" s="227">
        <f>SUMIFS(Пр12!G$10:G$1393,Пр12!$D$10:$D$1393,C104)</f>
        <v>1912620</v>
      </c>
      <c r="E104" s="227">
        <f>SUMIFS(Пр12!H$10:H$1393,Пр12!$D$10:$D$1393,C104)</f>
        <v>0</v>
      </c>
      <c r="F104" s="229">
        <f>SUMIFS(Пр12!I$10:I$1393,Пр12!$D$10:$D$1393,C104)</f>
        <v>1912620</v>
      </c>
    </row>
    <row r="105" spans="1:6" ht="48" thickBot="1">
      <c r="A105" s="220"/>
      <c r="B105" s="31" t="str">
        <f>IF(C105&gt;0,VLOOKUP(C105,Программа!A$2:B$5091,2))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5" s="544" t="s">
        <v>498</v>
      </c>
      <c r="D105" s="227">
        <f>SUMIFS(Пр12!G$10:G$1393,Пр12!$D$10:$D$1393,C105)</f>
        <v>750000</v>
      </c>
      <c r="E105" s="227">
        <f>SUMIFS(Пр12!H$10:H$1393,Пр12!$D$10:$D$1393,C105)</f>
        <v>0</v>
      </c>
      <c r="F105" s="229">
        <f>SUMIFS(Пр12!I$10:I$1393,Пр12!$D$10:$D$1393,C105)</f>
        <v>750000</v>
      </c>
    </row>
    <row r="106" spans="1:6" s="198" customFormat="1" ht="63.75" thickBot="1">
      <c r="A106" s="214"/>
      <c r="B106" s="29" t="str">
        <f>IF(C106&gt;0,VLOOKUP(C106,Программа!A$2:B$5091,2))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6" s="538" t="s">
        <v>500</v>
      </c>
      <c r="D106" s="539">
        <f>SUMIFS(Пр12!G$10:G$1393,Пр12!$D$10:$D$1393,C106)</f>
        <v>700000</v>
      </c>
      <c r="E106" s="227">
        <f>SUMIFS(Пр12!H$10:H$1393,Пр12!$D$10:$D$1393,C106)</f>
        <v>100000</v>
      </c>
      <c r="F106" s="667">
        <f>SUMIFS(Пр12!I$10:I$1393,Пр12!$D$10:$D$1393,C106)</f>
        <v>800000</v>
      </c>
    </row>
    <row r="107" spans="1:6" ht="63.75" thickBot="1">
      <c r="A107" s="220"/>
      <c r="B107" s="31" t="str">
        <f>IF(C107&gt;0,VLOOKUP(C107,Программа!A$2:B$5091,2))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7" s="544" t="s">
        <v>501</v>
      </c>
      <c r="D107" s="227">
        <f>SUMIFS(Пр12!G$10:G$1393,Пр12!$D$10:$D$1393,C107)</f>
        <v>700000</v>
      </c>
      <c r="E107" s="227">
        <f>SUMIFS(Пр12!H$10:H$1393,Пр12!$D$10:$D$1393,C107)</f>
        <v>100000</v>
      </c>
      <c r="F107" s="229">
        <f>SUMIFS(Пр12!I$10:I$1393,Пр12!$D$10:$D$1393,C107)</f>
        <v>800000</v>
      </c>
    </row>
    <row r="108" spans="1:6" ht="32.25" hidden="1" thickBot="1">
      <c r="A108" s="219" t="s">
        <v>796</v>
      </c>
      <c r="B108" s="31" t="str">
        <f>IF(C108&gt;0,VLOOKUP(C108,Программа!A$2:B$5091,2))</f>
        <v>Развитие взаимодействия органов местного самоуправления Тутаевского муниципального района, СОНКО и ТОС</v>
      </c>
      <c r="C108" s="544" t="s">
        <v>797</v>
      </c>
      <c r="D108" s="227">
        <f>SUMIFS(Пр12!G$10:G$1393,Пр12!$D$10:$D$1393,C108)</f>
        <v>0</v>
      </c>
      <c r="E108" s="227">
        <f>SUMIFS(Пр12!H$10:H$1393,Пр12!$D$10:$D$1393,C108)</f>
        <v>0</v>
      </c>
      <c r="F108" s="229">
        <f>SUMIFS(Пр12!I$10:I$1393,Пр12!$D$10:$D$1393,C108)</f>
        <v>0</v>
      </c>
    </row>
    <row r="109" spans="1:6" s="198" customFormat="1" ht="48" thickBot="1">
      <c r="A109" s="214" t="s">
        <v>798</v>
      </c>
      <c r="B109" s="29" t="str">
        <f>IF(C109&gt;0,VLOOKUP(C109,Программа!A$2:B$5091,2))</f>
        <v>Муниципальная программа "Профилактика правонарушений и усиление борьбы с преступностью в Тутаевском муниципальном районе"</v>
      </c>
      <c r="C109" s="538" t="s">
        <v>600</v>
      </c>
      <c r="D109" s="539">
        <f>SUMIFS(Пр12!G$10:G$1393,Пр12!$D$10:$D$1393,C109)</f>
        <v>234000</v>
      </c>
      <c r="E109" s="539">
        <f>SUMIFS(Пр12!H$10:H$1393,Пр12!$D$10:$D$1393,C109)</f>
        <v>0</v>
      </c>
      <c r="F109" s="667">
        <f>SUMIFS(Пр12!I$10:I$1393,Пр12!$D$10:$D$1393,C109)</f>
        <v>234000</v>
      </c>
    </row>
    <row r="110" spans="1:6" ht="16.5" thickBot="1">
      <c r="A110" s="219" t="s">
        <v>799</v>
      </c>
      <c r="B110" s="31" t="str">
        <f>IF(C110&gt;0,VLOOKUP(C110,Программа!A$2:B$5091,2))</f>
        <v>Реализация мероприятий по профилактике правонарушений</v>
      </c>
      <c r="C110" s="544" t="s">
        <v>602</v>
      </c>
      <c r="D110" s="227">
        <f>SUMIFS(Пр12!G$10:G$1393,Пр12!$D$10:$D$1393,C110)</f>
        <v>234000</v>
      </c>
      <c r="E110" s="227">
        <f>SUMIFS(Пр12!H$10:H$1393,Пр12!$D$10:$D$1393,C110)</f>
        <v>0</v>
      </c>
      <c r="F110" s="229">
        <f>SUMIFS(Пр12!I$10:I$1393,Пр12!$D$10:$D$1393,C110)</f>
        <v>234000</v>
      </c>
    </row>
    <row r="111" spans="1:6" s="198" customFormat="1" ht="48" thickBot="1">
      <c r="A111" s="214" t="s">
        <v>800</v>
      </c>
      <c r="B111" s="29" t="str">
        <f>IF(C111&gt;0,VLOOKUP(C111,Программа!A$2:B$5091,2))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1" s="538" t="s">
        <v>713</v>
      </c>
      <c r="D111" s="539">
        <f>SUMIFS(Пр12!G$10:G$1393,Пр12!$D$10:$D$1393,C111)</f>
        <v>27100000</v>
      </c>
      <c r="E111" s="539">
        <f>SUMIFS(Пр12!H$10:H$1393,Пр12!$D$10:$D$1393,C111)</f>
        <v>565200</v>
      </c>
      <c r="F111" s="667">
        <f>SUMIFS(Пр12!I$10:I$1393,Пр12!$D$10:$D$1393,C111)</f>
        <v>27665200</v>
      </c>
    </row>
    <row r="112" spans="1:6" ht="63.75" hidden="1" thickBot="1">
      <c r="A112" s="220" t="s">
        <v>801</v>
      </c>
      <c r="B112" s="31" t="str">
        <f>IF(C112&gt;0,VLOOKUP(C112,Программа!A$2:B$5091,2))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2" s="544" t="s">
        <v>715</v>
      </c>
      <c r="D112" s="227">
        <f>SUMIFS(Пр12!G$10:G$1393,Пр12!$D$10:$D$1393,C112)</f>
        <v>0</v>
      </c>
      <c r="E112" s="227">
        <f>SUMIFS(Пр12!H$10:H$1393,Пр12!$D$10:$D$1393,C112)</f>
        <v>0</v>
      </c>
      <c r="F112" s="229">
        <f>SUMIFS(Пр12!I$10:I$1393,Пр12!$D$10:$D$1393,C112)</f>
        <v>0</v>
      </c>
    </row>
    <row r="113" spans="1:6" ht="48" hidden="1" thickBot="1">
      <c r="A113" s="220" t="s">
        <v>802</v>
      </c>
      <c r="B113" s="31" t="str">
        <f>IF(C113&gt;0,VLOOKUP(C113,Программа!A$2:B$5091,2))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3" s="544" t="s">
        <v>717</v>
      </c>
      <c r="D113" s="227">
        <f>SUMIFS(Пр12!G$10:G$1393,Пр12!$D$10:$D$1393,C113)</f>
        <v>0</v>
      </c>
      <c r="E113" s="227">
        <f>SUMIFS(Пр12!H$10:H$1393,Пр12!$D$10:$D$1393,C113)</f>
        <v>0</v>
      </c>
      <c r="F113" s="229">
        <f>SUMIFS(Пр12!I$10:I$1393,Пр12!$D$10:$D$1393,C113)</f>
        <v>0</v>
      </c>
    </row>
    <row r="114" spans="1:6" ht="48" thickBot="1">
      <c r="A114" s="220" t="s">
        <v>803</v>
      </c>
      <c r="B114" s="31" t="str">
        <f>IF(C114&gt;0,VLOOKUP(C114,Программа!A$2:B$5091,2))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4" s="544" t="s">
        <v>719</v>
      </c>
      <c r="D114" s="227">
        <f>SUMIFS(Пр12!G$10:G$1393,Пр12!$D$10:$D$1393,C114)</f>
        <v>21600000</v>
      </c>
      <c r="E114" s="227">
        <f>SUMIFS(Пр12!H$10:H$1393,Пр12!$D$10:$D$1393,C114)</f>
        <v>0</v>
      </c>
      <c r="F114" s="229">
        <f>SUMIFS(Пр12!I$10:I$1393,Пр12!$D$10:$D$1393,C114)</f>
        <v>21600000</v>
      </c>
    </row>
    <row r="115" spans="1:6" ht="36" customHeight="1" thickBot="1">
      <c r="A115" s="220" t="s">
        <v>1743</v>
      </c>
      <c r="B115" s="31" t="str">
        <f>IF(C115&gt;0,VLOOKUP(C115,Программа!A$2:B$5091,2))</f>
        <v>Организация предоставления транспортных услуг по перевозке пассажиров речным транспортом</v>
      </c>
      <c r="C115" s="544" t="s">
        <v>1619</v>
      </c>
      <c r="D115" s="227">
        <f>SUMIFS(Пр12!G$10:G$1393,Пр12!$D$10:$D$1393,C115)</f>
        <v>5500000</v>
      </c>
      <c r="E115" s="227">
        <f>SUMIFS(Пр12!H$10:H$1393,Пр12!$D$10:$D$1393,C115)</f>
        <v>565200</v>
      </c>
      <c r="F115" s="229">
        <f>SUMIFS(Пр12!I$10:I$1393,Пр12!$D$10:$D$1393,C115)</f>
        <v>6065200</v>
      </c>
    </row>
    <row r="116" spans="1:6" s="198" customFormat="1" ht="32.25" thickBot="1">
      <c r="A116" s="536" t="s">
        <v>72</v>
      </c>
      <c r="B116" s="29" t="str">
        <f>IF(C116&gt;0,VLOOKUP(C116,Программа!A$2:B$5091,2))</f>
        <v>Муниципальная программа  "Развитие жилищного хозяйства Тутаевского муниципального района"</v>
      </c>
      <c r="C116" s="546" t="s">
        <v>805</v>
      </c>
      <c r="D116" s="539">
        <f>SUMIFS(Пр12!G$10:G$1393,Пр12!$D$10:$D$1393,C116)</f>
        <v>2260048</v>
      </c>
      <c r="E116" s="539">
        <f>SUMIFS(Пр12!H$10:H$1393,Пр12!$D$10:$D$1393,C116)</f>
        <v>0</v>
      </c>
      <c r="F116" s="667">
        <f>SUMIFS(Пр12!I$10:I$1393,Пр12!$D$10:$D$1393,C116)</f>
        <v>2260048</v>
      </c>
    </row>
    <row r="117" spans="1:6" s="199" customFormat="1" ht="48" hidden="1" thickBot="1">
      <c r="A117" s="221" t="s">
        <v>806</v>
      </c>
      <c r="B117" s="540" t="str">
        <f>IF(C117&gt;0,VLOOKUP(C117,Программа!A$2:B$5091,2))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7" s="547" t="s">
        <v>808</v>
      </c>
      <c r="D117" s="229">
        <f>SUMIFS(Пр12!G$10:G$1393,Пр12!$D$10:$D$1393,C117)</f>
        <v>0</v>
      </c>
      <c r="E117" s="227">
        <f>SUMIFS(Пр12!H$10:H$1393,Пр12!$D$10:$D$1393,C117)</f>
        <v>0</v>
      </c>
      <c r="F117" s="229">
        <f>SUMIFS(Пр12!I$10:I$1393,Пр12!$D$10:$D$1393,C117)</f>
        <v>0</v>
      </c>
    </row>
    <row r="118" spans="1:6" ht="32.25" hidden="1" thickBot="1">
      <c r="A118" s="220" t="s">
        <v>809</v>
      </c>
      <c r="B118" s="31" t="str">
        <f>IF(C118&gt;0,VLOOKUP(C118,Программа!A$2:B$5091,2))</f>
        <v>Обеспечение мероприятий по восстановлению лифтового хозяйства многоквартирных домов</v>
      </c>
      <c r="C118" s="200" t="s">
        <v>811</v>
      </c>
      <c r="D118" s="227">
        <f>SUMIFS(Пр12!G$10:G$1393,Пр12!$D$10:$D$1393,C118)</f>
        <v>0</v>
      </c>
      <c r="E118" s="227">
        <f>SUMIFS(Пр12!H$10:H$1393,Пр12!$D$10:$D$1393,C118)</f>
        <v>0</v>
      </c>
      <c r="F118" s="229">
        <f>SUMIFS(Пр12!I$10:I$1393,Пр12!$D$10:$D$1393,C118)</f>
        <v>0</v>
      </c>
    </row>
    <row r="119" spans="1:6" s="199" customFormat="1" ht="48" thickBot="1">
      <c r="A119" s="221" t="s">
        <v>812</v>
      </c>
      <c r="B119" s="540" t="str">
        <f>IF(C119&gt;0,VLOOKUP(C119,Программа!A$2:B$5091,2))</f>
        <v>Муниципальная целевая программа "Ремонт и содержание муниципального жилищного фонда   Тутаевского муниципального района"</v>
      </c>
      <c r="C119" s="547" t="s">
        <v>814</v>
      </c>
      <c r="D119" s="229">
        <f>SUMIFS(Пр12!G$10:G$1393,Пр12!$D$10:$D$1393,C119)</f>
        <v>2260048</v>
      </c>
      <c r="E119" s="227">
        <f>SUMIFS(Пр12!H$10:H$1393,Пр12!$D$10:$D$1393,C119)</f>
        <v>0</v>
      </c>
      <c r="F119" s="229">
        <f>SUMIFS(Пр12!I$10:I$1393,Пр12!$D$10:$D$1393,C119)</f>
        <v>2260048</v>
      </c>
    </row>
    <row r="120" spans="1:6" ht="32.25" thickBot="1">
      <c r="A120" s="219" t="s">
        <v>43</v>
      </c>
      <c r="B120" s="31" t="str">
        <f>IF(C120&gt;0,VLOOKUP(C120,Программа!A$2:B$5091,2))</f>
        <v>Обеспечение мероприятий по замене приборов учета в муниципальном жилищном фонде</v>
      </c>
      <c r="C120" s="200" t="s">
        <v>816</v>
      </c>
      <c r="D120" s="227">
        <f>SUMIFS(Пр12!G$10:G$1393,Пр12!$D$10:$D$1393,C120)</f>
        <v>50048</v>
      </c>
      <c r="E120" s="227">
        <f>SUMIFS(Пр12!H$10:H$1393,Пр12!$D$10:$D$1393,C120)</f>
        <v>0</v>
      </c>
      <c r="F120" s="229">
        <f>SUMIFS(Пр12!I$10:I$1393,Пр12!$D$10:$D$1393,C120)</f>
        <v>50048</v>
      </c>
    </row>
    <row r="121" spans="1:6" ht="32.25" thickBot="1">
      <c r="A121" s="220" t="s">
        <v>817</v>
      </c>
      <c r="B121" s="31" t="str">
        <f>IF(C121&gt;0,VLOOKUP(C121,Программа!A$2:B$5091,2))</f>
        <v>Обеспечение мероприятий по ремонту общедомового имущества</v>
      </c>
      <c r="C121" s="200" t="s">
        <v>819</v>
      </c>
      <c r="D121" s="227">
        <f>SUMIFS(Пр12!G$10:G$1393,Пр12!$D$10:$D$1393,C121)</f>
        <v>2000000</v>
      </c>
      <c r="E121" s="227">
        <f>SUMIFS(Пр12!H$10:H$1393,Пр12!$D$10:$D$1393,C121)</f>
        <v>0</v>
      </c>
      <c r="F121" s="229">
        <f>SUMIFS(Пр12!I$10:I$1393,Пр12!$D$10:$D$1393,C121)</f>
        <v>2000000</v>
      </c>
    </row>
    <row r="122" spans="1:6" ht="32.25" hidden="1" thickBot="1">
      <c r="A122" s="219" t="s">
        <v>55</v>
      </c>
      <c r="B122" s="31" t="str">
        <f>IF(C122&gt;0,VLOOKUP(C122,Программа!A$2:B$5091,2))</f>
        <v>Обеспечение мероприятий по ремонту муниципальных квартир</v>
      </c>
      <c r="C122" s="200" t="s">
        <v>820</v>
      </c>
      <c r="D122" s="227">
        <f>SUMIFS(Пр12!G$10:G$1393,Пр12!$D$10:$D$1393,C122)</f>
        <v>0</v>
      </c>
      <c r="E122" s="227">
        <f>SUMIFS(Пр12!H$10:H$1393,Пр12!$D$10:$D$1393,C122)</f>
        <v>0</v>
      </c>
      <c r="F122" s="229">
        <f>SUMIFS(Пр12!I$10:I$1393,Пр12!$D$10:$D$1393,C122)</f>
        <v>0</v>
      </c>
    </row>
    <row r="123" spans="1:6" ht="16.5" thickBot="1">
      <c r="A123" s="219"/>
      <c r="B123" s="31" t="str">
        <f>IF(C123&gt;0,VLOOKUP(C123,Программа!A$2:B$5091,2))</f>
        <v>Обеспечение мероприятий по обследованию жилых домов</v>
      </c>
      <c r="C123" s="200" t="s">
        <v>1625</v>
      </c>
      <c r="D123" s="227">
        <f>SUMIFS(Пр12!G$10:G$1393,Пр12!$D$10:$D$1393,C123)</f>
        <v>210000</v>
      </c>
      <c r="E123" s="227">
        <f>SUMIFS(Пр12!H$10:H$1393,Пр12!$D$10:$D$1393,C123)</f>
        <v>0</v>
      </c>
      <c r="F123" s="229">
        <f>SUMIFS(Пр12!I$10:I$1393,Пр12!$D$10:$D$1393,C123)</f>
        <v>210000</v>
      </c>
    </row>
    <row r="124" spans="1:6" s="198" customFormat="1" ht="48" thickBot="1">
      <c r="A124" s="214"/>
      <c r="B124" s="29" t="str">
        <f>IF(C124&gt;0,VLOOKUP(C124,Программа!A$2:B$5091,2))</f>
        <v>Муниципальная программа "Благоустройство  и санитарно-эпидемиологическая безопасность  Тутаевского муниципального района</v>
      </c>
      <c r="C124" s="546" t="s">
        <v>823</v>
      </c>
      <c r="D124" s="539">
        <f>SUMIFS(Пр12!G$10:G$1393,Пр12!$D$10:$D$1393,C124)</f>
        <v>31502437</v>
      </c>
      <c r="E124" s="539">
        <f>SUMIFS(Пр12!H$10:H$1393,Пр12!$D$10:$D$1393,C124)</f>
        <v>3656364</v>
      </c>
      <c r="F124" s="667">
        <f>SUMIFS(Пр12!I$10:I$1393,Пр12!$D$10:$D$1393,C124)</f>
        <v>35158801</v>
      </c>
    </row>
    <row r="125" spans="1:6" s="199" customFormat="1" ht="48" thickBot="1">
      <c r="A125" s="221"/>
      <c r="B125" s="540" t="str">
        <f>IF(C125&gt;0,VLOOKUP(C125,Программа!A$2:B$5091,2))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5" s="547" t="s">
        <v>825</v>
      </c>
      <c r="D125" s="229">
        <f>SUMIFS(Пр12!G$10:G$1393,Пр12!$D$10:$D$1393,C125)</f>
        <v>1000000</v>
      </c>
      <c r="E125" s="227">
        <f>SUMIFS(Пр12!H$10:H$1393,Пр12!$D$10:$D$1393,C125)</f>
        <v>0</v>
      </c>
      <c r="F125" s="229">
        <f>SUMIFS(Пр12!I$10:I$1393,Пр12!$D$10:$D$1393,C125)</f>
        <v>1000000</v>
      </c>
    </row>
    <row r="126" spans="1:6" ht="32.25" thickBot="1">
      <c r="A126" s="220"/>
      <c r="B126" s="31" t="str">
        <f>IF(C126&gt;0,VLOOKUP(C126,Программа!A$2:B$5091,2))</f>
        <v>Обеспечение комплекса работ по повышению уровня благоустройства мест погребений</v>
      </c>
      <c r="C126" s="200" t="s">
        <v>827</v>
      </c>
      <c r="D126" s="227">
        <f>SUMIFS(Пр12!G$10:G$1393,Пр12!$D$10:$D$1393,C126)</f>
        <v>1000000</v>
      </c>
      <c r="E126" s="227">
        <f>SUMIFS(Пр12!H$10:H$1393,Пр12!$D$10:$D$1393,C126)</f>
        <v>0</v>
      </c>
      <c r="F126" s="229">
        <f>SUMIFS(Пр12!I$10:I$1393,Пр12!$D$10:$D$1393,C126)</f>
        <v>1000000</v>
      </c>
    </row>
    <row r="127" spans="1:6" s="199" customFormat="1" ht="48" thickBot="1">
      <c r="A127" s="221"/>
      <c r="B127" s="540" t="str">
        <f>IF(C127&gt;0,VLOOKUP(C127,Программа!A$2:B$5091,2))</f>
        <v>Муниципальная целевая программа "Благоустройство и озеленение территории  в Тутаевского муниципального  района"</v>
      </c>
      <c r="C127" s="547" t="s">
        <v>829</v>
      </c>
      <c r="D127" s="229">
        <f>SUMIFS(Пр12!G$10:G$1393,Пр12!$D$10:$D$1393,C127)</f>
        <v>30502437</v>
      </c>
      <c r="E127" s="227">
        <f>SUMIFS(Пр12!H$10:H$1393,Пр12!$D$10:$D$1393,C127)</f>
        <v>3656364</v>
      </c>
      <c r="F127" s="229">
        <f>SUMIFS(Пр12!I$10:I$1393,Пр12!$D$10:$D$1393,C127)</f>
        <v>34158801</v>
      </c>
    </row>
    <row r="128" spans="1:6" ht="32.25" thickBot="1">
      <c r="A128" s="220"/>
      <c r="B128" s="31" t="str">
        <f>IF(C128&gt;0,VLOOKUP(C128,Программа!A$2:B$5091,2))</f>
        <v>Улучшение уровня внешнего благоустройства и санитарного  состояния территорий Тутаевского муниципального района</v>
      </c>
      <c r="C128" s="200" t="s">
        <v>831</v>
      </c>
      <c r="D128" s="227">
        <f>SUMIFS(Пр12!G$10:G$1393,Пр12!$D$10:$D$1393,C128)</f>
        <v>30502437</v>
      </c>
      <c r="E128" s="227">
        <f>SUMIFS(Пр12!H$10:H$1393,Пр12!$D$10:$D$1393,C128)</f>
        <v>3656364</v>
      </c>
      <c r="F128" s="229">
        <f>SUMIFS(Пр12!I$10:I$1393,Пр12!$D$10:$D$1393,C128)</f>
        <v>34158801</v>
      </c>
    </row>
    <row r="129" spans="1:6" ht="32.25" hidden="1" thickBot="1">
      <c r="A129" s="220"/>
      <c r="B129" s="31" t="str">
        <f>IF(C129&gt;0,VLOOKUP(C129,Программа!A$2:B$5091,2))</f>
        <v xml:space="preserve">Обеспечение мероприятий по совершенствованию  эстетического  состояния территорий </v>
      </c>
      <c r="C129" s="200" t="s">
        <v>833</v>
      </c>
      <c r="D129" s="227">
        <f>SUMIFS(Пр12!G$10:G$1393,Пр12!$D$10:$D$1393,C129)</f>
        <v>0</v>
      </c>
      <c r="E129" s="227">
        <f>SUMIFS(Пр12!H$10:H$1393,Пр12!$D$10:$D$1393,C129)</f>
        <v>0</v>
      </c>
      <c r="F129" s="229">
        <f>SUMIFS(Пр12!I$10:I$1393,Пр12!$D$10:$D$1393,C129)</f>
        <v>0</v>
      </c>
    </row>
    <row r="130" spans="1:6" ht="32.25" hidden="1" thickBot="1">
      <c r="A130" s="220"/>
      <c r="B130" s="31" t="str">
        <f>IF(C130&gt;0,VLOOKUP(C130,Программа!A$2:B$5091,2))</f>
        <v>Обеспечение мероприятий по благоустройству мест массового отдыха населения</v>
      </c>
      <c r="C130" s="200" t="s">
        <v>835</v>
      </c>
      <c r="D130" s="227">
        <f>SUMIFS(Пр12!G$10:G$1393,Пр12!$D$10:$D$1393,C130)</f>
        <v>0</v>
      </c>
      <c r="E130" s="227">
        <f>SUMIFS(Пр12!H$10:H$1393,Пр12!$D$10:$D$1393,C130)</f>
        <v>0</v>
      </c>
      <c r="F130" s="229">
        <f>SUMIFS(Пр12!I$10:I$1393,Пр12!$D$10:$D$1393,C130)</f>
        <v>0</v>
      </c>
    </row>
    <row r="131" spans="1:6" s="198" customFormat="1" ht="32.25" hidden="1" thickBot="1">
      <c r="A131" s="214"/>
      <c r="B131" s="29" t="str">
        <f>IF(C131&gt;0,VLOOKUP(C131,Программа!A$2:B$5091,2))</f>
        <v>Муниципальная программа "Обеспечение населения Тутаевского муниципального района банными услугами"</v>
      </c>
      <c r="C131" s="538" t="s">
        <v>837</v>
      </c>
      <c r="D131" s="539">
        <f>SUMIFS(Пр12!G$10:G$1393,Пр12!$D$10:$D$1393,C131)</f>
        <v>0</v>
      </c>
      <c r="E131" s="539">
        <f>SUMIFS(Пр12!H$10:H$1393,Пр12!$D$10:$D$1393,C131)</f>
        <v>0</v>
      </c>
      <c r="F131" s="667">
        <f>SUMIFS(Пр12!I$10:I$1393,Пр12!$D$10:$D$1393,C131)</f>
        <v>0</v>
      </c>
    </row>
    <row r="132" spans="1:6" ht="32.25" hidden="1" thickBot="1">
      <c r="A132" s="220"/>
      <c r="B132" s="31" t="str">
        <f>IF(C132&gt;0,VLOOKUP(C132,Программа!A$2:B$5091,2))</f>
        <v>Обеспечение населения Тутаевского муниципального района банными услугами</v>
      </c>
      <c r="C132" s="200" t="s">
        <v>839</v>
      </c>
      <c r="D132" s="227">
        <f>SUMIFS(Пр12!G$10:G$1393,Пр12!$D$10:$D$1393,C132)</f>
        <v>0</v>
      </c>
      <c r="E132" s="227">
        <f>SUMIFS(Пр12!H$10:H$1393,Пр12!$D$10:$D$1393,C132)</f>
        <v>0</v>
      </c>
      <c r="F132" s="229">
        <f>SUMIFS(Пр12!I$10:I$1393,Пр12!$D$10:$D$1393,C132)</f>
        <v>0</v>
      </c>
    </row>
    <row r="133" spans="1:6" s="198" customFormat="1" ht="48" thickBot="1">
      <c r="A133" s="214"/>
      <c r="B133" s="29" t="str">
        <f>IF(C133&gt;0,VLOOKUP(C133,Программа!A$2:B$5091,2))</f>
        <v>Муниципальная программа "Охрана окружающей среды и рациональное природопользование в Тутаевском муниципальном районе"</v>
      </c>
      <c r="C133" s="546" t="s">
        <v>1222</v>
      </c>
      <c r="D133" s="539">
        <f>SUMIFS(Пр12!G$10:G$1393,Пр12!$D$10:$D$1393,C133)</f>
        <v>600000</v>
      </c>
      <c r="E133" s="539">
        <f>SUMIFS(Пр12!H$10:H$1393,Пр12!$D$10:$D$1393,C133)</f>
        <v>0</v>
      </c>
      <c r="F133" s="667">
        <f>SUMIFS(Пр12!I$10:I$1393,Пр12!$D$10:$D$1393,C133)</f>
        <v>600000</v>
      </c>
    </row>
    <row r="134" spans="1:6" ht="32.25" hidden="1" thickBot="1">
      <c r="A134" s="220"/>
      <c r="B134" s="31" t="str">
        <f>IF(C134&gt;0,VLOOKUP(C134,Программа!A$2:B$5091,2))</f>
        <v>Развитие водохозяйственного комплекса Тутаевского муниципального района</v>
      </c>
      <c r="C134" s="200" t="s">
        <v>1223</v>
      </c>
      <c r="D134" s="227">
        <f>SUMIFS(Пр12!G$10:G$1393,Пр12!$D$10:$D$1393,C134)</f>
        <v>0</v>
      </c>
      <c r="E134" s="227">
        <f>SUMIFS(Пр12!H$10:H$1393,Пр12!$D$10:$D$1393,C134)</f>
        <v>0</v>
      </c>
      <c r="F134" s="229">
        <f>SUMIFS(Пр12!I$10:I$1393,Пр12!$D$10:$D$1393,C134)</f>
        <v>0</v>
      </c>
    </row>
    <row r="135" spans="1:6" ht="48" thickBot="1">
      <c r="A135" s="220"/>
      <c r="B135" s="31" t="str">
        <f>IF(C135&gt;0,VLOOKUP(C135,Программа!A$2:B$5091,2))</f>
        <v>Проведение мероприятий по охране окружающей среды и природопользованию на территории Тутаевского муниципального района</v>
      </c>
      <c r="C135" s="200" t="s">
        <v>1266</v>
      </c>
      <c r="D135" s="227">
        <f>SUMIFS(Пр12!G$10:G$1393,Пр12!$D$10:$D$1393,C135)</f>
        <v>600000</v>
      </c>
      <c r="E135" s="227">
        <f>SUMIFS(Пр12!H$10:H$1393,Пр12!$D$10:$D$1393,C135)</f>
        <v>0</v>
      </c>
      <c r="F135" s="229">
        <f>SUMIFS(Пр12!I$10:I$1393,Пр12!$D$10:$D$1393,C135)</f>
        <v>600000</v>
      </c>
    </row>
    <row r="136" spans="1:6" s="198" customFormat="1" ht="48" thickBot="1">
      <c r="A136" s="214"/>
      <c r="B136" s="29" t="str">
        <f>IF(C136&gt;0,VLOOKUP(C136,Программа!A$2:B$5091,2))</f>
        <v>Муниципальная программа "Обеспечение муниципальных закупок в Тутаевском муниципальном районе"</v>
      </c>
      <c r="C136" s="546" t="s">
        <v>1236</v>
      </c>
      <c r="D136" s="539">
        <f>SUMIFS(Пр12!G$10:G$1393,Пр12!$D$10:$D$1393,C136)</f>
        <v>125000</v>
      </c>
      <c r="E136" s="539">
        <f>SUMIFS(Пр12!H$10:H$1393,Пр12!$D$10:$D$1393,C136)</f>
        <v>60000</v>
      </c>
      <c r="F136" s="667">
        <f>SUMIFS(Пр12!I$10:I$1393,Пр12!$D$10:$D$1393,C136)</f>
        <v>185000</v>
      </c>
    </row>
    <row r="137" spans="1:6" ht="48" thickBot="1">
      <c r="A137" s="220"/>
      <c r="B137" s="31" t="str">
        <f>IF(C137&gt;0,VLOOKUP(C137,Программа!A$2:B$5091,2))</f>
        <v>Организация системы подготовки, планирования, информационного сопровождения и осуществления муниципальных закупок</v>
      </c>
      <c r="C137" s="200" t="s">
        <v>1238</v>
      </c>
      <c r="D137" s="227">
        <f>SUMIFS(Пр12!G$10:G$1393,Пр12!$D$10:$D$1393,C137)</f>
        <v>125000</v>
      </c>
      <c r="E137" s="227">
        <f>SUMIFS(Пр12!H$10:H$1393,Пр12!$D$10:$D$1393,C137)</f>
        <v>60000</v>
      </c>
      <c r="F137" s="229">
        <f>SUMIFS(Пр12!I$10:I$1393,Пр12!$D$10:$D$1393,C137)</f>
        <v>185000</v>
      </c>
    </row>
    <row r="138" spans="1:6" ht="63.75" hidden="1" thickBot="1">
      <c r="A138" s="220"/>
      <c r="B138" s="31" t="str">
        <f>IF(C138&gt;0,VLOOKUP(C138,Программа!A$2:B$5091,2))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200" t="s">
        <v>1240</v>
      </c>
      <c r="D138" s="227">
        <f>SUMIFS(Пр12!G$10:G$1393,Пр12!$D$10:$D$1393,C138)</f>
        <v>0</v>
      </c>
      <c r="E138" s="227">
        <f>SUMIFS(Пр12!H$10:H$1393,Пр12!$D$10:$D$1393,C138)</f>
        <v>0</v>
      </c>
      <c r="F138" s="229">
        <f>SUMIFS(Пр12!I$10:I$1393,Пр12!$D$10:$D$1393,C138)</f>
        <v>0</v>
      </c>
    </row>
    <row r="139" spans="1:6" ht="48" hidden="1" thickBot="1">
      <c r="A139" s="220"/>
      <c r="B139" s="29" t="str">
        <f>IF(C139&gt;0,VLOOKUP(C139,Программа!A$2:B$5091,2))</f>
        <v>Ведомственная целевая программа департамента финансов администрации Тутаевского муниципального района</v>
      </c>
      <c r="C139" s="548" t="s">
        <v>1242</v>
      </c>
      <c r="D139" s="539">
        <f>SUMIFS(Пр12!G$10:G$1393,Пр12!$D$10:$D$1393,C139)</f>
        <v>0</v>
      </c>
      <c r="E139" s="539">
        <f>SUMIFS(Пр12!H$10:H$1393,Пр12!$D$10:$D$1393,C139)</f>
        <v>0</v>
      </c>
      <c r="F139" s="667">
        <f>SUMIFS(Пр12!I$10:I$1393,Пр12!$D$10:$D$1393,C139)</f>
        <v>0</v>
      </c>
    </row>
    <row r="140" spans="1:6" ht="32.25" hidden="1" thickBot="1">
      <c r="A140" s="220"/>
      <c r="B140" s="31" t="str">
        <f>IF(C140&gt;0,VLOOKUP(C140,Программа!A$2:B$5091,2))</f>
        <v>Обеспечение условий для исполнения функций финансового органа</v>
      </c>
      <c r="C140" s="226" t="s">
        <v>1243</v>
      </c>
      <c r="D140" s="227">
        <f>SUMIFS(Пр12!G$10:G$1393,Пр12!$D$10:$D$1393,C140)</f>
        <v>0</v>
      </c>
      <c r="E140" s="227">
        <f>SUMIFS(Пр12!H$10:H$1393,Пр12!$D$10:$D$1393,C140)</f>
        <v>0</v>
      </c>
      <c r="F140" s="229">
        <f>SUMIFS(Пр12!I$10:I$1393,Пр12!$D$10:$D$1393,C140)</f>
        <v>0</v>
      </c>
    </row>
    <row r="141" spans="1:6" ht="32.25" hidden="1" thickBot="1">
      <c r="A141" s="220"/>
      <c r="B141" s="31" t="str">
        <f>IF(C141&gt;0,VLOOKUP(C141,Программа!A$2:B$5091,2))</f>
        <v>Организационно-техническое обеспечение бюджетного процесса</v>
      </c>
      <c r="C141" s="226" t="s">
        <v>1365</v>
      </c>
      <c r="D141" s="227">
        <f>SUMIFS(Пр12!G$10:G$1393,Пр12!$D$10:$D$1393,C141)</f>
        <v>0</v>
      </c>
      <c r="E141" s="227">
        <f>SUMIFS(Пр12!H$10:H$1393,Пр12!$D$10:$D$1393,C141)</f>
        <v>0</v>
      </c>
      <c r="F141" s="229">
        <f>SUMIFS(Пр12!I$10:I$1393,Пр12!$D$10:$D$1393,C141)</f>
        <v>0</v>
      </c>
    </row>
    <row r="142" spans="1:6" ht="32.25" hidden="1" thickBot="1">
      <c r="A142" s="599"/>
      <c r="B142" s="31" t="str">
        <f>IF(C142&gt;0,VLOOKUP(C142,Программа!A$2:B$5091,2))</f>
        <v>Нормативно-методическое обеспечение бюджетного процесса</v>
      </c>
      <c r="C142" s="226" t="s">
        <v>1367</v>
      </c>
      <c r="D142" s="227">
        <f>SUMIFS(Пр12!G$10:G$1393,Пр12!$D$10:$D$1393,C142)</f>
        <v>0</v>
      </c>
      <c r="E142" s="227">
        <f>SUMIFS(Пр12!H$10:H$1393,Пр12!$D$10:$D$1393,C142)</f>
        <v>0</v>
      </c>
      <c r="F142" s="229">
        <f>SUMIFS(Пр12!I$10:I$1393,Пр12!$D$10:$D$1393,C142)</f>
        <v>0</v>
      </c>
    </row>
    <row r="143" spans="1:6" s="198" customFormat="1" ht="32.25" thickBot="1">
      <c r="A143" s="669"/>
      <c r="B143" s="29" t="str">
        <f>IF(C143&gt;0,VLOOKUP(C143,Программа!A$2:B$5091,2))</f>
        <v>Муниципальная программа "Формирование  современной городской среды"  Тутаевского муниципального района</v>
      </c>
      <c r="C143" s="546" t="s">
        <v>1369</v>
      </c>
      <c r="D143" s="539">
        <f>SUMIFS(Пр12!G$10:G$1393,Пр12!$D$10:$D$1393,C143)</f>
        <v>70025559</v>
      </c>
      <c r="E143" s="539">
        <f>SUMIFS(Пр12!H$10:H$1393,Пр12!$D$10:$D$1393,C143)</f>
        <v>667957</v>
      </c>
      <c r="F143" s="667">
        <f>SUMIFS(Пр12!I$10:I$1393,Пр12!$D$10:$D$1393,C143)</f>
        <v>70693516</v>
      </c>
    </row>
    <row r="144" spans="1:6" ht="15.75">
      <c r="A144" s="602"/>
      <c r="B144" s="31" t="str">
        <f>IF(C144&gt;0,VLOOKUP(C144,Программа!A$2:B$5091,2))</f>
        <v>Повышение уровня благоустройства дворовых территорий</v>
      </c>
      <c r="C144" s="226" t="s">
        <v>1391</v>
      </c>
      <c r="D144" s="227">
        <f>SUMIFS(Пр12!G$10:G$1393,Пр12!$D$10:$D$1393,C144)</f>
        <v>20025559</v>
      </c>
      <c r="E144" s="227">
        <f>SUMIFS(Пр12!H$10:H$1393,Пр12!$D$10:$D$1393,C144)</f>
        <v>-4502970</v>
      </c>
      <c r="F144" s="229">
        <f>SUMIFS(Пр12!I$10:I$1393,Пр12!$D$10:$D$1393,C144)</f>
        <v>15522589</v>
      </c>
    </row>
    <row r="145" spans="1:6" ht="31.5" hidden="1">
      <c r="A145" s="600"/>
      <c r="B145" s="31" t="str">
        <f>IF(C145&gt;0,VLOOKUP(C145,Программа!A$2:B$5091,2))</f>
        <v>Повышение  уровня благоустройства  мест массового отдыха людей</v>
      </c>
      <c r="C145" s="226" t="s">
        <v>1392</v>
      </c>
      <c r="D145" s="227">
        <f>SUMIFS(Пр12!G$10:G$1393,Пр12!$D$10:$D$1393,C145)</f>
        <v>0</v>
      </c>
      <c r="E145" s="227">
        <f>SUMIFS(Пр12!H$10:H$1393,Пр12!$D$10:$D$1393,C145)</f>
        <v>0</v>
      </c>
      <c r="F145" s="229">
        <f>SUMIFS(Пр12!I$10:I$1393,Пр12!$D$10:$D$1393,C145)</f>
        <v>0</v>
      </c>
    </row>
    <row r="146" spans="1:6" ht="31.5">
      <c r="A146" s="600"/>
      <c r="B146" s="31" t="str">
        <f>IF(C146&gt;0,VLOOKUP(C146,Программа!A$2:B$5091,2))</f>
        <v>Реализация проектов создания комфортной городской среды в малых городах и исторических поселениях</v>
      </c>
      <c r="C146" s="226" t="s">
        <v>1393</v>
      </c>
      <c r="D146" s="227">
        <f>SUMIFS(Пр12!G$10:G$1393,Пр12!$D$10:$D$1393,C146)</f>
        <v>50000000</v>
      </c>
      <c r="E146" s="227">
        <f>SUMIFS(Пр12!H$10:H$1393,Пр12!$D$10:$D$1393,C146)</f>
        <v>0</v>
      </c>
      <c r="F146" s="229">
        <f>SUMIFS(Пр12!I$10:I$1393,Пр12!$D$10:$D$1393,C146)</f>
        <v>50000000</v>
      </c>
    </row>
    <row r="147" spans="1:6" ht="32.25" thickBot="1">
      <c r="A147" s="601"/>
      <c r="B147" s="31" t="s">
        <v>1800</v>
      </c>
      <c r="C147" s="290" t="s">
        <v>1801</v>
      </c>
      <c r="D147" s="227">
        <f>SUMIFS(Пр12!G$10:G$1393,Пр12!$D$10:$D$1393,C147)</f>
        <v>0</v>
      </c>
      <c r="E147" s="227">
        <f>SUMIFS(Пр12!H$10:H$1393,Пр12!$D$10:$D$1393,C147)</f>
        <v>5170927</v>
      </c>
      <c r="F147" s="229">
        <f>SUMIFS(Пр12!I$10:I$1393,Пр12!$D$10:$D$1393,C147)</f>
        <v>5170927</v>
      </c>
    </row>
    <row r="148" spans="1:6" s="198" customFormat="1" ht="63.75" thickBot="1">
      <c r="A148" s="668"/>
      <c r="B148" s="29" t="str">
        <f>IF(C148&gt;0,VLOOKUP(C148,Программа!A$2:B$5091,2))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8" s="546" t="s">
        <v>1373</v>
      </c>
      <c r="D148" s="539">
        <f>D149</f>
        <v>900000</v>
      </c>
      <c r="E148" s="539">
        <f t="shared" ref="E148:F148" si="0">E149</f>
        <v>0</v>
      </c>
      <c r="F148" s="539">
        <f t="shared" si="0"/>
        <v>900000</v>
      </c>
    </row>
    <row r="149" spans="1:6" ht="16.5" thickBot="1">
      <c r="A149" s="220"/>
      <c r="B149" s="31" t="str">
        <f>IF(C149&gt;0,VLOOKUP(C149,Программа!A$2:B$5091,2))</f>
        <v>Мероприятия по обеспечению безопасности жителей района</v>
      </c>
      <c r="C149" s="226" t="s">
        <v>1374</v>
      </c>
      <c r="D149" s="227">
        <f>SUMIFS(Пр12!G$10:G$1393,Пр12!$D$10:$D$1393,C149)</f>
        <v>900000</v>
      </c>
      <c r="E149" s="227">
        <f>SUMIFS(Пр12!H$10:H$1393,Пр12!$D$10:$D$1393,C149)</f>
        <v>0</v>
      </c>
      <c r="F149" s="229">
        <f>SUMIFS(Пр12!I$10:I$1393,Пр12!$D$10:$D$1393,C149)</f>
        <v>900000</v>
      </c>
    </row>
    <row r="150" spans="1:6" s="198" customFormat="1" ht="48" thickBot="1">
      <c r="A150" s="214"/>
      <c r="B150" s="29" t="str">
        <f>IF(C150&gt;0,VLOOKUP(C150,Программа!A$2:B$5091,2))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0" s="546" t="s">
        <v>1608</v>
      </c>
      <c r="D150" s="539">
        <f>SUMIFS(Пр12!G$10:G$1393,Пр12!$D$10:$D$1393,C150)</f>
        <v>1150000</v>
      </c>
      <c r="E150" s="539">
        <f>SUMIFS(Пр12!H$10:H$1393,Пр12!$D$10:$D$1393,C150)</f>
        <v>-1000000</v>
      </c>
      <c r="F150" s="539">
        <f>SUMIFS(Пр12!I$10:I$1393,Пр12!$D$10:$D$1393,C150)</f>
        <v>150000</v>
      </c>
    </row>
    <row r="151" spans="1:6" ht="32.25" hidden="1" thickBot="1">
      <c r="A151" s="220"/>
      <c r="B151" s="31" t="str">
        <f>IF(C151&gt;0,VLOOKUP(C151,Программа!A$2:B$5091,2))</f>
        <v>Разработка, согласование, утверждение проекта зон охраны объектов культурного наследия</v>
      </c>
      <c r="C151" s="226" t="s">
        <v>1609</v>
      </c>
      <c r="D151" s="227">
        <f>SUMIFS(Пр12!G$10:G$1393,Пр12!$D$10:$D$1393,C151)</f>
        <v>700000</v>
      </c>
      <c r="E151" s="227">
        <f>SUMIFS(Пр12!H$10:H$1393,Пр12!$D$10:$D$1393,C151)</f>
        <v>-700000</v>
      </c>
      <c r="F151" s="229">
        <f>SUMIFS(Пр12!I$10:I$1393,Пр12!$D$10:$D$1393,C151)</f>
        <v>0</v>
      </c>
    </row>
    <row r="152" spans="1:6" ht="32.25" thickBot="1">
      <c r="A152" s="220"/>
      <c r="B152" s="31" t="str">
        <f>IF(C152&gt;0,VLOOKUP(C152,Программа!A$2:B$5091,2))</f>
        <v>Проведение историко-культурной экспертизы объектов культурного наследия</v>
      </c>
      <c r="C152" s="200" t="s">
        <v>1612</v>
      </c>
      <c r="D152" s="227">
        <f>SUMIFS(Пр12!G$10:G$1393,Пр12!$D$10:$D$1393,C152)</f>
        <v>450000</v>
      </c>
      <c r="E152" s="227">
        <f>SUMIFS(Пр12!H$10:H$1393,Пр12!$D$10:$D$1393,C152)</f>
        <v>-300000</v>
      </c>
      <c r="F152" s="229">
        <f>SUMIFS(Пр12!I$10:I$1393,Пр12!$D$10:$D$1393,C152)</f>
        <v>150000</v>
      </c>
    </row>
    <row r="153" spans="1:6" ht="48" thickBot="1">
      <c r="A153" s="220"/>
      <c r="B153" s="29" t="str">
        <f>IF(C153&gt;0,VLOOKUP(C153,Программа!A$2:B$5091,2))</f>
        <v>Муниципальная программа "Градостроительная деятельность на территории Тутаевского муниципального района "</v>
      </c>
      <c r="C153" s="546" t="s">
        <v>1837</v>
      </c>
      <c r="D153" s="539">
        <f>SUMIFS(Пр12!G$10:G$1393,Пр12!$D$10:$D$1393,C153)</f>
        <v>0</v>
      </c>
      <c r="E153" s="539">
        <f>SUMIFS(Пр12!H$10:H$1393,Пр12!$D$10:$D$1393,C153)</f>
        <v>1100000</v>
      </c>
      <c r="F153" s="667">
        <f>SUMIFS(Пр12!I$10:I$1393,Пр12!$D$10:$D$1393,C153)</f>
        <v>1100000</v>
      </c>
    </row>
    <row r="154" spans="1:6" ht="32.25" thickBot="1">
      <c r="A154" s="220"/>
      <c r="B154" s="31" t="str">
        <f>IF(C154&gt;0,VLOOKUP(C154,Программа!A$2:B$5091,2))</f>
        <v xml:space="preserve">Внесение изменений в документы территориального планирования и градостроительного зонирования </v>
      </c>
      <c r="C154" s="200" t="s">
        <v>1838</v>
      </c>
      <c r="D154" s="227">
        <f>SUMIFS(Пр12!G$10:G$1393,Пр12!$D$10:$D$1393,C154)</f>
        <v>0</v>
      </c>
      <c r="E154" s="227">
        <f>SUMIFS(Пр12!H$10:H$1393,Пр12!$D$10:$D$1393,C154)</f>
        <v>1000000</v>
      </c>
      <c r="F154" s="229">
        <f>SUMIFS(Пр12!I$10:I$1393,Пр12!$D$10:$D$1393,C154)</f>
        <v>1000000</v>
      </c>
    </row>
    <row r="155" spans="1:6" ht="16.5" thickBot="1">
      <c r="A155" s="220"/>
      <c r="B155" s="31" t="str">
        <f>IF(C155&gt;0,VLOOKUP(C155,Программа!A$2:B$5091,2))</f>
        <v xml:space="preserve">Разработка и актуализация схем инженерного обеспечения </v>
      </c>
      <c r="C155" s="226" t="s">
        <v>1839</v>
      </c>
      <c r="D155" s="227">
        <f>SUMIFS(Пр12!G$10:G$1393,Пр12!$D$10:$D$1393,C155)</f>
        <v>0</v>
      </c>
      <c r="E155" s="227">
        <f>SUMIFS(Пр12!H$10:H$1393,Пр12!$D$10:$D$1393,C155)</f>
        <v>100000</v>
      </c>
      <c r="F155" s="229">
        <f>SUMIFS(Пр12!I$10:I$1393,Пр12!$D$10:$D$1393,C155)</f>
        <v>100000</v>
      </c>
    </row>
    <row r="156" spans="1:6" s="198" customFormat="1" ht="16.5" thickBot="1">
      <c r="A156" s="214"/>
      <c r="B156" s="29" t="s">
        <v>165</v>
      </c>
      <c r="C156" s="538"/>
      <c r="D156" s="539">
        <f>D131+D124+D116+D111+D109+D106+D103+D101+D96+D86+D77+D72+D70+D56+D54+D42+D25+D10+D133+D136+D139+D143+D148+D150+D153</f>
        <v>1972876912</v>
      </c>
      <c r="E156" s="539">
        <f t="shared" ref="E156:F156" si="1">E131+E124+E116+E111+E109+E106+E103+E101+E96+E86+E77+E72+E70+E56+E54+E42+E25+E10+E133+E136+E139+E143+E148+E150+E153</f>
        <v>27065907</v>
      </c>
      <c r="F156" s="539">
        <f t="shared" si="1"/>
        <v>1999942819</v>
      </c>
    </row>
    <row r="157" spans="1:6" ht="16.5" thickBot="1">
      <c r="A157" s="219" t="s">
        <v>840</v>
      </c>
      <c r="B157" s="31" t="str">
        <f>IF(C157&gt;0,VLOOKUP(C157,Программа!A$2:B$5091,2))</f>
        <v>Непрограммные расходы бюджета</v>
      </c>
      <c r="C157" s="544" t="s">
        <v>480</v>
      </c>
      <c r="D157" s="227">
        <f>SUMIFS(Пр12!G$10:G$1393,Пр12!$D$10:$D$1393,C157)</f>
        <v>146344996</v>
      </c>
      <c r="E157" s="227">
        <f>SUMIFS(Пр12!H$10:H$1393,Пр12!$D$10:$D$1393,C157)</f>
        <v>501078</v>
      </c>
      <c r="F157" s="229">
        <f>SUMIFS(Пр12!I$10:I$1393,Пр12!$D$10:$D$1393,C157)</f>
        <v>146846074</v>
      </c>
    </row>
    <row r="158" spans="1:6" ht="16.5" thickBot="1">
      <c r="A158" s="219" t="s">
        <v>841</v>
      </c>
      <c r="B158" s="31" t="str">
        <f>IF(C158&gt;0,VLOOKUP(C158,Программа!A$2:B$5091,2))</f>
        <v>Межбюджетные трансферты  поселениям района</v>
      </c>
      <c r="C158" s="544" t="s">
        <v>653</v>
      </c>
      <c r="D158" s="227">
        <f>SUMIFS(Пр12!G$10:G$1393,Пр12!$D$10:$D$1393,C158)</f>
        <v>6230837</v>
      </c>
      <c r="E158" s="227">
        <f>SUMIFS(Пр12!H$10:H$1393,Пр12!$D$10:$D$1393,C158)</f>
        <v>750000</v>
      </c>
      <c r="F158" s="229">
        <f>SUMIFS(Пр12!I$10:I$1393,Пр12!$D$10:$D$1393,C158)</f>
        <v>6980837</v>
      </c>
    </row>
    <row r="159" spans="1:6" s="198" customFormat="1" ht="16.5" thickBot="1">
      <c r="A159" s="536"/>
      <c r="B159" s="29" t="s">
        <v>842</v>
      </c>
      <c r="C159" s="549"/>
      <c r="D159" s="539">
        <f>D156+D157+D158</f>
        <v>2125452745</v>
      </c>
      <c r="E159" s="539">
        <f>E156+E157+E158</f>
        <v>28316985</v>
      </c>
      <c r="F159" s="539">
        <f t="shared" ref="F159" si="2">F156+F157+F158</f>
        <v>2153769730</v>
      </c>
    </row>
    <row r="160" spans="1:6">
      <c r="C160" s="201"/>
    </row>
    <row r="161" spans="3:3">
      <c r="C161" s="201"/>
    </row>
    <row r="162" spans="3:3">
      <c r="C162" s="201"/>
    </row>
    <row r="163" spans="3:3">
      <c r="C163" s="201"/>
    </row>
    <row r="164" spans="3:3">
      <c r="C164" s="201"/>
    </row>
    <row r="165" spans="3:3">
      <c r="C165" s="201"/>
    </row>
    <row r="166" spans="3:3">
      <c r="C166" s="201"/>
    </row>
    <row r="167" spans="3:3">
      <c r="C167" s="201"/>
    </row>
    <row r="168" spans="3:3">
      <c r="C168" s="201"/>
    </row>
    <row r="169" spans="3:3">
      <c r="C169" s="201"/>
    </row>
    <row r="170" spans="3:3">
      <c r="C170" s="201"/>
    </row>
    <row r="171" spans="3:3">
      <c r="C171" s="201"/>
    </row>
    <row r="172" spans="3:3">
      <c r="C172" s="201"/>
    </row>
    <row r="173" spans="3:3">
      <c r="C173" s="201"/>
    </row>
    <row r="174" spans="3:3">
      <c r="C174" s="201"/>
    </row>
    <row r="175" spans="3:3">
      <c r="C175" s="201"/>
    </row>
    <row r="176" spans="3:3">
      <c r="C176" s="201"/>
    </row>
    <row r="177" spans="3:3">
      <c r="C177" s="201"/>
    </row>
    <row r="178" spans="3:3">
      <c r="C178" s="201"/>
    </row>
    <row r="179" spans="3:3">
      <c r="C179" s="201"/>
    </row>
    <row r="180" spans="3:3">
      <c r="C180" s="201"/>
    </row>
    <row r="181" spans="3:3">
      <c r="C181" s="201"/>
    </row>
    <row r="182" spans="3:3">
      <c r="C182" s="201"/>
    </row>
    <row r="183" spans="3:3">
      <c r="C183" s="201"/>
    </row>
    <row r="184" spans="3:3">
      <c r="C184" s="201"/>
    </row>
    <row r="185" spans="3:3">
      <c r="C185" s="201"/>
    </row>
    <row r="186" spans="3:3">
      <c r="C186" s="201"/>
    </row>
    <row r="187" spans="3:3">
      <c r="C187" s="201"/>
    </row>
    <row r="188" spans="3:3">
      <c r="C188" s="201"/>
    </row>
    <row r="189" spans="3:3">
      <c r="C189" s="201"/>
    </row>
    <row r="190" spans="3:3">
      <c r="C190" s="201"/>
    </row>
    <row r="191" spans="3:3">
      <c r="C191" s="201"/>
    </row>
    <row r="192" spans="3:3">
      <c r="C192" s="201"/>
    </row>
    <row r="193" spans="3:3">
      <c r="C193" s="201"/>
    </row>
    <row r="194" spans="3:3">
      <c r="C194" s="201"/>
    </row>
    <row r="195" spans="3:3">
      <c r="C195" s="201"/>
    </row>
    <row r="196" spans="3:3">
      <c r="C196" s="201"/>
    </row>
    <row r="197" spans="3:3">
      <c r="C197" s="201"/>
    </row>
    <row r="198" spans="3:3">
      <c r="C198" s="201"/>
    </row>
    <row r="199" spans="3:3">
      <c r="C199" s="201"/>
    </row>
    <row r="200" spans="3:3">
      <c r="C200" s="201"/>
    </row>
    <row r="201" spans="3:3">
      <c r="C201" s="201"/>
    </row>
    <row r="202" spans="3:3">
      <c r="C202" s="201"/>
    </row>
    <row r="203" spans="3:3">
      <c r="C203" s="201"/>
    </row>
    <row r="204" spans="3:3">
      <c r="C204" s="201"/>
    </row>
    <row r="205" spans="3:3">
      <c r="C205" s="201"/>
    </row>
    <row r="206" spans="3:3">
      <c r="C206" s="201"/>
    </row>
    <row r="207" spans="3:3">
      <c r="C207" s="201"/>
    </row>
    <row r="208" spans="3:3">
      <c r="C208" s="201"/>
    </row>
    <row r="209" spans="3:3">
      <c r="C209" s="201"/>
    </row>
    <row r="210" spans="3:3">
      <c r="C210" s="201"/>
    </row>
    <row r="211" spans="3:3">
      <c r="C211" s="201"/>
    </row>
    <row r="212" spans="3:3">
      <c r="C212" s="201"/>
    </row>
    <row r="213" spans="3:3">
      <c r="C213" s="201"/>
    </row>
    <row r="214" spans="3:3">
      <c r="C214" s="201"/>
    </row>
    <row r="215" spans="3:3">
      <c r="C215" s="201"/>
    </row>
    <row r="216" spans="3:3">
      <c r="C216" s="201"/>
    </row>
    <row r="217" spans="3:3">
      <c r="C217" s="201"/>
    </row>
    <row r="218" spans="3:3">
      <c r="C218" s="201"/>
    </row>
    <row r="219" spans="3:3">
      <c r="C219" s="201"/>
    </row>
    <row r="220" spans="3:3">
      <c r="C220" s="201"/>
    </row>
    <row r="221" spans="3:3">
      <c r="C221" s="201"/>
    </row>
    <row r="222" spans="3:3">
      <c r="C222" s="201"/>
    </row>
    <row r="223" spans="3:3">
      <c r="C223" s="201"/>
    </row>
    <row r="224" spans="3:3">
      <c r="C224" s="201"/>
    </row>
    <row r="225" spans="3:3">
      <c r="C225" s="201"/>
    </row>
    <row r="226" spans="3:3">
      <c r="C226" s="201"/>
    </row>
    <row r="227" spans="3:3">
      <c r="C227" s="201"/>
    </row>
    <row r="228" spans="3:3">
      <c r="C228" s="201"/>
    </row>
    <row r="229" spans="3:3">
      <c r="C229" s="201"/>
    </row>
    <row r="230" spans="3:3">
      <c r="C230" s="20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4"/>
  <sheetViews>
    <sheetView showGridLines="0" view="pageBreakPreview" topLeftCell="B106" zoomScale="115" zoomScaleSheetLayoutView="115" workbookViewId="0">
      <selection activeCell="B113" sqref="A113:XFD120"/>
    </sheetView>
  </sheetViews>
  <sheetFormatPr defaultColWidth="9.140625" defaultRowHeight="15.75"/>
  <cols>
    <col min="1" max="1" width="92.28515625" style="619" hidden="1" customWidth="1"/>
    <col min="2" max="2" width="55.85546875" style="619" customWidth="1"/>
    <col min="3" max="3" width="13.140625" style="619" customWidth="1"/>
    <col min="4" max="5" width="15.5703125" style="619" hidden="1" customWidth="1"/>
    <col min="6" max="6" width="16.5703125" style="619" customWidth="1"/>
    <col min="7" max="7" width="16.28515625" style="619" hidden="1" customWidth="1"/>
    <col min="8" max="8" width="21" style="619" hidden="1" customWidth="1"/>
    <col min="9" max="9" width="16.5703125" style="619" customWidth="1"/>
    <col min="10" max="16384" width="9.140625" style="619"/>
  </cols>
  <sheetData>
    <row r="1" spans="1:10" ht="15.75" customHeight="1">
      <c r="B1" s="795" t="s">
        <v>418</v>
      </c>
      <c r="C1" s="795"/>
      <c r="D1" s="795"/>
      <c r="E1" s="795"/>
      <c r="F1" s="795"/>
      <c r="G1" s="795"/>
      <c r="H1" s="795"/>
      <c r="I1" s="795"/>
      <c r="J1" s="620"/>
    </row>
    <row r="2" spans="1:10" ht="15.75" customHeight="1">
      <c r="B2" s="795" t="s">
        <v>1</v>
      </c>
      <c r="C2" s="795"/>
      <c r="D2" s="795"/>
      <c r="E2" s="795"/>
      <c r="F2" s="795"/>
      <c r="G2" s="795"/>
      <c r="H2" s="795"/>
      <c r="I2" s="795"/>
      <c r="J2" s="620"/>
    </row>
    <row r="3" spans="1:10" ht="15.75" customHeight="1">
      <c r="B3" s="795" t="s">
        <v>2</v>
      </c>
      <c r="C3" s="795"/>
      <c r="D3" s="795"/>
      <c r="E3" s="795"/>
      <c r="F3" s="795"/>
      <c r="G3" s="795"/>
      <c r="H3" s="795"/>
      <c r="I3" s="795"/>
      <c r="J3" s="620"/>
    </row>
    <row r="4" spans="1:10" ht="15.75" customHeight="1">
      <c r="B4" s="795" t="s">
        <v>1821</v>
      </c>
      <c r="C4" s="795"/>
      <c r="D4" s="795"/>
      <c r="E4" s="795"/>
      <c r="F4" s="795"/>
      <c r="G4" s="795"/>
      <c r="H4" s="795"/>
      <c r="I4" s="795"/>
      <c r="J4" s="620"/>
    </row>
    <row r="5" spans="1:10">
      <c r="B5" s="202"/>
      <c r="C5" s="608"/>
      <c r="D5" s="608"/>
      <c r="E5" s="608"/>
      <c r="F5" s="608"/>
      <c r="G5" s="608"/>
      <c r="H5" s="608"/>
      <c r="I5" s="608"/>
      <c r="J5" s="608"/>
    </row>
    <row r="6" spans="1:10" ht="37.5" customHeight="1">
      <c r="B6" s="686" t="s">
        <v>1437</v>
      </c>
      <c r="C6" s="686"/>
      <c r="D6" s="686"/>
      <c r="E6" s="686"/>
      <c r="F6" s="686"/>
      <c r="G6" s="686"/>
      <c r="H6" s="686"/>
      <c r="I6" s="686"/>
    </row>
    <row r="7" spans="1:10" ht="16.5" thickBot="1">
      <c r="A7" s="202"/>
      <c r="B7" s="202"/>
      <c r="C7" s="202"/>
      <c r="D7" s="202"/>
      <c r="E7" s="796"/>
      <c r="F7" s="796"/>
      <c r="G7" s="796"/>
      <c r="H7" s="796"/>
      <c r="I7" s="796"/>
    </row>
    <row r="8" spans="1:10" ht="13.5" customHeight="1" thickBot="1">
      <c r="A8" s="793" t="s">
        <v>752</v>
      </c>
      <c r="B8" s="788" t="s">
        <v>753</v>
      </c>
      <c r="C8" s="788" t="s">
        <v>754</v>
      </c>
      <c r="D8" s="788" t="s">
        <v>1337</v>
      </c>
      <c r="E8" s="788" t="s">
        <v>843</v>
      </c>
      <c r="F8" s="788" t="s">
        <v>1337</v>
      </c>
      <c r="G8" s="788" t="s">
        <v>1425</v>
      </c>
      <c r="H8" s="788" t="s">
        <v>843</v>
      </c>
      <c r="I8" s="788" t="s">
        <v>1425</v>
      </c>
    </row>
    <row r="9" spans="1:10" ht="23.25" customHeight="1" thickBot="1">
      <c r="A9" s="793"/>
      <c r="B9" s="792"/>
      <c r="C9" s="794"/>
      <c r="D9" s="792"/>
      <c r="E9" s="792"/>
      <c r="F9" s="792"/>
      <c r="G9" s="792"/>
      <c r="H9" s="792"/>
      <c r="I9" s="792"/>
    </row>
    <row r="10" spans="1:10" s="624" customFormat="1" ht="48" thickBot="1">
      <c r="A10" s="621" t="s">
        <v>756</v>
      </c>
      <c r="B10" s="622" t="str">
        <f>IF(C10&gt;0,VLOOKUP(C10,Программа!A$2:B$5091,2))</f>
        <v>Муниципальная программа  "Развитие культуры, туризма и молодежной политики в Тутаевском муниципальном районе"</v>
      </c>
      <c r="C10" s="215" t="s">
        <v>569</v>
      </c>
      <c r="D10" s="617">
        <f>SUMIFS(Пр.13!G$10:G$1388,Пр.13!$D$10:$D$1388,C10)</f>
        <v>128584695</v>
      </c>
      <c r="E10" s="617">
        <f>SUMIFS(Пр.13!H$10:H$1388,Пр.13!$D$10:$D$1388,C10)</f>
        <v>1300000</v>
      </c>
      <c r="F10" s="617">
        <f>SUMIFS(Пр.13!I$10:I$1388,Пр.13!$D$10:$D$1388,C10)</f>
        <v>129884695</v>
      </c>
      <c r="G10" s="617">
        <f>SUMIFS(Пр.13!J$10:J$1388,Пр.13!$D$10:$D$1388,C10)</f>
        <v>68584695</v>
      </c>
      <c r="H10" s="617">
        <f>SUMIFS(Пр.13!K$10:K$1388,Пр.13!$D$10:$D$1388,C10)</f>
        <v>1300000</v>
      </c>
      <c r="I10" s="623">
        <f>SUMIFS(Пр.13!L$10:L$1388,Пр.13!$D$10:$D$1388,C10)</f>
        <v>69884695</v>
      </c>
    </row>
    <row r="11" spans="1:10" ht="16.5" thickBot="1">
      <c r="A11" s="625" t="s">
        <v>844</v>
      </c>
      <c r="B11" s="626" t="str">
        <f>IF(C11&gt;0,VLOOKUP(C11,Программа!A$2:B$5091,2))</f>
        <v>Ведомственная целевая программа «Молодежь»</v>
      </c>
      <c r="C11" s="607" t="s">
        <v>676</v>
      </c>
      <c r="D11" s="627">
        <f>SUMIFS(Пр.13!G$10:G$1388,Пр.13!$D$10:$D$1388,C11)</f>
        <v>7000000</v>
      </c>
      <c r="E11" s="627">
        <f>SUMIFS(Пр.13!H$10:H$1388,Пр.13!$D$10:$D$1388,C11)</f>
        <v>0</v>
      </c>
      <c r="F11" s="628">
        <f>SUMIFS(Пр.13!I$10:I$1388,Пр.13!$D$10:$D$1388,C11)</f>
        <v>7000000</v>
      </c>
      <c r="G11" s="628">
        <f>SUMIFS(Пр.13!J$10:J$1388,Пр.13!$D$10:$D$1388,C11)</f>
        <v>3000000</v>
      </c>
      <c r="H11" s="628">
        <f>SUMIFS(Пр.13!K$10:K$1388,Пр.13!$D$10:$D$1388,C11)</f>
        <v>0</v>
      </c>
      <c r="I11" s="629">
        <f>SUMIFS(Пр.13!L$10:L$1388,Пр.13!$D$10:$D$1388,C11)</f>
        <v>3000000</v>
      </c>
    </row>
    <row r="12" spans="1:10" ht="48" thickBot="1">
      <c r="A12" s="625"/>
      <c r="B12" s="630" t="str">
        <f>IF(C12&gt;0,VLOOKUP(C12,Программа!A$2:B$5091,2))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89" t="s">
        <v>678</v>
      </c>
      <c r="D12" s="631">
        <f>SUMIFS(Пр.13!G$10:G$1388,Пр.13!$D$10:$D$1388,C12)</f>
        <v>7000000</v>
      </c>
      <c r="E12" s="631">
        <f>SUMIFS(Пр.13!H$10:H$1388,Пр.13!$D$10:$D$1388,C12)</f>
        <v>0</v>
      </c>
      <c r="F12" s="631">
        <f>SUMIFS(Пр.13!I$10:I$1388,Пр.13!$D$10:$D$1388,C12)</f>
        <v>7000000</v>
      </c>
      <c r="G12" s="631">
        <f>SUMIFS(Пр.13!J$10:J$1388,Пр.13!$D$10:$D$1388,C12)</f>
        <v>3000000</v>
      </c>
      <c r="H12" s="631">
        <f>SUMIFS(Пр.13!K$10:K$1388,Пр.13!$D$10:$D$1388,C12)</f>
        <v>0</v>
      </c>
      <c r="I12" s="632">
        <f>SUMIFS(Пр.13!L$10:L$1388,Пр.13!$D$10:$D$1388,C12)</f>
        <v>3000000</v>
      </c>
    </row>
    <row r="13" spans="1:10" ht="32.25" hidden="1" thickBot="1">
      <c r="A13" s="625"/>
      <c r="B13" s="630" t="str">
        <f>IF(C13&gt;0,VLOOKUP(C13,Программа!A$2:B$5091,2))</f>
        <v>Обеспечение качества и доступности услуг(работ) в сфере молодежной политики</v>
      </c>
      <c r="C13" s="189" t="s">
        <v>1300</v>
      </c>
      <c r="D13" s="631">
        <f>SUMIFS(Пр.13!G$10:G$1388,Пр.13!$D$10:$D$1388,C13)</f>
        <v>0</v>
      </c>
      <c r="E13" s="631">
        <f>SUMIFS(Пр.13!H$10:H$1388,Пр.13!$D$10:$D$1388,C13)</f>
        <v>0</v>
      </c>
      <c r="F13" s="631">
        <f>SUMIFS(Пр.13!I$10:I$1388,Пр.13!$D$10:$D$1388,C13)</f>
        <v>0</v>
      </c>
      <c r="G13" s="631">
        <f>SUMIFS(Пр.13!J$10:J$1388,Пр.13!$D$10:$D$1388,C13)</f>
        <v>0</v>
      </c>
      <c r="H13" s="631">
        <f>SUMIFS(Пр.13!K$10:K$1388,Пр.13!$D$10:$D$1388,C13)</f>
        <v>0</v>
      </c>
      <c r="I13" s="632">
        <f>SUMIFS(Пр.13!L$10:L$1388,Пр.13!$D$10:$D$1388,C13)</f>
        <v>0</v>
      </c>
    </row>
    <row r="14" spans="1:10" ht="63.75" thickBot="1">
      <c r="A14" s="625"/>
      <c r="B14" s="633" t="str">
        <f>IF(C14&gt;0,VLOOKUP(C14,Программа!A$2:B$5091,2))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218" t="s">
        <v>571</v>
      </c>
      <c r="D14" s="634">
        <f>SUMIFS(Пр.13!G$10:G$1388,Пр.13!$D$10:$D$1388,C14)</f>
        <v>0</v>
      </c>
      <c r="E14" s="634">
        <f>SUMIFS(Пр.13!H$10:H$1388,Пр.13!$D$10:$D$1388,C14)</f>
        <v>300000</v>
      </c>
      <c r="F14" s="631">
        <f>SUMIFS(Пр.13!I$10:I$1388,Пр.13!$D$10:$D$1388,C14)</f>
        <v>300000</v>
      </c>
      <c r="G14" s="631">
        <f>SUMIFS(Пр.13!J$10:J$1388,Пр.13!$D$10:$D$1388,C14)</f>
        <v>0</v>
      </c>
      <c r="H14" s="631">
        <f>SUMIFS(Пр.13!K$10:K$1388,Пр.13!$D$10:$D$1388,C14)</f>
        <v>300000</v>
      </c>
      <c r="I14" s="632">
        <f>SUMIFS(Пр.13!L$10:L$1388,Пр.13!$D$10:$D$1388,C14)</f>
        <v>300000</v>
      </c>
    </row>
    <row r="15" spans="1:10" ht="63.75" thickBot="1">
      <c r="A15" s="635" t="s">
        <v>80</v>
      </c>
      <c r="B15" s="630" t="str">
        <f>IF(C15&gt;0,VLOOKUP(C15,Программа!A$2:B$5091,2))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63" t="s">
        <v>573</v>
      </c>
      <c r="D15" s="631">
        <f>SUMIFS(Пр.13!G$10:G$1388,Пр.13!$D$10:$D$1388,C15)</f>
        <v>0</v>
      </c>
      <c r="E15" s="631">
        <f>SUMIFS(Пр.13!H$10:H$1388,Пр.13!$D$10:$D$1388,C15)</f>
        <v>300000</v>
      </c>
      <c r="F15" s="631">
        <f>SUMIFS(Пр.13!I$10:I$1388,Пр.13!$D$10:$D$1388,C15)</f>
        <v>300000</v>
      </c>
      <c r="G15" s="631">
        <f>SUMIFS(Пр.13!J$10:J$1388,Пр.13!$D$10:$D$1388,C15)</f>
        <v>0</v>
      </c>
      <c r="H15" s="631">
        <f>SUMIFS(Пр.13!K$10:K$1388,Пр.13!$D$10:$D$1388,C15)</f>
        <v>300000</v>
      </c>
      <c r="I15" s="632">
        <f>SUMIFS(Пр.13!L$10:L$1388,Пр.13!$D$10:$D$1388,C15)</f>
        <v>300000</v>
      </c>
    </row>
    <row r="16" spans="1:10" ht="48" hidden="1" thickBot="1">
      <c r="A16" s="635" t="s">
        <v>759</v>
      </c>
      <c r="B16" s="633" t="str">
        <f>IF(C16&gt;0,VLOOKUP(C16,Программа!A$2:B$5091,2))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18" t="s">
        <v>576</v>
      </c>
      <c r="D16" s="634">
        <f>SUMIFS(Пр.13!G$10:G$1388,Пр.13!$D$10:$D$1388,C16)</f>
        <v>0</v>
      </c>
      <c r="E16" s="634">
        <f>SUMIFS(Пр.13!H$10:H$1388,Пр.13!$D$10:$D$1388,C16)</f>
        <v>0</v>
      </c>
      <c r="F16" s="631">
        <f>SUMIFS(Пр.13!I$10:I$1388,Пр.13!$D$10:$D$1388,C16)</f>
        <v>0</v>
      </c>
      <c r="G16" s="631">
        <f>SUMIFS(Пр.13!J$10:J$1388,Пр.13!$D$10:$D$1388,C16)</f>
        <v>0</v>
      </c>
      <c r="H16" s="631">
        <f>SUMIFS(Пр.13!K$10:K$1388,Пр.13!$D$10:$D$1388,C16)</f>
        <v>0</v>
      </c>
      <c r="I16" s="632">
        <f>SUMIFS(Пр.13!L$10:L$1388,Пр.13!$D$10:$D$1388,C16)</f>
        <v>0</v>
      </c>
    </row>
    <row r="17" spans="1:9" ht="32.25" hidden="1" thickBot="1">
      <c r="A17" s="635" t="s">
        <v>760</v>
      </c>
      <c r="B17" s="630" t="str">
        <f>IF(C17&gt;0,VLOOKUP(C17,Программа!A$2:B$5091,2))</f>
        <v>Развитие системы профилактики немедицинского потребления наркотиков</v>
      </c>
      <c r="C17" s="163" t="s">
        <v>578</v>
      </c>
      <c r="D17" s="631">
        <f>SUMIFS(Пр.13!G$10:G$1388,Пр.13!$D$10:$D$1388,C17)</f>
        <v>0</v>
      </c>
      <c r="E17" s="631">
        <f>SUMIFS(Пр.13!H$10:H$1388,Пр.13!$D$10:$D$1388,C17)</f>
        <v>0</v>
      </c>
      <c r="F17" s="631">
        <f>SUMIFS(Пр.13!I$10:I$1388,Пр.13!$D$10:$D$1388,C17)</f>
        <v>0</v>
      </c>
      <c r="G17" s="631">
        <f>SUMIFS(Пр.13!J$10:J$1388,Пр.13!$D$10:$D$1388,C17)</f>
        <v>0</v>
      </c>
      <c r="H17" s="631">
        <f>SUMIFS(Пр.13!K$10:K$1388,Пр.13!$D$10:$D$1388,C17)</f>
        <v>0</v>
      </c>
      <c r="I17" s="632">
        <f>SUMIFS(Пр.13!L$10:L$1388,Пр.13!$D$10:$D$1388,C17)</f>
        <v>0</v>
      </c>
    </row>
    <row r="18" spans="1:9" s="637" customFormat="1" ht="48" thickBot="1">
      <c r="A18" s="636"/>
      <c r="B18" s="633" t="str">
        <f>IF(C18&gt;0,VLOOKUP(C18,Программа!A$2:B$5091,2))</f>
        <v>Ведомственная целевая программа «Сохранение и развитие культуры Тутаевского муниципального района»</v>
      </c>
      <c r="C18" s="218" t="s">
        <v>671</v>
      </c>
      <c r="D18" s="634">
        <f>SUMIFS(Пр.13!G$10:G$1388,Пр.13!$D$10:$D$1388,C18)</f>
        <v>121584695</v>
      </c>
      <c r="E18" s="634">
        <f>SUMIFS(Пр.13!H$10:H$1388,Пр.13!$D$10:$D$1388,C18)</f>
        <v>1000000</v>
      </c>
      <c r="F18" s="631">
        <f>SUMIFS(Пр.13!I$10:I$1388,Пр.13!$D$10:$D$1388,C18)</f>
        <v>122584695</v>
      </c>
      <c r="G18" s="631">
        <f>SUMIFS(Пр.13!J$10:J$1388,Пр.13!$D$10:$D$1388,C18)</f>
        <v>65584695</v>
      </c>
      <c r="H18" s="631">
        <f>SUMIFS(Пр.13!K$10:K$1388,Пр.13!$D$10:$D$1388,C18)</f>
        <v>1000000</v>
      </c>
      <c r="I18" s="632">
        <f>SUMIFS(Пр.13!L$10:L$1388,Пр.13!$D$10:$D$1388,C18)</f>
        <v>66584695</v>
      </c>
    </row>
    <row r="19" spans="1:9" ht="32.25" thickBot="1">
      <c r="A19" s="635"/>
      <c r="B19" s="630" t="str">
        <f>IF(C19&gt;0,VLOOKUP(C19,Программа!A$2:B$5091,2))</f>
        <v>Реализация дополнительных образовательных программ в сфере культуры</v>
      </c>
      <c r="C19" s="163" t="s">
        <v>673</v>
      </c>
      <c r="D19" s="631">
        <f>SUMIFS(Пр.13!G$10:G$1388,Пр.13!$D$10:$D$1388,C19)</f>
        <v>25180562</v>
      </c>
      <c r="E19" s="631">
        <f>SUMIFS(Пр.13!H$10:H$1388,Пр.13!$D$10:$D$1388,C19)</f>
        <v>0</v>
      </c>
      <c r="F19" s="631">
        <f>SUMIFS(Пр.13!I$10:I$1388,Пр.13!$D$10:$D$1388,C19)</f>
        <v>25180562</v>
      </c>
      <c r="G19" s="631">
        <f>SUMIFS(Пр.13!J$10:J$1388,Пр.13!$D$10:$D$1388,C19)</f>
        <v>12180562</v>
      </c>
      <c r="H19" s="631">
        <f>SUMIFS(Пр.13!K$10:K$1388,Пр.13!$D$10:$D$1388,C19)</f>
        <v>0</v>
      </c>
      <c r="I19" s="632">
        <f>SUMIFS(Пр.13!L$10:L$1388,Пр.13!$D$10:$D$1388,C19)</f>
        <v>12180562</v>
      </c>
    </row>
    <row r="20" spans="1:9" ht="16.5" thickBot="1">
      <c r="A20" s="635"/>
      <c r="B20" s="630" t="str">
        <f>IF(C20&gt;0,VLOOKUP(C20,Программа!A$2:B$5091,2))</f>
        <v>Содействие доступу граждан к культурным ценностям</v>
      </c>
      <c r="C20" s="163" t="s">
        <v>690</v>
      </c>
      <c r="D20" s="631">
        <f>SUMIFS(Пр.13!G$10:G$1388,Пр.13!$D$10:$D$1388,C20)</f>
        <v>56988980</v>
      </c>
      <c r="E20" s="631">
        <f>SUMIFS(Пр.13!H$10:H$1388,Пр.13!$D$10:$D$1388,C20)</f>
        <v>870000</v>
      </c>
      <c r="F20" s="631">
        <f>SUMIFS(Пр.13!I$10:I$1388,Пр.13!$D$10:$D$1388,C20)</f>
        <v>57858980</v>
      </c>
      <c r="G20" s="631">
        <f>SUMIFS(Пр.13!J$10:J$1388,Пр.13!$D$10:$D$1388,C20)</f>
        <v>31988980</v>
      </c>
      <c r="H20" s="631">
        <f>SUMIFS(Пр.13!K$10:K$1388,Пр.13!$D$10:$D$1388,C20)</f>
        <v>870000</v>
      </c>
      <c r="I20" s="632">
        <f>SUMIFS(Пр.13!L$10:L$1388,Пр.13!$D$10:$D$1388,C20)</f>
        <v>32858980</v>
      </c>
    </row>
    <row r="21" spans="1:9" ht="32.25" thickBot="1">
      <c r="A21" s="635" t="s">
        <v>763</v>
      </c>
      <c r="B21" s="630" t="str">
        <f>IF(C21&gt;0,VLOOKUP(C21,Программа!A$2:B$5091,2))</f>
        <v>Поддержка доступа граждан к информационно-библиотечным ресурсам</v>
      </c>
      <c r="C21" s="163" t="s">
        <v>695</v>
      </c>
      <c r="D21" s="631">
        <f>SUMIFS(Пр.13!G$10:G$1388,Пр.13!$D$10:$D$1388,C21)</f>
        <v>15234575</v>
      </c>
      <c r="E21" s="631">
        <f>SUMIFS(Пр.13!H$10:H$1388,Пр.13!$D$10:$D$1388,C21)</f>
        <v>130000</v>
      </c>
      <c r="F21" s="631">
        <f>SUMIFS(Пр.13!I$10:I$1388,Пр.13!$D$10:$D$1388,C21)</f>
        <v>15364575</v>
      </c>
      <c r="G21" s="631">
        <f>SUMIFS(Пр.13!J$10:J$1388,Пр.13!$D$10:$D$1388,C21)</f>
        <v>10234575</v>
      </c>
      <c r="H21" s="631">
        <f>SUMIFS(Пр.13!K$10:K$1388,Пр.13!$D$10:$D$1388,C21)</f>
        <v>130000</v>
      </c>
      <c r="I21" s="632">
        <f>SUMIFS(Пр.13!L$10:L$1388,Пр.13!$D$10:$D$1388,C21)</f>
        <v>10364575</v>
      </c>
    </row>
    <row r="22" spans="1:9" ht="32.25" thickBot="1">
      <c r="A22" s="635" t="s">
        <v>764</v>
      </c>
      <c r="B22" s="638" t="str">
        <f>IF(C22&gt;0,VLOOKUP(C22,Программа!A$2:B$5091,2))</f>
        <v>Обеспечение эффективности управления системой культуры</v>
      </c>
      <c r="C22" s="604" t="s">
        <v>698</v>
      </c>
      <c r="D22" s="639">
        <f>SUMIFS(Пр.13!G$10:G$1388,Пр.13!$D$10:$D$1388,C22)</f>
        <v>24180578</v>
      </c>
      <c r="E22" s="639">
        <f>SUMIFS(Пр.13!H$10:H$1388,Пр.13!$D$10:$D$1388,C22)</f>
        <v>0</v>
      </c>
      <c r="F22" s="639">
        <f>SUMIFS(Пр.13!I$10:I$1388,Пр.13!$D$10:$D$1388,C22)</f>
        <v>24180578</v>
      </c>
      <c r="G22" s="639">
        <f>SUMIFS(Пр.13!J$10:J$1388,Пр.13!$D$10:$D$1388,C22)</f>
        <v>11180578</v>
      </c>
      <c r="H22" s="639">
        <f>SUMIFS(Пр.13!K$10:K$1388,Пр.13!$D$10:$D$1388,C22)</f>
        <v>0</v>
      </c>
      <c r="I22" s="640">
        <f>SUMIFS(Пр.13!L$10:L$1388,Пр.13!$D$10:$D$1388,C22)</f>
        <v>11180578</v>
      </c>
    </row>
    <row r="23" spans="1:9" ht="48" hidden="1" thickBot="1">
      <c r="A23" s="635" t="s">
        <v>845</v>
      </c>
      <c r="B23" s="641" t="str">
        <f>IF(C23&gt;0,VLOOKUP(C23,Программа!A$2:B$5091,2))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23" t="s">
        <v>666</v>
      </c>
      <c r="D23" s="628">
        <f>SUMIFS(Пр.13!G$10:G$1388,Пр.13!$D$10:$D$1388,C23)</f>
        <v>0</v>
      </c>
      <c r="E23" s="628">
        <f>SUMIFS(Пр.13!H$10:H$1388,Пр.13!$D$10:$D$1388,C23)</f>
        <v>0</v>
      </c>
      <c r="F23" s="642">
        <f>SUMIFS(Пр.13!I$10:I$1388,Пр.13!$D$10:$D$1388,C23)</f>
        <v>0</v>
      </c>
      <c r="G23" s="642">
        <f>SUMIFS(Пр.13!J$10:J$1388,Пр.13!$D$10:$D$1388,C23)</f>
        <v>0</v>
      </c>
      <c r="H23" s="642">
        <f>SUMIFS(Пр.13!K$10:K$1388,Пр.13!$D$10:$D$1388,C23)</f>
        <v>0</v>
      </c>
      <c r="I23" s="642">
        <f>SUMIFS(Пр.13!L$10:L$1388,Пр.13!$D$10:$D$1388,C23)</f>
        <v>0</v>
      </c>
    </row>
    <row r="24" spans="1:9" ht="32.25" hidden="1" thickBot="1">
      <c r="A24" s="635" t="s">
        <v>765</v>
      </c>
      <c r="B24" s="643" t="str">
        <f>IF(C24&gt;0,VLOOKUP(C24,Программа!A$2:B$5091,2))</f>
        <v>Создание благоприятных условий для развития туризма</v>
      </c>
      <c r="C24" s="222" t="s">
        <v>668</v>
      </c>
      <c r="D24" s="644">
        <f>SUMIFS(Пр.13!G$10:G$1388,Пр.13!$D$10:$D$1388,C24)</f>
        <v>0</v>
      </c>
      <c r="E24" s="644">
        <f>SUMIFS(Пр.13!H$10:H$1388,Пр.13!$D$10:$D$1388,C24)</f>
        <v>0</v>
      </c>
      <c r="F24" s="645">
        <f>SUMIFS(Пр.13!I$10:I$1388,Пр.13!$D$10:$D$1388,C24)</f>
        <v>0</v>
      </c>
      <c r="G24" s="645">
        <f>SUMIFS(Пр.13!J$10:J$1388,Пр.13!$D$10:$D$1388,C24)</f>
        <v>0</v>
      </c>
      <c r="H24" s="645">
        <f>SUMIFS(Пр.13!K$10:K$1388,Пр.13!$D$10:$D$1388,C24)</f>
        <v>0</v>
      </c>
      <c r="I24" s="645">
        <f>SUMIFS(Пр.13!L$10:L$1388,Пр.13!$D$10:$D$1388,C24)</f>
        <v>0</v>
      </c>
    </row>
    <row r="25" spans="1:9" ht="48" thickBot="1">
      <c r="A25" s="635" t="s">
        <v>766</v>
      </c>
      <c r="B25" s="622" t="str">
        <f>IF(C25&gt;0,VLOOKUP(C25,Программа!A$2:B$5091,2))</f>
        <v>Муниципальная программа "Развитие образования, физической культуры и спорта в Тутаевском муниципальном районе"</v>
      </c>
      <c r="C25" s="215" t="s">
        <v>539</v>
      </c>
      <c r="D25" s="617">
        <f>SUMIFS(Пр.13!G$10:G$1388,Пр.13!$D$10:$D$1388,C25)</f>
        <v>978699920</v>
      </c>
      <c r="E25" s="617">
        <f>SUMIFS(Пр.13!H$10:H$1388,Пр.13!$D$10:$D$1388,C25)</f>
        <v>0</v>
      </c>
      <c r="F25" s="617">
        <f>SUMIFS(Пр.13!I$10:I$1388,Пр.13!$D$10:$D$1388,C25)</f>
        <v>978699920</v>
      </c>
      <c r="G25" s="617">
        <f>SUMIFS(Пр.13!J$10:J$1388,Пр.13!$D$10:$D$1388,C25)</f>
        <v>845588227</v>
      </c>
      <c r="H25" s="617">
        <f>SUMIFS(Пр.13!K$10:K$1388,Пр.13!$D$10:$D$1388,C25)</f>
        <v>0</v>
      </c>
      <c r="I25" s="623">
        <f>SUMIFS(Пр.13!L$10:L$1388,Пр.13!$D$10:$D$1388,C25)</f>
        <v>845588227</v>
      </c>
    </row>
    <row r="26" spans="1:9" ht="48" thickBot="1">
      <c r="A26" s="635" t="s">
        <v>767</v>
      </c>
      <c r="B26" s="626" t="str">
        <f>IF(C26&gt;0,VLOOKUP(C26,Программа!A$2:B$5091,2))</f>
        <v xml:space="preserve">Ведомственная целевая программа департамента образования Администрации Тутаевского муниципального района </v>
      </c>
      <c r="C26" s="223" t="s">
        <v>541</v>
      </c>
      <c r="D26" s="627">
        <f>SUMIFS(Пр.13!G$10:G$1388,Пр.13!$D$10:$D$1388,C26)</f>
        <v>944699920</v>
      </c>
      <c r="E26" s="627">
        <f>SUMIFS(Пр.13!H$10:H$1388,Пр.13!$D$10:$D$1388,C26)</f>
        <v>0</v>
      </c>
      <c r="F26" s="628">
        <f>SUMIFS(Пр.13!I$10:I$1388,Пр.13!$D$10:$D$1388,C26)</f>
        <v>944699920</v>
      </c>
      <c r="G26" s="628">
        <f>SUMIFS(Пр.13!J$10:J$1388,Пр.13!$D$10:$D$1388,C26)</f>
        <v>828588227</v>
      </c>
      <c r="H26" s="628">
        <f>SUMIFS(Пр.13!K$10:K$1388,Пр.13!$D$10:$D$1388,C26)</f>
        <v>0</v>
      </c>
      <c r="I26" s="629">
        <f>SUMIFS(Пр.13!L$10:L$1388,Пр.13!$D$10:$D$1388,C26)</f>
        <v>828588227</v>
      </c>
    </row>
    <row r="27" spans="1:9" ht="48" thickBot="1">
      <c r="A27" s="635" t="s">
        <v>768</v>
      </c>
      <c r="B27" s="630" t="str">
        <f>IF(C27&gt;0,VLOOKUP(C27,Программа!A$2:B$5091,2))</f>
        <v>Обеспечение качества и доступности образовательных услуг в сфере дошкольного образования</v>
      </c>
      <c r="C27" s="163" t="s">
        <v>542</v>
      </c>
      <c r="D27" s="631">
        <f>SUMIFS(Пр.13!G$10:G$1388,Пр.13!$D$10:$D$1388,C27)</f>
        <v>376849794</v>
      </c>
      <c r="E27" s="631">
        <f>SUMIFS(Пр.13!H$10:H$1388,Пр.13!$D$10:$D$1388,C27)</f>
        <v>652247</v>
      </c>
      <c r="F27" s="631">
        <f>SUMIFS(Пр.13!I$10:I$1388,Пр.13!$D$10:$D$1388,C27)</f>
        <v>377502041</v>
      </c>
      <c r="G27" s="631">
        <f>SUMIFS(Пр.13!J$10:J$1388,Пр.13!$D$10:$D$1388,C27)</f>
        <v>337187101</v>
      </c>
      <c r="H27" s="631">
        <f>SUMIFS(Пр.13!K$10:K$1388,Пр.13!$D$10:$D$1388,C27)</f>
        <v>652247</v>
      </c>
      <c r="I27" s="632">
        <f>SUMIFS(Пр.13!L$10:L$1388,Пр.13!$D$10:$D$1388,C27)</f>
        <v>337839348</v>
      </c>
    </row>
    <row r="28" spans="1:9" ht="32.25" thickBot="1">
      <c r="A28" s="635"/>
      <c r="B28" s="630" t="str">
        <f>IF(C28&gt;0,VLOOKUP(C28,Программа!A$2:B$5091,2))</f>
        <v>Обеспечение качества и доступности образовательных услуг в сфере общего образования</v>
      </c>
      <c r="C28" s="163" t="s">
        <v>582</v>
      </c>
      <c r="D28" s="631">
        <f>SUMIFS(Пр.13!G$10:G$1388,Пр.13!$D$10:$D$1388,C28)</f>
        <v>435380109</v>
      </c>
      <c r="E28" s="631">
        <f>SUMIFS(Пр.13!H$10:H$1388,Пр.13!$D$10:$D$1388,C28)</f>
        <v>-652247</v>
      </c>
      <c r="F28" s="631">
        <f>SUMIFS(Пр.13!I$10:I$1388,Пр.13!$D$10:$D$1388,C28)</f>
        <v>434727862</v>
      </c>
      <c r="G28" s="631">
        <f>SUMIFS(Пр.13!J$10:J$1388,Пр.13!$D$10:$D$1388,C28)</f>
        <v>396680109</v>
      </c>
      <c r="H28" s="631">
        <f>SUMIFS(Пр.13!K$10:K$1388,Пр.13!$D$10:$D$1388,C28)</f>
        <v>-652247</v>
      </c>
      <c r="I28" s="632">
        <f>SUMIFS(Пр.13!L$10:L$1388,Пр.13!$D$10:$D$1388,C28)</f>
        <v>396027862</v>
      </c>
    </row>
    <row r="29" spans="1:9" ht="48" thickBot="1">
      <c r="A29" s="635"/>
      <c r="B29" s="630" t="str">
        <f>IF(C29&gt;0,VLOOKUP(C29,Программа!A$2:B$5091,2))</f>
        <v>Обеспечение качества и доступности образовательных услуг в сфере дополнительного образования</v>
      </c>
      <c r="C29" s="163" t="s">
        <v>605</v>
      </c>
      <c r="D29" s="631">
        <f>SUMIFS(Пр.13!G$10:G$1388,Пр.13!$D$10:$D$1388,C29)</f>
        <v>52240524</v>
      </c>
      <c r="E29" s="631">
        <f>SUMIFS(Пр.13!H$10:H$1388,Пр.13!$D$10:$D$1388,C29)</f>
        <v>0</v>
      </c>
      <c r="F29" s="631">
        <f>SUMIFS(Пр.13!I$10:I$1388,Пр.13!$D$10:$D$1388,C29)</f>
        <v>52240524</v>
      </c>
      <c r="G29" s="631">
        <f>SUMIFS(Пр.13!J$10:J$1388,Пр.13!$D$10:$D$1388,C29)</f>
        <v>27240524</v>
      </c>
      <c r="H29" s="631">
        <f>SUMIFS(Пр.13!K$10:K$1388,Пр.13!$D$10:$D$1388,C29)</f>
        <v>0</v>
      </c>
      <c r="I29" s="632">
        <f>SUMIFS(Пр.13!L$10:L$1388,Пр.13!$D$10:$D$1388,C29)</f>
        <v>27240524</v>
      </c>
    </row>
    <row r="30" spans="1:9" ht="32.25" hidden="1" thickBot="1">
      <c r="A30" s="635" t="s">
        <v>771</v>
      </c>
      <c r="B30" s="630" t="str">
        <f>IF(C30&gt;0,VLOOKUP(C30,Программа!A$2:B$5091,2))</f>
        <v>Повышение мотивации участников образовательного процесса</v>
      </c>
      <c r="C30" s="163" t="s">
        <v>584</v>
      </c>
      <c r="D30" s="631">
        <f>SUMIFS(Пр.13!G$10:G$1388,Пр.13!$D$10:$D$1388,C30)</f>
        <v>0</v>
      </c>
      <c r="E30" s="631">
        <f>SUMIFS(Пр.13!H$10:H$1388,Пр.13!$D$10:$D$1388,C30)</f>
        <v>0</v>
      </c>
      <c r="F30" s="631">
        <f>SUMIFS(Пр.13!I$10:I$1388,Пр.13!$D$10:$D$1388,C30)</f>
        <v>0</v>
      </c>
      <c r="G30" s="631">
        <f>SUMIFS(Пр.13!J$10:J$1388,Пр.13!$D$10:$D$1388,C30)</f>
        <v>0</v>
      </c>
      <c r="H30" s="631">
        <f>SUMIFS(Пр.13!K$10:K$1388,Пр.13!$D$10:$D$1388,C30)</f>
        <v>0</v>
      </c>
      <c r="I30" s="632">
        <f>SUMIFS(Пр.13!L$10:L$1388,Пр.13!$D$10:$D$1388,C30)</f>
        <v>0</v>
      </c>
    </row>
    <row r="31" spans="1:9" ht="63.75" thickBot="1">
      <c r="A31" s="635" t="s">
        <v>772</v>
      </c>
      <c r="B31" s="630" t="str">
        <f>IF(C31&gt;0,VLOOKUP(C31,Программа!A$2:B$5091,2))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163" t="s">
        <v>561</v>
      </c>
      <c r="D31" s="631">
        <f>SUMIFS(Пр.13!G$10:G$1388,Пр.13!$D$10:$D$1388,C31)</f>
        <v>7000000</v>
      </c>
      <c r="E31" s="631">
        <f>SUMIFS(Пр.13!H$10:H$1388,Пр.13!$D$10:$D$1388,C31)</f>
        <v>0</v>
      </c>
      <c r="F31" s="631">
        <f>SUMIFS(Пр.13!I$10:I$1388,Пр.13!$D$10:$D$1388,C31)</f>
        <v>7000000</v>
      </c>
      <c r="G31" s="631">
        <f>SUMIFS(Пр.13!J$10:J$1388,Пр.13!$D$10:$D$1388,C31)</f>
        <v>3500000</v>
      </c>
      <c r="H31" s="631">
        <f>SUMIFS(Пр.13!K$10:K$1388,Пр.13!$D$10:$D$1388,C31)</f>
        <v>0</v>
      </c>
      <c r="I31" s="632">
        <f>SUMIFS(Пр.13!L$10:L$1388,Пр.13!$D$10:$D$1388,C31)</f>
        <v>3500000</v>
      </c>
    </row>
    <row r="32" spans="1:9" ht="48" thickBot="1">
      <c r="A32" s="635" t="s">
        <v>773</v>
      </c>
      <c r="B32" s="630" t="str">
        <f>IF(C32&gt;0,VLOOKUP(C32,Программа!A$2:B$5091,2))</f>
        <v>Обеспечение качества реализации мер по социальной поддержке детей-сирот и детей, оставшихся без попечения родителей</v>
      </c>
      <c r="C32" s="163" t="s">
        <v>590</v>
      </c>
      <c r="D32" s="631">
        <f>SUMIFS(Пр.13!G$10:G$1388,Пр.13!$D$10:$D$1388,C32)</f>
        <v>29132505</v>
      </c>
      <c r="E32" s="631">
        <f>SUMIFS(Пр.13!H$10:H$1388,Пр.13!$D$10:$D$1388,C32)</f>
        <v>0</v>
      </c>
      <c r="F32" s="631">
        <f>SUMIFS(Пр.13!I$10:I$1388,Пр.13!$D$10:$D$1388,C32)</f>
        <v>29132505</v>
      </c>
      <c r="G32" s="631">
        <f>SUMIFS(Пр.13!J$10:J$1388,Пр.13!$D$10:$D$1388,C32)</f>
        <v>28883505</v>
      </c>
      <c r="H32" s="631">
        <f>SUMIFS(Пр.13!K$10:K$1388,Пр.13!$D$10:$D$1388,C32)</f>
        <v>0</v>
      </c>
      <c r="I32" s="632">
        <f>SUMIFS(Пр.13!L$10:L$1388,Пр.13!$D$10:$D$1388,C32)</f>
        <v>28883505</v>
      </c>
    </row>
    <row r="33" spans="1:9" ht="32.25" thickBot="1">
      <c r="A33" s="635"/>
      <c r="B33" s="630" t="str">
        <f>IF(C33&gt;0,VLOOKUP(C33,Программа!A$2:B$5091,2))</f>
        <v>Обеспечение детей организованными формами отдыха и оздоровления</v>
      </c>
      <c r="C33" s="163" t="s">
        <v>1254</v>
      </c>
      <c r="D33" s="631">
        <f>SUMIFS(Пр.13!G$10:G$1388,Пр.13!$D$10:$D$1388,C33)</f>
        <v>5166990</v>
      </c>
      <c r="E33" s="631">
        <f>SUMIFS(Пр.13!H$10:H$1388,Пр.13!$D$10:$D$1388,C33)</f>
        <v>0</v>
      </c>
      <c r="F33" s="631">
        <f>SUMIFS(Пр.13!I$10:I$1388,Пр.13!$D$10:$D$1388,C33)</f>
        <v>5166990</v>
      </c>
      <c r="G33" s="631">
        <f>SUMIFS(Пр.13!J$10:J$1388,Пр.13!$D$10:$D$1388,C33)</f>
        <v>5166990</v>
      </c>
      <c r="H33" s="631">
        <f>SUMIFS(Пр.13!K$10:K$1388,Пр.13!$D$10:$D$1388,C33)</f>
        <v>0</v>
      </c>
      <c r="I33" s="632">
        <f>SUMIFS(Пр.13!L$10:L$1388,Пр.13!$D$10:$D$1388,C33)</f>
        <v>5166990</v>
      </c>
    </row>
    <row r="34" spans="1:9" ht="16.5" thickBot="1">
      <c r="A34" s="635"/>
      <c r="B34" s="630" t="str">
        <f>IF(C34&gt;0,VLOOKUP(C34,Программа!A$2:B$5091,2))</f>
        <v>Обеспечение компенсационных выплат</v>
      </c>
      <c r="C34" s="163" t="s">
        <v>1259</v>
      </c>
      <c r="D34" s="631">
        <f>SUMIFS(Пр.13!G$10:G$1388,Пр.13!$D$10:$D$1388,C34)</f>
        <v>13416786</v>
      </c>
      <c r="E34" s="631">
        <f>SUMIFS(Пр.13!H$10:H$1388,Пр.13!$D$10:$D$1388,C34)</f>
        <v>0</v>
      </c>
      <c r="F34" s="631">
        <f>SUMIFS(Пр.13!I$10:I$1388,Пр.13!$D$10:$D$1388,C34)</f>
        <v>13416786</v>
      </c>
      <c r="G34" s="631">
        <f>SUMIFS(Пр.13!J$10:J$1388,Пр.13!$D$10:$D$1388,C34)</f>
        <v>13416786</v>
      </c>
      <c r="H34" s="631">
        <f>SUMIFS(Пр.13!K$10:K$1388,Пр.13!$D$10:$D$1388,C34)</f>
        <v>0</v>
      </c>
      <c r="I34" s="632">
        <f>SUMIFS(Пр.13!L$10:L$1388,Пр.13!$D$10:$D$1388,C34)</f>
        <v>13416786</v>
      </c>
    </row>
    <row r="35" spans="1:9" ht="32.25" thickBot="1">
      <c r="A35" s="635"/>
      <c r="B35" s="630" t="str">
        <f>IF(C35&gt;0,VLOOKUP(C35,Программа!A$2:B$5091,2))</f>
        <v>Обеспечение эффективности управления системой образования</v>
      </c>
      <c r="C35" s="163" t="s">
        <v>1256</v>
      </c>
      <c r="D35" s="631">
        <f>SUMIFS(Пр.13!G$10:G$1388,Пр.13!$D$10:$D$1388,C35)</f>
        <v>25513212</v>
      </c>
      <c r="E35" s="631">
        <f>SUMIFS(Пр.13!H$10:H$1388,Пр.13!$D$10:$D$1388,C35)</f>
        <v>0</v>
      </c>
      <c r="F35" s="631">
        <f>SUMIFS(Пр.13!I$10:I$1388,Пр.13!$D$10:$D$1388,C35)</f>
        <v>25513212</v>
      </c>
      <c r="G35" s="631">
        <f>SUMIFS(Пр.13!J$10:J$1388,Пр.13!$D$10:$D$1388,C35)</f>
        <v>16513212</v>
      </c>
      <c r="H35" s="631">
        <f>SUMIFS(Пр.13!K$10:K$1388,Пр.13!$D$10:$D$1388,C35)</f>
        <v>0</v>
      </c>
      <c r="I35" s="632">
        <f>SUMIFS(Пр.13!L$10:L$1388,Пр.13!$D$10:$D$1388,C35)</f>
        <v>16513212</v>
      </c>
    </row>
    <row r="36" spans="1:9" s="637" customFormat="1" ht="48" thickBot="1">
      <c r="A36" s="636"/>
      <c r="B36" s="633" t="str">
        <f>IF(C36&gt;0,VLOOKUP(C36,Программа!A$2:B$5091,2))</f>
        <v>Муниципальная целевая программа "Развитие физической культуры и спорта в Тутаевском муниципальном районе"</v>
      </c>
      <c r="C36" s="218" t="s">
        <v>559</v>
      </c>
      <c r="D36" s="634">
        <f>SUMIFS(Пр.13!G$10:G$1388,Пр.13!$D$10:$D$1388,C36)</f>
        <v>34000000</v>
      </c>
      <c r="E36" s="634">
        <f>SUMIFS(Пр.13!H$10:H$1388,Пр.13!$D$10:$D$1388,C36)</f>
        <v>0</v>
      </c>
      <c r="F36" s="631">
        <f>SUMIFS(Пр.13!I$10:I$1388,Пр.13!$D$10:$D$1388,C36)</f>
        <v>34000000</v>
      </c>
      <c r="G36" s="631">
        <f>SUMIFS(Пр.13!J$10:J$1388,Пр.13!$D$10:$D$1388,C36)</f>
        <v>17000000</v>
      </c>
      <c r="H36" s="631">
        <f>SUMIFS(Пр.13!K$10:K$1388,Пр.13!$D$10:$D$1388,C36)</f>
        <v>0</v>
      </c>
      <c r="I36" s="632">
        <f>SUMIFS(Пр.13!L$10:L$1388,Пр.13!$D$10:$D$1388,C36)</f>
        <v>17000000</v>
      </c>
    </row>
    <row r="37" spans="1:9" ht="63.75" thickBot="1">
      <c r="A37" s="635"/>
      <c r="B37" s="638" t="str">
        <f>IF(C37&gt;0,VLOOKUP(C37,Программа!A$2:B$5091,2))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604" t="s">
        <v>615</v>
      </c>
      <c r="D37" s="639">
        <f>SUMIFS(Пр.13!G$10:G$1388,Пр.13!$D$10:$D$1388,C37)</f>
        <v>34000000</v>
      </c>
      <c r="E37" s="639">
        <f>SUMIFS(Пр.13!H$10:H$1388,Пр.13!$D$10:$D$1388,C37)</f>
        <v>0</v>
      </c>
      <c r="F37" s="639">
        <f>SUMIFS(Пр.13!I$10:I$1388,Пр.13!$D$10:$D$1388,C37)</f>
        <v>34000000</v>
      </c>
      <c r="G37" s="639">
        <f>SUMIFS(Пр.13!J$10:J$1388,Пр.13!$D$10:$D$1388,C37)</f>
        <v>17000000</v>
      </c>
      <c r="H37" s="639">
        <f>SUMIFS(Пр.13!K$10:K$1388,Пр.13!$D$10:$D$1388,C37)</f>
        <v>0</v>
      </c>
      <c r="I37" s="640">
        <f>SUMIFS(Пр.13!L$10:L$1388,Пр.13!$D$10:$D$1388,C37)</f>
        <v>17000000</v>
      </c>
    </row>
    <row r="38" spans="1:9" ht="16.5" hidden="1" thickBot="1">
      <c r="A38" s="635"/>
      <c r="B38" s="646" t="str">
        <f>IF(C38&gt;0,VLOOKUP(C38,Программа!A$2:B$5091,2))</f>
        <v>Развитие сети плоскостных спортивных сооружений</v>
      </c>
      <c r="C38" s="224" t="s">
        <v>596</v>
      </c>
      <c r="D38" s="647">
        <f>SUMIFS(Пр.13!G$10:G$1388,Пр.13!$D$10:$D$1388,C38)</f>
        <v>0</v>
      </c>
      <c r="E38" s="647">
        <f>SUMIFS(Пр.13!H$10:H$1388,Пр.13!$D$10:$D$1388,C38)</f>
        <v>0</v>
      </c>
      <c r="F38" s="648">
        <f>SUMIFS(Пр.13!I$10:I$1388,Пр.13!$D$10:$D$1388,C38)</f>
        <v>0</v>
      </c>
      <c r="G38" s="648">
        <f>SUMIFS(Пр.13!J$10:J$1388,Пр.13!$D$10:$D$1388,C38)</f>
        <v>0</v>
      </c>
      <c r="H38" s="648">
        <f>SUMIFS(Пр.13!K$10:K$1388,Пр.13!$D$10:$D$1388,C38)</f>
        <v>0</v>
      </c>
      <c r="I38" s="648">
        <f>SUMIFS(Пр.13!L$10:L$1388,Пр.13!$D$10:$D$1388,C38)</f>
        <v>0</v>
      </c>
    </row>
    <row r="39" spans="1:9" ht="48" thickBot="1">
      <c r="A39" s="635" t="s">
        <v>800</v>
      </c>
      <c r="B39" s="622" t="str">
        <f>IF(C39&gt;0,VLOOKUP(C39,Программа!A$2:B$5091,2))</f>
        <v>Муниципальная программа "Социальная поддержка населения Тутаевского муниципального района"</v>
      </c>
      <c r="C39" s="215" t="s">
        <v>548</v>
      </c>
      <c r="D39" s="617">
        <f>SUMIFS(Пр.13!G$10:G$1388,Пр.13!$D$10:$D$1388,C39)</f>
        <v>419981331</v>
      </c>
      <c r="E39" s="617">
        <f>SUMIFS(Пр.13!H$10:H$1388,Пр.13!$D$10:$D$1388,C39)</f>
        <v>730800</v>
      </c>
      <c r="F39" s="617">
        <f>SUMIFS(Пр.13!I$10:I$1388,Пр.13!$D$10:$D$1388,C39)</f>
        <v>420712131</v>
      </c>
      <c r="G39" s="617">
        <f>SUMIFS(Пр.13!J$10:J$1388,Пр.13!$D$10:$D$1388,C39)</f>
        <v>422880431</v>
      </c>
      <c r="H39" s="617">
        <f>SUMIFS(Пр.13!K$10:K$1388,Пр.13!$D$10:$D$1388,C39)</f>
        <v>730800</v>
      </c>
      <c r="I39" s="623">
        <f>SUMIFS(Пр.13!L$10:L$1388,Пр.13!$D$10:$D$1388,C39)</f>
        <v>423611231</v>
      </c>
    </row>
    <row r="40" spans="1:9" ht="48" thickBot="1">
      <c r="A40" s="635"/>
      <c r="B40" s="626" t="str">
        <f>IF(C40&gt;0,VLOOKUP(C40,Программа!A$2:B$5091,2))</f>
        <v xml:space="preserve">Ведомственная целевая программа «Социальная поддержка населения Тутаевского муниципального района» </v>
      </c>
      <c r="C40" s="223" t="s">
        <v>620</v>
      </c>
      <c r="D40" s="627">
        <f>SUMIFS(Пр.13!G$10:G$1388,Пр.13!$D$10:$D$1388,C40)</f>
        <v>419981331</v>
      </c>
      <c r="E40" s="627">
        <f>SUMIFS(Пр.13!H$10:H$1388,Пр.13!$D$10:$D$1388,C40)</f>
        <v>730800</v>
      </c>
      <c r="F40" s="628">
        <f>SUMIFS(Пр.13!I$10:I$1388,Пр.13!$D$10:$D$1388,C40)</f>
        <v>420712131</v>
      </c>
      <c r="G40" s="628">
        <f>SUMIFS(Пр.13!J$10:J$1388,Пр.13!$D$10:$D$1388,C40)</f>
        <v>422880431</v>
      </c>
      <c r="H40" s="628">
        <f>SUMIFS(Пр.13!K$10:K$1388,Пр.13!$D$10:$D$1388,C40)</f>
        <v>730800</v>
      </c>
      <c r="I40" s="629">
        <f>SUMIFS(Пр.13!L$10:L$1388,Пр.13!$D$10:$D$1388,C40)</f>
        <v>423611231</v>
      </c>
    </row>
    <row r="41" spans="1:9" ht="32.25" thickBot="1">
      <c r="A41" s="635"/>
      <c r="B41" s="630" t="str">
        <f>IF(C41&gt;0,VLOOKUP(C41,Программа!A$2:B$5091,2))</f>
        <v>Исполнение публичных обязательств по предоставлению выплат, пособий и компенсаций</v>
      </c>
      <c r="C41" s="163" t="s">
        <v>622</v>
      </c>
      <c r="D41" s="631">
        <f>SUMIFS(Пр.13!G$10:G$1388,Пр.13!$D$10:$D$1388,C41)</f>
        <v>339261291</v>
      </c>
      <c r="E41" s="631">
        <f>SUMIFS(Пр.13!H$10:H$1388,Пр.13!$D$10:$D$1388,C41)</f>
        <v>-61487720</v>
      </c>
      <c r="F41" s="631">
        <f>SUMIFS(Пр.13!I$10:I$1388,Пр.13!$D$10:$D$1388,C41)</f>
        <v>277773571</v>
      </c>
      <c r="G41" s="631">
        <f>SUMIFS(Пр.13!J$10:J$1388,Пр.13!$D$10:$D$1388,C41)</f>
        <v>342360391</v>
      </c>
      <c r="H41" s="631">
        <f>SUMIFS(Пр.13!K$10:K$1388,Пр.13!$D$10:$D$1388,C41)</f>
        <v>-63406020</v>
      </c>
      <c r="I41" s="632">
        <f>SUMIFS(Пр.13!L$10:L$1388,Пр.13!$D$10:$D$1388,C41)</f>
        <v>278954371</v>
      </c>
    </row>
    <row r="42" spans="1:9" ht="48" thickBot="1">
      <c r="A42" s="635"/>
      <c r="B42" s="630" t="str">
        <f>IF(C42&gt;0,VLOOKUP(C42,Программа!A$2:B$5091,2))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163" t="s">
        <v>625</v>
      </c>
      <c r="D42" s="631">
        <f>SUMIFS(Пр.13!G$10:G$1388,Пр.13!$D$10:$D$1388,C42)</f>
        <v>79748040</v>
      </c>
      <c r="E42" s="631">
        <f>SUMIFS(Пр.13!H$10:H$1388,Пр.13!$D$10:$D$1388,C42)</f>
        <v>0</v>
      </c>
      <c r="F42" s="631">
        <f>SUMIFS(Пр.13!I$10:I$1388,Пр.13!$D$10:$D$1388,C42)</f>
        <v>79748040</v>
      </c>
      <c r="G42" s="631">
        <f>SUMIFS(Пр.13!J$10:J$1388,Пр.13!$D$10:$D$1388,C42)</f>
        <v>79748040</v>
      </c>
      <c r="H42" s="631">
        <f>SUMIFS(Пр.13!K$10:K$1388,Пр.13!$D$10:$D$1388,C42)</f>
        <v>0</v>
      </c>
      <c r="I42" s="632">
        <f>SUMIFS(Пр.13!L$10:L$1388,Пр.13!$D$10:$D$1388,C42)</f>
        <v>79748040</v>
      </c>
    </row>
    <row r="43" spans="1:9" ht="48" thickBot="1">
      <c r="A43" s="635" t="s">
        <v>72</v>
      </c>
      <c r="B43" s="630" t="str">
        <f>IF(C43&gt;0,VLOOKUP(C43,Программа!A$2:B$5091,2))</f>
        <v>Социальная защита семей с детьми, инвалидов, ветеранов, граждан и детей, оказавшихся в трудной жизненной ситуации</v>
      </c>
      <c r="C43" s="163" t="s">
        <v>640</v>
      </c>
      <c r="D43" s="631">
        <f>SUMIFS(Пр.13!G$10:G$1388,Пр.13!$D$10:$D$1388,C43)</f>
        <v>200000</v>
      </c>
      <c r="E43" s="631">
        <f>SUMIFS(Пр.13!H$10:H$1388,Пр.13!$D$10:$D$1388,C43)</f>
        <v>4559320</v>
      </c>
      <c r="F43" s="631">
        <f>SUMIFS(Пр.13!I$10:I$1388,Пр.13!$D$10:$D$1388,C43)</f>
        <v>4759320</v>
      </c>
      <c r="G43" s="631">
        <f>SUMIFS(Пр.13!J$10:J$1388,Пр.13!$D$10:$D$1388,C43)</f>
        <v>0</v>
      </c>
      <c r="H43" s="631">
        <f>SUMIFS(Пр.13!K$10:K$1388,Пр.13!$D$10:$D$1388,C43)</f>
        <v>4559320</v>
      </c>
      <c r="I43" s="632">
        <f>SUMIFS(Пр.13!L$10:L$1388,Пр.13!$D$10:$D$1388,C43)</f>
        <v>4559320</v>
      </c>
    </row>
    <row r="44" spans="1:9" ht="32.25" thickBot="1">
      <c r="A44" s="635"/>
      <c r="B44" s="674" t="str">
        <f>IF(C44&gt;0,VLOOKUP(C44,Программа!A$2:B$5091,2))</f>
        <v>Информационное обеспечение реализации мероприятий программы</v>
      </c>
      <c r="C44" s="222" t="s">
        <v>1408</v>
      </c>
      <c r="D44" s="644">
        <f>SUMIFS(Пр.13!G$10:G$1388,Пр.13!$D$10:$D$1388,C44)</f>
        <v>772000</v>
      </c>
      <c r="E44" s="644">
        <f>SUMIFS(Пр.13!H$10:H$1388,Пр.13!$D$10:$D$1388,C44)</f>
        <v>0</v>
      </c>
      <c r="F44" s="644">
        <f>SUMIFS(Пр.13!I$10:I$1388,Пр.13!$D$10:$D$1388,C44)</f>
        <v>772000</v>
      </c>
      <c r="G44" s="644">
        <f>SUMIFS(Пр.13!J$10:J$1388,Пр.13!$D$10:$D$1388,C44)</f>
        <v>772000</v>
      </c>
      <c r="H44" s="644">
        <f>SUMIFS(Пр.13!K$10:K$1388,Пр.13!$D$10:$D$1388,C44)</f>
        <v>0</v>
      </c>
      <c r="I44" s="675">
        <f>SUMIFS(Пр.13!L$10:L$1388,Пр.13!$D$10:$D$1388,C44)</f>
        <v>772000</v>
      </c>
    </row>
    <row r="45" spans="1:9" ht="32.25" thickBot="1">
      <c r="A45" s="635"/>
      <c r="B45" s="674" t="str">
        <f>IF(C45&gt;0,VLOOKUP(C45,Программа!A$2:B$5091,2))</f>
        <v>Федеральный проект "Финансовая поддержка при рождении детей"</v>
      </c>
      <c r="C45" s="163" t="s">
        <v>1812</v>
      </c>
      <c r="D45" s="631"/>
      <c r="E45" s="631"/>
      <c r="F45" s="644">
        <f>SUMIFS(Пр.13!I$10:I$1388,Пр.13!$D$10:$D$1388,C45)</f>
        <v>57659200</v>
      </c>
      <c r="G45" s="631"/>
      <c r="H45" s="631"/>
      <c r="I45" s="675">
        <f>SUMIFS(Пр.13!L$10:L$1388,Пр.13!$D$10:$D$1388,C45)</f>
        <v>59577500</v>
      </c>
    </row>
    <row r="46" spans="1:9" ht="16.5" hidden="1" thickBot="1">
      <c r="A46" s="635"/>
      <c r="B46" s="674" t="str">
        <f>IF(C46&gt;0,VLOOKUP(C46,Программа!A$2:B$5091,2))</f>
        <v>Федеральный проект "Старшее поколение"</v>
      </c>
      <c r="C46" s="222" t="s">
        <v>1813</v>
      </c>
      <c r="D46" s="644"/>
      <c r="E46" s="644"/>
      <c r="F46" s="644">
        <f>SUMIFS(Пр.13!I$10:I$1388,Пр.13!$D$10:$D$1388,C46)</f>
        <v>0</v>
      </c>
      <c r="G46" s="644"/>
      <c r="H46" s="644"/>
      <c r="I46" s="675">
        <f>SUMIFS(Пр.13!L$10:L$1388,Пр.13!$D$10:$D$1388,C46)</f>
        <v>0</v>
      </c>
    </row>
    <row r="47" spans="1:9" ht="48" hidden="1" thickBot="1">
      <c r="A47" s="635" t="s">
        <v>806</v>
      </c>
      <c r="B47" s="656" t="str">
        <f>IF(C47&gt;0,VLOOKUP(C47,Программа!A$2:B$5091,2))</f>
        <v>Муниципальная целевая программа "Улучшение условий и охраны труда" по Тутаевскому муниципальному району</v>
      </c>
      <c r="C47" s="218" t="s">
        <v>550</v>
      </c>
      <c r="D47" s="634">
        <f>SUMIFS(Пр.13!G$10:G$1388,Пр.13!$D$10:$D$1388,C47)</f>
        <v>0</v>
      </c>
      <c r="E47" s="634">
        <f>SUMIFS(Пр.13!H$10:H$1388,Пр.13!$D$10:$D$1388,C47)</f>
        <v>0</v>
      </c>
      <c r="F47" s="650">
        <f>SUMIFS(Пр.13!I$10:I$1388,Пр.13!$D$10:$D$1388,C47)</f>
        <v>0</v>
      </c>
      <c r="G47" s="650">
        <f>SUMIFS(Пр.13!J$10:J$1388,Пр.13!$D$10:$D$1388,C47)</f>
        <v>0</v>
      </c>
      <c r="H47" s="650">
        <f>SUMIFS(Пр.13!K$10:K$1388,Пр.13!$D$10:$D$1388,C47)</f>
        <v>0</v>
      </c>
      <c r="I47" s="650">
        <f>SUMIFS(Пр.13!L$10:L$1388,Пр.13!$D$10:$D$1388,C47)</f>
        <v>0</v>
      </c>
    </row>
    <row r="48" spans="1:9" ht="48" hidden="1" thickBot="1">
      <c r="A48" s="635"/>
      <c r="B48" s="649" t="str">
        <f>IF(C48&gt;0,VLOOKUP(C48,Программа!A$2:B$5091,2))</f>
        <v>Специальная оценка условий труда работающих в организациях, расположенных на территории Тутаевского муниципального района</v>
      </c>
      <c r="C48" s="163" t="s">
        <v>551</v>
      </c>
      <c r="D48" s="631">
        <f>SUMIFS(Пр.13!G$10:G$1388,Пр.13!$D$10:$D$1388,C48)</f>
        <v>0</v>
      </c>
      <c r="E48" s="631">
        <f>SUMIFS(Пр.13!H$10:H$1388,Пр.13!$D$10:$D$1388,C48)</f>
        <v>0</v>
      </c>
      <c r="F48" s="650">
        <f>SUMIFS(Пр.13!I$10:I$1388,Пр.13!$D$10:$D$1388,C48)</f>
        <v>0</v>
      </c>
      <c r="G48" s="650">
        <f>SUMIFS(Пр.13!J$10:J$1388,Пр.13!$D$10:$D$1388,C48)</f>
        <v>0</v>
      </c>
      <c r="H48" s="650">
        <f>SUMIFS(Пр.13!K$10:K$1388,Пр.13!$D$10:$D$1388,C48)</f>
        <v>0</v>
      </c>
      <c r="I48" s="650">
        <f>SUMIFS(Пр.13!L$10:L$1388,Пр.13!$D$10:$D$1388,C48)</f>
        <v>0</v>
      </c>
    </row>
    <row r="49" spans="1:9" ht="16.5" hidden="1" thickBot="1">
      <c r="A49" s="635"/>
      <c r="B49" s="649" t="str">
        <f>IF(C49&gt;0,VLOOKUP(C49,Программа!A$2:B$5091,2))</f>
        <v>Муниципальная программа "Доступная среда "</v>
      </c>
      <c r="C49" s="603" t="s">
        <v>685</v>
      </c>
      <c r="D49" s="650">
        <f>SUMIFS(Пр.13!G$10:G$1388,Пр.13!$D$10:$D$1388,C49)</f>
        <v>0</v>
      </c>
      <c r="E49" s="650">
        <f>SUMIFS(Пр.13!H$10:H$1388,Пр.13!$D$10:$D$1388,C49)</f>
        <v>0</v>
      </c>
      <c r="F49" s="650">
        <f>SUMIFS(Пр.13!I$10:I$1388,Пр.13!$D$10:$D$1388,C49)</f>
        <v>0</v>
      </c>
      <c r="G49" s="650">
        <f>SUMIFS(Пр.13!J$10:J$1388,Пр.13!$D$10:$D$1388,C49)</f>
        <v>0</v>
      </c>
      <c r="H49" s="650">
        <f>SUMIFS(Пр.13!K$10:K$1388,Пр.13!$D$10:$D$1388,C49)</f>
        <v>0</v>
      </c>
      <c r="I49" s="650">
        <f>SUMIFS(Пр.13!L$10:L$1388,Пр.13!$D$10:$D$1388,C49)</f>
        <v>0</v>
      </c>
    </row>
    <row r="50" spans="1:9" ht="63.75" hidden="1" thickBot="1">
      <c r="A50" s="635" t="s">
        <v>43</v>
      </c>
      <c r="B50" s="643" t="str">
        <f>IF(C50&gt;0,VLOOKUP(C50,Программа!A$2:B$5091,2))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0" s="222" t="s">
        <v>687</v>
      </c>
      <c r="D50" s="644">
        <f>SUMIFS(Пр.13!G$10:G$1388,Пр.13!$D$10:$D$1388,C50)</f>
        <v>0</v>
      </c>
      <c r="E50" s="644">
        <f>SUMIFS(Пр.13!H$10:H$1388,Пр.13!$D$10:$D$1388,C50)</f>
        <v>0</v>
      </c>
      <c r="F50" s="645">
        <f>SUMIFS(Пр.13!I$10:I$1388,Пр.13!$D$10:$D$1388,C50)</f>
        <v>0</v>
      </c>
      <c r="G50" s="645">
        <f>SUMIFS(Пр.13!J$10:J$1388,Пр.13!$D$10:$D$1388,C50)</f>
        <v>0</v>
      </c>
      <c r="H50" s="645">
        <f>SUMIFS(Пр.13!K$10:K$1388,Пр.13!$D$10:$D$1388,C50)</f>
        <v>0</v>
      </c>
      <c r="I50" s="645">
        <f>SUMIFS(Пр.13!L$10:L$1388,Пр.13!$D$10:$D$1388,C50)</f>
        <v>0</v>
      </c>
    </row>
    <row r="51" spans="1:9" ht="48" thickBot="1">
      <c r="A51" s="635" t="s">
        <v>817</v>
      </c>
      <c r="B51" s="622" t="str">
        <f>IF(C51&gt;0,VLOOKUP(C51,Программа!A$2:B$5091,2))</f>
        <v>Муниципальная программа "Обеспечение качественными коммунальными услугами населения Тутаевского муниципального района"</v>
      </c>
      <c r="C51" s="215" t="s">
        <v>703</v>
      </c>
      <c r="D51" s="617">
        <f>SUMIFS(Пр.13!G$10:G$1388,Пр.13!$D$10:$D$1388,C51)</f>
        <v>19389547</v>
      </c>
      <c r="E51" s="617">
        <f>SUMIFS(Пр.13!H$10:H$1388,Пр.13!$D$10:$D$1388,C51)</f>
        <v>0</v>
      </c>
      <c r="F51" s="617">
        <f>SUMIFS(Пр.13!I$10:I$1388,Пр.13!$D$10:$D$1388,C51)</f>
        <v>19389547</v>
      </c>
      <c r="G51" s="617">
        <f>SUMIFS(Пр.13!J$10:J$1388,Пр.13!$D$10:$D$1388,C51)</f>
        <v>2000000</v>
      </c>
      <c r="H51" s="617">
        <f>SUMIFS(Пр.13!K$10:K$1388,Пр.13!$D$10:$D$1388,C51)</f>
        <v>0</v>
      </c>
      <c r="I51" s="623">
        <f>SUMIFS(Пр.13!L$10:L$1388,Пр.13!$D$10:$D$1388,C51)</f>
        <v>2000000</v>
      </c>
    </row>
    <row r="52" spans="1:9" ht="63.75" hidden="1" thickBot="1">
      <c r="A52" s="635" t="s">
        <v>55</v>
      </c>
      <c r="B52" s="626" t="str">
        <f>IF(C52&gt;0,VLOOKUP(C52,Программа!A$2:B$5091,2))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2" s="223" t="s">
        <v>705</v>
      </c>
      <c r="D52" s="627">
        <f>SUMIFS(Пр.13!G$10:G$1388,Пр.13!$D$10:$D$1388,C52)</f>
        <v>0</v>
      </c>
      <c r="E52" s="627">
        <f>SUMIFS(Пр.13!H$10:H$1388,Пр.13!$D$10:$D$1388,C52)</f>
        <v>0</v>
      </c>
      <c r="F52" s="642">
        <f>SUMIFS(Пр.13!I$10:I$1388,Пр.13!$D$10:$D$1388,C52)</f>
        <v>0</v>
      </c>
      <c r="G52" s="642">
        <f>SUMIFS(Пр.13!J$10:J$1388,Пр.13!$D$10:$D$1388,C52)</f>
        <v>0</v>
      </c>
      <c r="H52" s="642">
        <f>SUMIFS(Пр.13!K$10:K$1388,Пр.13!$D$10:$D$1388,C52)</f>
        <v>0</v>
      </c>
      <c r="I52" s="651">
        <f>SUMIFS(Пр.13!L$10:L$1388,Пр.13!$D$10:$D$1388,C52)</f>
        <v>0</v>
      </c>
    </row>
    <row r="53" spans="1:9" ht="79.5" hidden="1" thickBot="1">
      <c r="A53" s="635" t="s">
        <v>821</v>
      </c>
      <c r="B53" s="630" t="str">
        <f>IF(C53&gt;0,VLOOKUP(C53,Программа!A$2:B$5091,2))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3" s="163" t="s">
        <v>731</v>
      </c>
      <c r="D53" s="631">
        <f>SUMIFS(Пр.13!G$10:G$1388,Пр.13!$D$10:$D$1388,C53)</f>
        <v>0</v>
      </c>
      <c r="E53" s="631">
        <f>SUMIFS(Пр.13!H$10:H$1388,Пр.13!$D$10:$D$1388,C53)</f>
        <v>0</v>
      </c>
      <c r="F53" s="650">
        <f>SUMIFS(Пр.13!I$10:I$1388,Пр.13!$D$10:$D$1388,C53)</f>
        <v>0</v>
      </c>
      <c r="G53" s="650">
        <f>SUMIFS(Пр.13!J$10:J$1388,Пр.13!$D$10:$D$1388,C53)</f>
        <v>0</v>
      </c>
      <c r="H53" s="650">
        <f>SUMIFS(Пр.13!K$10:K$1388,Пр.13!$D$10:$D$1388,C53)</f>
        <v>0</v>
      </c>
      <c r="I53" s="652">
        <f>SUMIFS(Пр.13!L$10:L$1388,Пр.13!$D$10:$D$1388,C53)</f>
        <v>0</v>
      </c>
    </row>
    <row r="54" spans="1:9" ht="48" hidden="1" thickBot="1">
      <c r="A54" s="635" t="s">
        <v>60</v>
      </c>
      <c r="B54" s="630" t="str">
        <f>IF(C54&gt;0,VLOOKUP(C54,Программа!A$2:B$5091,2))</f>
        <v>Обеспечение надежного снабжения  твердым топливом  сельского населения, путем частичного возмещения расходов</v>
      </c>
      <c r="C54" s="163" t="s">
        <v>706</v>
      </c>
      <c r="D54" s="631">
        <f>SUMIFS(Пр.13!G$10:G$1388,Пр.13!$D$10:$D$1388,C54)</f>
        <v>0</v>
      </c>
      <c r="E54" s="631">
        <f>SUMIFS(Пр.13!H$10:H$1388,Пр.13!$D$10:$D$1388,C54)</f>
        <v>0</v>
      </c>
      <c r="F54" s="650">
        <f>SUMIFS(Пр.13!I$10:I$1388,Пр.13!$D$10:$D$1388,C54)</f>
        <v>0</v>
      </c>
      <c r="G54" s="650">
        <f>SUMIFS(Пр.13!J$10:J$1388,Пр.13!$D$10:$D$1388,C54)</f>
        <v>0</v>
      </c>
      <c r="H54" s="650">
        <f>SUMIFS(Пр.13!K$10:K$1388,Пр.13!$D$10:$D$1388,C54)</f>
        <v>0</v>
      </c>
      <c r="I54" s="652">
        <f>SUMIFS(Пр.13!L$10:L$1388,Пр.13!$D$10:$D$1388,C54)</f>
        <v>0</v>
      </c>
    </row>
    <row r="55" spans="1:9" ht="63.75" thickBot="1">
      <c r="A55" s="635" t="s">
        <v>846</v>
      </c>
      <c r="B55" s="633" t="str">
        <f>IF(C55&gt;0,VLOOKUP(C55,Программа!A$2:B$5091,2))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5" s="218" t="s">
        <v>734</v>
      </c>
      <c r="D55" s="634">
        <f>SUMIFS(Пр.13!G$10:G$1388,Пр.13!$D$10:$D$1388,C55)</f>
        <v>19048000</v>
      </c>
      <c r="E55" s="634">
        <f>SUMIFS(Пр.13!H$10:H$1388,Пр.13!$D$10:$D$1388,C55)</f>
        <v>0</v>
      </c>
      <c r="F55" s="631">
        <f>SUMIFS(Пр.13!I$10:I$1388,Пр.13!$D$10:$D$1388,C55)</f>
        <v>19048000</v>
      </c>
      <c r="G55" s="631">
        <f>SUMIFS(Пр.13!J$10:J$1388,Пр.13!$D$10:$D$1388,C55)</f>
        <v>2000000</v>
      </c>
      <c r="H55" s="631">
        <f>SUMIFS(Пр.13!K$10:K$1388,Пр.13!$D$10:$D$1388,C55)</f>
        <v>0</v>
      </c>
      <c r="I55" s="632">
        <f>SUMIFS(Пр.13!L$10:L$1388,Пр.13!$D$10:$D$1388,C55)</f>
        <v>2000000</v>
      </c>
    </row>
    <row r="56" spans="1:9" ht="32.25" thickBot="1">
      <c r="A56" s="635" t="s">
        <v>65</v>
      </c>
      <c r="B56" s="630" t="str">
        <f>IF(C56&gt;0,VLOOKUP(C56,Программа!A$2:B$5091,2))</f>
        <v>Повышение уровня газификации и модернизации объектов социальной сферы</v>
      </c>
      <c r="C56" s="163" t="s">
        <v>735</v>
      </c>
      <c r="D56" s="631">
        <f>SUMIFS(Пр.13!G$10:G$1388,Пр.13!$D$10:$D$1388,C56)</f>
        <v>7408000</v>
      </c>
      <c r="E56" s="631">
        <f>SUMIFS(Пр.13!H$10:H$1388,Пр.13!$D$10:$D$1388,C56)</f>
        <v>0</v>
      </c>
      <c r="F56" s="631">
        <f>SUMIFS(Пр.13!I$10:I$1388,Пр.13!$D$10:$D$1388,C56)</f>
        <v>7408000</v>
      </c>
      <c r="G56" s="631">
        <f>SUMIFS(Пр.13!J$10:J$1388,Пр.13!$D$10:$D$1388,C56)</f>
        <v>0</v>
      </c>
      <c r="H56" s="631">
        <f>SUMIFS(Пр.13!K$10:K$1388,Пр.13!$D$10:$D$1388,C56)</f>
        <v>0</v>
      </c>
      <c r="I56" s="632">
        <f>SUMIFS(Пр.13!L$10:L$1388,Пр.13!$D$10:$D$1388,C56)</f>
        <v>0</v>
      </c>
    </row>
    <row r="57" spans="1:9" ht="63.75" thickBot="1">
      <c r="A57" s="635" t="s">
        <v>847</v>
      </c>
      <c r="B57" s="630" t="str">
        <f>IF(C57&gt;0,VLOOKUP(C57,Программа!A$2:B$5091,2))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7" s="163" t="s">
        <v>776</v>
      </c>
      <c r="D57" s="631">
        <f>SUMIFS(Пр.13!G$10:G$1388,Пр.13!$D$10:$D$1388,C57)</f>
        <v>11640000</v>
      </c>
      <c r="E57" s="631">
        <f>SUMIFS(Пр.13!H$10:H$1388,Пр.13!$D$10:$D$1388,C57)</f>
        <v>0</v>
      </c>
      <c r="F57" s="631">
        <f>SUMIFS(Пр.13!I$10:I$1388,Пр.13!$D$10:$D$1388,C57)</f>
        <v>11640000</v>
      </c>
      <c r="G57" s="631">
        <f>SUMIFS(Пр.13!J$10:J$1388,Пр.13!$D$10:$D$1388,C57)</f>
        <v>2000000</v>
      </c>
      <c r="H57" s="631">
        <f>SUMIFS(Пр.13!K$10:K$1388,Пр.13!$D$10:$D$1388,C57)</f>
        <v>0</v>
      </c>
      <c r="I57" s="632">
        <f>SUMIFS(Пр.13!L$10:L$1388,Пр.13!$D$10:$D$1388,C57)</f>
        <v>2000000</v>
      </c>
    </row>
    <row r="58" spans="1:9" ht="63.75" thickBot="1">
      <c r="A58" s="635" t="s">
        <v>848</v>
      </c>
      <c r="B58" s="633" t="str">
        <f>IF(C58&gt;0,VLOOKUP(C58,Программа!A$2:B$5091,2))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8" s="218" t="s">
        <v>738</v>
      </c>
      <c r="D58" s="634">
        <f>SUMIFS(Пр.13!G$10:G$1388,Пр.13!$D$10:$D$1388,C58)</f>
        <v>341547</v>
      </c>
      <c r="E58" s="634">
        <f>SUMIFS(Пр.13!H$10:H$1388,Пр.13!$D$10:$D$1388,C58)</f>
        <v>0</v>
      </c>
      <c r="F58" s="631">
        <f>SUMIFS(Пр.13!I$10:I$1388,Пр.13!$D$10:$D$1388,C58)</f>
        <v>341547</v>
      </c>
      <c r="G58" s="631">
        <f>SUMIFS(Пр.13!J$10:J$1388,Пр.13!$D$10:$D$1388,C58)</f>
        <v>0</v>
      </c>
      <c r="H58" s="631">
        <f>SUMIFS(Пр.13!K$10:K$1388,Пр.13!$D$10:$D$1388,C58)</f>
        <v>0</v>
      </c>
      <c r="I58" s="632">
        <f>SUMIFS(Пр.13!L$10:L$1388,Пр.13!$D$10:$D$1388,C58)</f>
        <v>0</v>
      </c>
    </row>
    <row r="59" spans="1:9" ht="48" thickBot="1">
      <c r="A59" s="635" t="s">
        <v>849</v>
      </c>
      <c r="B59" s="638" t="str">
        <f>IF(C59&gt;0,VLOOKUP(C59,Программа!A$2:B$5091,2))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9" s="604" t="s">
        <v>739</v>
      </c>
      <c r="D59" s="639">
        <f>SUMIFS(Пр.13!G$10:G$1388,Пр.13!$D$10:$D$1388,C59)</f>
        <v>341547</v>
      </c>
      <c r="E59" s="639">
        <f>SUMIFS(Пр.13!H$10:H$1388,Пр.13!$D$10:$D$1388,C59)</f>
        <v>0</v>
      </c>
      <c r="F59" s="639">
        <f>SUMIFS(Пр.13!I$10:I$1388,Пр.13!$D$10:$D$1388,C59)</f>
        <v>341547</v>
      </c>
      <c r="G59" s="639">
        <f>SUMIFS(Пр.13!J$10:J$1388,Пр.13!$D$10:$D$1388,C59)</f>
        <v>0</v>
      </c>
      <c r="H59" s="639">
        <f>SUMIFS(Пр.13!K$10:K$1388,Пр.13!$D$10:$D$1388,C59)</f>
        <v>0</v>
      </c>
      <c r="I59" s="640">
        <f>SUMIFS(Пр.13!L$10:L$1388,Пр.13!$D$10:$D$1388,C59)</f>
        <v>0</v>
      </c>
    </row>
    <row r="60" spans="1:9" ht="48" hidden="1" thickBot="1">
      <c r="A60" s="635"/>
      <c r="B60" s="655" t="str">
        <f>IF(C60&gt;0,VLOOKUP(C60,Программа!A$2:B$5091,2))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225" t="s">
        <v>777</v>
      </c>
      <c r="D60" s="628">
        <f>SUMIFS(Пр.13!G$10:G$1388,Пр.13!$D$10:$D$1388,C60)</f>
        <v>0</v>
      </c>
      <c r="E60" s="628">
        <f>SUMIFS(Пр.13!H$10:H$1388,Пр.13!$D$10:$D$1388,C60)</f>
        <v>0</v>
      </c>
      <c r="F60" s="642">
        <f>SUMIFS(Пр.13!I$10:I$1388,Пр.13!$D$10:$D$1388,C60)</f>
        <v>0</v>
      </c>
      <c r="G60" s="642">
        <f>SUMIFS(Пр.13!J$10:J$1388,Пр.13!$D$10:$D$1388,C60)</f>
        <v>0</v>
      </c>
      <c r="H60" s="642">
        <f>SUMIFS(Пр.13!K$10:K$1388,Пр.13!$D$10:$D$1388,C60)</f>
        <v>0</v>
      </c>
      <c r="I60" s="642">
        <f>SUMIFS(Пр.13!L$10:L$1388,Пр.13!$D$10:$D$1388,C60)</f>
        <v>0</v>
      </c>
    </row>
    <row r="61" spans="1:9" ht="63" hidden="1">
      <c r="B61" s="656" t="str">
        <f>IF(C61&gt;0,VLOOKUP(C61,Программа!A$2:B$5091,2))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1" s="218" t="s">
        <v>741</v>
      </c>
      <c r="D61" s="634">
        <f>SUMIFS(Пр.13!G$10:G$1388,Пр.13!$D$10:$D$1388,C61)</f>
        <v>0</v>
      </c>
      <c r="E61" s="634">
        <f>SUMIFS(Пр.13!H$10:H$1388,Пр.13!$D$10:$D$1388,C61)</f>
        <v>0</v>
      </c>
      <c r="F61" s="650">
        <f>SUMIFS(Пр.13!I$10:I$1388,Пр.13!$D$10:$D$1388,C61)</f>
        <v>0</v>
      </c>
      <c r="G61" s="650">
        <f>SUMIFS(Пр.13!J$10:J$1388,Пр.13!$D$10:$D$1388,C61)</f>
        <v>0</v>
      </c>
      <c r="H61" s="650">
        <f>SUMIFS(Пр.13!K$10:K$1388,Пр.13!$D$10:$D$1388,C61)</f>
        <v>0</v>
      </c>
      <c r="I61" s="650">
        <f>SUMIFS(Пр.13!L$10:L$1388,Пр.13!$D$10:$D$1388,C61)</f>
        <v>0</v>
      </c>
    </row>
    <row r="62" spans="1:9" ht="31.5" hidden="1">
      <c r="B62" s="649" t="str">
        <f>IF(C62&gt;0,VLOOKUP(C62,Программа!A$2:B$5091,2))</f>
        <v>Проведение комплекса работ по ремонту, замене и реконструкции объектов теплоснабжения</v>
      </c>
      <c r="C62" s="163" t="s">
        <v>743</v>
      </c>
      <c r="D62" s="631">
        <f>SUMIFS(Пр.13!G$10:G$1388,Пр.13!$D$10:$D$1388,C62)</f>
        <v>0</v>
      </c>
      <c r="E62" s="631">
        <f>SUMIFS(Пр.13!H$10:H$1388,Пр.13!$D$10:$D$1388,C62)</f>
        <v>0</v>
      </c>
      <c r="F62" s="650">
        <f>SUMIFS(Пр.13!I$10:I$1388,Пр.13!$D$10:$D$1388,C62)</f>
        <v>0</v>
      </c>
      <c r="G62" s="650">
        <f>SUMIFS(Пр.13!J$10:J$1388,Пр.13!$D$10:$D$1388,C62)</f>
        <v>0</v>
      </c>
      <c r="H62" s="650">
        <f>SUMIFS(Пр.13!K$10:K$1388,Пр.13!$D$10:$D$1388,C62)</f>
        <v>0</v>
      </c>
      <c r="I62" s="650">
        <f>SUMIFS(Пр.13!L$10:L$1388,Пр.13!$D$10:$D$1388,C62)</f>
        <v>0</v>
      </c>
    </row>
    <row r="63" spans="1:9" ht="47.25" hidden="1">
      <c r="B63" s="649" t="str">
        <f>IF(C63&gt;0,VLOOKUP(C63,Программа!A$2:B$5091,2))</f>
        <v>Проведение комплекса работ по ремонту, замене и реконструкции объектов водоснабжения, водоотведения и очистки сточных вод</v>
      </c>
      <c r="C63" s="163" t="s">
        <v>746</v>
      </c>
      <c r="D63" s="631">
        <f>SUMIFS(Пр.13!G$10:G$1388,Пр.13!$D$10:$D$1388,C63)</f>
        <v>0</v>
      </c>
      <c r="E63" s="631">
        <f>SUMIFS(Пр.13!H$10:H$1388,Пр.13!$D$10:$D$1388,C63)</f>
        <v>0</v>
      </c>
      <c r="F63" s="650">
        <f>SUMIFS(Пр.13!I$10:I$1388,Пр.13!$D$10:$D$1388,C63)</f>
        <v>0</v>
      </c>
      <c r="G63" s="650">
        <f>SUMIFS(Пр.13!J$10:J$1388,Пр.13!$D$10:$D$1388,C63)</f>
        <v>0</v>
      </c>
      <c r="H63" s="650">
        <f>SUMIFS(Пр.13!K$10:K$1388,Пр.13!$D$10:$D$1388,C63)</f>
        <v>0</v>
      </c>
      <c r="I63" s="650">
        <f>SUMIFS(Пр.13!L$10:L$1388,Пр.13!$D$10:$D$1388,C63)</f>
        <v>0</v>
      </c>
    </row>
    <row r="64" spans="1:9" ht="31.5" hidden="1">
      <c r="B64" s="649" t="str">
        <f>IF(C64&gt;0,VLOOKUP(C64,Программа!A$2:B$5091,2))</f>
        <v>Проведение комплекса работ по ремонту, замене и реконструкции объектов газоснабжения</v>
      </c>
      <c r="C64" s="163" t="s">
        <v>748</v>
      </c>
      <c r="D64" s="631">
        <f>SUMIFS(Пр.13!G$10:G$1388,Пр.13!$D$10:$D$1388,C64)</f>
        <v>0</v>
      </c>
      <c r="E64" s="631">
        <f>SUMIFS(Пр.13!H$10:H$1388,Пр.13!$D$10:$D$1388,C64)</f>
        <v>0</v>
      </c>
      <c r="F64" s="650">
        <f>SUMIFS(Пр.13!I$10:I$1388,Пр.13!$D$10:$D$1388,C64)</f>
        <v>0</v>
      </c>
      <c r="G64" s="650">
        <f>SUMIFS(Пр.13!J$10:J$1388,Пр.13!$D$10:$D$1388,C64)</f>
        <v>0</v>
      </c>
      <c r="H64" s="650">
        <f>SUMIFS(Пр.13!K$10:K$1388,Пр.13!$D$10:$D$1388,C64)</f>
        <v>0</v>
      </c>
      <c r="I64" s="650">
        <f>SUMIFS(Пр.13!L$10:L$1388,Пр.13!$D$10:$D$1388,C64)</f>
        <v>0</v>
      </c>
    </row>
    <row r="65" spans="2:9" ht="63" hidden="1">
      <c r="B65" s="657" t="str">
        <f>IF(C65&gt;0,VLOOKUP(C65,Программа!A$2:B$5091,2))</f>
        <v>Муниципальная  программа "Об энергосбережении и повышении энергетической эффективности Тутаевского муниципального района"</v>
      </c>
      <c r="C65" s="603" t="s">
        <v>708</v>
      </c>
      <c r="D65" s="650">
        <f>SUMIFS(Пр.13!G$10:G$1388,Пр.13!$D$10:$D$1388,C65)</f>
        <v>0</v>
      </c>
      <c r="E65" s="650">
        <f>SUMIFS(Пр.13!H$10:H$1388,Пр.13!$D$10:$D$1388,C65)</f>
        <v>0</v>
      </c>
      <c r="F65" s="650">
        <f>SUMIFS(Пр.13!I$10:I$1388,Пр.13!$D$10:$D$1388,C65)</f>
        <v>0</v>
      </c>
      <c r="G65" s="650">
        <f>SUMIFS(Пр.13!J$10:J$1388,Пр.13!$D$10:$D$1388,C65)</f>
        <v>0</v>
      </c>
      <c r="H65" s="650">
        <f>SUMIFS(Пр.13!K$10:K$1388,Пр.13!$D$10:$D$1388,C65)</f>
        <v>0</v>
      </c>
      <c r="I65" s="650">
        <f>SUMIFS(Пр.13!L$10:L$1388,Пр.13!$D$10:$D$1388,C65)</f>
        <v>0</v>
      </c>
    </row>
    <row r="66" spans="2:9" ht="71.25" hidden="1" customHeight="1" thickBot="1">
      <c r="B66" s="643" t="str">
        <f>IF(C66&gt;0,VLOOKUP(C66,Программа!A$2:B$5091,2))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6" s="222" t="s">
        <v>710</v>
      </c>
      <c r="D66" s="644">
        <f>SUMIFS(Пр.13!G$10:G$1388,Пр.13!$D$10:$D$1388,C66)</f>
        <v>0</v>
      </c>
      <c r="E66" s="644">
        <f>SUMIFS(Пр.13!H$10:H$1388,Пр.13!$D$10:$D$1388,C66)</f>
        <v>0</v>
      </c>
      <c r="F66" s="645">
        <f>SUMIFS(Пр.13!I$10:I$1388,Пр.13!$D$10:$D$1388,C66)</f>
        <v>0</v>
      </c>
      <c r="G66" s="645">
        <f>SUMIFS(Пр.13!J$10:J$1388,Пр.13!$D$10:$D$1388,C66)</f>
        <v>0</v>
      </c>
      <c r="H66" s="645">
        <f>SUMIFS(Пр.13!K$10:K$1388,Пр.13!$D$10:$D$1388,C66)</f>
        <v>0</v>
      </c>
      <c r="I66" s="645">
        <f>SUMIFS(Пр.13!L$10:L$1388,Пр.13!$D$10:$D$1388,C66)</f>
        <v>0</v>
      </c>
    </row>
    <row r="67" spans="2:9" ht="48" thickBot="1">
      <c r="B67" s="622" t="str">
        <f>IF(C67&gt;0,VLOOKUP(C67,Программа!A$2:B$5091,2))</f>
        <v>Муниципальная программа "Развитие дорожного хозяйства и транспорта в Тутаевском муниципальном районе"</v>
      </c>
      <c r="C67" s="215" t="s">
        <v>720</v>
      </c>
      <c r="D67" s="617">
        <f>SUMIFS(Пр.13!G$10:G$1388,Пр.13!$D$10:$D$1388,C67)</f>
        <v>22202530</v>
      </c>
      <c r="E67" s="617">
        <f>SUMIFS(Пр.13!H$10:H$1388,Пр.13!$D$10:$D$1388,C67)</f>
        <v>73000000</v>
      </c>
      <c r="F67" s="617">
        <f>SUMIFS(Пр.13!I$10:I$1388,Пр.13!$D$10:$D$1388,C67)</f>
        <v>95202530</v>
      </c>
      <c r="G67" s="617">
        <f>SUMIFS(Пр.13!J$10:J$1388,Пр.13!$D$10:$D$1388,C67)</f>
        <v>26106270</v>
      </c>
      <c r="H67" s="617">
        <f>SUMIFS(Пр.13!K$10:K$1388,Пр.13!$D$10:$D$1388,C67)</f>
        <v>70800000</v>
      </c>
      <c r="I67" s="623">
        <f>SUMIFS(Пр.13!L$10:L$1388,Пр.13!$D$10:$D$1388,C67)</f>
        <v>96906270</v>
      </c>
    </row>
    <row r="68" spans="2:9" ht="47.25">
      <c r="B68" s="626" t="str">
        <f>IF(C68&gt;0,VLOOKUP(C68,Программа!A$2:B$5091,2))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8" s="223" t="s">
        <v>722</v>
      </c>
      <c r="D68" s="627">
        <f>SUMIFS(Пр.13!G$10:G$1388,Пр.13!$D$10:$D$1388,C68)</f>
        <v>538300</v>
      </c>
      <c r="E68" s="627">
        <f>SUMIFS(Пр.13!H$10:H$1388,Пр.13!$D$10:$D$1388,C68)</f>
        <v>1265000</v>
      </c>
      <c r="F68" s="628">
        <f>SUMIFS(Пр.13!I$10:I$1388,Пр.13!$D$10:$D$1388,C68)</f>
        <v>1803300</v>
      </c>
      <c r="G68" s="628">
        <f>SUMIFS(Пр.13!J$10:J$1388,Пр.13!$D$10:$D$1388,C68)</f>
        <v>1000000</v>
      </c>
      <c r="H68" s="628">
        <f>SUMIFS(Пр.13!K$10:K$1388,Пр.13!$D$10:$D$1388,C68)</f>
        <v>1265000</v>
      </c>
      <c r="I68" s="629">
        <f>SUMIFS(Пр.13!L$10:L$1388,Пр.13!$D$10:$D$1388,C68)</f>
        <v>2265000</v>
      </c>
    </row>
    <row r="69" spans="2:9" ht="31.5">
      <c r="B69" s="630" t="str">
        <f>IF(C69&gt;0,VLOOKUP(C69,Программа!A$2:B$5091,2))</f>
        <v>Повышение безопасности дорожного движения на автомобильных дорогах</v>
      </c>
      <c r="C69" s="163" t="s">
        <v>724</v>
      </c>
      <c r="D69" s="631">
        <f>SUMIFS(Пр.13!G$10:G$1388,Пр.13!$D$10:$D$1388,C69)</f>
        <v>538300</v>
      </c>
      <c r="E69" s="631">
        <f>SUMIFS(Пр.13!H$10:H$1388,Пр.13!$D$10:$D$1388,C69)</f>
        <v>1265000</v>
      </c>
      <c r="F69" s="631">
        <f>SUMIFS(Пр.13!I$10:I$1388,Пр.13!$D$10:$D$1388,C69)</f>
        <v>1803300</v>
      </c>
      <c r="G69" s="631">
        <f>SUMIFS(Пр.13!J$10:J$1388,Пр.13!$D$10:$D$1388,C69)</f>
        <v>1000000</v>
      </c>
      <c r="H69" s="631">
        <f>SUMIFS(Пр.13!K$10:K$1388,Пр.13!$D$10:$D$1388,C69)</f>
        <v>1265000</v>
      </c>
      <c r="I69" s="632">
        <f>SUMIFS(Пр.13!L$10:L$1388,Пр.13!$D$10:$D$1388,C69)</f>
        <v>2265000</v>
      </c>
    </row>
    <row r="70" spans="2:9" ht="47.25">
      <c r="B70" s="633" t="str">
        <f>IF(C70&gt;0,VLOOKUP(C70,Программа!A$2:B$5091,2))</f>
        <v>Муниципальная целевая программа «Сохранность автомобильных дорог общего пользования Тутаевского муниципального района»</v>
      </c>
      <c r="C70" s="218" t="s">
        <v>727</v>
      </c>
      <c r="D70" s="634">
        <f>SUMIFS(Пр.13!G$10:G$1388,Пр.13!$D$10:$D$1388,C70)</f>
        <v>21664230</v>
      </c>
      <c r="E70" s="634">
        <f>SUMIFS(Пр.13!H$10:H$1388,Пр.13!$D$10:$D$1388,C70)</f>
        <v>71735000</v>
      </c>
      <c r="F70" s="631">
        <f>SUMIFS(Пр.13!I$10:I$1388,Пр.13!$D$10:$D$1388,C70)</f>
        <v>93399230</v>
      </c>
      <c r="G70" s="631">
        <f>SUMIFS(Пр.13!J$10:J$1388,Пр.13!$D$10:$D$1388,C70)</f>
        <v>25106270</v>
      </c>
      <c r="H70" s="631">
        <f>SUMIFS(Пр.13!K$10:K$1388,Пр.13!$D$10:$D$1388,C70)</f>
        <v>69535000</v>
      </c>
      <c r="I70" s="632">
        <f>SUMIFS(Пр.13!L$10:L$1388,Пр.13!$D$10:$D$1388,C70)</f>
        <v>94641270</v>
      </c>
    </row>
    <row r="71" spans="2:9" ht="32.25" thickBot="1">
      <c r="B71" s="638" t="str">
        <f>IF(C71&gt;0,VLOOKUP(C71,Программа!A$2:B$5091,2))</f>
        <v>Приведение  в нормативное состояние автомобильных дорог общего пользования</v>
      </c>
      <c r="C71" s="604" t="s">
        <v>729</v>
      </c>
      <c r="D71" s="639">
        <f>SUMIFS(Пр.13!G$10:G$1388,Пр.13!$D$10:$D$1388,C71)</f>
        <v>21664230</v>
      </c>
      <c r="E71" s="639">
        <f>SUMIFS(Пр.13!H$10:H$1388,Пр.13!$D$10:$D$1388,C71)</f>
        <v>71735000</v>
      </c>
      <c r="F71" s="639">
        <f>SUMIFS(Пр.13!I$10:I$1388,Пр.13!$D$10:$D$1388,C71)</f>
        <v>93399230</v>
      </c>
      <c r="G71" s="639">
        <f>SUMIFS(Пр.13!J$10:J$1388,Пр.13!$D$10:$D$1388,C71)</f>
        <v>25106270</v>
      </c>
      <c r="H71" s="639">
        <f>SUMIFS(Пр.13!K$10:K$1388,Пр.13!$D$10:$D$1388,C71)</f>
        <v>69535000</v>
      </c>
      <c r="I71" s="640">
        <f>SUMIFS(Пр.13!L$10:L$1388,Пр.13!$D$10:$D$1388,C71)</f>
        <v>94641270</v>
      </c>
    </row>
    <row r="72" spans="2:9" ht="47.25" hidden="1">
      <c r="B72" s="658" t="str">
        <f>IF(C72&gt;0,VLOOKUP(C72,Программа!A$2:B$5091,2))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2" s="605" t="s">
        <v>779</v>
      </c>
      <c r="D72" s="642">
        <f>SUMIFS(Пр.13!G$10:G$1388,Пр.13!$D$10:$D$1388,C72)</f>
        <v>0</v>
      </c>
      <c r="E72" s="642">
        <f>SUMIFS(Пр.13!H$10:H$1388,Пр.13!$D$10:$D$1388,C72)</f>
        <v>0</v>
      </c>
      <c r="F72" s="642">
        <f>SUMIFS(Пр.13!I$10:I$1388,Пр.13!$D$10:$D$1388,C72)</f>
        <v>0</v>
      </c>
      <c r="G72" s="642">
        <f>SUMIFS(Пр.13!J$10:J$1388,Пр.13!$D$10:$D$1388,C72)</f>
        <v>0</v>
      </c>
      <c r="H72" s="642">
        <f>SUMIFS(Пр.13!K$10:K$1388,Пр.13!$D$10:$D$1388,C72)</f>
        <v>0</v>
      </c>
      <c r="I72" s="642">
        <f>SUMIFS(Пр.13!L$10:L$1388,Пр.13!$D$10:$D$1388,C72)</f>
        <v>0</v>
      </c>
    </row>
    <row r="73" spans="2:9" ht="78.75" hidden="1">
      <c r="B73" s="656" t="str">
        <f>IF(C73&gt;0,VLOOKUP(C73,Программа!A$2:B$5091,2))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3" s="218" t="s">
        <v>781</v>
      </c>
      <c r="D73" s="634">
        <f>SUMIFS(Пр.13!G$10:G$1388,Пр.13!$D$10:$D$1388,C73)</f>
        <v>0</v>
      </c>
      <c r="E73" s="634">
        <f>SUMIFS(Пр.13!H$10:H$1388,Пр.13!$D$10:$D$1388,C73)</f>
        <v>0</v>
      </c>
      <c r="F73" s="650">
        <f>SUMIFS(Пр.13!I$10:I$1388,Пр.13!$D$10:$D$1388,C73)</f>
        <v>0</v>
      </c>
      <c r="G73" s="650">
        <f>SUMIFS(Пр.13!J$10:J$1388,Пр.13!$D$10:$D$1388,C73)</f>
        <v>0</v>
      </c>
      <c r="H73" s="650">
        <f>SUMIFS(Пр.13!K$10:K$1388,Пр.13!$D$10:$D$1388,C73)</f>
        <v>0</v>
      </c>
      <c r="I73" s="650">
        <f>SUMIFS(Пр.13!L$10:L$1388,Пр.13!$D$10:$D$1388,C73)</f>
        <v>0</v>
      </c>
    </row>
    <row r="74" spans="2:9" ht="78.75" hidden="1">
      <c r="B74" s="649" t="str">
        <f>IF(C74&gt;0,VLOOKUP(C74,Программа!A$2:B$5091,2))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4" s="163" t="s">
        <v>783</v>
      </c>
      <c r="D74" s="631">
        <f>SUMIFS(Пр.13!G$10:G$1388,Пр.13!$D$10:$D$1388,C74)</f>
        <v>0</v>
      </c>
      <c r="E74" s="631">
        <f>SUMIFS(Пр.13!H$10:H$1388,Пр.13!$D$10:$D$1388,C74)</f>
        <v>0</v>
      </c>
      <c r="F74" s="650">
        <f>SUMIFS(Пр.13!I$10:I$1388,Пр.13!$D$10:$D$1388,C74)</f>
        <v>0</v>
      </c>
      <c r="G74" s="650">
        <f>SUMIFS(Пр.13!J$10:J$1388,Пр.13!$D$10:$D$1388,C74)</f>
        <v>0</v>
      </c>
      <c r="H74" s="650">
        <f>SUMIFS(Пр.13!K$10:K$1388,Пр.13!$D$10:$D$1388,C74)</f>
        <v>0</v>
      </c>
      <c r="I74" s="650">
        <f>SUMIFS(Пр.13!L$10:L$1388,Пр.13!$D$10:$D$1388,C74)</f>
        <v>0</v>
      </c>
    </row>
    <row r="75" spans="2:9" ht="47.25" hidden="1">
      <c r="B75" s="656" t="str">
        <f>IF(C75&gt;0,VLOOKUP(C75,Программа!A$2:B$5091,2))</f>
        <v>Муниципальная целевая программа "Переселение граждан из аварийного жилищного фонда в Тутаевском муниципальном районе"</v>
      </c>
      <c r="C75" s="218" t="s">
        <v>785</v>
      </c>
      <c r="D75" s="634">
        <f>SUMIFS(Пр.13!G$10:G$1388,Пр.13!$D$10:$D$1388,C75)</f>
        <v>0</v>
      </c>
      <c r="E75" s="634">
        <f>SUMIFS(Пр.13!H$10:H$1388,Пр.13!$D$10:$D$1388,C75)</f>
        <v>0</v>
      </c>
      <c r="F75" s="650">
        <f>SUMIFS(Пр.13!I$10:I$1388,Пр.13!$D$10:$D$1388,C75)</f>
        <v>0</v>
      </c>
      <c r="G75" s="650">
        <f>SUMIFS(Пр.13!J$10:J$1388,Пр.13!$D$10:$D$1388,C75)</f>
        <v>0</v>
      </c>
      <c r="H75" s="650">
        <f>SUMIFS(Пр.13!K$10:K$1388,Пр.13!$D$10:$D$1388,C75)</f>
        <v>0</v>
      </c>
      <c r="I75" s="650">
        <f>SUMIFS(Пр.13!L$10:L$1388,Пр.13!$D$10:$D$1388,C75)</f>
        <v>0</v>
      </c>
    </row>
    <row r="76" spans="2:9" ht="63" hidden="1">
      <c r="B76" s="649" t="str">
        <f>IF(C76&gt;0,VLOOKUP(C76,Программа!A$2:B$5091,2))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6" s="163" t="s">
        <v>787</v>
      </c>
      <c r="D76" s="631">
        <f>SUMIFS(Пр.13!G$10:G$1388,Пр.13!$D$10:$D$1388,C76)</f>
        <v>0</v>
      </c>
      <c r="E76" s="631">
        <f>SUMIFS(Пр.13!H$10:H$1388,Пр.13!$D$10:$D$1388,C76)</f>
        <v>0</v>
      </c>
      <c r="F76" s="650">
        <f>SUMIFS(Пр.13!I$10:I$1388,Пр.13!$D$10:$D$1388,C76)</f>
        <v>0</v>
      </c>
      <c r="G76" s="650">
        <f>SUMIFS(Пр.13!J$10:J$1388,Пр.13!$D$10:$D$1388,C76)</f>
        <v>0</v>
      </c>
      <c r="H76" s="650">
        <f>SUMIFS(Пр.13!K$10:K$1388,Пр.13!$D$10:$D$1388,C76)</f>
        <v>0</v>
      </c>
      <c r="I76" s="650">
        <f>SUMIFS(Пр.13!L$10:L$1388,Пр.13!$D$10:$D$1388,C76)</f>
        <v>0</v>
      </c>
    </row>
    <row r="77" spans="2:9" ht="78.75" hidden="1">
      <c r="B77" s="656" t="str">
        <f>IF(C77&gt;0,VLOOKUP(C77,Программа!A$2:B$5091,2))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7" s="218" t="s">
        <v>789</v>
      </c>
      <c r="D77" s="634">
        <f>SUMIFS(Пр.13!G$10:G$1388,Пр.13!$D$10:$D$1388,C77)</f>
        <v>0</v>
      </c>
      <c r="E77" s="634">
        <f>SUMIFS(Пр.13!H$10:H$1388,Пр.13!$D$10:$D$1388,C77)</f>
        <v>0</v>
      </c>
      <c r="F77" s="650">
        <f>SUMIFS(Пр.13!I$10:I$1388,Пр.13!$D$10:$D$1388,C77)</f>
        <v>0</v>
      </c>
      <c r="G77" s="650">
        <f>SUMIFS(Пр.13!J$10:J$1388,Пр.13!$D$10:$D$1388,C77)</f>
        <v>0</v>
      </c>
      <c r="H77" s="650">
        <f>SUMIFS(Пр.13!K$10:K$1388,Пр.13!$D$10:$D$1388,C77)</f>
        <v>0</v>
      </c>
      <c r="I77" s="650">
        <f>SUMIFS(Пр.13!L$10:L$1388,Пр.13!$D$10:$D$1388,C77)</f>
        <v>0</v>
      </c>
    </row>
    <row r="78" spans="2:9" ht="63" hidden="1">
      <c r="B78" s="649" t="str">
        <f>IF(C78&gt;0,VLOOKUP(C78,Программа!A$2:B$5091,2))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8" s="163" t="s">
        <v>791</v>
      </c>
      <c r="D78" s="631">
        <f>SUMIFS(Пр.13!G$10:G$1388,Пр.13!$D$10:$D$1388,C78)</f>
        <v>0</v>
      </c>
      <c r="E78" s="631">
        <f>SUMIFS(Пр.13!H$10:H$1388,Пр.13!$D$10:$D$1388,C78)</f>
        <v>0</v>
      </c>
      <c r="F78" s="650">
        <f>SUMIFS(Пр.13!I$10:I$1388,Пр.13!$D$10:$D$1388,C78)</f>
        <v>0</v>
      </c>
      <c r="G78" s="650">
        <f>SUMIFS(Пр.13!J$10:J$1388,Пр.13!$D$10:$D$1388,C78)</f>
        <v>0</v>
      </c>
      <c r="H78" s="650">
        <f>SUMIFS(Пр.13!K$10:K$1388,Пр.13!$D$10:$D$1388,C78)</f>
        <v>0</v>
      </c>
      <c r="I78" s="650">
        <f>SUMIFS(Пр.13!L$10:L$1388,Пр.13!$D$10:$D$1388,C78)</f>
        <v>0</v>
      </c>
    </row>
    <row r="79" spans="2:9" ht="47.25" hidden="1">
      <c r="B79" s="656" t="str">
        <f>IF(C79&gt;0,VLOOKUP(C79,Программа!A$2:B$5091,2))</f>
        <v>Муниципальная целевая программа "Предоставление молодым семьям социальных выплат на приобретение(строительство) жилья"</v>
      </c>
      <c r="C79" s="218" t="s">
        <v>793</v>
      </c>
      <c r="D79" s="634">
        <f>SUMIFS(Пр.13!G$10:G$1388,Пр.13!$D$10:$D$1388,C79)</f>
        <v>0</v>
      </c>
      <c r="E79" s="634">
        <f>SUMIFS(Пр.13!H$10:H$1388,Пр.13!$D$10:$D$1388,C79)</f>
        <v>0</v>
      </c>
      <c r="F79" s="650">
        <f>SUMIFS(Пр.13!I$10:I$1388,Пр.13!$D$10:$D$1388,C79)</f>
        <v>0</v>
      </c>
      <c r="G79" s="650">
        <f>SUMIFS(Пр.13!J$10:J$1388,Пр.13!$D$10:$D$1388,C79)</f>
        <v>0</v>
      </c>
      <c r="H79" s="650">
        <f>SUMIFS(Пр.13!K$10:K$1388,Пр.13!$D$10:$D$1388,C79)</f>
        <v>0</v>
      </c>
      <c r="I79" s="650">
        <f>SUMIFS(Пр.13!L$10:L$1388,Пр.13!$D$10:$D$1388,C79)</f>
        <v>0</v>
      </c>
    </row>
    <row r="80" spans="2:9" ht="31.5" hidden="1">
      <c r="B80" s="643" t="str">
        <f>IF(C80&gt;0,VLOOKUP(C80,Программа!A$2:B$5091,2))</f>
        <v>Создание условий для поддержки  молодых семей в приобретении (строительстве) жилья</v>
      </c>
      <c r="C80" s="222" t="s">
        <v>795</v>
      </c>
      <c r="D80" s="644">
        <f>SUMIFS(Пр.13!G$10:G$1388,Пр.13!$D$10:$D$1388,C80)</f>
        <v>0</v>
      </c>
      <c r="E80" s="644">
        <f>SUMIFS(Пр.13!H$10:H$1388,Пр.13!$D$10:$D$1388,C80)</f>
        <v>0</v>
      </c>
      <c r="F80" s="645">
        <f>SUMIFS(Пр.13!I$10:I$1388,Пр.13!$D$10:$D$1388,C80)</f>
        <v>0</v>
      </c>
      <c r="G80" s="645">
        <f>SUMIFS(Пр.13!J$10:J$1388,Пр.13!$D$10:$D$1388,C80)</f>
        <v>0</v>
      </c>
      <c r="H80" s="645">
        <f>SUMIFS(Пр.13!K$10:K$1388,Пр.13!$D$10:$D$1388,C80)</f>
        <v>0</v>
      </c>
      <c r="I80" s="645">
        <f>SUMIFS(Пр.13!L$10:L$1388,Пр.13!$D$10:$D$1388,C80)</f>
        <v>0</v>
      </c>
    </row>
    <row r="81" spans="2:9" ht="63.75" thickBot="1">
      <c r="B81" s="622" t="str">
        <f>IF(C81&gt;0,VLOOKUP(C81,Программа!A$2:B$5091,2))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1" s="215" t="s">
        <v>509</v>
      </c>
      <c r="D81" s="617">
        <f>SUMIFS(Пр.13!G$10:G$1388,Пр.13!$D$10:$D$1388,C81)</f>
        <v>4590</v>
      </c>
      <c r="E81" s="617">
        <f>SUMIFS(Пр.13!H$10:H$1388,Пр.13!$D$10:$D$1388,C81)</f>
        <v>0</v>
      </c>
      <c r="F81" s="617">
        <f>SUMIFS(Пр.13!I$10:I$1388,Пр.13!$D$10:$D$1388,C81)</f>
        <v>4590</v>
      </c>
      <c r="G81" s="617">
        <f>SUMIFS(Пр.13!J$10:J$1388,Пр.13!$D$10:$D$1388,C81)</f>
        <v>0</v>
      </c>
      <c r="H81" s="617">
        <f>SUMIFS(Пр.13!K$10:K$1388,Пр.13!$D$10:$D$1388,C81)</f>
        <v>0</v>
      </c>
      <c r="I81" s="623">
        <f>SUMIFS(Пр.13!L$10:L$1388,Пр.13!$D$10:$D$1388,C81)</f>
        <v>0</v>
      </c>
    </row>
    <row r="82" spans="2:9" ht="47.25" hidden="1">
      <c r="B82" s="626" t="str">
        <f>IF(C82&gt;0,VLOOKUP(C82,Программа!A$2:B$5091,2))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2" s="223" t="s">
        <v>519</v>
      </c>
      <c r="D82" s="627">
        <f>SUMIFS(Пр.13!G$10:G$1388,Пр.13!$D$10:$D$1388,C82)</f>
        <v>0</v>
      </c>
      <c r="E82" s="627">
        <f>SUMIFS(Пр.13!H$10:H$1388,Пр.13!$D$10:$D$1388,C82)</f>
        <v>0</v>
      </c>
      <c r="F82" s="642">
        <f>SUMIFS(Пр.13!I$10:I$1388,Пр.13!$D$10:$D$1388,C82)</f>
        <v>0</v>
      </c>
      <c r="G82" s="642">
        <f>SUMIFS(Пр.13!J$10:J$1388,Пр.13!$D$10:$D$1388,C82)</f>
        <v>0</v>
      </c>
      <c r="H82" s="642">
        <f>SUMIFS(Пр.13!K$10:K$1388,Пр.13!$D$10:$D$1388,C82)</f>
        <v>0</v>
      </c>
      <c r="I82" s="651">
        <f>SUMIFS(Пр.13!L$10:L$1388,Пр.13!$D$10:$D$1388,C82)</f>
        <v>0</v>
      </c>
    </row>
    <row r="83" spans="2:9" ht="63" hidden="1">
      <c r="B83" s="630" t="str">
        <f>IF(C83&gt;0,VLOOKUP(C83,Программа!A$2:B$5091,2))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3" s="163" t="s">
        <v>521</v>
      </c>
      <c r="D83" s="631">
        <f>SUMIFS(Пр.13!G$10:G$1388,Пр.13!$D$10:$D$1388,C83)</f>
        <v>0</v>
      </c>
      <c r="E83" s="631">
        <f>SUMIFS(Пр.13!H$10:H$1388,Пр.13!$D$10:$D$1388,C83)</f>
        <v>0</v>
      </c>
      <c r="F83" s="650">
        <f>SUMIFS(Пр.13!I$10:I$1388,Пр.13!$D$10:$D$1388,C83)</f>
        <v>0</v>
      </c>
      <c r="G83" s="650">
        <f>SUMIFS(Пр.13!J$10:J$1388,Пр.13!$D$10:$D$1388,C83)</f>
        <v>0</v>
      </c>
      <c r="H83" s="650">
        <f>SUMIFS(Пр.13!K$10:K$1388,Пр.13!$D$10:$D$1388,C83)</f>
        <v>0</v>
      </c>
      <c r="I83" s="652">
        <f>SUMIFS(Пр.13!L$10:L$1388,Пр.13!$D$10:$D$1388,C83)</f>
        <v>0</v>
      </c>
    </row>
    <row r="84" spans="2:9" ht="31.5" hidden="1">
      <c r="B84" s="630" t="str">
        <f>IF(C84&gt;0,VLOOKUP(C84,Программа!A$2:B$5091,2))</f>
        <v>Развитие системы финансовой поддержки субъектов малого и среднего предпринимательства</v>
      </c>
      <c r="C84" s="163" t="s">
        <v>523</v>
      </c>
      <c r="D84" s="631">
        <f>SUMIFS(Пр.13!G$10:G$1388,Пр.13!$D$10:$D$1388,C84)</f>
        <v>0</v>
      </c>
      <c r="E84" s="631">
        <f>SUMIFS(Пр.13!H$10:H$1388,Пр.13!$D$10:$D$1388,C84)</f>
        <v>0</v>
      </c>
      <c r="F84" s="650">
        <f>SUMIFS(Пр.13!I$10:I$1388,Пр.13!$D$10:$D$1388,C84)</f>
        <v>0</v>
      </c>
      <c r="G84" s="650">
        <f>SUMIFS(Пр.13!J$10:J$1388,Пр.13!$D$10:$D$1388,C84)</f>
        <v>0</v>
      </c>
      <c r="H84" s="650">
        <f>SUMIFS(Пр.13!K$10:K$1388,Пр.13!$D$10:$D$1388,C84)</f>
        <v>0</v>
      </c>
      <c r="I84" s="652">
        <f>SUMIFS(Пр.13!L$10:L$1388,Пр.13!$D$10:$D$1388,C84)</f>
        <v>0</v>
      </c>
    </row>
    <row r="85" spans="2:9" ht="47.25" hidden="1">
      <c r="B85" s="633" t="str">
        <f>IF(C85&gt;0,VLOOKUP(C85,Программа!A$2:B$5091,2))</f>
        <v>Муниципальная целевая программа "Развитие потребительского рынка Тутаевского муниципального района "</v>
      </c>
      <c r="C85" s="218" t="s">
        <v>525</v>
      </c>
      <c r="D85" s="634">
        <f>SUMIFS(Пр.13!G$10:G$1388,Пр.13!$D$10:$D$1388,C85)</f>
        <v>0</v>
      </c>
      <c r="E85" s="634">
        <f>SUMIFS(Пр.13!H$10:H$1388,Пр.13!$D$10:$D$1388,C85)</f>
        <v>0</v>
      </c>
      <c r="F85" s="650">
        <f>SUMIFS(Пр.13!I$10:I$1388,Пр.13!$D$10:$D$1388,C85)</f>
        <v>0</v>
      </c>
      <c r="G85" s="650">
        <f>SUMIFS(Пр.13!J$10:J$1388,Пр.13!$D$10:$D$1388,C85)</f>
        <v>0</v>
      </c>
      <c r="H85" s="650">
        <f>SUMIFS(Пр.13!K$10:K$1388,Пр.13!$D$10:$D$1388,C85)</f>
        <v>0</v>
      </c>
      <c r="I85" s="652">
        <f>SUMIFS(Пр.13!L$10:L$1388,Пр.13!$D$10:$D$1388,C85)</f>
        <v>0</v>
      </c>
    </row>
    <row r="86" spans="2:9" ht="47.25" hidden="1">
      <c r="B86" s="630" t="str">
        <f>IF(C86&gt;0,VLOOKUP(C86,Программа!A$2:B$5091,2))</f>
        <v>Обеспечение доступности товаров для сельского населения путем оказания государственной поддержки</v>
      </c>
      <c r="C86" s="163" t="s">
        <v>527</v>
      </c>
      <c r="D86" s="631">
        <f>SUMIFS(Пр.13!G$10:G$1388,Пр.13!$D$10:$D$1388,C86)</f>
        <v>0</v>
      </c>
      <c r="E86" s="631">
        <f>SUMIFS(Пр.13!H$10:H$1388,Пр.13!$D$10:$D$1388,C86)</f>
        <v>0</v>
      </c>
      <c r="F86" s="650">
        <f>SUMIFS(Пр.13!I$10:I$1388,Пр.13!$D$10:$D$1388,C86)</f>
        <v>0</v>
      </c>
      <c r="G86" s="650">
        <f>SUMIFS(Пр.13!J$10:J$1388,Пр.13!$D$10:$D$1388,C86)</f>
        <v>0</v>
      </c>
      <c r="H86" s="650">
        <f>SUMIFS(Пр.13!K$10:K$1388,Пр.13!$D$10:$D$1388,C86)</f>
        <v>0</v>
      </c>
      <c r="I86" s="652">
        <f>SUMIFS(Пр.13!L$10:L$1388,Пр.13!$D$10:$D$1388,C86)</f>
        <v>0</v>
      </c>
    </row>
    <row r="87" spans="2:9" ht="47.25">
      <c r="B87" s="633" t="str">
        <f>IF(C87&gt;0,VLOOKUP(C87,Программа!A$2:B$5091,2))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87" s="218" t="s">
        <v>510</v>
      </c>
      <c r="D87" s="634">
        <f>SUMIFS(Пр.13!G$10:G$1388,Пр.13!$D$10:$D$1388,C87)</f>
        <v>4590</v>
      </c>
      <c r="E87" s="634">
        <f>SUMIFS(Пр.13!H$10:H$1388,Пр.13!$D$10:$D$1388,C87)</f>
        <v>0</v>
      </c>
      <c r="F87" s="631">
        <f>SUMIFS(Пр.13!I$10:I$1388,Пр.13!$D$10:$D$1388,C87)</f>
        <v>4590</v>
      </c>
      <c r="G87" s="631">
        <f>SUMIFS(Пр.13!J$10:J$1388,Пр.13!$D$10:$D$1388,C87)</f>
        <v>0</v>
      </c>
      <c r="H87" s="631">
        <f>SUMIFS(Пр.13!K$10:K$1388,Пр.13!$D$10:$D$1388,C87)</f>
        <v>0</v>
      </c>
      <c r="I87" s="632">
        <f>SUMIFS(Пр.13!L$10:L$1388,Пр.13!$D$10:$D$1388,C87)</f>
        <v>0</v>
      </c>
    </row>
    <row r="88" spans="2:9" ht="48" thickBot="1">
      <c r="B88" s="630" t="str">
        <f>IF(C88&gt;0,VLOOKUP(C88,Программа!A$2:B$5091,2))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8" s="163" t="s">
        <v>512</v>
      </c>
      <c r="D88" s="631">
        <f>SUMIFS(Пр.13!G$10:G$1388,Пр.13!$D$10:$D$1388,C88)</f>
        <v>4590</v>
      </c>
      <c r="E88" s="631">
        <f>SUMIFS(Пр.13!H$10:H$1388,Пр.13!$D$10:$D$1388,C88)</f>
        <v>0</v>
      </c>
      <c r="F88" s="631">
        <f>SUMIFS(Пр.13!I$10:I$1388,Пр.13!$D$10:$D$1388,C88)</f>
        <v>4590</v>
      </c>
      <c r="G88" s="631">
        <f>SUMIFS(Пр.13!J$10:J$1388,Пр.13!$D$10:$D$1388,C88)</f>
        <v>0</v>
      </c>
      <c r="H88" s="631">
        <f>SUMIFS(Пр.13!K$10:K$1388,Пр.13!$D$10:$D$1388,C88)</f>
        <v>0</v>
      </c>
      <c r="I88" s="632">
        <f>SUMIFS(Пр.13!L$10:L$1388,Пр.13!$D$10:$D$1388,C88)</f>
        <v>0</v>
      </c>
    </row>
    <row r="89" spans="2:9" ht="31.5" hidden="1">
      <c r="B89" s="630" t="str">
        <f>IF(C89&gt;0,VLOOKUP(C89,Программа!A$2:B$5091,2))</f>
        <v xml:space="preserve">Кадровое обеспечение агропромышленного комплекса </v>
      </c>
      <c r="C89" s="163" t="s">
        <v>514</v>
      </c>
      <c r="D89" s="631">
        <f>SUMIFS(Пр.13!G$10:G$1388,Пр.13!$D$10:$D$1388,C89)</f>
        <v>0</v>
      </c>
      <c r="E89" s="631">
        <f>SUMIFS(Пр.13!H$10:H$1388,Пр.13!$D$10:$D$1388,C89)</f>
        <v>0</v>
      </c>
      <c r="F89" s="650">
        <f>SUMIFS(Пр.13!I$10:I$1388,Пр.13!$D$10:$D$1388,C89)</f>
        <v>0</v>
      </c>
      <c r="G89" s="650">
        <f>SUMIFS(Пр.13!J$10:J$1388,Пр.13!$D$10:$D$1388,C89)</f>
        <v>0</v>
      </c>
      <c r="H89" s="650">
        <f>SUMIFS(Пр.13!K$10:K$1388,Пр.13!$D$10:$D$1388,C89)</f>
        <v>0</v>
      </c>
      <c r="I89" s="652">
        <f>SUMIFS(Пр.13!L$10:L$1388,Пр.13!$D$10:$D$1388,C89)</f>
        <v>0</v>
      </c>
    </row>
    <row r="90" spans="2:9" ht="63.75" hidden="1" thickBot="1">
      <c r="B90" s="638" t="str">
        <f>IF(C90&gt;0,VLOOKUP(C90,Программа!A$2:B$5091,2))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0" s="604" t="s">
        <v>517</v>
      </c>
      <c r="D90" s="639">
        <f>SUMIFS(Пр.13!G$10:G$1388,Пр.13!$D$10:$D$1388,C90)</f>
        <v>0</v>
      </c>
      <c r="E90" s="639">
        <f>SUMIFS(Пр.13!H$10:H$1388,Пр.13!$D$10:$D$1388,C90)</f>
        <v>0</v>
      </c>
      <c r="F90" s="653">
        <f>SUMIFS(Пр.13!I$10:I$1388,Пр.13!$D$10:$D$1388,C90)</f>
        <v>0</v>
      </c>
      <c r="G90" s="653">
        <f>SUMIFS(Пр.13!J$10:J$1388,Пр.13!$D$10:$D$1388,C90)</f>
        <v>0</v>
      </c>
      <c r="H90" s="653">
        <f>SUMIFS(Пр.13!K$10:K$1388,Пр.13!$D$10:$D$1388,C90)</f>
        <v>0</v>
      </c>
      <c r="I90" s="654">
        <f>SUMIFS(Пр.13!L$10:L$1388,Пр.13!$D$10:$D$1388,C90)</f>
        <v>0</v>
      </c>
    </row>
    <row r="91" spans="2:9" ht="48" hidden="1" thickBot="1">
      <c r="B91" s="622" t="str">
        <f>IF(C91&gt;0,VLOOKUP(C91,Программа!A$2:B$5091,2))</f>
        <v>Муниципальная программа "Повышение эффективности управления муниципальными финансами"</v>
      </c>
      <c r="C91" s="215" t="s">
        <v>488</v>
      </c>
      <c r="D91" s="617">
        <f>SUMIFS(Пр.13!G$10:G$1388,Пр.13!$D$10:$D$1388,C91)</f>
        <v>0</v>
      </c>
      <c r="E91" s="617">
        <f>SUMIFS(Пр.13!H$10:H$1388,Пр.13!$D$10:$D$1388,C91)</f>
        <v>0</v>
      </c>
      <c r="F91" s="617">
        <f>SUMIFS(Пр.13!I$10:I$1388,Пр.13!$D$10:$D$1388,C91)</f>
        <v>0</v>
      </c>
      <c r="G91" s="617">
        <f>SUMIFS(Пр.13!J$10:J$1388,Пр.13!$D$10:$D$1388,C91)</f>
        <v>0</v>
      </c>
      <c r="H91" s="617">
        <f>SUMIFS(Пр.13!K$10:K$1388,Пр.13!$D$10:$D$1388,C91)</f>
        <v>0</v>
      </c>
      <c r="I91" s="623">
        <f>SUMIFS(Пр.13!L$10:L$1388,Пр.13!$D$10:$D$1388,C91)</f>
        <v>0</v>
      </c>
    </row>
    <row r="92" spans="2:9" s="637" customFormat="1" hidden="1">
      <c r="B92" s="626" t="str">
        <f>IF(C92&gt;0,VLOOKUP(C92,Программа!A$2:B$5091,2))</f>
        <v>Совершенствование межбюджетных отношений</v>
      </c>
      <c r="C92" s="223" t="s">
        <v>661</v>
      </c>
      <c r="D92" s="627">
        <f>SUMIFS(Пр.13!G$10:G$1388,Пр.13!$D$10:$D$1388,C92)</f>
        <v>0</v>
      </c>
      <c r="E92" s="627">
        <f>SUMIFS(Пр.13!H$10:H$1388,Пр.13!$D$10:$D$1388,C92)</f>
        <v>0</v>
      </c>
      <c r="F92" s="642">
        <f>SUMIFS(Пр.13!I$10:I$1388,Пр.13!$D$10:$D$1388,C92)</f>
        <v>0</v>
      </c>
      <c r="G92" s="642">
        <f>SUMIFS(Пр.13!J$10:J$1388,Пр.13!$D$10:$D$1388,C92)</f>
        <v>0</v>
      </c>
      <c r="H92" s="642">
        <f>SUMIFS(Пр.13!K$10:K$1388,Пр.13!$D$10:$D$1388,C92)</f>
        <v>0</v>
      </c>
      <c r="I92" s="651">
        <f>SUMIFS(Пр.13!L$10:L$1388,Пр.13!$D$10:$D$1388,C92)</f>
        <v>0</v>
      </c>
    </row>
    <row r="93" spans="2:9" s="637" customFormat="1" ht="31.5" hidden="1">
      <c r="B93" s="633" t="str">
        <f>IF(C93&gt;0,VLOOKUP(C93,Программа!A$2:B$5091,2))</f>
        <v xml:space="preserve">Повышение эффективности управления муниципальным долгом </v>
      </c>
      <c r="C93" s="218" t="s">
        <v>657</v>
      </c>
      <c r="D93" s="634">
        <f>SUMIFS(Пр.13!G$10:G$1388,Пр.13!$D$10:$D$1388,C93)</f>
        <v>0</v>
      </c>
      <c r="E93" s="634">
        <f>SUMIFS(Пр.13!H$10:H$1388,Пр.13!$D$10:$D$1388,C93)</f>
        <v>0</v>
      </c>
      <c r="F93" s="650">
        <f>SUMIFS(Пр.13!I$10:I$1388,Пр.13!$D$10:$D$1388,C93)</f>
        <v>0</v>
      </c>
      <c r="G93" s="650">
        <f>SUMIFS(Пр.13!J$10:J$1388,Пр.13!$D$10:$D$1388,C93)</f>
        <v>0</v>
      </c>
      <c r="H93" s="650">
        <f>SUMIFS(Пр.13!K$10:K$1388,Пр.13!$D$10:$D$1388,C93)</f>
        <v>0</v>
      </c>
      <c r="I93" s="652">
        <f>SUMIFS(Пр.13!L$10:L$1388,Пр.13!$D$10:$D$1388,C93)</f>
        <v>0</v>
      </c>
    </row>
    <row r="94" spans="2:9" ht="62.25" hidden="1" customHeight="1">
      <c r="B94" s="633" t="str">
        <f>IF(C94&gt;0,VLOOKUP(C94,Программа!A$2:B$5091,2))</f>
        <v>Ведомственная целевая программа департамента финансов администрации Тутаевского муниципального района</v>
      </c>
      <c r="C94" s="218" t="s">
        <v>649</v>
      </c>
      <c r="D94" s="634">
        <f>SUMIFS(Пр.13!G$10:G$1388,Пр.13!$D$10:$D$1388,C94)</f>
        <v>0</v>
      </c>
      <c r="E94" s="634">
        <f>SUMIFS(Пр.13!H$10:H$1388,Пр.13!$D$10:$D$1388,C94)</f>
        <v>0</v>
      </c>
      <c r="F94" s="650">
        <f>SUMIFS(Пр.13!I$10:I$1388,Пр.13!$D$10:$D$1388,C94)</f>
        <v>0</v>
      </c>
      <c r="G94" s="650">
        <f>SUMIFS(Пр.13!J$10:J$1388,Пр.13!$D$10:$D$1388,C94)</f>
        <v>0</v>
      </c>
      <c r="H94" s="650">
        <f>SUMIFS(Пр.13!K$10:K$1388,Пр.13!$D$10:$D$1388,C94)</f>
        <v>0</v>
      </c>
      <c r="I94" s="652">
        <f>SUMIFS(Пр.13!L$10:L$1388,Пр.13!$D$10:$D$1388,C94)</f>
        <v>0</v>
      </c>
    </row>
    <row r="95" spans="2:9" hidden="1">
      <c r="B95" s="630" t="str">
        <f>IF(C95&gt;0,VLOOKUP(C95,Программа!A$2:B$5091,2))</f>
        <v>Обеспечение деятельности финансового органа</v>
      </c>
      <c r="C95" s="163" t="s">
        <v>651</v>
      </c>
      <c r="D95" s="631">
        <f>SUMIFS(Пр.13!G$10:G$1388,Пр.13!$D$10:$D$1388,C95)</f>
        <v>0</v>
      </c>
      <c r="E95" s="631">
        <f>SUMIFS(Пр.13!H$10:H$1388,Пр.13!$D$10:$D$1388,C95)</f>
        <v>0</v>
      </c>
      <c r="F95" s="650">
        <f>SUMIFS(Пр.13!I$10:I$1388,Пр.13!$D$10:$D$1388,C95)</f>
        <v>0</v>
      </c>
      <c r="G95" s="650">
        <f>SUMIFS(Пр.13!J$10:J$1388,Пр.13!$D$10:$D$1388,C95)</f>
        <v>0</v>
      </c>
      <c r="H95" s="650">
        <f>SUMIFS(Пр.13!K$10:K$1388,Пр.13!$D$10:$D$1388,C95)</f>
        <v>0</v>
      </c>
      <c r="I95" s="652">
        <f>SUMIFS(Пр.13!L$10:L$1388,Пр.13!$D$10:$D$1388,C95)</f>
        <v>0</v>
      </c>
    </row>
    <row r="96" spans="2:9" hidden="1">
      <c r="B96" s="633" t="str">
        <f>IF(C96&gt;0,VLOOKUP(C96,Программа!A$2:B$5091,2))</f>
        <v>Обеспечение деятельности финансового органа</v>
      </c>
      <c r="C96" s="218" t="s">
        <v>489</v>
      </c>
      <c r="D96" s="634">
        <f>SUMIFS(Пр.13!G$10:G$1388,Пр.13!$D$10:$D$1388,C96)</f>
        <v>0</v>
      </c>
      <c r="E96" s="634">
        <f>SUMIFS(Пр.13!H$10:H$1388,Пр.13!$D$10:$D$1388,C96)</f>
        <v>0</v>
      </c>
      <c r="F96" s="650">
        <f>SUMIFS(Пр.13!I$10:I$1388,Пр.13!$D$10:$D$1388,C96)</f>
        <v>0</v>
      </c>
      <c r="G96" s="650">
        <f>SUMIFS(Пр.13!J$10:J$1388,Пр.13!$D$10:$D$1388,C96)</f>
        <v>0</v>
      </c>
      <c r="H96" s="650">
        <f>SUMIFS(Пр.13!K$10:K$1388,Пр.13!$D$10:$D$1388,C96)</f>
        <v>0</v>
      </c>
      <c r="I96" s="652">
        <f>SUMIFS(Пр.13!L$10:L$1388,Пр.13!$D$10:$D$1388,C96)</f>
        <v>0</v>
      </c>
    </row>
    <row r="97" spans="2:9" ht="16.5" hidden="1" thickBot="1">
      <c r="B97" s="638" t="str">
        <f>IF(C97&gt;0,VLOOKUP(C97,Программа!A$2:B$5091,2))</f>
        <v>Обеспечение деятельности финансового органа</v>
      </c>
      <c r="C97" s="604" t="s">
        <v>490</v>
      </c>
      <c r="D97" s="639">
        <f>SUMIFS(Пр.13!G$10:G$1388,Пр.13!$D$10:$D$1388,C97)</f>
        <v>0</v>
      </c>
      <c r="E97" s="639">
        <f>SUMIFS(Пр.13!H$10:H$1388,Пр.13!$D$10:$D$1388,C97)</f>
        <v>0</v>
      </c>
      <c r="F97" s="653">
        <f>SUMIFS(Пр.13!I$10:I$1388,Пр.13!$D$10:$D$1388,C97)</f>
        <v>0</v>
      </c>
      <c r="G97" s="653">
        <f>SUMIFS(Пр.13!J$10:J$1388,Пр.13!$D$10:$D$1388,C97)</f>
        <v>0</v>
      </c>
      <c r="H97" s="653">
        <f>SUMIFS(Пр.13!K$10:K$1388,Пр.13!$D$10:$D$1388,C97)</f>
        <v>0</v>
      </c>
      <c r="I97" s="654">
        <f>SUMIFS(Пр.13!L$10:L$1388,Пр.13!$D$10:$D$1388,C97)</f>
        <v>0</v>
      </c>
    </row>
    <row r="98" spans="2:9" ht="79.5" hidden="1" thickBot="1">
      <c r="B98" s="622" t="str">
        <f>IF(C98&gt;0,VLOOKUP(C98,Программа!A$2:B$5091,2))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8" s="215" t="s">
        <v>492</v>
      </c>
      <c r="D98" s="617">
        <f>SUMIFS(Пр.13!G$10:G$1388,Пр.13!$D$10:$D$1388,C98)</f>
        <v>0</v>
      </c>
      <c r="E98" s="617">
        <f>SUMIFS(Пр.13!H$10:H$1388,Пр.13!$D$10:$D$1388,C98)</f>
        <v>0</v>
      </c>
      <c r="F98" s="617">
        <f>SUMIFS(Пр.13!I$10:I$1388,Пр.13!$D$10:$D$1388,C98)</f>
        <v>0</v>
      </c>
      <c r="G98" s="617">
        <f>SUMIFS(Пр.13!J$10:J$1388,Пр.13!$D$10:$D$1388,C98)</f>
        <v>0</v>
      </c>
      <c r="H98" s="617">
        <f>SUMIFS(Пр.13!K$10:K$1388,Пр.13!$D$10:$D$1388,C98)</f>
        <v>0</v>
      </c>
      <c r="I98" s="623">
        <f>SUMIFS(Пр.13!L$10:L$1388,Пр.13!$D$10:$D$1388,C98)</f>
        <v>0</v>
      </c>
    </row>
    <row r="99" spans="2:9" ht="48" hidden="1" thickBot="1">
      <c r="B99" s="659" t="str">
        <f>IF(C99&gt;0,VLOOKUP(C99,Программа!A$2:B$5091,2))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99" s="606" t="s">
        <v>493</v>
      </c>
      <c r="D99" s="618">
        <f>SUMIFS(Пр.13!G$10:G$1388,Пр.13!$D$10:$D$1388,C99)</f>
        <v>0</v>
      </c>
      <c r="E99" s="618">
        <f>SUMIFS(Пр.13!H$10:H$1388,Пр.13!$D$10:$D$1388,C99)</f>
        <v>0</v>
      </c>
      <c r="F99" s="660">
        <f>SUMIFS(Пр.13!I$10:I$1388,Пр.13!$D$10:$D$1388,C99)</f>
        <v>0</v>
      </c>
      <c r="G99" s="660">
        <f>SUMIFS(Пр.13!J$10:J$1388,Пр.13!$D$10:$D$1388,C99)</f>
        <v>0</v>
      </c>
      <c r="H99" s="660">
        <f>SUMIFS(Пр.13!K$10:K$1388,Пр.13!$D$10:$D$1388,C99)</f>
        <v>0</v>
      </c>
      <c r="I99" s="661">
        <f>SUMIFS(Пр.13!L$10:L$1388,Пр.13!$D$10:$D$1388,C99)</f>
        <v>0</v>
      </c>
    </row>
    <row r="100" spans="2:9" ht="48" thickBot="1">
      <c r="B100" s="622" t="str">
        <f>IF(C100&gt;0,VLOOKUP(C100,Программа!A$2:B$5091,2))</f>
        <v>Муниципальная программа "Информатизация управленческой деятельности Администрации Тутаевского муниципального района"</v>
      </c>
      <c r="C100" s="215" t="s">
        <v>496</v>
      </c>
      <c r="D100" s="617">
        <f>SUMIFS(Пр.13!G$10:G$1388,Пр.13!$D$10:$D$1388,C100)</f>
        <v>800000</v>
      </c>
      <c r="E100" s="617">
        <f>SUMIFS(Пр.13!H$10:H$1388,Пр.13!$D$10:$D$1388,C100)</f>
        <v>0</v>
      </c>
      <c r="F100" s="617">
        <f>SUMIFS(Пр.13!I$10:I$1388,Пр.13!$D$10:$D$1388,C100)</f>
        <v>800000</v>
      </c>
      <c r="G100" s="617">
        <f>SUMIFS(Пр.13!J$10:J$1388,Пр.13!$D$10:$D$1388,C100)</f>
        <v>0</v>
      </c>
      <c r="H100" s="617">
        <f>SUMIFS(Пр.13!K$10:K$1388,Пр.13!$D$10:$D$1388,C100)</f>
        <v>0</v>
      </c>
      <c r="I100" s="623">
        <f>SUMIFS(Пр.13!L$10:L$1388,Пр.13!$D$10:$D$1388,C100)</f>
        <v>0</v>
      </c>
    </row>
    <row r="101" spans="2:9" ht="32.25" thickBot="1">
      <c r="B101" s="662" t="str">
        <f>IF(C101&gt;0,VLOOKUP(C101,Программа!A$2:B$5091,2))</f>
        <v>Бесперебойное функционирование информационных систем</v>
      </c>
      <c r="C101" s="225" t="s">
        <v>532</v>
      </c>
      <c r="D101" s="628">
        <f>SUMIFS(Пр.13!G$10:G$1388,Пр.13!$D$10:$D$1388,C101)</f>
        <v>800000</v>
      </c>
      <c r="E101" s="628">
        <f>SUMIFS(Пр.13!H$10:H$1388,Пр.13!$D$10:$D$1388,C101)</f>
        <v>0</v>
      </c>
      <c r="F101" s="628">
        <f>SUMIFS(Пр.13!I$10:I$1388,Пр.13!$D$10:$D$1388,C101)</f>
        <v>800000</v>
      </c>
      <c r="G101" s="628">
        <f>SUMIFS(Пр.13!J$10:J$1388,Пр.13!$D$10:$D$1388,C101)</f>
        <v>0</v>
      </c>
      <c r="H101" s="628">
        <f>SUMIFS(Пр.13!K$10:K$1388,Пр.13!$D$10:$D$1388,C101)</f>
        <v>0</v>
      </c>
      <c r="I101" s="629">
        <f>SUMIFS(Пр.13!L$10:L$1388,Пр.13!$D$10:$D$1388,C101)</f>
        <v>0</v>
      </c>
    </row>
    <row r="102" spans="2:9" ht="48" hidden="1" thickBot="1">
      <c r="B102" s="638" t="str">
        <f>IF(C102&gt;0,VLOOKUP(C102,Программа!A$2:B$5091,2))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2" s="604" t="s">
        <v>498</v>
      </c>
      <c r="D102" s="639">
        <f>SUMIFS(Пр.13!G$10:G$1388,Пр.13!$D$10:$D$1388,C102)</f>
        <v>0</v>
      </c>
      <c r="E102" s="639">
        <f>SUMIFS(Пр.13!H$10:H$1388,Пр.13!$D$10:$D$1388,C102)</f>
        <v>0</v>
      </c>
      <c r="F102" s="653">
        <f>SUMIFS(Пр.13!I$10:I$1388,Пр.13!$D$10:$D$1388,C102)</f>
        <v>0</v>
      </c>
      <c r="G102" s="653">
        <f>SUMIFS(Пр.13!J$10:J$1388,Пр.13!$D$10:$D$1388,C102)</f>
        <v>0</v>
      </c>
      <c r="H102" s="653">
        <f>SUMIFS(Пр.13!K$10:K$1388,Пр.13!$D$10:$D$1388,C102)</f>
        <v>0</v>
      </c>
      <c r="I102" s="654">
        <f>SUMIFS(Пр.13!L$10:L$1388,Пр.13!$D$10:$D$1388,C102)</f>
        <v>0</v>
      </c>
    </row>
    <row r="103" spans="2:9" ht="66.75" hidden="1" customHeight="1" thickBot="1">
      <c r="B103" s="622" t="str">
        <f>IF(C103&gt;0,VLOOKUP(C103,Программа!A$2:B$5091,2))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3" s="215" t="s">
        <v>500</v>
      </c>
      <c r="D103" s="617">
        <f>SUMIFS(Пр.13!G$10:G$1388,Пр.13!$D$10:$D$1388,C103)</f>
        <v>0</v>
      </c>
      <c r="E103" s="617">
        <f>SUMIFS(Пр.13!H$10:H$1388,Пр.13!$D$10:$D$1388,C103)</f>
        <v>0</v>
      </c>
      <c r="F103" s="617">
        <f>SUMIFS(Пр.13!I$10:I$1388,Пр.13!$D$10:$D$1388,C103)</f>
        <v>0</v>
      </c>
      <c r="G103" s="617">
        <f>SUMIFS(Пр.13!J$10:J$1388,Пр.13!$D$10:$D$1388,C103)</f>
        <v>0</v>
      </c>
      <c r="H103" s="617">
        <f>SUMIFS(Пр.13!K$10:K$1388,Пр.13!$D$10:$D$1388,C103)</f>
        <v>0</v>
      </c>
      <c r="I103" s="623">
        <f>SUMIFS(Пр.13!L$10:L$1388,Пр.13!$D$10:$D$1388,C103)</f>
        <v>0</v>
      </c>
    </row>
    <row r="104" spans="2:9" ht="63" hidden="1">
      <c r="B104" s="662" t="str">
        <f>IF(C104&gt;0,VLOOKUP(C104,Программа!A$2:B$5091,2))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4" s="225" t="s">
        <v>501</v>
      </c>
      <c r="D104" s="628">
        <f>SUMIFS(Пр.13!G$10:G$1388,Пр.13!$D$10:$D$1388,C104)</f>
        <v>0</v>
      </c>
      <c r="E104" s="628">
        <f>SUMIFS(Пр.13!H$10:H$1388,Пр.13!$D$10:$D$1388,C104)</f>
        <v>0</v>
      </c>
      <c r="F104" s="642">
        <f>SUMIFS(Пр.13!I$10:I$1388,Пр.13!$D$10:$D$1388,C104)</f>
        <v>0</v>
      </c>
      <c r="G104" s="642">
        <f>SUMIFS(Пр.13!J$10:J$1388,Пр.13!$D$10:$D$1388,C104)</f>
        <v>0</v>
      </c>
      <c r="H104" s="642">
        <f>SUMIFS(Пр.13!K$10:K$1388,Пр.13!$D$10:$D$1388,C104)</f>
        <v>0</v>
      </c>
      <c r="I104" s="651">
        <f>SUMIFS(Пр.13!L$10:L$1388,Пр.13!$D$10:$D$1388,C104)</f>
        <v>0</v>
      </c>
    </row>
    <row r="105" spans="2:9" ht="48" hidden="1" thickBot="1">
      <c r="B105" s="638" t="str">
        <f>IF(C105&gt;0,VLOOKUP(C105,Программа!A$2:B$5091,2))</f>
        <v>Развитие взаимодействия органов местного самоуправления Тутаевского муниципального района, СОНКО и ТОС</v>
      </c>
      <c r="C105" s="604" t="s">
        <v>797</v>
      </c>
      <c r="D105" s="639">
        <f>SUMIFS(Пр.13!G$10:G$1388,Пр.13!$D$10:$D$1388,C105)</f>
        <v>0</v>
      </c>
      <c r="E105" s="639">
        <f>SUMIFS(Пр.13!H$10:H$1388,Пр.13!$D$10:$D$1388,C105)</f>
        <v>0</v>
      </c>
      <c r="F105" s="653">
        <f>SUMIFS(Пр.13!I$10:I$1388,Пр.13!$D$10:$D$1388,C105)</f>
        <v>0</v>
      </c>
      <c r="G105" s="653">
        <f>SUMIFS(Пр.13!J$10:J$1388,Пр.13!$D$10:$D$1388,C105)</f>
        <v>0</v>
      </c>
      <c r="H105" s="653">
        <f>SUMIFS(Пр.13!K$10:K$1388,Пр.13!$D$10:$D$1388,C105)</f>
        <v>0</v>
      </c>
      <c r="I105" s="654">
        <f>SUMIFS(Пр.13!L$10:L$1388,Пр.13!$D$10:$D$1388,C105)</f>
        <v>0</v>
      </c>
    </row>
    <row r="106" spans="2:9" ht="46.5" customHeight="1" thickBot="1">
      <c r="B106" s="622" t="str">
        <f>IF(C106&gt;0,VLOOKUP(C106,Программа!A$2:B$5091,2))</f>
        <v>Муниципальная программа "Профилактика правонарушений и усиление борьбы с преступностью в Тутаевском муниципальном районе"</v>
      </c>
      <c r="C106" s="215" t="s">
        <v>600</v>
      </c>
      <c r="D106" s="617">
        <f>SUMIFS(Пр.13!G$10:G$1388,Пр.13!$D$10:$D$1388,C106)</f>
        <v>0</v>
      </c>
      <c r="E106" s="617">
        <f>SUMIFS(Пр.13!H$10:H$1388,Пр.13!$D$10:$D$1388,C106)</f>
        <v>150000</v>
      </c>
      <c r="F106" s="617">
        <f>SUMIFS(Пр.13!I$10:I$1388,Пр.13!$D$10:$D$1388,C106)</f>
        <v>150000</v>
      </c>
      <c r="G106" s="617">
        <f>SUMIFS(Пр.13!J$10:J$1388,Пр.13!$D$10:$D$1388,C106)</f>
        <v>0</v>
      </c>
      <c r="H106" s="617">
        <f>SUMIFS(Пр.13!K$10:K$1388,Пр.13!$D$10:$D$1388,C106)</f>
        <v>150000</v>
      </c>
      <c r="I106" s="623">
        <f>SUMIFS(Пр.13!L$10:L$1388,Пр.13!$D$10:$D$1388,C106)</f>
        <v>150000</v>
      </c>
    </row>
    <row r="107" spans="2:9" ht="32.25" thickBot="1">
      <c r="B107" s="659" t="str">
        <f>IF(C107&gt;0,VLOOKUP(C107,Программа!A$2:B$5091,2))</f>
        <v>Реализация мероприятий по профилактике правонарушений</v>
      </c>
      <c r="C107" s="606" t="s">
        <v>602</v>
      </c>
      <c r="D107" s="618">
        <f>SUMIFS(Пр.13!G$10:G$1388,Пр.13!$D$10:$D$1388,C107)</f>
        <v>0</v>
      </c>
      <c r="E107" s="618">
        <f>SUMIFS(Пр.13!H$10:H$1388,Пр.13!$D$10:$D$1388,C107)</f>
        <v>150000</v>
      </c>
      <c r="F107" s="618">
        <f>SUMIFS(Пр.13!I$10:I$1388,Пр.13!$D$10:$D$1388,C107)</f>
        <v>150000</v>
      </c>
      <c r="G107" s="618">
        <f>SUMIFS(Пр.13!J$10:J$1388,Пр.13!$D$10:$D$1388,C107)</f>
        <v>0</v>
      </c>
      <c r="H107" s="618">
        <f>SUMIFS(Пр.13!K$10:K$1388,Пр.13!$D$10:$D$1388,C107)</f>
        <v>150000</v>
      </c>
      <c r="I107" s="664">
        <f>SUMIFS(Пр.13!L$10:L$1388,Пр.13!$D$10:$D$1388,C107)</f>
        <v>150000</v>
      </c>
    </row>
    <row r="108" spans="2:9" ht="45.75" customHeight="1" thickBot="1">
      <c r="B108" s="622" t="str">
        <f>IF(C108&gt;0,VLOOKUP(C108,Программа!A$2:B$5091,2))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8" s="215" t="s">
        <v>713</v>
      </c>
      <c r="D108" s="617">
        <f>SUMIFS(Пр.13!G$10:G$1388,Пр.13!$D$10:$D$1388,C108)</f>
        <v>10000000</v>
      </c>
      <c r="E108" s="617">
        <f>SUMIFS(Пр.13!H$10:H$1388,Пр.13!$D$10:$D$1388,C108)</f>
        <v>6600000</v>
      </c>
      <c r="F108" s="617">
        <f>SUMIFS(Пр.13!I$10:I$1388,Пр.13!$D$10:$D$1388,C108)</f>
        <v>16600000</v>
      </c>
      <c r="G108" s="617">
        <f>SUMIFS(Пр.13!J$10:J$1388,Пр.13!$D$10:$D$1388,C108)</f>
        <v>0</v>
      </c>
      <c r="H108" s="617">
        <f>SUMIFS(Пр.13!K$10:K$1388,Пр.13!$D$10:$D$1388,C108)</f>
        <v>7200000</v>
      </c>
      <c r="I108" s="623">
        <f>SUMIFS(Пр.13!L$10:L$1388,Пр.13!$D$10:$D$1388,C108)</f>
        <v>7200000</v>
      </c>
    </row>
    <row r="109" spans="2:9" ht="63" hidden="1">
      <c r="B109" s="662" t="str">
        <f>IF(C109&gt;0,VLOOKUP(C109,Программа!A$2:B$5091,2))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9" s="225" t="s">
        <v>715</v>
      </c>
      <c r="D109" s="628">
        <f>SUMIFS(Пр.13!G$10:G$1388,Пр.13!$D$10:$D$1388,C109)</f>
        <v>0</v>
      </c>
      <c r="E109" s="628">
        <f>SUMIFS(Пр.13!H$10:H$1388,Пр.13!$D$10:$D$1388,C109)</f>
        <v>0</v>
      </c>
      <c r="F109" s="628">
        <f>SUMIFS(Пр.13!I$10:I$1388,Пр.13!$D$10:$D$1388,C109)</f>
        <v>0</v>
      </c>
      <c r="G109" s="628">
        <f>SUMIFS(Пр.13!J$10:J$1388,Пр.13!$D$10:$D$1388,C109)</f>
        <v>0</v>
      </c>
      <c r="H109" s="628">
        <f>SUMIFS(Пр.13!K$10:K$1388,Пр.13!$D$10:$D$1388,C109)</f>
        <v>0</v>
      </c>
      <c r="I109" s="629">
        <f>SUMIFS(Пр.13!L$10:L$1388,Пр.13!$D$10:$D$1388,C109)</f>
        <v>0</v>
      </c>
    </row>
    <row r="110" spans="2:9" ht="63" hidden="1">
      <c r="B110" s="630" t="str">
        <f>IF(C110&gt;0,VLOOKUP(C110,Программа!A$2:B$5091,2))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0" s="163" t="s">
        <v>717</v>
      </c>
      <c r="D110" s="631">
        <f>SUMIFS(Пр.13!G$10:G$1388,Пр.13!$D$10:$D$1388,C110)</f>
        <v>0</v>
      </c>
      <c r="E110" s="631">
        <f>SUMIFS(Пр.13!H$10:H$1388,Пр.13!$D$10:$D$1388,C110)</f>
        <v>0</v>
      </c>
      <c r="F110" s="631">
        <f>SUMIFS(Пр.13!I$10:I$1388,Пр.13!$D$10:$D$1388,C110)</f>
        <v>0</v>
      </c>
      <c r="G110" s="631">
        <f>SUMIFS(Пр.13!J$10:J$1388,Пр.13!$D$10:$D$1388,C110)</f>
        <v>0</v>
      </c>
      <c r="H110" s="631">
        <f>SUMIFS(Пр.13!K$10:K$1388,Пр.13!$D$10:$D$1388,C110)</f>
        <v>0</v>
      </c>
      <c r="I110" s="632">
        <f>SUMIFS(Пр.13!L$10:L$1388,Пр.13!$D$10:$D$1388,C110)</f>
        <v>0</v>
      </c>
    </row>
    <row r="111" spans="2:9" ht="47.25">
      <c r="B111" s="649" t="str">
        <f>IF(C111&gt;0,VLOOKUP(C111,Программа!A$2:B$5091,2))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1" s="163" t="s">
        <v>719</v>
      </c>
      <c r="D111" s="631">
        <f>SUMIFS(Пр.13!G$10:G$1388,Пр.13!$D$10:$D$1388,C111)</f>
        <v>10000000</v>
      </c>
      <c r="E111" s="631">
        <f>SUMIFS(Пр.13!H$10:H$1388,Пр.13!$D$10:$D$1388,C111)</f>
        <v>600000</v>
      </c>
      <c r="F111" s="631">
        <f>SUMIFS(Пр.13!I$10:I$1388,Пр.13!$D$10:$D$1388,C111)</f>
        <v>10600000</v>
      </c>
      <c r="G111" s="631">
        <f>SUMIFS(Пр.13!J$10:J$1388,Пр.13!$D$10:$D$1388,C111)</f>
        <v>0</v>
      </c>
      <c r="H111" s="631">
        <f>SUMIFS(Пр.13!K$10:K$1388,Пр.13!$D$10:$D$1388,C111)</f>
        <v>600000</v>
      </c>
      <c r="I111" s="631">
        <f>SUMIFS(Пр.13!L$10:L$1388,Пр.13!$D$10:$D$1388,C111)</f>
        <v>600000</v>
      </c>
    </row>
    <row r="112" spans="2:9" ht="32.25" thickBot="1">
      <c r="B112" s="649" t="str">
        <f>IF(C112&gt;0,VLOOKUP(C112,Программа!A$2:B$5091,2))</f>
        <v>Организация предоставления транспортных услуг по перевозке пассажиров речным транспортом</v>
      </c>
      <c r="C112" s="606" t="s">
        <v>1619</v>
      </c>
      <c r="D112" s="618"/>
      <c r="E112" s="618"/>
      <c r="F112" s="631">
        <f>SUMIFS(Пр.13!I$10:I$1388,Пр.13!$D$10:$D$1388,C112)</f>
        <v>6000000</v>
      </c>
      <c r="G112" s="618"/>
      <c r="H112" s="618"/>
      <c r="I112" s="631">
        <f>SUMIFS(Пр.13!L$10:L$1388,Пр.13!$D$10:$D$1388,C112)</f>
        <v>6600000</v>
      </c>
    </row>
    <row r="113" spans="2:9" ht="32.25" thickBot="1">
      <c r="B113" s="622" t="str">
        <f>IF(C113&gt;0,VLOOKUP(C113,Программа!A$2:B$5091,2))</f>
        <v>Муниципальная программа  "Развитие жилищного хозяйства Тутаевского муниципального района"</v>
      </c>
      <c r="C113" s="609" t="s">
        <v>805</v>
      </c>
      <c r="D113" s="617">
        <f>SUMIFS(Пр.13!G$10:G$1388,Пр.13!$D$10:$D$1388,C113)</f>
        <v>0</v>
      </c>
      <c r="E113" s="617">
        <f>SUMIFS(Пр.13!H$10:H$1388,Пр.13!$D$10:$D$1388,C113)</f>
        <v>1500000</v>
      </c>
      <c r="F113" s="617">
        <f>SUMIFS(Пр.13!I$10:I$1388,Пр.13!$D$10:$D$1388,C113)</f>
        <v>1500000</v>
      </c>
      <c r="G113" s="617">
        <f>SUMIFS(Пр.13!J$10:J$1388,Пр.13!$D$10:$D$1388,C113)</f>
        <v>0</v>
      </c>
      <c r="H113" s="617">
        <f>SUMIFS(Пр.13!K$10:K$1388,Пр.13!$D$10:$D$1388,C113)</f>
        <v>1500000</v>
      </c>
      <c r="I113" s="623">
        <f>SUMIFS(Пр.13!L$10:L$1388,Пр.13!$D$10:$D$1388,C113)</f>
        <v>1500000</v>
      </c>
    </row>
    <row r="114" spans="2:9" ht="63" hidden="1">
      <c r="B114" s="626" t="str">
        <f>IF(C114&gt;0,VLOOKUP(C114,Программа!A$2:B$5091,2))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4" s="610" t="s">
        <v>808</v>
      </c>
      <c r="D114" s="627">
        <f>SUMIFS(Пр.13!G$10:G$1388,Пр.13!$D$10:$D$1388,C114)</f>
        <v>0</v>
      </c>
      <c r="E114" s="627">
        <f>SUMIFS(Пр.13!H$10:H$1388,Пр.13!$D$10:$D$1388,C114)</f>
        <v>0</v>
      </c>
      <c r="F114" s="642">
        <f>SUMIFS(Пр.13!I$10:I$1388,Пр.13!$D$10:$D$1388,C114)</f>
        <v>0</v>
      </c>
      <c r="G114" s="642">
        <f>SUMIFS(Пр.13!J$10:J$1388,Пр.13!$D$10:$D$1388,C114)</f>
        <v>0</v>
      </c>
      <c r="H114" s="642">
        <f>SUMIFS(Пр.13!K$10:K$1388,Пр.13!$D$10:$D$1388,C114)</f>
        <v>0</v>
      </c>
      <c r="I114" s="651">
        <f>SUMIFS(Пр.13!L$10:L$1388,Пр.13!$D$10:$D$1388,C114)</f>
        <v>0</v>
      </c>
    </row>
    <row r="115" spans="2:9" ht="31.5" hidden="1">
      <c r="B115" s="630" t="str">
        <f>IF(C115&gt;0,VLOOKUP(C115,Программа!A$2:B$5091,2))</f>
        <v>Обеспечение мероприятий по восстановлению лифтового хозяйства многоквартирных домов</v>
      </c>
      <c r="C115" s="611" t="s">
        <v>811</v>
      </c>
      <c r="D115" s="631">
        <f>SUMIFS(Пр.13!G$10:G$1388,Пр.13!$D$10:$D$1388,C115)</f>
        <v>0</v>
      </c>
      <c r="E115" s="631">
        <f>SUMIFS(Пр.13!H$10:H$1388,Пр.13!$D$10:$D$1388,C115)</f>
        <v>0</v>
      </c>
      <c r="F115" s="650">
        <f>SUMIFS(Пр.13!I$10:I$1388,Пр.13!$D$10:$D$1388,C115)</f>
        <v>0</v>
      </c>
      <c r="G115" s="650">
        <f>SUMIFS(Пр.13!J$10:J$1388,Пр.13!$D$10:$D$1388,C115)</f>
        <v>0</v>
      </c>
      <c r="H115" s="650">
        <f>SUMIFS(Пр.13!K$10:K$1388,Пр.13!$D$10:$D$1388,C115)</f>
        <v>0</v>
      </c>
      <c r="I115" s="652">
        <f>SUMIFS(Пр.13!L$10:L$1388,Пр.13!$D$10:$D$1388,C115)</f>
        <v>0</v>
      </c>
    </row>
    <row r="116" spans="2:9" ht="47.25">
      <c r="B116" s="633" t="str">
        <f>IF(C116&gt;0,VLOOKUP(C116,Программа!A$2:B$5091,2))</f>
        <v>Муниципальная целевая программа "Ремонт и содержание муниципального жилищного фонда   Тутаевского муниципального района"</v>
      </c>
      <c r="C116" s="612" t="s">
        <v>814</v>
      </c>
      <c r="D116" s="634">
        <f>SUMIFS(Пр.13!G$10:G$1388,Пр.13!$D$10:$D$1388,C116)</f>
        <v>0</v>
      </c>
      <c r="E116" s="634">
        <f>SUMIFS(Пр.13!H$10:H$1388,Пр.13!$D$10:$D$1388,C116)</f>
        <v>1500000</v>
      </c>
      <c r="F116" s="631">
        <f>SUMIFS(Пр.13!I$10:I$1388,Пр.13!$D$10:$D$1388,C116)</f>
        <v>1500000</v>
      </c>
      <c r="G116" s="631">
        <f>SUMIFS(Пр.13!J$10:J$1388,Пр.13!$D$10:$D$1388,C116)</f>
        <v>0</v>
      </c>
      <c r="H116" s="631">
        <f>SUMIFS(Пр.13!K$10:K$1388,Пр.13!$D$10:$D$1388,C116)</f>
        <v>1500000</v>
      </c>
      <c r="I116" s="632">
        <f>SUMIFS(Пр.13!L$10:L$1388,Пр.13!$D$10:$D$1388,C116)</f>
        <v>1500000</v>
      </c>
    </row>
    <row r="117" spans="2:9" ht="32.25" thickBot="1">
      <c r="B117" s="630" t="str">
        <f>IF(C117&gt;0,VLOOKUP(C117,Программа!A$2:B$5091,2))</f>
        <v>Обеспечение мероприятий по замене приборов учета в муниципальном жилищном фонде</v>
      </c>
      <c r="C117" s="611" t="s">
        <v>816</v>
      </c>
      <c r="D117" s="631">
        <f>SUMIFS(Пр.13!G$10:G$1388,Пр.13!$D$10:$D$1388,C117)</f>
        <v>0</v>
      </c>
      <c r="E117" s="631">
        <f>SUMIFS(Пр.13!H$10:H$1388,Пр.13!$D$10:$D$1388,C117)</f>
        <v>1500000</v>
      </c>
      <c r="F117" s="631">
        <f>SUMIFS(Пр.13!I$10:I$1388,Пр.13!$D$10:$D$1388,C117)</f>
        <v>1500000</v>
      </c>
      <c r="G117" s="631">
        <f>SUMIFS(Пр.13!J$10:J$1388,Пр.13!$D$10:$D$1388,C117)</f>
        <v>0</v>
      </c>
      <c r="H117" s="631">
        <f>SUMIFS(Пр.13!K$10:K$1388,Пр.13!$D$10:$D$1388,C117)</f>
        <v>1500000</v>
      </c>
      <c r="I117" s="632">
        <f>SUMIFS(Пр.13!L$10:L$1388,Пр.13!$D$10:$D$1388,C117)</f>
        <v>1500000</v>
      </c>
    </row>
    <row r="118" spans="2:9" ht="31.5" hidden="1">
      <c r="B118" s="630" t="str">
        <f>IF(C118&gt;0,VLOOKUP(C118,Программа!A$2:B$5091,2))</f>
        <v>Обеспечение мероприятий по ремонту общедомового имущества</v>
      </c>
      <c r="C118" s="611" t="s">
        <v>819</v>
      </c>
      <c r="D118" s="631">
        <f>SUMIFS(Пр.13!G$10:G$1388,Пр.13!$D$10:$D$1388,C118)</f>
        <v>0</v>
      </c>
      <c r="E118" s="631">
        <f>SUMIFS(Пр.13!H$10:H$1388,Пр.13!$D$10:$D$1388,C118)</f>
        <v>0</v>
      </c>
      <c r="F118" s="650">
        <f>SUMIFS(Пр.13!I$10:I$1388,Пр.13!$D$10:$D$1388,C118)</f>
        <v>0</v>
      </c>
      <c r="G118" s="650">
        <f>SUMIFS(Пр.13!J$10:J$1388,Пр.13!$D$10:$D$1388,C118)</f>
        <v>0</v>
      </c>
      <c r="H118" s="650">
        <f>SUMIFS(Пр.13!K$10:K$1388,Пр.13!$D$10:$D$1388,C118)</f>
        <v>0</v>
      </c>
      <c r="I118" s="652">
        <f>SUMIFS(Пр.13!L$10:L$1388,Пр.13!$D$10:$D$1388,C118)</f>
        <v>0</v>
      </c>
    </row>
    <row r="119" spans="2:9" ht="32.25" hidden="1" thickBot="1">
      <c r="B119" s="638" t="str">
        <f>IF(C119&gt;0,VLOOKUP(C119,Программа!A$2:B$5091,2))</f>
        <v>Обеспечение мероприятий по ремонту муниципальных квартир</v>
      </c>
      <c r="C119" s="613" t="s">
        <v>820</v>
      </c>
      <c r="D119" s="639">
        <f>SUMIFS(Пр.13!G$10:G$1388,Пр.13!$D$10:$D$1388,C119)</f>
        <v>0</v>
      </c>
      <c r="E119" s="639">
        <f>SUMIFS(Пр.13!H$10:H$1388,Пр.13!$D$10:$D$1388,C119)</f>
        <v>0</v>
      </c>
      <c r="F119" s="653">
        <f>SUMIFS(Пр.13!I$10:I$1388,Пр.13!$D$10:$D$1388,C119)</f>
        <v>0</v>
      </c>
      <c r="G119" s="653">
        <f>SUMIFS(Пр.13!J$10:J$1388,Пр.13!$D$10:$D$1388,C119)</f>
        <v>0</v>
      </c>
      <c r="H119" s="653">
        <f>SUMIFS(Пр.13!K$10:K$1388,Пр.13!$D$10:$D$1388,C119)</f>
        <v>0</v>
      </c>
      <c r="I119" s="654">
        <f>SUMIFS(Пр.13!L$10:L$1388,Пр.13!$D$10:$D$1388,C119)</f>
        <v>0</v>
      </c>
    </row>
    <row r="120" spans="2:9" ht="48" thickBot="1">
      <c r="B120" s="622" t="str">
        <f>IF(C120&gt;0,VLOOKUP(C120,Программа!A$2:B$5091,2))</f>
        <v>Муниципальная программа "Благоустройство  и санитарно-эпидемиологическая безопасность  Тутаевского муниципального района</v>
      </c>
      <c r="C120" s="609" t="s">
        <v>823</v>
      </c>
      <c r="D120" s="617">
        <f>SUMIFS(Пр.13!G$10:G$1388,Пр.13!$D$10:$D$1388,C120)</f>
        <v>0</v>
      </c>
      <c r="E120" s="617">
        <f>SUMIFS(Пр.13!H$10:H$1388,Пр.13!$D$10:$D$1388,C120)</f>
        <v>27341767</v>
      </c>
      <c r="F120" s="617">
        <f>SUMIFS(Пр.13!I$10:I$1388,Пр.13!$D$10:$D$1388,C120)</f>
        <v>27341767</v>
      </c>
      <c r="G120" s="617">
        <f>SUMIFS(Пр.13!J$10:J$1388,Пр.13!$D$10:$D$1388,C120)</f>
        <v>0</v>
      </c>
      <c r="H120" s="617">
        <f>SUMIFS(Пр.13!K$10:K$1388,Пр.13!$D$10:$D$1388,C120)</f>
        <v>29072818</v>
      </c>
      <c r="I120" s="623">
        <f>SUMIFS(Пр.13!L$10:L$1388,Пр.13!$D$10:$D$1388,C120)</f>
        <v>29072818</v>
      </c>
    </row>
    <row r="121" spans="2:9" ht="47.25">
      <c r="B121" s="641" t="str">
        <f>IF(C121&gt;0,VLOOKUP(C121,Программа!A$2:B$5091,2))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1" s="610" t="s">
        <v>825</v>
      </c>
      <c r="D121" s="627">
        <f>SUMIFS(Пр.13!G$10:G$1388,Пр.13!$D$10:$D$1388,C121)</f>
        <v>0</v>
      </c>
      <c r="E121" s="627">
        <f>SUMIFS(Пр.13!H$10:H$1388,Пр.13!$D$10:$D$1388,C121)</f>
        <v>800000</v>
      </c>
      <c r="F121" s="628">
        <f>SUMIFS(Пр.13!I$10:I$1388,Пр.13!$D$10:$D$1388,C121)</f>
        <v>800000</v>
      </c>
      <c r="G121" s="628">
        <f>SUMIFS(Пр.13!J$10:J$1388,Пр.13!$D$10:$D$1388,C121)</f>
        <v>0</v>
      </c>
      <c r="H121" s="628">
        <f>SUMIFS(Пр.13!K$10:K$1388,Пр.13!$D$10:$D$1388,C121)</f>
        <v>800000</v>
      </c>
      <c r="I121" s="628">
        <f>SUMIFS(Пр.13!L$10:L$1388,Пр.13!$D$10:$D$1388,C121)</f>
        <v>800000</v>
      </c>
    </row>
    <row r="122" spans="2:9" ht="31.5">
      <c r="B122" s="649" t="str">
        <f>IF(C122&gt;0,VLOOKUP(C122,Программа!A$2:B$5091,2))</f>
        <v>Обеспечение комплекса работ по повышению уровня благоустройства мест погребений</v>
      </c>
      <c r="C122" s="611" t="s">
        <v>827</v>
      </c>
      <c r="D122" s="631">
        <f>SUMIFS(Пр.13!G$10:G$1388,Пр.13!$D$10:$D$1388,C122)</f>
        <v>0</v>
      </c>
      <c r="E122" s="631">
        <f>SUMIFS(Пр.13!H$10:H$1388,Пр.13!$D$10:$D$1388,C122)</f>
        <v>800000</v>
      </c>
      <c r="F122" s="631">
        <f>SUMIFS(Пр.13!I$10:I$1388,Пр.13!$D$10:$D$1388,C122)</f>
        <v>800000</v>
      </c>
      <c r="G122" s="631">
        <f>SUMIFS(Пр.13!J$10:J$1388,Пр.13!$D$10:$D$1388,C122)</f>
        <v>0</v>
      </c>
      <c r="H122" s="631">
        <f>SUMIFS(Пр.13!K$10:K$1388,Пр.13!$D$10:$D$1388,C122)</f>
        <v>800000</v>
      </c>
      <c r="I122" s="631">
        <f>SUMIFS(Пр.13!L$10:L$1388,Пр.13!$D$10:$D$1388,C122)</f>
        <v>800000</v>
      </c>
    </row>
    <row r="123" spans="2:9" ht="47.25">
      <c r="B123" s="656" t="str">
        <f>IF(C123&gt;0,VLOOKUP(C123,Программа!A$2:B$5091,2))</f>
        <v>Муниципальная целевая программа "Благоустройство и озеленение территории  в Тутаевского муниципального  района"</v>
      </c>
      <c r="C123" s="612" t="s">
        <v>829</v>
      </c>
      <c r="D123" s="634">
        <f>SUMIFS(Пр.13!G$10:G$1388,Пр.13!$D$10:$D$1388,C123)</f>
        <v>0</v>
      </c>
      <c r="E123" s="634">
        <f>SUMIFS(Пр.13!H$10:H$1388,Пр.13!$D$10:$D$1388,C123)</f>
        <v>26541767</v>
      </c>
      <c r="F123" s="631">
        <f>SUMIFS(Пр.13!I$10:I$1388,Пр.13!$D$10:$D$1388,C123)</f>
        <v>26541767</v>
      </c>
      <c r="G123" s="631">
        <f>SUMIFS(Пр.13!J$10:J$1388,Пр.13!$D$10:$D$1388,C123)</f>
        <v>0</v>
      </c>
      <c r="H123" s="631">
        <f>SUMIFS(Пр.13!K$10:K$1388,Пр.13!$D$10:$D$1388,C123)</f>
        <v>28272818</v>
      </c>
      <c r="I123" s="631">
        <f>SUMIFS(Пр.13!L$10:L$1388,Пр.13!$D$10:$D$1388,C123)</f>
        <v>28272818</v>
      </c>
    </row>
    <row r="124" spans="2:9" ht="48" thickBot="1">
      <c r="B124" s="649" t="str">
        <f>IF(C124&gt;0,VLOOKUP(C124,Программа!A$2:B$5091,2))</f>
        <v>Улучшение уровня внешнего благоустройства и санитарного  состояния территорий Тутаевского муниципального района</v>
      </c>
      <c r="C124" s="611" t="s">
        <v>831</v>
      </c>
      <c r="D124" s="631">
        <f>SUMIFS(Пр.13!G$10:G$1388,Пр.13!$D$10:$D$1388,C124)</f>
        <v>0</v>
      </c>
      <c r="E124" s="631">
        <f>SUMIFS(Пр.13!H$10:H$1388,Пр.13!$D$10:$D$1388,C124)</f>
        <v>26541767</v>
      </c>
      <c r="F124" s="631">
        <f>SUMIFS(Пр.13!I$10:I$1388,Пр.13!$D$10:$D$1388,C124)</f>
        <v>26541767</v>
      </c>
      <c r="G124" s="631">
        <f>SUMIFS(Пр.13!J$10:J$1388,Пр.13!$D$10:$D$1388,C124)</f>
        <v>0</v>
      </c>
      <c r="H124" s="631">
        <f>SUMIFS(Пр.13!K$10:K$1388,Пр.13!$D$10:$D$1388,C124)</f>
        <v>28272818</v>
      </c>
      <c r="I124" s="631">
        <f>SUMIFS(Пр.13!L$10:L$1388,Пр.13!$D$10:$D$1388,C124)</f>
        <v>28272818</v>
      </c>
    </row>
    <row r="125" spans="2:9" ht="31.5" hidden="1">
      <c r="B125" s="649" t="str">
        <f>IF(C125&gt;0,VLOOKUP(C125,Программа!A$2:B$5091,2))</f>
        <v xml:space="preserve">Обеспечение мероприятий по совершенствованию  эстетического  состояния территорий </v>
      </c>
      <c r="C125" s="611" t="s">
        <v>833</v>
      </c>
      <c r="D125" s="631">
        <f>SUMIFS(Пр.13!G$10:G$1388,Пр.13!$D$10:$D$1388,C125)</f>
        <v>0</v>
      </c>
      <c r="E125" s="631">
        <f>SUMIFS(Пр.13!H$10:H$1388,Пр.13!$D$10:$D$1388,C125)</f>
        <v>0</v>
      </c>
      <c r="F125" s="650">
        <f>SUMIFS(Пр.13!I$10:I$1388,Пр.13!$D$10:$D$1388,C125)</f>
        <v>0</v>
      </c>
      <c r="G125" s="650">
        <f>SUMIFS(Пр.13!J$10:J$1388,Пр.13!$D$10:$D$1388,C125)</f>
        <v>0</v>
      </c>
      <c r="H125" s="650">
        <f>SUMIFS(Пр.13!K$10:K$1388,Пр.13!$D$10:$D$1388,C125)</f>
        <v>0</v>
      </c>
      <c r="I125" s="650">
        <f>SUMIFS(Пр.13!L$10:L$1388,Пр.13!$D$10:$D$1388,C125)</f>
        <v>0</v>
      </c>
    </row>
    <row r="126" spans="2:9" ht="32.25" hidden="1" thickBot="1">
      <c r="B126" s="643" t="str">
        <f>IF(C126&gt;0,VLOOKUP(C126,Программа!A$2:B$5091,2))</f>
        <v>Обеспечение мероприятий по благоустройству мест массового отдыха населения</v>
      </c>
      <c r="C126" s="614" t="s">
        <v>835</v>
      </c>
      <c r="D126" s="644">
        <f>SUMIFS(Пр.13!G$10:G$1388,Пр.13!$D$10:$D$1388,C126)</f>
        <v>0</v>
      </c>
      <c r="E126" s="644">
        <f>SUMIFS(Пр.13!H$10:H$1388,Пр.13!$D$10:$D$1388,C126)</f>
        <v>0</v>
      </c>
      <c r="F126" s="645">
        <f>SUMIFS(Пр.13!I$10:I$1388,Пр.13!$D$10:$D$1388,C126)</f>
        <v>0</v>
      </c>
      <c r="G126" s="645">
        <f>SUMIFS(Пр.13!J$10:J$1388,Пр.13!$D$10:$D$1388,C126)</f>
        <v>0</v>
      </c>
      <c r="H126" s="645">
        <f>SUMIFS(Пр.13!K$10:K$1388,Пр.13!$D$10:$D$1388,C126)</f>
        <v>0</v>
      </c>
      <c r="I126" s="645">
        <f>SUMIFS(Пр.13!L$10:L$1388,Пр.13!$D$10:$D$1388,C126)</f>
        <v>0</v>
      </c>
    </row>
    <row r="127" spans="2:9" ht="48" hidden="1" thickBot="1">
      <c r="B127" s="622" t="str">
        <f>IF(C127&gt;0,VLOOKUP(C127,Программа!A$2:B$5091,2))</f>
        <v>Муниципальная программа "Обеспечение населения Тутаевского муниципального района банными услугами"</v>
      </c>
      <c r="C127" s="215" t="s">
        <v>837</v>
      </c>
      <c r="D127" s="617">
        <f>SUMIFS(Пр.13!G$10:G$1388,Пр.13!$D$10:$D$1388,C127)</f>
        <v>0</v>
      </c>
      <c r="E127" s="617">
        <f>SUMIFS(Пр.13!H$10:H$1388,Пр.13!$D$10:$D$1388,C127)</f>
        <v>0</v>
      </c>
      <c r="F127" s="617">
        <f>SUMIFS(Пр.13!I$10:I$1388,Пр.13!$D$10:$D$1388,C127)</f>
        <v>0</v>
      </c>
      <c r="G127" s="617">
        <f>SUMIFS(Пр.13!J$10:J$1388,Пр.13!$D$10:$D$1388,C127)</f>
        <v>0</v>
      </c>
      <c r="H127" s="617">
        <f>SUMIFS(Пр.13!K$10:K$1388,Пр.13!$D$10:$D$1388,C127)</f>
        <v>0</v>
      </c>
      <c r="I127" s="623">
        <f>SUMIFS(Пр.13!L$10:L$1388,Пр.13!$D$10:$D$1388,C127)</f>
        <v>0</v>
      </c>
    </row>
    <row r="128" spans="2:9" ht="32.25" hidden="1" thickBot="1">
      <c r="B128" s="659" t="str">
        <f>IF(C128&gt;0,VLOOKUP(C128,Программа!A$2:B$5091,2))</f>
        <v>Обеспечение населения Тутаевского муниципального района банными услугами</v>
      </c>
      <c r="C128" s="615" t="s">
        <v>839</v>
      </c>
      <c r="D128" s="618">
        <f>SUMIFS(Пр.13!G$10:G$1388,Пр.13!$D$10:$D$1388,C128)</f>
        <v>0</v>
      </c>
      <c r="E128" s="618">
        <f>SUMIFS(Пр.13!H$10:H$1388,Пр.13!$D$10:$D$1388,C128)</f>
        <v>0</v>
      </c>
      <c r="F128" s="660">
        <f>SUMIFS(Пр.13!I$10:I$1388,Пр.13!$D$10:$D$1388,C128)</f>
        <v>0</v>
      </c>
      <c r="G128" s="660">
        <f>SUMIFS(Пр.13!J$10:J$1388,Пр.13!$D$10:$D$1388,C128)</f>
        <v>0</v>
      </c>
      <c r="H128" s="660">
        <f>SUMIFS(Пр.13!K$10:K$1388,Пр.13!$D$10:$D$1388,C128)</f>
        <v>0</v>
      </c>
      <c r="I128" s="661">
        <f>SUMIFS(Пр.13!L$10:L$1388,Пр.13!$D$10:$D$1388,C128)</f>
        <v>0</v>
      </c>
    </row>
    <row r="129" spans="2:9" s="624" customFormat="1" ht="48" hidden="1" thickBot="1">
      <c r="B129" s="622" t="str">
        <f>IF(C129&gt;0,VLOOKUP(C129,Программа!A$2:B$5091,2))</f>
        <v>Муниципальная программа "Охрана окружающей среды и рациональное природопользование в Тутаевском муниципальном районе"</v>
      </c>
      <c r="C129" s="609" t="s">
        <v>1222</v>
      </c>
      <c r="D129" s="617">
        <f>SUMIFS(Пр.13!G$10:G$1388,Пр.13!$D$10:$D$1388,C129)</f>
        <v>0</v>
      </c>
      <c r="E129" s="617">
        <f>SUMIFS(Пр.13!H$10:H$1388,Пр.13!$D$10:$D$1388,C129)</f>
        <v>0</v>
      </c>
      <c r="F129" s="617">
        <f>SUMIFS(Пр.13!I$10:I$1388,Пр.13!$D$10:$D$1388,C129)</f>
        <v>0</v>
      </c>
      <c r="G129" s="617">
        <f>SUMIFS(Пр.13!J$10:J$1388,Пр.13!$D$10:$D$1388,C129)</f>
        <v>0</v>
      </c>
      <c r="H129" s="617">
        <f>SUMIFS(Пр.13!K$10:K$1388,Пр.13!$D$10:$D$1388,C129)</f>
        <v>0</v>
      </c>
      <c r="I129" s="623">
        <f>SUMIFS(Пр.13!L$10:L$1388,Пр.13!$D$10:$D$1388,C129)</f>
        <v>0</v>
      </c>
    </row>
    <row r="130" spans="2:9" ht="32.25" hidden="1" thickBot="1">
      <c r="B130" s="659" t="str">
        <f>IF(C130&gt;0,VLOOKUP(C130,Программа!A$2:B$5091,2))</f>
        <v>Развитие водохозяйственного комплекса Тутаевского муниципального района</v>
      </c>
      <c r="C130" s="615" t="s">
        <v>1223</v>
      </c>
      <c r="D130" s="618">
        <f>SUMIFS(Пр.13!G$10:G$1388,Пр.13!$D$10:$D$1388,C130)</f>
        <v>0</v>
      </c>
      <c r="E130" s="618">
        <f>SUMIFS(Пр.13!H$10:H$1388,Пр.13!$D$10:$D$1388,D130)</f>
        <v>0</v>
      </c>
      <c r="F130" s="660">
        <f>SUMIFS(Пр.13!I$10:I$1388,Пр.13!$D$10:$D$1388,C130)</f>
        <v>0</v>
      </c>
      <c r="G130" s="660">
        <f>SUMIFS(Пр.13!J$10:J$1388,Пр.13!$D$10:$D$1388,C130)</f>
        <v>0</v>
      </c>
      <c r="H130" s="660">
        <f>SUMIFS(Пр.13!K$10:K$1388,Пр.13!$D$10:$D$1388,C130)</f>
        <v>0</v>
      </c>
      <c r="I130" s="661">
        <f>SUMIFS(Пр.13!L$10:L$1388,Пр.13!$D$10:$D$1388,C130)</f>
        <v>0</v>
      </c>
    </row>
    <row r="131" spans="2:9" s="624" customFormat="1" ht="48" hidden="1" thickBot="1">
      <c r="B131" s="622" t="str">
        <f>IF(C131&gt;0,VLOOKUP(C131,Программа!A$2:B$5091,2))</f>
        <v>Муниципальная программа "Обеспечение муниципальных закупок в Тутаевском муниципальном районе"</v>
      </c>
      <c r="C131" s="609" t="s">
        <v>1236</v>
      </c>
      <c r="D131" s="617">
        <f>SUMIFS(Пр.13!G$10:G$1388,Пр.13!$D$10:$D$1388,C131)</f>
        <v>0</v>
      </c>
      <c r="E131" s="617">
        <f>SUMIFS(Пр.13!H$10:H$1388,Пр.13!$D$10:$D$1388,C131)</f>
        <v>0</v>
      </c>
      <c r="F131" s="617">
        <f>SUMIFS(Пр.13!I$10:I$1388,Пр.13!$D$10:$D$1388,C131)</f>
        <v>0</v>
      </c>
      <c r="G131" s="617">
        <f>SUMIFS(Пр.13!J$10:J$1388,Пр.13!$D$10:$D$1388,C131)</f>
        <v>0</v>
      </c>
      <c r="H131" s="617">
        <f>SUMIFS(Пр.13!K$10:K$1388,Пр.13!$D$10:$D$1388,C131)</f>
        <v>0</v>
      </c>
      <c r="I131" s="623">
        <f>SUMIFS(Пр.13!L$10:L$1388,Пр.13!$D$10:$D$1388,C131)</f>
        <v>0</v>
      </c>
    </row>
    <row r="132" spans="2:9" ht="47.25" hidden="1">
      <c r="B132" s="662" t="str">
        <f>IF(C132&gt;0,VLOOKUP(C132,Программа!A$2:B$5091,2))</f>
        <v>Организация системы подготовки, планирования, информационного сопровождения и осуществления муниципальных закупок</v>
      </c>
      <c r="C132" s="616" t="s">
        <v>1238</v>
      </c>
      <c r="D132" s="628">
        <f>SUMIFS(Пр.13!G$10:G$1388,Пр.13!$D$10:$D$1388,C132)</f>
        <v>0</v>
      </c>
      <c r="E132" s="628">
        <f>SUMIFS(Пр.13!H$10:H$1388,Пр.13!$D$10:$D$1388,C132)</f>
        <v>0</v>
      </c>
      <c r="F132" s="642">
        <f>SUMIFS(Пр.13!I$10:I$1388,Пр.13!$D$10:$D$1388,C132)</f>
        <v>0</v>
      </c>
      <c r="G132" s="642">
        <f>SUMIFS(Пр.13!J$10:J$1388,Пр.13!$D$10:$D$1388,C132)</f>
        <v>0</v>
      </c>
      <c r="H132" s="642">
        <f>SUMIFS(Пр.13!K$10:K$1388,Пр.13!$D$10:$D$1388,C132)</f>
        <v>0</v>
      </c>
      <c r="I132" s="651">
        <f>SUMIFS(Пр.13!L$10:L$1388,Пр.13!$D$10:$D$1388,C132)</f>
        <v>0</v>
      </c>
    </row>
    <row r="133" spans="2:9" ht="79.5" hidden="1" thickBot="1">
      <c r="B133" s="638" t="str">
        <f>IF(C133&gt;0,VLOOKUP(C133,Программа!A$2:B$5091,2))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3" s="613" t="s">
        <v>1240</v>
      </c>
      <c r="D133" s="639">
        <f>SUMIFS(Пр.13!G$10:G$1388,Пр.13!$D$10:$D$1388,C133)</f>
        <v>0</v>
      </c>
      <c r="E133" s="639">
        <f>SUMIFS(Пр.13!H$10:H$1388,Пр.13!$D$10:$D$1388,C133)</f>
        <v>0</v>
      </c>
      <c r="F133" s="653">
        <f>SUMIFS(Пр.13!I$10:I$1388,Пр.13!$D$10:$D$1388,C133)</f>
        <v>0</v>
      </c>
      <c r="G133" s="653">
        <f>SUMIFS(Пр.13!J$10:J$1388,Пр.13!$D$10:$D$1388,C133)</f>
        <v>0</v>
      </c>
      <c r="H133" s="653">
        <f>SUMIFS(Пр.13!K$10:K$1388,Пр.13!$D$10:$D$1388,C133)</f>
        <v>0</v>
      </c>
      <c r="I133" s="654">
        <f>SUMIFS(Пр.13!L$10:L$1388,Пр.13!$D$10:$D$1388,C133)</f>
        <v>0</v>
      </c>
    </row>
    <row r="134" spans="2:9" ht="48" thickBot="1">
      <c r="B134" s="622" t="str">
        <f>IF(C134&gt;0,VLOOKUP(C134,Программа!A$2:B$5091,2))</f>
        <v>Муниципальная программа "Формирование  современной городской среды"  Тутаевского муниципального района</v>
      </c>
      <c r="C134" s="609" t="s">
        <v>1369</v>
      </c>
      <c r="D134" s="663">
        <f>SUMIFS(Пр.13!G$10:G$1388,Пр.13!$D$10:$D$1388,C134)</f>
        <v>0</v>
      </c>
      <c r="E134" s="663">
        <f>SUMIFS(Пр.13!H$10:H$1388,Пр.13!$D$10:$D$1388,C134)</f>
        <v>1500000</v>
      </c>
      <c r="F134" s="617">
        <f>SUMIFS(Пр.13!I$10:I$1388,Пр.13!$D$10:$D$1388,C134)</f>
        <v>1500000</v>
      </c>
      <c r="G134" s="617">
        <f>SUMIFS(Пр.13!J$10:J$1388,Пр.13!$D$10:$D$1388,C134)</f>
        <v>0</v>
      </c>
      <c r="H134" s="617">
        <f>SUMIFS(Пр.13!K$10:K$1388,Пр.13!$D$10:$D$1388,C134)</f>
        <v>1500000</v>
      </c>
      <c r="I134" s="623">
        <f>SUMIFS(Пр.13!L$10:L$1388,Пр.13!$D$10:$D$1388,C134)</f>
        <v>1500000</v>
      </c>
    </row>
    <row r="135" spans="2:9" ht="32.25" thickBot="1">
      <c r="B135" s="662" t="str">
        <f>IF(C135&gt;0,VLOOKUP(C135,Программа!A$2:B$5091,2))</f>
        <v>Повышение уровня благоустройства дворовых территорий</v>
      </c>
      <c r="C135" s="616" t="s">
        <v>1391</v>
      </c>
      <c r="D135" s="628">
        <f>SUMIFS(Пр.13!G$10:G$1388,Пр.13!$D$10:$D$1388,C135)</f>
        <v>0</v>
      </c>
      <c r="E135" s="628">
        <f>SUMIFS(Пр.13!H$10:H$1388,Пр.13!$D$10:$D$1388,C135)</f>
        <v>1500000</v>
      </c>
      <c r="F135" s="628">
        <f>SUMIFS(Пр.13!I$10:I$1388,Пр.13!$D$10:$D$1388,C135)</f>
        <v>1500000</v>
      </c>
      <c r="G135" s="628">
        <f>SUMIFS(Пр.13!J$10:J$1388,Пр.13!$D$10:$D$1388,C135)</f>
        <v>0</v>
      </c>
      <c r="H135" s="628">
        <f>SUMIFS(Пр.13!K$10:K$1388,Пр.13!$D$10:$D$1388,C135)</f>
        <v>1500000</v>
      </c>
      <c r="I135" s="629">
        <f>SUMIFS(Пр.13!L$10:L$1388,Пр.13!$D$10:$D$1388,C135)</f>
        <v>1500000</v>
      </c>
    </row>
    <row r="136" spans="2:9" ht="31.5" hidden="1">
      <c r="B136" s="630" t="str">
        <f>IF(C136&gt;0,VLOOKUP(C136,Программа!A$2:B$5091,2))</f>
        <v>Повышение  уровня благоустройства  мест массового отдыха людей</v>
      </c>
      <c r="C136" s="611" t="s">
        <v>1392</v>
      </c>
      <c r="D136" s="631">
        <f>SUMIFS(Пр.13!G$10:G$1388,Пр.13!$D$10:$D$1388,C136)</f>
        <v>0</v>
      </c>
      <c r="E136" s="631">
        <f>SUMIFS(Пр.13!H$10:H$1388,Пр.13!$D$10:$D$1388,C136)</f>
        <v>0</v>
      </c>
      <c r="F136" s="650">
        <f>SUMIFS(Пр.13!I$10:I$1388,Пр.13!$D$10:$D$1388,C136)</f>
        <v>0</v>
      </c>
      <c r="G136" s="650">
        <f>SUMIFS(Пр.13!J$10:J$1388,Пр.13!$D$10:$D$1388,C136)</f>
        <v>0</v>
      </c>
      <c r="H136" s="650">
        <f>SUMIFS(Пр.13!K$10:K$1388,Пр.13!$D$10:$D$1388,C136)</f>
        <v>0</v>
      </c>
      <c r="I136" s="652">
        <f>SUMIFS(Пр.13!L$10:L$1388,Пр.13!$D$10:$D$1388,C136)</f>
        <v>0</v>
      </c>
    </row>
    <row r="137" spans="2:9" ht="31.5" hidden="1">
      <c r="B137" s="630" t="str">
        <f>IF(C137&gt;0,VLOOKUP(C137,Программа!A$2:B$5091,2))</f>
        <v>Реализация проектов создания комфортной городской среды в малых городах и исторических поселениях</v>
      </c>
      <c r="C137" s="611" t="s">
        <v>1393</v>
      </c>
      <c r="D137" s="631">
        <f>SUMIFS(Пр.13!G$10:G$1388,Пр.13!$D$10:$D$1388,C137)</f>
        <v>0</v>
      </c>
      <c r="E137" s="631">
        <f>SUMIFS(Пр.13!H$10:H$1388,Пр.13!$D$10:$D$1388,C137)</f>
        <v>0</v>
      </c>
      <c r="F137" s="650">
        <f>SUMIFS(Пр.13!I$10:I$1388,Пр.13!$D$10:$D$1388,C137)</f>
        <v>0</v>
      </c>
      <c r="G137" s="650">
        <f>SUMIFS(Пр.13!J$10:J$1388,Пр.13!$D$10:$D$1388,C137)</f>
        <v>0</v>
      </c>
      <c r="H137" s="650">
        <f>SUMIFS(Пр.13!K$10:K$1388,Пр.13!$D$10:$D$1388,C137)</f>
        <v>0</v>
      </c>
      <c r="I137" s="652">
        <f>SUMIFS(Пр.13!L$10:L$1388,Пр.13!$D$10:$D$1388,C137)</f>
        <v>0</v>
      </c>
    </row>
    <row r="138" spans="2:9" ht="36.75" hidden="1" customHeight="1" thickBot="1">
      <c r="B138" s="638" t="s">
        <v>1800</v>
      </c>
      <c r="C138" s="604" t="s">
        <v>1801</v>
      </c>
      <c r="D138" s="639">
        <f>SUMIFS(Пр.13!G$10:G$1388,Пр.13!$D$10:$D$1388,C138)</f>
        <v>0</v>
      </c>
      <c r="E138" s="639">
        <f>SUMIFS(Пр.13!H$10:H$1388,Пр.13!$D$10:$D$1388,C138)</f>
        <v>0</v>
      </c>
      <c r="F138" s="653">
        <f>SUMIFS(Пр.13!I$10:I$1388,Пр.13!$D$10:$D$1388,C138)</f>
        <v>0</v>
      </c>
      <c r="G138" s="653">
        <f>SUMIFS(Пр.13!J$10:J$1388,Пр.13!$D$10:$D$1388,C138)</f>
        <v>0</v>
      </c>
      <c r="H138" s="653">
        <f>SUMIFS(Пр.13!K$10:K$1388,Пр.13!$D$10:$D$1388,C138)</f>
        <v>0</v>
      </c>
      <c r="I138" s="654">
        <f>SUMIFS(Пр.13!L$10:L$1388,Пр.13!$D$10:$D$1388,C138)</f>
        <v>0</v>
      </c>
    </row>
    <row r="139" spans="2:9" s="624" customFormat="1" ht="63.75" thickBot="1">
      <c r="B139" s="622" t="str">
        <f>IF(C139&gt;0,VLOOKUP(C139,Программа!A$2:B$5091,2))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39" s="617" t="s">
        <v>1373</v>
      </c>
      <c r="D139" s="617">
        <f>SUMIFS(Пр.13!G$10:G$1388,Пр.13!$D$10:$D$1388,C139)</f>
        <v>300000</v>
      </c>
      <c r="E139" s="617">
        <f>SUMIFS(Пр.13!H$10:H$1388,Пр.13!$D$10:$D$1388,C139)</f>
        <v>0</v>
      </c>
      <c r="F139" s="617">
        <f>SUMIFS(Пр.13!I$10:I$1388,Пр.13!$D$10:$D$1388,C139)</f>
        <v>300000</v>
      </c>
      <c r="G139" s="617">
        <f>SUMIFS(Пр.13!J$10:J$1388,Пр.13!$D$10:$D$1388,C139)</f>
        <v>0</v>
      </c>
      <c r="H139" s="617">
        <f>SUMIFS(Пр.13!K$10:K$1388,Пр.13!$D$10:$D$1388,C139)</f>
        <v>0</v>
      </c>
      <c r="I139" s="623">
        <f>SUMIFS(Пр.13!L$10:L$1388,Пр.13!$D$10:$D$1388,C139)</f>
        <v>0</v>
      </c>
    </row>
    <row r="140" spans="2:9" ht="32.25" thickBot="1">
      <c r="B140" s="659" t="str">
        <f>IF(C140&gt;0,VLOOKUP(C140,Программа!A$2:B$5091,2))</f>
        <v>Мероприятия по обеспечению безопасности жителей района</v>
      </c>
      <c r="C140" s="618" t="s">
        <v>1374</v>
      </c>
      <c r="D140" s="618">
        <f>SUMIFS(Пр.13!G$10:G$1388,Пр.13!$D$10:$D$1388,C140)</f>
        <v>300000</v>
      </c>
      <c r="E140" s="618">
        <f>SUMIFS(Пр.13!H$10:H$1388,Пр.13!$D$10:$D$1388,C140)</f>
        <v>0</v>
      </c>
      <c r="F140" s="618">
        <f>SUMIFS(Пр.13!I$10:I$1388,Пр.13!$D$10:$D$1388,C140)</f>
        <v>300000</v>
      </c>
      <c r="G140" s="618">
        <f>SUMIFS(Пр.13!J$10:J$1388,Пр.13!$D$10:$D$1388,C140)</f>
        <v>0</v>
      </c>
      <c r="H140" s="618">
        <f>SUMIFS(Пр.13!K$10:K$1388,Пр.13!$D$10:$D$1388,C140)</f>
        <v>0</v>
      </c>
      <c r="I140" s="664">
        <f>SUMIFS(Пр.13!L$10:L$1388,Пр.13!$D$10:$D$1388,C140)</f>
        <v>0</v>
      </c>
    </row>
    <row r="141" spans="2:9" s="624" customFormat="1">
      <c r="B141" s="658" t="s">
        <v>165</v>
      </c>
      <c r="C141" s="605"/>
      <c r="D141" s="642">
        <f>D127+D120+D113+D108+D106+D103+D100+D98+D91+D81+D72+D67+D65+D51+D49+D39+D25+D10+D129+D131+D134+D139</f>
        <v>1579962613</v>
      </c>
      <c r="E141" s="642">
        <f>E127+E120+E113+E108+E106+E103+E100+E98+E91+E81+E72+E67+E65+E51+E49+E39+E25+E10+E129+E131+E134+E139</f>
        <v>112122567</v>
      </c>
      <c r="F141" s="642">
        <f t="shared" ref="F141:I141" si="0">F127+F120+F113+F108+F106+F103+F100+F98+F91+F81+F72+F67+F65+F51+F49+F39+F25+F10+F129+F131+F134+F139</f>
        <v>1692085180</v>
      </c>
      <c r="G141" s="642">
        <f t="shared" si="0"/>
        <v>1365159623</v>
      </c>
      <c r="H141" s="642">
        <f t="shared" si="0"/>
        <v>112253618</v>
      </c>
      <c r="I141" s="642">
        <f t="shared" si="0"/>
        <v>1477413241</v>
      </c>
    </row>
    <row r="142" spans="2:9">
      <c r="B142" s="657" t="str">
        <f>IF(C142&gt;0,VLOOKUP(C142,Программа!A$2:B$5091,2))</f>
        <v>Непрограммные расходы бюджета</v>
      </c>
      <c r="C142" s="603" t="s">
        <v>480</v>
      </c>
      <c r="D142" s="650">
        <f>SUMIFS(Пр.13!G$10:G$1388,Пр.13!$D$10:$D$1388,C142)</f>
        <v>129053254</v>
      </c>
      <c r="E142" s="650">
        <f>SUMIFS(Пр.13!H$10:H$1388,Пр.13!$D$10:$D$1388,C142)</f>
        <v>3299900</v>
      </c>
      <c r="F142" s="650">
        <f>SUMIFS(Пр.13!I$10:I$1388,Пр.13!$D$10:$D$1388,C142)</f>
        <v>132353154</v>
      </c>
      <c r="G142" s="650">
        <f>SUMIFS(Пр.13!J$10:J$1388,Пр.13!$D$10:$D$1388,C142)</f>
        <v>124959221</v>
      </c>
      <c r="H142" s="650">
        <f>SUMIFS(Пр.13!K$10:K$1388,Пр.13!$D$10:$D$1388,C142)</f>
        <v>2400000</v>
      </c>
      <c r="I142" s="650">
        <f>SUMIFS(Пр.13!L$10:L$1388,Пр.13!$D$10:$D$1388,C142)</f>
        <v>127359221</v>
      </c>
    </row>
    <row r="143" spans="2:9">
      <c r="B143" s="657" t="str">
        <f>IF(C143&gt;0,VLOOKUP(C143,Программа!A$2:B$5091,2))</f>
        <v>Межбюджетные трансферты  поселениям района</v>
      </c>
      <c r="C143" s="603" t="s">
        <v>653</v>
      </c>
      <c r="D143" s="650">
        <f>SUMIFS(Пр.13!G$10:G$1388,Пр.13!$D$10:$D$1388,C143)</f>
        <v>3682269</v>
      </c>
      <c r="E143" s="650">
        <f>SUMIFS(Пр.13!H$10:H$1388,Пр.13!$D$10:$D$1388,C143)</f>
        <v>-3482269</v>
      </c>
      <c r="F143" s="650">
        <f>SUMIFS(Пр.13!I$10:I$1388,Пр.13!$D$10:$D$1388,C143)</f>
        <v>200000</v>
      </c>
      <c r="G143" s="650">
        <f>SUMIFS(Пр.13!J$10:J$1388,Пр.13!$D$10:$D$1388,C143)</f>
        <v>845481</v>
      </c>
      <c r="H143" s="650">
        <f>SUMIFS(Пр.13!K$10:K$1388,Пр.13!$D$10:$D$1388,C143)</f>
        <v>-845481</v>
      </c>
      <c r="I143" s="650">
        <f>SUMIFS(Пр.13!L$10:L$1388,Пр.13!$D$10:$D$1388,C143)</f>
        <v>0</v>
      </c>
    </row>
    <row r="144" spans="2:9">
      <c r="B144" s="657" t="s">
        <v>842</v>
      </c>
      <c r="C144" s="665"/>
      <c r="D144" s="666">
        <f>D141+D142+D143</f>
        <v>1712698136</v>
      </c>
      <c r="E144" s="666">
        <f t="shared" ref="E144:I144" si="1">E141+E142+E143</f>
        <v>111940198</v>
      </c>
      <c r="F144" s="666">
        <f t="shared" si="1"/>
        <v>1824638334</v>
      </c>
      <c r="G144" s="666">
        <f t="shared" si="1"/>
        <v>1490964325</v>
      </c>
      <c r="H144" s="666">
        <f t="shared" si="1"/>
        <v>113808137</v>
      </c>
      <c r="I144" s="666">
        <f t="shared" si="1"/>
        <v>1604772462</v>
      </c>
    </row>
  </sheetData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/>
  <cols>
    <col min="1" max="1" width="50.42578125" style="120" customWidth="1"/>
    <col min="2" max="2" width="14.28515625" style="120" customWidth="1"/>
    <col min="3" max="3" width="10.140625" style="120" hidden="1" customWidth="1"/>
    <col min="4" max="16384" width="9.140625" style="120"/>
  </cols>
  <sheetData>
    <row r="1" spans="1:3" ht="15.75">
      <c r="A1" s="682" t="s">
        <v>470</v>
      </c>
      <c r="B1" s="682"/>
      <c r="C1" s="682"/>
    </row>
    <row r="2" spans="1:3" ht="15.75">
      <c r="A2" s="682" t="s">
        <v>1</v>
      </c>
      <c r="B2" s="682"/>
      <c r="C2" s="682"/>
    </row>
    <row r="3" spans="1:3" ht="15.75">
      <c r="A3" s="682" t="s">
        <v>2</v>
      </c>
      <c r="B3" s="682"/>
      <c r="C3" s="682"/>
    </row>
    <row r="4" spans="1:3" ht="15.75">
      <c r="A4" s="682" t="s">
        <v>1823</v>
      </c>
      <c r="B4" s="682"/>
      <c r="C4" s="682"/>
    </row>
    <row r="5" spans="1:3" ht="15.75">
      <c r="A5" s="5"/>
      <c r="B5" s="5"/>
      <c r="C5" s="37"/>
    </row>
    <row r="6" spans="1:3" ht="15.75">
      <c r="A6" s="37"/>
      <c r="B6" s="37"/>
      <c r="C6" s="37"/>
    </row>
    <row r="7" spans="1:3" ht="36.75" customHeight="1">
      <c r="A7" s="683" t="s">
        <v>1438</v>
      </c>
      <c r="B7" s="683"/>
      <c r="C7" s="683"/>
    </row>
    <row r="8" spans="1:3" ht="15.75">
      <c r="A8" s="6"/>
      <c r="B8" s="6"/>
      <c r="C8" s="6"/>
    </row>
    <row r="9" spans="1:3" ht="41.25" customHeight="1">
      <c r="A9" s="797" t="s">
        <v>850</v>
      </c>
      <c r="B9" s="797"/>
      <c r="C9" s="683"/>
    </row>
    <row r="10" spans="1:3" ht="110.25">
      <c r="A10" s="9" t="s">
        <v>851</v>
      </c>
      <c r="B10" s="581" t="s">
        <v>1745</v>
      </c>
      <c r="C10" s="202"/>
    </row>
    <row r="11" spans="1:3" ht="15.75">
      <c r="A11" s="203" t="s">
        <v>852</v>
      </c>
      <c r="B11" s="492">
        <v>47000</v>
      </c>
      <c r="C11" s="206"/>
    </row>
    <row r="12" spans="1:3" ht="15.75">
      <c r="A12" s="203" t="s">
        <v>857</v>
      </c>
      <c r="B12" s="492">
        <v>146000</v>
      </c>
      <c r="C12" s="206"/>
    </row>
    <row r="13" spans="1:3" ht="15.75">
      <c r="A13" s="203" t="s">
        <v>856</v>
      </c>
      <c r="B13" s="492">
        <v>44000</v>
      </c>
      <c r="C13" s="206"/>
    </row>
    <row r="14" spans="1:3" ht="15.75">
      <c r="A14" s="203" t="s">
        <v>853</v>
      </c>
      <c r="B14" s="492">
        <v>100000</v>
      </c>
      <c r="C14" s="206"/>
    </row>
    <row r="15" spans="1:3" ht="15.75">
      <c r="A15" s="207" t="s">
        <v>165</v>
      </c>
      <c r="B15" s="208">
        <f>SUM(B11:B14)</f>
        <v>337000</v>
      </c>
      <c r="C15" s="209"/>
    </row>
    <row r="16" spans="1:3" ht="15.75">
      <c r="A16" s="37"/>
      <c r="B16" s="37"/>
      <c r="C16" s="37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/>
  <cols>
    <col min="1" max="1" width="39.5703125" style="120" customWidth="1"/>
    <col min="2" max="2" width="13" style="120" customWidth="1"/>
    <col min="3" max="3" width="12.85546875" style="120" customWidth="1"/>
    <col min="4" max="16384" width="9.140625" style="120"/>
  </cols>
  <sheetData>
    <row r="1" spans="1:3" ht="15.75">
      <c r="A1" s="682" t="s">
        <v>471</v>
      </c>
      <c r="B1" s="682"/>
      <c r="C1" s="799"/>
    </row>
    <row r="2" spans="1:3" ht="15.75">
      <c r="A2" s="682" t="s">
        <v>1</v>
      </c>
      <c r="B2" s="682"/>
      <c r="C2" s="733"/>
    </row>
    <row r="3" spans="1:3" ht="15.75">
      <c r="A3" s="682" t="s">
        <v>2</v>
      </c>
      <c r="B3" s="682"/>
      <c r="C3" s="733"/>
    </row>
    <row r="4" spans="1:3" ht="15.75">
      <c r="A4" s="682" t="s">
        <v>1821</v>
      </c>
      <c r="B4" s="682"/>
      <c r="C4" s="733"/>
    </row>
    <row r="5" spans="1:3" ht="15">
      <c r="A5" s="2"/>
      <c r="B5" s="2"/>
      <c r="C5" s="210"/>
    </row>
    <row r="6" spans="1:3" ht="15">
      <c r="A6" s="1"/>
      <c r="B6" s="1"/>
      <c r="C6" s="210"/>
    </row>
    <row r="7" spans="1:3" ht="44.25" customHeight="1">
      <c r="A7" s="683" t="s">
        <v>1439</v>
      </c>
      <c r="B7" s="683"/>
      <c r="C7" s="731"/>
    </row>
    <row r="8" spans="1:3" ht="15.75">
      <c r="A8" s="6"/>
      <c r="B8" s="6"/>
      <c r="C8" s="211"/>
    </row>
    <row r="9" spans="1:3" ht="65.25" customHeight="1">
      <c r="A9" s="797" t="s">
        <v>850</v>
      </c>
      <c r="B9" s="797"/>
      <c r="C9" s="797"/>
    </row>
    <row r="10" spans="1:3" ht="33" customHeight="1">
      <c r="A10" s="794" t="s">
        <v>851</v>
      </c>
      <c r="B10" s="582" t="s">
        <v>1747</v>
      </c>
      <c r="C10" s="582" t="s">
        <v>1748</v>
      </c>
    </row>
    <row r="11" spans="1:3" ht="110.25">
      <c r="A11" s="798"/>
      <c r="B11" s="581" t="s">
        <v>1746</v>
      </c>
      <c r="C11" s="581" t="s">
        <v>1746</v>
      </c>
    </row>
    <row r="12" spans="1:3" ht="19.5" customHeight="1">
      <c r="A12" s="203" t="s">
        <v>852</v>
      </c>
      <c r="B12" s="205">
        <v>100000</v>
      </c>
      <c r="C12" s="204">
        <v>0</v>
      </c>
    </row>
    <row r="13" spans="1:3" ht="17.25" customHeight="1">
      <c r="A13" s="203" t="s">
        <v>856</v>
      </c>
      <c r="B13" s="205">
        <v>100000</v>
      </c>
      <c r="C13" s="204">
        <v>0</v>
      </c>
    </row>
    <row r="14" spans="1:3" ht="23.25" customHeight="1">
      <c r="A14" s="207" t="s">
        <v>165</v>
      </c>
      <c r="B14" s="212">
        <f>SUM(B12:B13)</f>
        <v>200000</v>
      </c>
      <c r="C14" s="212">
        <f>SUM(C12:C13)</f>
        <v>0</v>
      </c>
    </row>
    <row r="15" spans="1:3" ht="15.75">
      <c r="A15" s="51"/>
      <c r="B15" s="51"/>
      <c r="C15" s="51"/>
    </row>
  </sheetData>
  <mergeCells count="7">
    <mergeCell ref="A9:C9"/>
    <mergeCell ref="A10:A11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/>
  <cols>
    <col min="1" max="1" width="4.140625" style="37" customWidth="1"/>
    <col min="2" max="2" width="57" style="37" customWidth="1"/>
    <col min="3" max="3" width="15.42578125" style="37" customWidth="1"/>
    <col min="4" max="4" width="13.28515625" style="37" hidden="1" customWidth="1"/>
    <col min="5" max="5" width="18.7109375" style="37" hidden="1" customWidth="1"/>
    <col min="6" max="6" width="43.42578125" style="37" customWidth="1"/>
    <col min="7" max="16384" width="9.140625" style="37"/>
  </cols>
  <sheetData>
    <row r="1" spans="1:9">
      <c r="B1" s="682" t="s">
        <v>854</v>
      </c>
      <c r="C1" s="682"/>
      <c r="D1" s="682"/>
      <c r="E1" s="682"/>
    </row>
    <row r="2" spans="1:9">
      <c r="B2" s="682" t="s">
        <v>1</v>
      </c>
      <c r="C2" s="682"/>
      <c r="D2" s="682"/>
      <c r="E2" s="682"/>
    </row>
    <row r="3" spans="1:9">
      <c r="B3" s="682" t="s">
        <v>2</v>
      </c>
      <c r="C3" s="682"/>
      <c r="D3" s="682"/>
      <c r="E3" s="682"/>
    </row>
    <row r="4" spans="1:9" ht="14.25" customHeight="1">
      <c r="B4" s="682" t="s">
        <v>1433</v>
      </c>
      <c r="C4" s="682"/>
      <c r="D4" s="682"/>
      <c r="E4" s="682"/>
    </row>
    <row r="5" spans="1:9" ht="9.75" customHeight="1">
      <c r="B5" s="5"/>
      <c r="C5" s="5"/>
    </row>
    <row r="6" spans="1:9" ht="0.75" customHeight="1"/>
    <row r="7" spans="1:9" ht="31.5" customHeight="1">
      <c r="A7" s="683" t="s">
        <v>1440</v>
      </c>
      <c r="B7" s="683"/>
      <c r="C7" s="683"/>
      <c r="D7" s="683"/>
      <c r="E7" s="683"/>
      <c r="F7" s="4"/>
    </row>
    <row r="8" spans="1:9" ht="48.75" customHeight="1" thickBot="1">
      <c r="A8" s="810"/>
      <c r="B8" s="810"/>
      <c r="C8" s="810"/>
      <c r="D8" s="810"/>
      <c r="E8" s="810"/>
    </row>
    <row r="9" spans="1:9">
      <c r="A9" s="811" t="s">
        <v>851</v>
      </c>
      <c r="B9" s="812"/>
      <c r="C9" s="232" t="s">
        <v>178</v>
      </c>
      <c r="D9" s="410" t="s">
        <v>843</v>
      </c>
      <c r="E9" s="410" t="s">
        <v>178</v>
      </c>
      <c r="I9" s="246"/>
    </row>
    <row r="10" spans="1:9" s="472" customFormat="1" ht="32.25" customHeight="1">
      <c r="A10" s="813" t="s">
        <v>1396</v>
      </c>
      <c r="B10" s="814"/>
      <c r="C10" s="482">
        <f>SUM(C11:C15)</f>
        <v>0</v>
      </c>
      <c r="D10" s="483"/>
      <c r="E10" s="482">
        <f>C10+D10</f>
        <v>0</v>
      </c>
      <c r="I10" s="246"/>
    </row>
    <row r="11" spans="1:9" s="339" customFormat="1">
      <c r="A11" s="802" t="s">
        <v>852</v>
      </c>
      <c r="B11" s="803"/>
      <c r="C11" s="474"/>
      <c r="D11" s="474"/>
      <c r="E11" s="474">
        <f>C11+D11</f>
        <v>0</v>
      </c>
      <c r="I11" s="246"/>
    </row>
    <row r="12" spans="1:9" s="339" customFormat="1">
      <c r="A12" s="802" t="s">
        <v>856</v>
      </c>
      <c r="B12" s="803"/>
      <c r="C12" s="474"/>
      <c r="D12" s="474"/>
      <c r="E12" s="474">
        <f t="shared" ref="E12:E15" si="0">C12+D12</f>
        <v>0</v>
      </c>
      <c r="I12" s="246"/>
    </row>
    <row r="13" spans="1:9" s="339" customFormat="1">
      <c r="A13" s="802" t="s">
        <v>857</v>
      </c>
      <c r="B13" s="803"/>
      <c r="C13" s="474"/>
      <c r="D13" s="474"/>
      <c r="E13" s="474">
        <f t="shared" si="0"/>
        <v>0</v>
      </c>
      <c r="I13" s="246"/>
    </row>
    <row r="14" spans="1:9" s="339" customFormat="1">
      <c r="A14" s="804" t="s">
        <v>853</v>
      </c>
      <c r="B14" s="805"/>
      <c r="C14" s="474"/>
      <c r="D14" s="474"/>
      <c r="E14" s="474">
        <f t="shared" si="0"/>
        <v>0</v>
      </c>
      <c r="I14" s="246"/>
    </row>
    <row r="15" spans="1:9" ht="17.25" customHeight="1">
      <c r="A15" s="806" t="s">
        <v>855</v>
      </c>
      <c r="B15" s="807"/>
      <c r="C15" s="473"/>
      <c r="D15" s="473"/>
      <c r="E15" s="474">
        <f t="shared" si="0"/>
        <v>0</v>
      </c>
      <c r="I15" s="246"/>
    </row>
    <row r="16" spans="1:9" s="472" customFormat="1" ht="36" customHeight="1">
      <c r="A16" s="808" t="s">
        <v>1397</v>
      </c>
      <c r="B16" s="809"/>
      <c r="C16" s="480">
        <f>SUM(C17:C21)</f>
        <v>0</v>
      </c>
      <c r="D16" s="480"/>
      <c r="E16" s="481">
        <f>C16+D16</f>
        <v>0</v>
      </c>
      <c r="I16" s="246"/>
    </row>
    <row r="17" spans="1:9" s="472" customFormat="1">
      <c r="A17" s="802" t="s">
        <v>852</v>
      </c>
      <c r="B17" s="803"/>
      <c r="C17" s="479"/>
      <c r="D17" s="479"/>
      <c r="E17" s="474">
        <f>C17+D17</f>
        <v>0</v>
      </c>
      <c r="I17" s="246"/>
    </row>
    <row r="18" spans="1:9" s="472" customFormat="1" ht="17.25" customHeight="1">
      <c r="A18" s="802" t="s">
        <v>856</v>
      </c>
      <c r="B18" s="803"/>
      <c r="C18" s="479"/>
      <c r="D18" s="479"/>
      <c r="E18" s="474">
        <f t="shared" ref="E18:E21" si="1">C18+D18</f>
        <v>0</v>
      </c>
      <c r="I18" s="246"/>
    </row>
    <row r="19" spans="1:9" s="472" customFormat="1" ht="17.25" customHeight="1">
      <c r="A19" s="802" t="s">
        <v>857</v>
      </c>
      <c r="B19" s="803"/>
      <c r="C19" s="479"/>
      <c r="D19" s="479"/>
      <c r="E19" s="474">
        <f t="shared" si="1"/>
        <v>0</v>
      </c>
      <c r="I19" s="246"/>
    </row>
    <row r="20" spans="1:9" s="472" customFormat="1" ht="17.25" customHeight="1">
      <c r="A20" s="804" t="s">
        <v>853</v>
      </c>
      <c r="B20" s="805"/>
      <c r="C20" s="479"/>
      <c r="D20" s="479"/>
      <c r="E20" s="474">
        <f t="shared" si="1"/>
        <v>0</v>
      </c>
      <c r="I20" s="246"/>
    </row>
    <row r="21" spans="1:9" s="472" customFormat="1" ht="17.25" customHeight="1">
      <c r="A21" s="806" t="s">
        <v>855</v>
      </c>
      <c r="B21" s="807"/>
      <c r="C21" s="479"/>
      <c r="D21" s="479"/>
      <c r="E21" s="474">
        <f t="shared" si="1"/>
        <v>0</v>
      </c>
      <c r="I21" s="246"/>
    </row>
    <row r="22" spans="1:9" ht="28.5" customHeight="1" thickBot="1">
      <c r="A22" s="800" t="s">
        <v>165</v>
      </c>
      <c r="B22" s="801"/>
      <c r="C22" s="475">
        <f>C10+C16</f>
        <v>0</v>
      </c>
      <c r="D22" s="475">
        <f t="shared" ref="D22:E22" si="2">D10+D16</f>
        <v>0</v>
      </c>
      <c r="E22" s="475">
        <f t="shared" si="2"/>
        <v>0</v>
      </c>
    </row>
    <row r="23" spans="1:9" ht="9" hidden="1" customHeight="1">
      <c r="A23" s="476"/>
      <c r="B23" s="476"/>
      <c r="C23" s="476"/>
      <c r="D23" s="476"/>
      <c r="E23" s="476"/>
    </row>
    <row r="24" spans="1:9" hidden="1">
      <c r="A24" s="477"/>
      <c r="B24" s="477"/>
      <c r="C24" s="478"/>
      <c r="D24" s="476"/>
      <c r="E24" s="476"/>
    </row>
    <row r="25" spans="1:9" ht="9" customHeight="1">
      <c r="A25" s="476"/>
      <c r="B25" s="476"/>
      <c r="C25" s="476"/>
      <c r="D25" s="476"/>
      <c r="E25" s="476"/>
    </row>
  </sheetData>
  <mergeCells count="20">
    <mergeCell ref="A8:E8"/>
    <mergeCell ref="A9:B9"/>
    <mergeCell ref="A15:B15"/>
    <mergeCell ref="A13:B13"/>
    <mergeCell ref="A10:B10"/>
    <mergeCell ref="B1:E1"/>
    <mergeCell ref="B2:E2"/>
    <mergeCell ref="B3:E3"/>
    <mergeCell ref="B4:E4"/>
    <mergeCell ref="A7:E7"/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/>
  <cols>
    <col min="1" max="1" width="4.140625" style="120" customWidth="1"/>
    <col min="2" max="2" width="55.140625" style="120" customWidth="1"/>
    <col min="3" max="4" width="13.5703125" style="120" hidden="1" customWidth="1"/>
    <col min="5" max="5" width="11.28515625" style="120" bestFit="1" customWidth="1"/>
    <col min="6" max="7" width="11.28515625" style="120" hidden="1" customWidth="1"/>
    <col min="8" max="8" width="11.28515625" style="120" bestFit="1" customWidth="1"/>
    <col min="9" max="16384" width="9.140625" style="120"/>
  </cols>
  <sheetData>
    <row r="1" spans="1:8" ht="15.75">
      <c r="A1" s="37"/>
      <c r="B1" s="682" t="s">
        <v>859</v>
      </c>
      <c r="C1" s="682"/>
      <c r="D1" s="682"/>
      <c r="E1" s="682"/>
      <c r="F1" s="682"/>
      <c r="G1" s="682"/>
      <c r="H1" s="682"/>
    </row>
    <row r="2" spans="1:8" ht="15.75">
      <c r="A2" s="37"/>
      <c r="B2" s="682" t="s">
        <v>1</v>
      </c>
      <c r="C2" s="682"/>
      <c r="D2" s="682"/>
      <c r="E2" s="682"/>
      <c r="F2" s="682"/>
      <c r="G2" s="682"/>
      <c r="H2" s="682"/>
    </row>
    <row r="3" spans="1:8" ht="15.75">
      <c r="A3" s="37"/>
      <c r="B3" s="682" t="s">
        <v>2</v>
      </c>
      <c r="C3" s="682"/>
      <c r="D3" s="682"/>
      <c r="E3" s="682"/>
      <c r="F3" s="682"/>
      <c r="G3" s="682"/>
      <c r="H3" s="682"/>
    </row>
    <row r="4" spans="1:8" ht="15.75">
      <c r="A4" s="37"/>
      <c r="B4" s="682" t="s">
        <v>1336</v>
      </c>
      <c r="C4" s="682"/>
      <c r="D4" s="682"/>
      <c r="E4" s="682"/>
      <c r="F4" s="682"/>
      <c r="G4" s="682"/>
      <c r="H4" s="682"/>
    </row>
    <row r="5" spans="1:8" ht="15.75">
      <c r="A5" s="37"/>
      <c r="B5" s="5"/>
      <c r="C5" s="37"/>
      <c r="D5" s="731"/>
      <c r="E5" s="731"/>
      <c r="F5" s="731"/>
      <c r="G5" s="731"/>
      <c r="H5" s="731"/>
    </row>
    <row r="6" spans="1:8" ht="15.75">
      <c r="A6" s="37"/>
      <c r="B6" s="37"/>
      <c r="C6" s="37"/>
      <c r="D6" s="731"/>
      <c r="E6" s="731"/>
      <c r="F6" s="731"/>
      <c r="G6" s="731"/>
      <c r="H6" s="731"/>
    </row>
    <row r="7" spans="1:8" ht="35.25" customHeight="1">
      <c r="A7" s="683" t="s">
        <v>1339</v>
      </c>
      <c r="B7" s="683"/>
      <c r="C7" s="683"/>
      <c r="D7" s="683"/>
      <c r="E7" s="683"/>
      <c r="F7" s="683"/>
      <c r="G7" s="683"/>
      <c r="H7" s="683"/>
    </row>
    <row r="8" spans="1:8" ht="12.75" customHeight="1">
      <c r="A8" s="815" t="s">
        <v>1338</v>
      </c>
      <c r="B8" s="815"/>
      <c r="C8" s="815"/>
      <c r="D8" s="815"/>
      <c r="E8" s="815"/>
      <c r="F8" s="815"/>
      <c r="G8" s="815"/>
      <c r="H8" s="815"/>
    </row>
    <row r="9" spans="1:8" ht="59.25" customHeight="1">
      <c r="A9" s="815"/>
      <c r="B9" s="815"/>
      <c r="C9" s="815"/>
      <c r="D9" s="815"/>
      <c r="E9" s="815"/>
      <c r="F9" s="815"/>
      <c r="G9" s="815"/>
      <c r="H9" s="815"/>
    </row>
    <row r="10" spans="1:8" ht="47.25">
      <c r="A10" s="681" t="s">
        <v>851</v>
      </c>
      <c r="B10" s="681"/>
      <c r="C10" s="346" t="s">
        <v>1125</v>
      </c>
      <c r="D10" s="409" t="s">
        <v>843</v>
      </c>
      <c r="E10" s="409" t="s">
        <v>1125</v>
      </c>
      <c r="F10" s="346" t="s">
        <v>437</v>
      </c>
      <c r="G10" s="409" t="s">
        <v>843</v>
      </c>
      <c r="H10" s="409" t="s">
        <v>437</v>
      </c>
    </row>
    <row r="11" spans="1:8" ht="15.75" customHeight="1">
      <c r="A11" s="817" t="s">
        <v>856</v>
      </c>
      <c r="B11" s="818"/>
      <c r="C11" s="217">
        <v>500000</v>
      </c>
      <c r="D11" s="217"/>
      <c r="E11" s="217"/>
      <c r="F11" s="217"/>
      <c r="G11" s="217"/>
      <c r="H11" s="217"/>
    </row>
    <row r="12" spans="1:8" ht="15.75" customHeight="1">
      <c r="A12" s="817" t="s">
        <v>857</v>
      </c>
      <c r="B12" s="818"/>
      <c r="C12" s="217">
        <v>1500000</v>
      </c>
      <c r="D12" s="217"/>
      <c r="E12" s="217"/>
      <c r="F12" s="217"/>
      <c r="G12" s="217"/>
      <c r="H12" s="217"/>
    </row>
    <row r="13" spans="1:8" ht="15.75" customHeight="1">
      <c r="A13" s="817" t="s">
        <v>858</v>
      </c>
      <c r="B13" s="818"/>
      <c r="C13" s="204">
        <v>500000</v>
      </c>
      <c r="D13" s="204"/>
      <c r="E13" s="217"/>
      <c r="F13" s="204"/>
      <c r="G13" s="204"/>
      <c r="H13" s="217"/>
    </row>
    <row r="14" spans="1:8" ht="15.75">
      <c r="A14" s="817" t="s">
        <v>852</v>
      </c>
      <c r="B14" s="818"/>
      <c r="C14" s="204">
        <v>500000</v>
      </c>
      <c r="D14" s="204"/>
      <c r="E14" s="217"/>
      <c r="F14" s="204"/>
      <c r="G14" s="204"/>
      <c r="H14" s="217"/>
    </row>
    <row r="15" spans="1:8" ht="15.75">
      <c r="A15" s="817" t="s">
        <v>855</v>
      </c>
      <c r="B15" s="818"/>
      <c r="C15" s="204">
        <v>12700000</v>
      </c>
      <c r="D15" s="204"/>
      <c r="E15" s="217"/>
      <c r="F15" s="204"/>
      <c r="G15" s="204"/>
      <c r="H15" s="217"/>
    </row>
    <row r="16" spans="1:8" ht="15.75">
      <c r="A16" s="819" t="s">
        <v>165</v>
      </c>
      <c r="B16" s="819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>
      <c r="A17" s="788"/>
      <c r="B17" s="788"/>
      <c r="C17" s="788"/>
      <c r="D17" s="816"/>
      <c r="E17" s="788"/>
      <c r="F17" s="788"/>
      <c r="G17" s="788"/>
      <c r="H17" s="816"/>
    </row>
  </sheetData>
  <mergeCells count="16">
    <mergeCell ref="A7:H7"/>
    <mergeCell ref="B1:H1"/>
    <mergeCell ref="B2:H2"/>
    <mergeCell ref="B3:H3"/>
    <mergeCell ref="B4:H4"/>
    <mergeCell ref="D5:H6"/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0"/>
  <sheetViews>
    <sheetView showGridLines="0" view="pageBreakPreview" topLeftCell="A40" zoomScaleSheetLayoutView="100" workbookViewId="0">
      <selection activeCell="I40" sqref="I1:P1048576"/>
    </sheetView>
  </sheetViews>
  <sheetFormatPr defaultColWidth="9.140625" defaultRowHeight="12.75"/>
  <cols>
    <col min="1" max="1" width="5.140625" style="43" bestFit="1" customWidth="1"/>
    <col min="2" max="3" width="3" style="43" bestFit="1" customWidth="1"/>
    <col min="4" max="4" width="3" style="43" customWidth="1"/>
    <col min="5" max="5" width="5.42578125" style="43" customWidth="1"/>
    <col min="6" max="6" width="3" style="43" customWidth="1"/>
    <col min="7" max="7" width="5.85546875" style="43" customWidth="1"/>
    <col min="8" max="8" width="4.85546875" style="43" bestFit="1" customWidth="1"/>
    <col min="9" max="9" width="37.5703125" style="43" customWidth="1"/>
    <col min="10" max="10" width="14.85546875" style="43" hidden="1" customWidth="1"/>
    <col min="11" max="11" width="12.42578125" style="43" hidden="1" customWidth="1"/>
    <col min="12" max="12" width="14.28515625" style="43" customWidth="1"/>
    <col min="13" max="14" width="14.28515625" style="43" hidden="1" customWidth="1"/>
    <col min="15" max="15" width="14.28515625" style="43" customWidth="1"/>
    <col min="16" max="16384" width="9.140625" style="43"/>
  </cols>
  <sheetData>
    <row r="1" spans="1:15" ht="15.75">
      <c r="A1" s="691" t="s">
        <v>166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5" ht="15.75">
      <c r="A2" s="691" t="s">
        <v>1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</row>
    <row r="3" spans="1:15" ht="15.75">
      <c r="A3" s="691" t="s">
        <v>2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</row>
    <row r="4" spans="1:15" ht="15.75">
      <c r="A4" s="691" t="s">
        <v>1826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</row>
    <row r="5" spans="1:15" ht="15.75">
      <c r="A5" s="414"/>
      <c r="B5" s="414"/>
      <c r="C5" s="414"/>
      <c r="D5" s="414"/>
      <c r="E5" s="414"/>
      <c r="F5" s="414"/>
      <c r="G5" s="415"/>
      <c r="H5" s="416"/>
      <c r="I5" s="690"/>
      <c r="J5" s="690"/>
      <c r="K5" s="690"/>
      <c r="L5" s="413"/>
      <c r="M5" s="413"/>
      <c r="N5" s="413"/>
      <c r="O5" s="413"/>
    </row>
    <row r="6" spans="1:15" ht="57.75" customHeight="1">
      <c r="A6" s="686" t="s">
        <v>1413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</row>
    <row r="7" spans="1:15" ht="18.75">
      <c r="A7" s="414"/>
      <c r="B7" s="414"/>
      <c r="C7" s="414"/>
      <c r="D7" s="414"/>
      <c r="E7" s="414"/>
      <c r="F7" s="414"/>
      <c r="G7" s="352"/>
      <c r="H7" s="351"/>
      <c r="I7" s="687"/>
      <c r="J7" s="687"/>
      <c r="K7" s="687"/>
      <c r="L7" s="413"/>
      <c r="M7" s="413"/>
      <c r="N7" s="413"/>
      <c r="O7" s="413"/>
    </row>
    <row r="8" spans="1:15" ht="2.25" customHeight="1">
      <c r="A8" s="414"/>
      <c r="B8" s="414"/>
      <c r="C8" s="414"/>
      <c r="D8" s="414"/>
      <c r="E8" s="414"/>
      <c r="F8" s="414"/>
      <c r="G8" s="352"/>
      <c r="H8" s="351"/>
      <c r="I8" s="688"/>
      <c r="J8" s="688"/>
      <c r="K8" s="688"/>
      <c r="L8" s="413"/>
      <c r="M8" s="413"/>
      <c r="N8" s="413"/>
      <c r="O8" s="413"/>
    </row>
    <row r="9" spans="1:15" ht="12.75" customHeight="1">
      <c r="A9" s="689" t="s">
        <v>3</v>
      </c>
      <c r="B9" s="689"/>
      <c r="C9" s="689"/>
      <c r="D9" s="689"/>
      <c r="E9" s="689"/>
      <c r="F9" s="689"/>
      <c r="G9" s="689"/>
      <c r="H9" s="689"/>
      <c r="I9" s="685" t="s">
        <v>4</v>
      </c>
      <c r="J9" s="685" t="s">
        <v>1606</v>
      </c>
      <c r="K9" s="685" t="s">
        <v>843</v>
      </c>
      <c r="L9" s="685" t="s">
        <v>1606</v>
      </c>
      <c r="M9" s="685" t="s">
        <v>1607</v>
      </c>
      <c r="N9" s="685" t="s">
        <v>843</v>
      </c>
      <c r="O9" s="685" t="s">
        <v>1607</v>
      </c>
    </row>
    <row r="10" spans="1:15" ht="120.95" customHeight="1">
      <c r="A10" s="417" t="s">
        <v>6</v>
      </c>
      <c r="B10" s="417" t="s">
        <v>7</v>
      </c>
      <c r="C10" s="417" t="s">
        <v>8</v>
      </c>
      <c r="D10" s="417" t="s">
        <v>167</v>
      </c>
      <c r="E10" s="418" t="s">
        <v>168</v>
      </c>
      <c r="F10" s="417" t="s">
        <v>169</v>
      </c>
      <c r="G10" s="419" t="s">
        <v>12</v>
      </c>
      <c r="H10" s="418" t="s">
        <v>13</v>
      </c>
      <c r="I10" s="685"/>
      <c r="J10" s="685"/>
      <c r="K10" s="685"/>
      <c r="L10" s="685"/>
      <c r="M10" s="685"/>
      <c r="N10" s="685"/>
      <c r="O10" s="685"/>
    </row>
    <row r="11" spans="1:15" ht="31.5">
      <c r="A11" s="420" t="s">
        <v>14</v>
      </c>
      <c r="B11" s="420" t="s">
        <v>15</v>
      </c>
      <c r="C11" s="420" t="s">
        <v>16</v>
      </c>
      <c r="D11" s="420" t="s">
        <v>16</v>
      </c>
      <c r="E11" s="420" t="s">
        <v>14</v>
      </c>
      <c r="F11" s="420" t="s">
        <v>16</v>
      </c>
      <c r="G11" s="421" t="s">
        <v>17</v>
      </c>
      <c r="H11" s="421" t="s">
        <v>14</v>
      </c>
      <c r="I11" s="422" t="s">
        <v>1605</v>
      </c>
      <c r="J11" s="423">
        <f>J12+J14+J16+J20+J24+J31+J34+J36+J42</f>
        <v>227479000</v>
      </c>
      <c r="K11" s="423">
        <f t="shared" ref="K11" si="0">K12+K14+K16+K20+K24+K31+K34+K36+K42</f>
        <v>0</v>
      </c>
      <c r="L11" s="423">
        <f t="shared" ref="L11:L12" si="1">SUM(J11:K11)</f>
        <v>227479000</v>
      </c>
      <c r="M11" s="423">
        <f>M12+M14+M16+M20+M24+M31+M34+M36+M42</f>
        <v>224468000</v>
      </c>
      <c r="N11" s="423">
        <f t="shared" ref="N11" si="2">N12+N14+N16+N20+N24+N31+N34+N36+N42</f>
        <v>0</v>
      </c>
      <c r="O11" s="423">
        <f t="shared" ref="O11:O12" si="3">SUM(M11:N11)</f>
        <v>224468000</v>
      </c>
    </row>
    <row r="12" spans="1:15" ht="20.25" customHeight="1">
      <c r="A12" s="420" t="s">
        <v>14</v>
      </c>
      <c r="B12" s="420" t="s">
        <v>15</v>
      </c>
      <c r="C12" s="420" t="s">
        <v>18</v>
      </c>
      <c r="D12" s="420" t="s">
        <v>16</v>
      </c>
      <c r="E12" s="420" t="s">
        <v>14</v>
      </c>
      <c r="F12" s="420" t="s">
        <v>16</v>
      </c>
      <c r="G12" s="421" t="s">
        <v>17</v>
      </c>
      <c r="H12" s="421" t="s">
        <v>14</v>
      </c>
      <c r="I12" s="422" t="s">
        <v>19</v>
      </c>
      <c r="J12" s="423">
        <f>J13</f>
        <v>116013000</v>
      </c>
      <c r="K12" s="423">
        <f t="shared" ref="K12" si="4">K13</f>
        <v>0</v>
      </c>
      <c r="L12" s="423">
        <f t="shared" si="1"/>
        <v>116013000</v>
      </c>
      <c r="M12" s="423">
        <f>M13</f>
        <v>124018000</v>
      </c>
      <c r="N12" s="423">
        <f t="shared" ref="N12" si="5">N13</f>
        <v>0</v>
      </c>
      <c r="O12" s="423">
        <f t="shared" si="3"/>
        <v>124018000</v>
      </c>
    </row>
    <row r="13" spans="1:15" ht="21" customHeight="1">
      <c r="A13" s="424" t="s">
        <v>20</v>
      </c>
      <c r="B13" s="424" t="s">
        <v>15</v>
      </c>
      <c r="C13" s="424" t="s">
        <v>18</v>
      </c>
      <c r="D13" s="424" t="s">
        <v>21</v>
      </c>
      <c r="E13" s="424" t="s">
        <v>14</v>
      </c>
      <c r="F13" s="424" t="s">
        <v>18</v>
      </c>
      <c r="G13" s="425" t="s">
        <v>17</v>
      </c>
      <c r="H13" s="425" t="s">
        <v>22</v>
      </c>
      <c r="I13" s="397" t="s">
        <v>23</v>
      </c>
      <c r="J13" s="426">
        <v>116013000</v>
      </c>
      <c r="K13" s="426"/>
      <c r="L13" s="426">
        <f>SUM(J13:K13)</f>
        <v>116013000</v>
      </c>
      <c r="M13" s="426">
        <v>124018000</v>
      </c>
      <c r="N13" s="426"/>
      <c r="O13" s="426">
        <f>SUM(M13:N13)</f>
        <v>124018000</v>
      </c>
    </row>
    <row r="14" spans="1:15" ht="64.5" customHeight="1">
      <c r="A14" s="420" t="s">
        <v>14</v>
      </c>
      <c r="B14" s="420" t="s">
        <v>15</v>
      </c>
      <c r="C14" s="420" t="s">
        <v>24</v>
      </c>
      <c r="D14" s="420" t="s">
        <v>16</v>
      </c>
      <c r="E14" s="420" t="s">
        <v>14</v>
      </c>
      <c r="F14" s="420" t="s">
        <v>16</v>
      </c>
      <c r="G14" s="421" t="s">
        <v>17</v>
      </c>
      <c r="H14" s="421" t="s">
        <v>14</v>
      </c>
      <c r="I14" s="422" t="s">
        <v>25</v>
      </c>
      <c r="J14" s="423">
        <f>J15</f>
        <v>8152000</v>
      </c>
      <c r="K14" s="423">
        <f t="shared" ref="K14" si="6">K15</f>
        <v>0</v>
      </c>
      <c r="L14" s="426">
        <f t="shared" ref="L14:L76" si="7">SUM(J14:K14)</f>
        <v>8152000</v>
      </c>
      <c r="M14" s="423">
        <f>M15</f>
        <v>12804000</v>
      </c>
      <c r="N14" s="423">
        <f t="shared" ref="N14" si="8">N15</f>
        <v>0</v>
      </c>
      <c r="O14" s="426">
        <f t="shared" ref="O14:O76" si="9">SUM(M14:N14)</f>
        <v>12804000</v>
      </c>
    </row>
    <row r="15" spans="1:15" ht="47.25">
      <c r="A15" s="424" t="s">
        <v>26</v>
      </c>
      <c r="B15" s="424" t="s">
        <v>15</v>
      </c>
      <c r="C15" s="424" t="s">
        <v>24</v>
      </c>
      <c r="D15" s="424" t="s">
        <v>21</v>
      </c>
      <c r="E15" s="424" t="s">
        <v>14</v>
      </c>
      <c r="F15" s="424" t="s">
        <v>18</v>
      </c>
      <c r="G15" s="425" t="s">
        <v>17</v>
      </c>
      <c r="H15" s="425" t="s">
        <v>22</v>
      </c>
      <c r="I15" s="397" t="s">
        <v>27</v>
      </c>
      <c r="J15" s="426">
        <v>8152000</v>
      </c>
      <c r="K15" s="426"/>
      <c r="L15" s="426">
        <f t="shared" si="7"/>
        <v>8152000</v>
      </c>
      <c r="M15" s="426">
        <v>12804000</v>
      </c>
      <c r="N15" s="426"/>
      <c r="O15" s="426">
        <f t="shared" si="9"/>
        <v>12804000</v>
      </c>
    </row>
    <row r="16" spans="1:15" ht="15.75">
      <c r="A16" s="420" t="s">
        <v>14</v>
      </c>
      <c r="B16" s="420" t="s">
        <v>15</v>
      </c>
      <c r="C16" s="420" t="s">
        <v>28</v>
      </c>
      <c r="D16" s="420" t="s">
        <v>16</v>
      </c>
      <c r="E16" s="420" t="s">
        <v>14</v>
      </c>
      <c r="F16" s="420" t="s">
        <v>16</v>
      </c>
      <c r="G16" s="421" t="s">
        <v>17</v>
      </c>
      <c r="H16" s="421" t="s">
        <v>14</v>
      </c>
      <c r="I16" s="422" t="s">
        <v>29</v>
      </c>
      <c r="J16" s="423">
        <f>J17+J18+J19</f>
        <v>16914000</v>
      </c>
      <c r="K16" s="423">
        <f t="shared" ref="K16" si="10">K17+K18+K19</f>
        <v>0</v>
      </c>
      <c r="L16" s="423">
        <f t="shared" si="7"/>
        <v>16914000</v>
      </c>
      <c r="M16" s="423">
        <f>M17+M18+M19</f>
        <v>595000</v>
      </c>
      <c r="N16" s="423">
        <f t="shared" ref="N16" si="11">N17+N18+N19</f>
        <v>0</v>
      </c>
      <c r="O16" s="423">
        <f t="shared" si="9"/>
        <v>595000</v>
      </c>
    </row>
    <row r="17" spans="1:15" ht="41.25" customHeight="1">
      <c r="A17" s="424" t="s">
        <v>20</v>
      </c>
      <c r="B17" s="424" t="s">
        <v>15</v>
      </c>
      <c r="C17" s="424" t="s">
        <v>28</v>
      </c>
      <c r="D17" s="424" t="s">
        <v>21</v>
      </c>
      <c r="E17" s="424" t="s">
        <v>14</v>
      </c>
      <c r="F17" s="424" t="s">
        <v>21</v>
      </c>
      <c r="G17" s="425" t="s">
        <v>17</v>
      </c>
      <c r="H17" s="425" t="s">
        <v>22</v>
      </c>
      <c r="I17" s="397" t="s">
        <v>30</v>
      </c>
      <c r="J17" s="426">
        <v>16434000</v>
      </c>
      <c r="K17" s="426"/>
      <c r="L17" s="426">
        <f t="shared" si="7"/>
        <v>16434000</v>
      </c>
      <c r="M17" s="426">
        <v>0</v>
      </c>
      <c r="N17" s="426"/>
      <c r="O17" s="426">
        <f t="shared" si="9"/>
        <v>0</v>
      </c>
    </row>
    <row r="18" spans="1:15" ht="32.25" customHeight="1">
      <c r="A18" s="424" t="s">
        <v>20</v>
      </c>
      <c r="B18" s="424" t="s">
        <v>15</v>
      </c>
      <c r="C18" s="424" t="s">
        <v>28</v>
      </c>
      <c r="D18" s="424" t="s">
        <v>24</v>
      </c>
      <c r="E18" s="424" t="s">
        <v>14</v>
      </c>
      <c r="F18" s="424" t="s">
        <v>18</v>
      </c>
      <c r="G18" s="425" t="s">
        <v>17</v>
      </c>
      <c r="H18" s="425" t="s">
        <v>22</v>
      </c>
      <c r="I18" s="397" t="s">
        <v>31</v>
      </c>
      <c r="J18" s="426">
        <v>210000</v>
      </c>
      <c r="K18" s="426"/>
      <c r="L18" s="426">
        <f t="shared" si="7"/>
        <v>210000</v>
      </c>
      <c r="M18" s="426">
        <v>316000</v>
      </c>
      <c r="N18" s="426"/>
      <c r="O18" s="426">
        <f t="shared" si="9"/>
        <v>316000</v>
      </c>
    </row>
    <row r="19" spans="1:15" ht="47.25">
      <c r="A19" s="424" t="s">
        <v>20</v>
      </c>
      <c r="B19" s="424" t="s">
        <v>15</v>
      </c>
      <c r="C19" s="424" t="s">
        <v>28</v>
      </c>
      <c r="D19" s="424" t="s">
        <v>32</v>
      </c>
      <c r="E19" s="424" t="s">
        <v>14</v>
      </c>
      <c r="F19" s="424" t="s">
        <v>21</v>
      </c>
      <c r="G19" s="425" t="s">
        <v>17</v>
      </c>
      <c r="H19" s="425" t="s">
        <v>22</v>
      </c>
      <c r="I19" s="397" t="s">
        <v>33</v>
      </c>
      <c r="J19" s="426">
        <v>270000</v>
      </c>
      <c r="K19" s="426"/>
      <c r="L19" s="426">
        <f t="shared" si="7"/>
        <v>270000</v>
      </c>
      <c r="M19" s="426">
        <v>279000</v>
      </c>
      <c r="N19" s="426"/>
      <c r="O19" s="426">
        <f t="shared" si="9"/>
        <v>279000</v>
      </c>
    </row>
    <row r="20" spans="1:15" ht="19.5" customHeight="1">
      <c r="A20" s="420" t="s">
        <v>14</v>
      </c>
      <c r="B20" s="420" t="s">
        <v>15</v>
      </c>
      <c r="C20" s="420" t="s">
        <v>34</v>
      </c>
      <c r="D20" s="420" t="s">
        <v>16</v>
      </c>
      <c r="E20" s="420" t="s">
        <v>14</v>
      </c>
      <c r="F20" s="420" t="s">
        <v>16</v>
      </c>
      <c r="G20" s="421" t="s">
        <v>17</v>
      </c>
      <c r="H20" s="421" t="s">
        <v>14</v>
      </c>
      <c r="I20" s="422" t="s">
        <v>35</v>
      </c>
      <c r="J20" s="423">
        <f>J21+J22</f>
        <v>6400000</v>
      </c>
      <c r="K20" s="423">
        <f t="shared" ref="K20" si="12">K21+K22</f>
        <v>0</v>
      </c>
      <c r="L20" s="423">
        <f t="shared" si="7"/>
        <v>6400000</v>
      </c>
      <c r="M20" s="423">
        <f>M21+M22</f>
        <v>6400000</v>
      </c>
      <c r="N20" s="423">
        <f t="shared" ref="N20" si="13">N21+N22</f>
        <v>0</v>
      </c>
      <c r="O20" s="423">
        <f t="shared" si="9"/>
        <v>6400000</v>
      </c>
    </row>
    <row r="21" spans="1:15" ht="48.6" customHeight="1">
      <c r="A21" s="424" t="s">
        <v>20</v>
      </c>
      <c r="B21" s="424" t="s">
        <v>15</v>
      </c>
      <c r="C21" s="424" t="s">
        <v>34</v>
      </c>
      <c r="D21" s="424" t="s">
        <v>24</v>
      </c>
      <c r="E21" s="424" t="s">
        <v>14</v>
      </c>
      <c r="F21" s="424" t="s">
        <v>18</v>
      </c>
      <c r="G21" s="425" t="s">
        <v>17</v>
      </c>
      <c r="H21" s="425" t="s">
        <v>22</v>
      </c>
      <c r="I21" s="397" t="s">
        <v>36</v>
      </c>
      <c r="J21" s="426">
        <v>6300000</v>
      </c>
      <c r="K21" s="426"/>
      <c r="L21" s="426">
        <f t="shared" si="7"/>
        <v>6300000</v>
      </c>
      <c r="M21" s="426">
        <v>6300000</v>
      </c>
      <c r="N21" s="426"/>
      <c r="O21" s="426">
        <f t="shared" si="9"/>
        <v>6300000</v>
      </c>
    </row>
    <row r="22" spans="1:15" ht="71.25" customHeight="1">
      <c r="A22" s="424" t="s">
        <v>1444</v>
      </c>
      <c r="B22" s="424" t="s">
        <v>15</v>
      </c>
      <c r="C22" s="424" t="s">
        <v>34</v>
      </c>
      <c r="D22" s="424" t="s">
        <v>38</v>
      </c>
      <c r="E22" s="424" t="s">
        <v>14</v>
      </c>
      <c r="F22" s="424" t="s">
        <v>18</v>
      </c>
      <c r="G22" s="425" t="s">
        <v>17</v>
      </c>
      <c r="H22" s="425" t="s">
        <v>22</v>
      </c>
      <c r="I22" s="397" t="s">
        <v>39</v>
      </c>
      <c r="J22" s="426">
        <v>100000</v>
      </c>
      <c r="K22" s="426"/>
      <c r="L22" s="426">
        <f t="shared" si="7"/>
        <v>100000</v>
      </c>
      <c r="M22" s="426">
        <v>100000</v>
      </c>
      <c r="N22" s="426"/>
      <c r="O22" s="426">
        <f t="shared" si="9"/>
        <v>100000</v>
      </c>
    </row>
    <row r="23" spans="1:15" ht="47.25" customHeight="1">
      <c r="A23" s="420" t="s">
        <v>20</v>
      </c>
      <c r="B23" s="420" t="s">
        <v>15</v>
      </c>
      <c r="C23" s="420" t="s">
        <v>40</v>
      </c>
      <c r="D23" s="420"/>
      <c r="E23" s="420" t="s">
        <v>41</v>
      </c>
      <c r="F23" s="420" t="s">
        <v>16</v>
      </c>
      <c r="G23" s="421" t="s">
        <v>17</v>
      </c>
      <c r="H23" s="421" t="s">
        <v>14</v>
      </c>
      <c r="I23" s="422" t="s">
        <v>42</v>
      </c>
      <c r="J23" s="423">
        <v>0</v>
      </c>
      <c r="K23" s="423">
        <v>0</v>
      </c>
      <c r="L23" s="426">
        <f t="shared" si="7"/>
        <v>0</v>
      </c>
      <c r="M23" s="423">
        <v>0</v>
      </c>
      <c r="N23" s="423">
        <v>0</v>
      </c>
      <c r="O23" s="426">
        <f t="shared" si="9"/>
        <v>0</v>
      </c>
    </row>
    <row r="24" spans="1:15" ht="79.5" customHeight="1">
      <c r="A24" s="420" t="s">
        <v>14</v>
      </c>
      <c r="B24" s="420" t="s">
        <v>15</v>
      </c>
      <c r="C24" s="420" t="s">
        <v>43</v>
      </c>
      <c r="D24" s="420" t="s">
        <v>16</v>
      </c>
      <c r="E24" s="420" t="s">
        <v>14</v>
      </c>
      <c r="F24" s="420" t="s">
        <v>16</v>
      </c>
      <c r="G24" s="421" t="s">
        <v>17</v>
      </c>
      <c r="H24" s="421" t="s">
        <v>14</v>
      </c>
      <c r="I24" s="422" t="s">
        <v>44</v>
      </c>
      <c r="J24" s="427">
        <f>J25+J27</f>
        <v>11790000</v>
      </c>
      <c r="K24" s="427">
        <f t="shared" ref="K24" si="14">K25+K27</f>
        <v>0</v>
      </c>
      <c r="L24" s="423">
        <f t="shared" si="7"/>
        <v>11790000</v>
      </c>
      <c r="M24" s="427">
        <f>M25+M27</f>
        <v>11790000</v>
      </c>
      <c r="N24" s="427">
        <f t="shared" ref="N24" si="15">N25+N27</f>
        <v>0</v>
      </c>
      <c r="O24" s="423">
        <f t="shared" si="9"/>
        <v>11790000</v>
      </c>
    </row>
    <row r="25" spans="1:15" ht="143.44999999999999" customHeight="1">
      <c r="A25" s="428" t="s">
        <v>45</v>
      </c>
      <c r="B25" s="428" t="s">
        <v>15</v>
      </c>
      <c r="C25" s="428" t="s">
        <v>43</v>
      </c>
      <c r="D25" s="428" t="s">
        <v>18</v>
      </c>
      <c r="E25" s="428" t="s">
        <v>14</v>
      </c>
      <c r="F25" s="428" t="s">
        <v>16</v>
      </c>
      <c r="G25" s="429" t="s">
        <v>17</v>
      </c>
      <c r="H25" s="429" t="s">
        <v>46</v>
      </c>
      <c r="I25" s="430" t="s">
        <v>47</v>
      </c>
      <c r="J25" s="431">
        <f>J26</f>
        <v>100000</v>
      </c>
      <c r="K25" s="431"/>
      <c r="L25" s="432">
        <f t="shared" si="7"/>
        <v>100000</v>
      </c>
      <c r="M25" s="431">
        <f>M26</f>
        <v>100000</v>
      </c>
      <c r="N25" s="431"/>
      <c r="O25" s="432">
        <f t="shared" si="9"/>
        <v>100000</v>
      </c>
    </row>
    <row r="26" spans="1:15" ht="127.9" customHeight="1">
      <c r="A26" s="424" t="s">
        <v>45</v>
      </c>
      <c r="B26" s="424" t="s">
        <v>15</v>
      </c>
      <c r="C26" s="424" t="s">
        <v>43</v>
      </c>
      <c r="D26" s="424" t="s">
        <v>18</v>
      </c>
      <c r="E26" s="424" t="s">
        <v>48</v>
      </c>
      <c r="F26" s="424" t="s">
        <v>28</v>
      </c>
      <c r="G26" s="425" t="s">
        <v>17</v>
      </c>
      <c r="H26" s="425" t="s">
        <v>46</v>
      </c>
      <c r="I26" s="397" t="s">
        <v>170</v>
      </c>
      <c r="J26" s="426">
        <v>100000</v>
      </c>
      <c r="K26" s="426"/>
      <c r="L26" s="426">
        <f t="shared" si="7"/>
        <v>100000</v>
      </c>
      <c r="M26" s="426">
        <v>100000</v>
      </c>
      <c r="N26" s="426"/>
      <c r="O26" s="426">
        <f t="shared" si="9"/>
        <v>100000</v>
      </c>
    </row>
    <row r="27" spans="1:15" ht="160.5" customHeight="1">
      <c r="A27" s="428" t="s">
        <v>14</v>
      </c>
      <c r="B27" s="428" t="s">
        <v>15</v>
      </c>
      <c r="C27" s="428" t="s">
        <v>43</v>
      </c>
      <c r="D27" s="428" t="s">
        <v>28</v>
      </c>
      <c r="E27" s="428" t="s">
        <v>14</v>
      </c>
      <c r="F27" s="428" t="s">
        <v>16</v>
      </c>
      <c r="G27" s="429" t="s">
        <v>17</v>
      </c>
      <c r="H27" s="429" t="s">
        <v>46</v>
      </c>
      <c r="I27" s="430" t="s">
        <v>50</v>
      </c>
      <c r="J27" s="432">
        <f>J28+J29+J30</f>
        <v>11690000</v>
      </c>
      <c r="K27" s="432"/>
      <c r="L27" s="426">
        <f t="shared" si="7"/>
        <v>11690000</v>
      </c>
      <c r="M27" s="432">
        <f>M28+M29+M30</f>
        <v>11690000</v>
      </c>
      <c r="N27" s="432"/>
      <c r="O27" s="426">
        <f t="shared" si="9"/>
        <v>11690000</v>
      </c>
    </row>
    <row r="28" spans="1:15" ht="112.15" customHeight="1">
      <c r="A28" s="424" t="s">
        <v>45</v>
      </c>
      <c r="B28" s="424" t="s">
        <v>15</v>
      </c>
      <c r="C28" s="424" t="s">
        <v>43</v>
      </c>
      <c r="D28" s="424" t="s">
        <v>28</v>
      </c>
      <c r="E28" s="424" t="s">
        <v>71</v>
      </c>
      <c r="F28" s="424" t="s">
        <v>28</v>
      </c>
      <c r="G28" s="425" t="s">
        <v>17</v>
      </c>
      <c r="H28" s="425" t="s">
        <v>46</v>
      </c>
      <c r="I28" s="397" t="s">
        <v>52</v>
      </c>
      <c r="J28" s="426">
        <v>3150000</v>
      </c>
      <c r="K28" s="426"/>
      <c r="L28" s="426"/>
      <c r="M28" s="426">
        <v>3150000</v>
      </c>
      <c r="N28" s="432"/>
      <c r="O28" s="426"/>
    </row>
    <row r="29" spans="1:15" ht="132" customHeight="1">
      <c r="A29" s="424" t="s">
        <v>45</v>
      </c>
      <c r="B29" s="424" t="s">
        <v>15</v>
      </c>
      <c r="C29" s="424" t="s">
        <v>43</v>
      </c>
      <c r="D29" s="424" t="s">
        <v>28</v>
      </c>
      <c r="E29" s="424" t="s">
        <v>51</v>
      </c>
      <c r="F29" s="424" t="s">
        <v>16</v>
      </c>
      <c r="G29" s="425" t="s">
        <v>17</v>
      </c>
      <c r="H29" s="425" t="s">
        <v>46</v>
      </c>
      <c r="I29" s="397" t="s">
        <v>52</v>
      </c>
      <c r="J29" s="426">
        <v>6040000</v>
      </c>
      <c r="K29" s="426"/>
      <c r="L29" s="426">
        <f t="shared" si="7"/>
        <v>6040000</v>
      </c>
      <c r="M29" s="426">
        <v>6040000</v>
      </c>
      <c r="N29" s="426"/>
      <c r="O29" s="426">
        <f t="shared" si="9"/>
        <v>6040000</v>
      </c>
    </row>
    <row r="30" spans="1:15" ht="71.25" customHeight="1">
      <c r="A30" s="424" t="s">
        <v>45</v>
      </c>
      <c r="B30" s="424" t="s">
        <v>15</v>
      </c>
      <c r="C30" s="424" t="s">
        <v>43</v>
      </c>
      <c r="D30" s="424" t="s">
        <v>28</v>
      </c>
      <c r="E30" s="424" t="s">
        <v>53</v>
      </c>
      <c r="F30" s="424" t="s">
        <v>28</v>
      </c>
      <c r="G30" s="425" t="s">
        <v>17</v>
      </c>
      <c r="H30" s="425" t="s">
        <v>46</v>
      </c>
      <c r="I30" s="397" t="s">
        <v>54</v>
      </c>
      <c r="J30" s="426">
        <v>2500000</v>
      </c>
      <c r="K30" s="426"/>
      <c r="L30" s="426">
        <f t="shared" si="7"/>
        <v>2500000</v>
      </c>
      <c r="M30" s="426">
        <v>2500000</v>
      </c>
      <c r="N30" s="426"/>
      <c r="O30" s="426">
        <f t="shared" si="9"/>
        <v>2500000</v>
      </c>
    </row>
    <row r="31" spans="1:15" ht="33.75" customHeight="1">
      <c r="A31" s="420" t="s">
        <v>14</v>
      </c>
      <c r="B31" s="420" t="s">
        <v>15</v>
      </c>
      <c r="C31" s="420" t="s">
        <v>55</v>
      </c>
      <c r="D31" s="420" t="s">
        <v>16</v>
      </c>
      <c r="E31" s="420" t="s">
        <v>14</v>
      </c>
      <c r="F31" s="420" t="s">
        <v>16</v>
      </c>
      <c r="G31" s="421" t="s">
        <v>17</v>
      </c>
      <c r="H31" s="421" t="s">
        <v>14</v>
      </c>
      <c r="I31" s="422" t="s">
        <v>56</v>
      </c>
      <c r="J31" s="427">
        <f>J32+J33</f>
        <v>985000</v>
      </c>
      <c r="K31" s="427">
        <f t="shared" ref="K31" si="16">K32+K33</f>
        <v>0</v>
      </c>
      <c r="L31" s="423">
        <f t="shared" si="7"/>
        <v>985000</v>
      </c>
      <c r="M31" s="427">
        <f>M32+M33</f>
        <v>1559000</v>
      </c>
      <c r="N31" s="427">
        <f t="shared" ref="N31" si="17">N32+N33</f>
        <v>0</v>
      </c>
      <c r="O31" s="423">
        <f t="shared" si="9"/>
        <v>1559000</v>
      </c>
    </row>
    <row r="32" spans="1:15" ht="43.15" customHeight="1">
      <c r="A32" s="424" t="s">
        <v>171</v>
      </c>
      <c r="B32" s="424" t="s">
        <v>15</v>
      </c>
      <c r="C32" s="424" t="s">
        <v>55</v>
      </c>
      <c r="D32" s="424" t="s">
        <v>18</v>
      </c>
      <c r="E32" s="424" t="s">
        <v>14</v>
      </c>
      <c r="F32" s="424" t="s">
        <v>18</v>
      </c>
      <c r="G32" s="425" t="s">
        <v>17</v>
      </c>
      <c r="H32" s="425" t="s">
        <v>46</v>
      </c>
      <c r="I32" s="397" t="s">
        <v>57</v>
      </c>
      <c r="J32" s="426">
        <v>985000</v>
      </c>
      <c r="K32" s="426"/>
      <c r="L32" s="426">
        <f t="shared" si="7"/>
        <v>985000</v>
      </c>
      <c r="M32" s="426">
        <v>1559000</v>
      </c>
      <c r="N32" s="426"/>
      <c r="O32" s="426">
        <f t="shared" si="9"/>
        <v>1559000</v>
      </c>
    </row>
    <row r="33" spans="1:15" ht="0.75" hidden="1" customHeight="1">
      <c r="A33" s="424" t="s">
        <v>20</v>
      </c>
      <c r="B33" s="424" t="s">
        <v>15</v>
      </c>
      <c r="C33" s="424" t="s">
        <v>55</v>
      </c>
      <c r="D33" s="424"/>
      <c r="E33" s="424" t="s">
        <v>58</v>
      </c>
      <c r="F33" s="424" t="s">
        <v>18</v>
      </c>
      <c r="G33" s="425" t="s">
        <v>17</v>
      </c>
      <c r="H33" s="425" t="s">
        <v>46</v>
      </c>
      <c r="I33" s="397" t="s">
        <v>59</v>
      </c>
      <c r="J33" s="426">
        <v>0</v>
      </c>
      <c r="K33" s="426">
        <v>0</v>
      </c>
      <c r="L33" s="426">
        <f t="shared" si="7"/>
        <v>0</v>
      </c>
      <c r="M33" s="426">
        <v>0</v>
      </c>
      <c r="N33" s="426">
        <v>0</v>
      </c>
      <c r="O33" s="426">
        <f t="shared" si="9"/>
        <v>0</v>
      </c>
    </row>
    <row r="34" spans="1:15" ht="63.75" customHeight="1">
      <c r="A34" s="420" t="s">
        <v>14</v>
      </c>
      <c r="B34" s="420" t="s">
        <v>15</v>
      </c>
      <c r="C34" s="420" t="s">
        <v>60</v>
      </c>
      <c r="D34" s="420" t="s">
        <v>16</v>
      </c>
      <c r="E34" s="420" t="s">
        <v>14</v>
      </c>
      <c r="F34" s="420" t="s">
        <v>16</v>
      </c>
      <c r="G34" s="421" t="s">
        <v>17</v>
      </c>
      <c r="H34" s="421" t="s">
        <v>61</v>
      </c>
      <c r="I34" s="422" t="s">
        <v>62</v>
      </c>
      <c r="J34" s="423">
        <f>J35</f>
        <v>59957000</v>
      </c>
      <c r="K34" s="423">
        <f t="shared" ref="K34" si="18">K35</f>
        <v>0</v>
      </c>
      <c r="L34" s="423">
        <f t="shared" si="7"/>
        <v>59957000</v>
      </c>
      <c r="M34" s="423">
        <f>M35</f>
        <v>59994000</v>
      </c>
      <c r="N34" s="423">
        <f t="shared" ref="N34" si="19">N35</f>
        <v>0</v>
      </c>
      <c r="O34" s="423">
        <f t="shared" si="9"/>
        <v>59994000</v>
      </c>
    </row>
    <row r="35" spans="1:15" ht="56.45" customHeight="1">
      <c r="A35" s="424" t="s">
        <v>103</v>
      </c>
      <c r="B35" s="424" t="s">
        <v>15</v>
      </c>
      <c r="C35" s="424" t="s">
        <v>60</v>
      </c>
      <c r="D35" s="424" t="s">
        <v>18</v>
      </c>
      <c r="E35" s="424" t="s">
        <v>63</v>
      </c>
      <c r="F35" s="424" t="s">
        <v>28</v>
      </c>
      <c r="G35" s="425" t="s">
        <v>17</v>
      </c>
      <c r="H35" s="425" t="s">
        <v>61</v>
      </c>
      <c r="I35" s="397" t="s">
        <v>64</v>
      </c>
      <c r="J35" s="426">
        <v>59957000</v>
      </c>
      <c r="K35" s="426"/>
      <c r="L35" s="426">
        <f t="shared" si="7"/>
        <v>59957000</v>
      </c>
      <c r="M35" s="426">
        <v>59994000</v>
      </c>
      <c r="N35" s="426"/>
      <c r="O35" s="426">
        <f t="shared" si="9"/>
        <v>59994000</v>
      </c>
    </row>
    <row r="36" spans="1:15" ht="37.9" customHeight="1">
      <c r="A36" s="420" t="s">
        <v>14</v>
      </c>
      <c r="B36" s="420" t="s">
        <v>15</v>
      </c>
      <c r="C36" s="420" t="s">
        <v>65</v>
      </c>
      <c r="D36" s="420" t="s">
        <v>16</v>
      </c>
      <c r="E36" s="420" t="s">
        <v>14</v>
      </c>
      <c r="F36" s="420" t="s">
        <v>16</v>
      </c>
      <c r="G36" s="421" t="s">
        <v>17</v>
      </c>
      <c r="H36" s="421" t="s">
        <v>14</v>
      </c>
      <c r="I36" s="422" t="s">
        <v>66</v>
      </c>
      <c r="J36" s="427">
        <f>J37+J38</f>
        <v>5000000</v>
      </c>
      <c r="K36" s="427">
        <f t="shared" ref="K36" si="20">K37+K38</f>
        <v>0</v>
      </c>
      <c r="L36" s="423">
        <f t="shared" si="7"/>
        <v>5000000</v>
      </c>
      <c r="M36" s="427">
        <f>M37+M38</f>
        <v>5000000</v>
      </c>
      <c r="N36" s="427">
        <f t="shared" ref="N36" si="21">N37+N38</f>
        <v>0</v>
      </c>
      <c r="O36" s="423">
        <f t="shared" si="9"/>
        <v>5000000</v>
      </c>
    </row>
    <row r="37" spans="1:15" ht="127.9" customHeight="1">
      <c r="A37" s="424" t="s">
        <v>14</v>
      </c>
      <c r="B37" s="424" t="s">
        <v>15</v>
      </c>
      <c r="C37" s="424" t="s">
        <v>65</v>
      </c>
      <c r="D37" s="424" t="s">
        <v>21</v>
      </c>
      <c r="E37" s="424" t="s">
        <v>14</v>
      </c>
      <c r="F37" s="424" t="s">
        <v>16</v>
      </c>
      <c r="G37" s="425" t="s">
        <v>17</v>
      </c>
      <c r="H37" s="425" t="s">
        <v>14</v>
      </c>
      <c r="I37" s="397" t="s">
        <v>67</v>
      </c>
      <c r="J37" s="426">
        <v>2500000</v>
      </c>
      <c r="K37" s="426"/>
      <c r="L37" s="426">
        <f t="shared" si="7"/>
        <v>2500000</v>
      </c>
      <c r="M37" s="426">
        <v>2500000</v>
      </c>
      <c r="N37" s="426"/>
      <c r="O37" s="426">
        <f t="shared" si="9"/>
        <v>2500000</v>
      </c>
    </row>
    <row r="38" spans="1:15" ht="66.75" customHeight="1">
      <c r="A38" s="424" t="s">
        <v>45</v>
      </c>
      <c r="B38" s="424" t="s">
        <v>15</v>
      </c>
      <c r="C38" s="424" t="s">
        <v>65</v>
      </c>
      <c r="D38" s="424" t="s">
        <v>68</v>
      </c>
      <c r="E38" s="424" t="s">
        <v>14</v>
      </c>
      <c r="F38" s="424" t="s">
        <v>16</v>
      </c>
      <c r="G38" s="425" t="s">
        <v>17</v>
      </c>
      <c r="H38" s="425" t="s">
        <v>69</v>
      </c>
      <c r="I38" s="397" t="s">
        <v>172</v>
      </c>
      <c r="J38" s="433">
        <f>J39+J40+J41</f>
        <v>2500000</v>
      </c>
      <c r="K38" s="433"/>
      <c r="L38" s="426">
        <f t="shared" si="7"/>
        <v>2500000</v>
      </c>
      <c r="M38" s="433">
        <f>M39+M40+M41</f>
        <v>2500000</v>
      </c>
      <c r="N38" s="433"/>
      <c r="O38" s="426">
        <f t="shared" si="9"/>
        <v>2500000</v>
      </c>
    </row>
    <row r="39" spans="1:15" ht="112.9" customHeight="1">
      <c r="A39" s="424" t="s">
        <v>45</v>
      </c>
      <c r="B39" s="424" t="s">
        <v>15</v>
      </c>
      <c r="C39" s="424" t="s">
        <v>65</v>
      </c>
      <c r="D39" s="424" t="s">
        <v>68</v>
      </c>
      <c r="E39" s="424" t="s">
        <v>71</v>
      </c>
      <c r="F39" s="424" t="s">
        <v>28</v>
      </c>
      <c r="G39" s="425" t="s">
        <v>17</v>
      </c>
      <c r="H39" s="425" t="s">
        <v>69</v>
      </c>
      <c r="I39" s="397" t="s">
        <v>1350</v>
      </c>
      <c r="J39" s="433">
        <v>1500000</v>
      </c>
      <c r="K39" s="433"/>
      <c r="L39" s="426">
        <f t="shared" si="7"/>
        <v>1500000</v>
      </c>
      <c r="M39" s="433">
        <v>1500000</v>
      </c>
      <c r="N39" s="433"/>
      <c r="O39" s="426">
        <f t="shared" si="9"/>
        <v>1500000</v>
      </c>
    </row>
    <row r="40" spans="1:15" ht="81" customHeight="1">
      <c r="A40" s="424" t="s">
        <v>45</v>
      </c>
      <c r="B40" s="424" t="s">
        <v>15</v>
      </c>
      <c r="C40" s="424" t="s">
        <v>65</v>
      </c>
      <c r="D40" s="424" t="s">
        <v>68</v>
      </c>
      <c r="E40" s="424" t="s">
        <v>71</v>
      </c>
      <c r="F40" s="424" t="s">
        <v>60</v>
      </c>
      <c r="G40" s="425" t="s">
        <v>17</v>
      </c>
      <c r="H40" s="425" t="s">
        <v>69</v>
      </c>
      <c r="I40" s="397" t="s">
        <v>73</v>
      </c>
      <c r="J40" s="426">
        <v>500000</v>
      </c>
      <c r="K40" s="426">
        <v>0</v>
      </c>
      <c r="L40" s="426">
        <f t="shared" si="7"/>
        <v>500000</v>
      </c>
      <c r="M40" s="426">
        <v>500000</v>
      </c>
      <c r="N40" s="426">
        <v>0</v>
      </c>
      <c r="O40" s="426">
        <f t="shared" si="9"/>
        <v>500000</v>
      </c>
    </row>
    <row r="41" spans="1:15" ht="112.9" customHeight="1">
      <c r="A41" s="424" t="s">
        <v>45</v>
      </c>
      <c r="B41" s="424" t="s">
        <v>15</v>
      </c>
      <c r="C41" s="424" t="s">
        <v>65</v>
      </c>
      <c r="D41" s="424" t="s">
        <v>68</v>
      </c>
      <c r="E41" s="424" t="s">
        <v>74</v>
      </c>
      <c r="F41" s="424" t="s">
        <v>28</v>
      </c>
      <c r="G41" s="425" t="s">
        <v>17</v>
      </c>
      <c r="H41" s="425" t="s">
        <v>69</v>
      </c>
      <c r="I41" s="397" t="s">
        <v>173</v>
      </c>
      <c r="J41" s="426">
        <v>500000</v>
      </c>
      <c r="K41" s="426">
        <v>0</v>
      </c>
      <c r="L41" s="426">
        <f t="shared" si="7"/>
        <v>500000</v>
      </c>
      <c r="M41" s="426">
        <v>500000</v>
      </c>
      <c r="N41" s="426">
        <v>0</v>
      </c>
      <c r="O41" s="426">
        <f t="shared" si="9"/>
        <v>500000</v>
      </c>
    </row>
    <row r="42" spans="1:15" ht="31.5">
      <c r="A42" s="420" t="s">
        <v>14</v>
      </c>
      <c r="B42" s="420" t="s">
        <v>15</v>
      </c>
      <c r="C42" s="420" t="s">
        <v>76</v>
      </c>
      <c r="D42" s="420" t="s">
        <v>16</v>
      </c>
      <c r="E42" s="420" t="s">
        <v>14</v>
      </c>
      <c r="F42" s="420" t="s">
        <v>16</v>
      </c>
      <c r="G42" s="421" t="s">
        <v>17</v>
      </c>
      <c r="H42" s="421" t="s">
        <v>14</v>
      </c>
      <c r="I42" s="422" t="s">
        <v>77</v>
      </c>
      <c r="J42" s="423">
        <v>2268000</v>
      </c>
      <c r="K42" s="423"/>
      <c r="L42" s="423">
        <f t="shared" si="7"/>
        <v>2268000</v>
      </c>
      <c r="M42" s="423">
        <v>2308000</v>
      </c>
      <c r="N42" s="423"/>
      <c r="O42" s="423">
        <f t="shared" si="9"/>
        <v>2308000</v>
      </c>
    </row>
    <row r="43" spans="1:15" ht="0.75" hidden="1" customHeight="1">
      <c r="A43" s="420" t="s">
        <v>14</v>
      </c>
      <c r="B43" s="420" t="s">
        <v>15</v>
      </c>
      <c r="C43" s="420" t="s">
        <v>78</v>
      </c>
      <c r="D43" s="420"/>
      <c r="E43" s="420" t="s">
        <v>41</v>
      </c>
      <c r="F43" s="420" t="s">
        <v>16</v>
      </c>
      <c r="G43" s="421" t="s">
        <v>17</v>
      </c>
      <c r="H43" s="421" t="s">
        <v>14</v>
      </c>
      <c r="I43" s="422" t="s">
        <v>79</v>
      </c>
      <c r="J43" s="423">
        <v>0</v>
      </c>
      <c r="K43" s="423">
        <v>0</v>
      </c>
      <c r="L43" s="426">
        <f t="shared" si="7"/>
        <v>0</v>
      </c>
      <c r="M43" s="423">
        <v>0</v>
      </c>
      <c r="N43" s="423">
        <v>0</v>
      </c>
      <c r="O43" s="426">
        <f t="shared" si="9"/>
        <v>0</v>
      </c>
    </row>
    <row r="44" spans="1:15" ht="20.25" customHeight="1">
      <c r="A44" s="420" t="s">
        <v>14</v>
      </c>
      <c r="B44" s="420" t="s">
        <v>80</v>
      </c>
      <c r="C44" s="420" t="s">
        <v>16</v>
      </c>
      <c r="D44" s="420" t="s">
        <v>16</v>
      </c>
      <c r="E44" s="420" t="s">
        <v>14</v>
      </c>
      <c r="F44" s="420" t="s">
        <v>16</v>
      </c>
      <c r="G44" s="434" t="s">
        <v>17</v>
      </c>
      <c r="H44" s="434" t="s">
        <v>14</v>
      </c>
      <c r="I44" s="435" t="s">
        <v>81</v>
      </c>
      <c r="J44" s="427">
        <f>J45</f>
        <v>1499211036</v>
      </c>
      <c r="K44" s="427">
        <f t="shared" ref="K44" si="22">K45</f>
        <v>111940198</v>
      </c>
      <c r="L44" s="423">
        <f t="shared" si="7"/>
        <v>1611151234</v>
      </c>
      <c r="M44" s="427">
        <f>M45</f>
        <v>1283959725</v>
      </c>
      <c r="N44" s="427">
        <f t="shared" ref="N44:O44" si="23">N45</f>
        <v>113808137</v>
      </c>
      <c r="O44" s="427">
        <f t="shared" si="23"/>
        <v>1369232862</v>
      </c>
    </row>
    <row r="45" spans="1:15" ht="55.5" customHeight="1">
      <c r="A45" s="420" t="s">
        <v>14</v>
      </c>
      <c r="B45" s="420" t="s">
        <v>80</v>
      </c>
      <c r="C45" s="420" t="s">
        <v>21</v>
      </c>
      <c r="D45" s="420" t="s">
        <v>16</v>
      </c>
      <c r="E45" s="420" t="s">
        <v>14</v>
      </c>
      <c r="F45" s="420" t="s">
        <v>16</v>
      </c>
      <c r="G45" s="434" t="s">
        <v>17</v>
      </c>
      <c r="H45" s="434" t="s">
        <v>14</v>
      </c>
      <c r="I45" s="435" t="s">
        <v>82</v>
      </c>
      <c r="J45" s="427">
        <f>J46+J50+J56+J98</f>
        <v>1499211036</v>
      </c>
      <c r="K45" s="427">
        <f>K46+K50+K56+K98</f>
        <v>111940198</v>
      </c>
      <c r="L45" s="423">
        <f t="shared" si="7"/>
        <v>1611151234</v>
      </c>
      <c r="M45" s="427">
        <f>M46+M50+M56+M98</f>
        <v>1283959725</v>
      </c>
      <c r="N45" s="427">
        <f t="shared" ref="N45:O45" si="24">N46+N50+N56+N98</f>
        <v>113808137</v>
      </c>
      <c r="O45" s="427">
        <f t="shared" si="24"/>
        <v>1369232862</v>
      </c>
    </row>
    <row r="46" spans="1:15" ht="51.75" customHeight="1">
      <c r="A46" s="420" t="s">
        <v>85</v>
      </c>
      <c r="B46" s="420" t="s">
        <v>80</v>
      </c>
      <c r="C46" s="420" t="s">
        <v>21</v>
      </c>
      <c r="D46" s="420" t="s">
        <v>72</v>
      </c>
      <c r="E46" s="420" t="s">
        <v>14</v>
      </c>
      <c r="F46" s="420" t="s">
        <v>16</v>
      </c>
      <c r="G46" s="434" t="s">
        <v>17</v>
      </c>
      <c r="H46" s="434" t="s">
        <v>1445</v>
      </c>
      <c r="I46" s="435" t="s">
        <v>84</v>
      </c>
      <c r="J46" s="427">
        <f>J47+J48+J49</f>
        <v>332197000</v>
      </c>
      <c r="K46" s="427">
        <f t="shared" ref="K46:O46" si="25">K47+K48+K49</f>
        <v>-2665000</v>
      </c>
      <c r="L46" s="427">
        <f t="shared" si="25"/>
        <v>329532000</v>
      </c>
      <c r="M46" s="427">
        <f t="shared" si="25"/>
        <v>124800000</v>
      </c>
      <c r="N46" s="427">
        <f t="shared" si="25"/>
        <v>0</v>
      </c>
      <c r="O46" s="427">
        <f t="shared" si="25"/>
        <v>124800000</v>
      </c>
    </row>
    <row r="47" spans="1:15" ht="51.75" customHeight="1">
      <c r="A47" s="424" t="s">
        <v>85</v>
      </c>
      <c r="B47" s="424" t="s">
        <v>80</v>
      </c>
      <c r="C47" s="424" t="s">
        <v>21</v>
      </c>
      <c r="D47" s="424" t="s">
        <v>848</v>
      </c>
      <c r="E47" s="424" t="s">
        <v>86</v>
      </c>
      <c r="F47" s="424" t="s">
        <v>28</v>
      </c>
      <c r="G47" s="436" t="s">
        <v>17</v>
      </c>
      <c r="H47" s="436" t="s">
        <v>1445</v>
      </c>
      <c r="I47" s="437" t="s">
        <v>87</v>
      </c>
      <c r="J47" s="426">
        <v>329532000</v>
      </c>
      <c r="K47" s="426"/>
      <c r="L47" s="426">
        <f t="shared" si="7"/>
        <v>329532000</v>
      </c>
      <c r="M47" s="426">
        <v>124800000</v>
      </c>
      <c r="N47" s="426"/>
      <c r="O47" s="426">
        <f t="shared" si="9"/>
        <v>124800000</v>
      </c>
    </row>
    <row r="48" spans="1:15" ht="45.75" hidden="1" customHeight="1">
      <c r="A48" s="424" t="s">
        <v>85</v>
      </c>
      <c r="B48" s="424" t="s">
        <v>80</v>
      </c>
      <c r="C48" s="424" t="s">
        <v>21</v>
      </c>
      <c r="D48" s="424" t="s">
        <v>848</v>
      </c>
      <c r="E48" s="424" t="s">
        <v>86</v>
      </c>
      <c r="F48" s="424" t="s">
        <v>28</v>
      </c>
      <c r="G48" s="436" t="s">
        <v>17</v>
      </c>
      <c r="H48" s="436" t="s">
        <v>1445</v>
      </c>
      <c r="I48" s="437" t="s">
        <v>88</v>
      </c>
      <c r="J48" s="426">
        <v>2665000</v>
      </c>
      <c r="K48" s="426">
        <v>-2665000</v>
      </c>
      <c r="L48" s="426">
        <f t="shared" si="7"/>
        <v>0</v>
      </c>
      <c r="M48" s="426">
        <v>0</v>
      </c>
      <c r="N48" s="426"/>
      <c r="O48" s="426">
        <f t="shared" si="9"/>
        <v>0</v>
      </c>
    </row>
    <row r="49" spans="1:15" ht="63.75" hidden="1" customHeight="1">
      <c r="A49" s="424" t="s">
        <v>85</v>
      </c>
      <c r="B49" s="424" t="s">
        <v>80</v>
      </c>
      <c r="C49" s="424" t="s">
        <v>21</v>
      </c>
      <c r="D49" s="424" t="s">
        <v>18</v>
      </c>
      <c r="E49" s="424" t="s">
        <v>89</v>
      </c>
      <c r="F49" s="424" t="s">
        <v>28</v>
      </c>
      <c r="G49" s="436" t="s">
        <v>17</v>
      </c>
      <c r="H49" s="436" t="s">
        <v>83</v>
      </c>
      <c r="I49" s="437" t="s">
        <v>90</v>
      </c>
      <c r="J49" s="426">
        <v>0</v>
      </c>
      <c r="K49" s="426">
        <v>0</v>
      </c>
      <c r="L49" s="426">
        <f t="shared" si="7"/>
        <v>0</v>
      </c>
      <c r="M49" s="426">
        <v>0</v>
      </c>
      <c r="N49" s="426">
        <v>0</v>
      </c>
      <c r="O49" s="426">
        <f t="shared" si="9"/>
        <v>0</v>
      </c>
    </row>
    <row r="50" spans="1:15" ht="66" customHeight="1">
      <c r="A50" s="420" t="s">
        <v>14</v>
      </c>
      <c r="B50" s="420" t="s">
        <v>80</v>
      </c>
      <c r="C50" s="420" t="s">
        <v>21</v>
      </c>
      <c r="D50" s="420" t="s">
        <v>1269</v>
      </c>
      <c r="E50" s="420" t="s">
        <v>14</v>
      </c>
      <c r="F50" s="420" t="s">
        <v>16</v>
      </c>
      <c r="G50" s="434" t="s">
        <v>17</v>
      </c>
      <c r="H50" s="434" t="s">
        <v>1445</v>
      </c>
      <c r="I50" s="435" t="s">
        <v>94</v>
      </c>
      <c r="J50" s="427">
        <f>SUM(J51:J55)</f>
        <v>48024171</v>
      </c>
      <c r="K50" s="427">
        <f t="shared" ref="K50" si="26">SUM(K51:K55)</f>
        <v>0</v>
      </c>
      <c r="L50" s="423">
        <f t="shared" si="7"/>
        <v>48024171</v>
      </c>
      <c r="M50" s="427">
        <f>SUM(M51:M55)</f>
        <v>38384171</v>
      </c>
      <c r="N50" s="427">
        <f t="shared" ref="N50" si="27">SUM(N51:N55)</f>
        <v>0</v>
      </c>
      <c r="O50" s="423">
        <f t="shared" si="9"/>
        <v>38384171</v>
      </c>
    </row>
    <row r="51" spans="1:15" ht="0.6" hidden="1" customHeight="1">
      <c r="A51" s="424" t="s">
        <v>96</v>
      </c>
      <c r="B51" s="424" t="s">
        <v>80</v>
      </c>
      <c r="C51" s="424" t="s">
        <v>21</v>
      </c>
      <c r="D51" s="424" t="s">
        <v>1269</v>
      </c>
      <c r="E51" s="424" t="s">
        <v>97</v>
      </c>
      <c r="F51" s="424" t="s">
        <v>28</v>
      </c>
      <c r="G51" s="436" t="s">
        <v>17</v>
      </c>
      <c r="H51" s="436" t="s">
        <v>83</v>
      </c>
      <c r="I51" s="437" t="s">
        <v>98</v>
      </c>
      <c r="J51" s="426"/>
      <c r="K51" s="426"/>
      <c r="L51" s="426">
        <f t="shared" si="7"/>
        <v>0</v>
      </c>
      <c r="M51" s="426"/>
      <c r="N51" s="426"/>
      <c r="O51" s="426">
        <f t="shared" si="9"/>
        <v>0</v>
      </c>
    </row>
    <row r="52" spans="1:15" ht="54" customHeight="1">
      <c r="A52" s="424" t="s">
        <v>100</v>
      </c>
      <c r="B52" s="24" t="s">
        <v>80</v>
      </c>
      <c r="C52" s="24" t="s">
        <v>21</v>
      </c>
      <c r="D52" s="24" t="s">
        <v>1270</v>
      </c>
      <c r="E52" s="24" t="s">
        <v>101</v>
      </c>
      <c r="F52" s="24" t="s">
        <v>28</v>
      </c>
      <c r="G52" s="436" t="s">
        <v>1446</v>
      </c>
      <c r="H52" s="30" t="s">
        <v>1445</v>
      </c>
      <c r="I52" s="31" t="s">
        <v>1449</v>
      </c>
      <c r="J52" s="426">
        <v>27404117</v>
      </c>
      <c r="K52" s="426"/>
      <c r="L52" s="426">
        <f t="shared" si="7"/>
        <v>27404117</v>
      </c>
      <c r="M52" s="426">
        <v>27404117</v>
      </c>
      <c r="N52" s="426"/>
      <c r="O52" s="426">
        <f t="shared" si="9"/>
        <v>27404117</v>
      </c>
    </row>
    <row r="53" spans="1:15" ht="52.15" customHeight="1">
      <c r="A53" s="32" t="s">
        <v>37</v>
      </c>
      <c r="B53" s="32" t="s">
        <v>80</v>
      </c>
      <c r="C53" s="32" t="s">
        <v>21</v>
      </c>
      <c r="D53" s="32" t="s">
        <v>1269</v>
      </c>
      <c r="E53" s="32" t="s">
        <v>1330</v>
      </c>
      <c r="F53" s="32" t="s">
        <v>28</v>
      </c>
      <c r="G53" s="33" t="s">
        <v>17</v>
      </c>
      <c r="H53" s="33" t="s">
        <v>1445</v>
      </c>
      <c r="I53" s="437" t="s">
        <v>1450</v>
      </c>
      <c r="J53" s="426">
        <v>9640000</v>
      </c>
      <c r="K53" s="426"/>
      <c r="L53" s="426">
        <f t="shared" si="7"/>
        <v>9640000</v>
      </c>
      <c r="M53" s="426">
        <v>0</v>
      </c>
      <c r="N53" s="426"/>
      <c r="O53" s="426">
        <f t="shared" si="9"/>
        <v>0</v>
      </c>
    </row>
    <row r="54" spans="1:15" ht="66.599999999999994" customHeight="1">
      <c r="A54" s="424" t="s">
        <v>103</v>
      </c>
      <c r="B54" s="24" t="s">
        <v>80</v>
      </c>
      <c r="C54" s="24" t="s">
        <v>21</v>
      </c>
      <c r="D54" s="24" t="s">
        <v>1270</v>
      </c>
      <c r="E54" s="24" t="s">
        <v>101</v>
      </c>
      <c r="F54" s="24" t="s">
        <v>28</v>
      </c>
      <c r="G54" s="436" t="s">
        <v>1448</v>
      </c>
      <c r="H54" s="30" t="s">
        <v>1445</v>
      </c>
      <c r="I54" s="31" t="s">
        <v>1447</v>
      </c>
      <c r="J54" s="426">
        <v>10240524</v>
      </c>
      <c r="K54" s="426"/>
      <c r="L54" s="426">
        <f t="shared" si="7"/>
        <v>10240524</v>
      </c>
      <c r="M54" s="426">
        <v>10240524</v>
      </c>
      <c r="N54" s="426"/>
      <c r="O54" s="426">
        <f t="shared" si="9"/>
        <v>10240524</v>
      </c>
    </row>
    <row r="55" spans="1:15" ht="81" customHeight="1">
      <c r="A55" s="424" t="s">
        <v>103</v>
      </c>
      <c r="B55" s="424" t="s">
        <v>80</v>
      </c>
      <c r="C55" s="424" t="s">
        <v>21</v>
      </c>
      <c r="D55" s="424" t="s">
        <v>1270</v>
      </c>
      <c r="E55" s="424" t="s">
        <v>101</v>
      </c>
      <c r="F55" s="424" t="s">
        <v>28</v>
      </c>
      <c r="G55" s="436" t="s">
        <v>1329</v>
      </c>
      <c r="H55" s="436" t="s">
        <v>1445</v>
      </c>
      <c r="I55" s="438" t="s">
        <v>104</v>
      </c>
      <c r="J55" s="426">
        <v>739530</v>
      </c>
      <c r="K55" s="426"/>
      <c r="L55" s="426">
        <f t="shared" si="7"/>
        <v>739530</v>
      </c>
      <c r="M55" s="426">
        <v>739530</v>
      </c>
      <c r="N55" s="426"/>
      <c r="O55" s="426">
        <f t="shared" si="9"/>
        <v>739530</v>
      </c>
    </row>
    <row r="56" spans="1:15" ht="56.25" customHeight="1">
      <c r="A56" s="420" t="s">
        <v>14</v>
      </c>
      <c r="B56" s="420" t="s">
        <v>80</v>
      </c>
      <c r="C56" s="420" t="s">
        <v>21</v>
      </c>
      <c r="D56" s="420" t="s">
        <v>1276</v>
      </c>
      <c r="E56" s="420" t="s">
        <v>14</v>
      </c>
      <c r="F56" s="420" t="s">
        <v>16</v>
      </c>
      <c r="G56" s="434" t="s">
        <v>17</v>
      </c>
      <c r="H56" s="434" t="s">
        <v>1445</v>
      </c>
      <c r="I56" s="435" t="s">
        <v>106</v>
      </c>
      <c r="J56" s="427">
        <f>SUM(J57:J97)</f>
        <v>1102255689</v>
      </c>
      <c r="K56" s="427">
        <f>SUM(K58:K97)</f>
        <v>82631</v>
      </c>
      <c r="L56" s="427">
        <f>SUM(L58:L97)</f>
        <v>1073803320</v>
      </c>
      <c r="M56" s="427">
        <f>SUM(M57:M97)</f>
        <v>1104041378</v>
      </c>
      <c r="N56" s="427">
        <f>SUM(N58:N97)</f>
        <v>-845481</v>
      </c>
      <c r="O56" s="427">
        <f>SUM(O58:O97)</f>
        <v>1074660897</v>
      </c>
    </row>
    <row r="57" spans="1:15" ht="66" customHeight="1">
      <c r="A57" s="424" t="s">
        <v>107</v>
      </c>
      <c r="B57" s="424" t="s">
        <v>80</v>
      </c>
      <c r="C57" s="424" t="s">
        <v>21</v>
      </c>
      <c r="D57" s="424" t="s">
        <v>1276</v>
      </c>
      <c r="E57" s="424" t="s">
        <v>1453</v>
      </c>
      <c r="F57" s="424" t="s">
        <v>28</v>
      </c>
      <c r="G57" s="436" t="s">
        <v>17</v>
      </c>
      <c r="H57" s="436" t="s">
        <v>1445</v>
      </c>
      <c r="I57" s="31" t="s">
        <v>112</v>
      </c>
      <c r="J57" s="433">
        <v>28535000</v>
      </c>
      <c r="K57" s="433"/>
      <c r="L57" s="459">
        <f>SUM(J57:K57)</f>
        <v>28535000</v>
      </c>
      <c r="M57" s="433">
        <v>28535000</v>
      </c>
      <c r="N57" s="427"/>
      <c r="O57" s="459">
        <f>SUM(M57:N57)</f>
        <v>28535000</v>
      </c>
    </row>
    <row r="58" spans="1:15" ht="81" customHeight="1">
      <c r="A58" s="424" t="s">
        <v>107</v>
      </c>
      <c r="B58" s="424" t="s">
        <v>80</v>
      </c>
      <c r="C58" s="424" t="s">
        <v>21</v>
      </c>
      <c r="D58" s="424" t="s">
        <v>1276</v>
      </c>
      <c r="E58" s="424" t="s">
        <v>113</v>
      </c>
      <c r="F58" s="424" t="s">
        <v>28</v>
      </c>
      <c r="G58" s="436" t="s">
        <v>1308</v>
      </c>
      <c r="H58" s="436" t="s">
        <v>1445</v>
      </c>
      <c r="I58" s="397" t="s">
        <v>116</v>
      </c>
      <c r="J58" s="459">
        <v>15000</v>
      </c>
      <c r="K58" s="459"/>
      <c r="L58" s="459">
        <f>SUM(J58:K58)</f>
        <v>15000</v>
      </c>
      <c r="M58" s="459">
        <v>15000</v>
      </c>
      <c r="N58" s="459"/>
      <c r="O58" s="459">
        <f>SUM(M58:N58)</f>
        <v>15000</v>
      </c>
    </row>
    <row r="59" spans="1:15" ht="67.5" customHeight="1">
      <c r="A59" s="424" t="s">
        <v>107</v>
      </c>
      <c r="B59" s="424" t="s">
        <v>80</v>
      </c>
      <c r="C59" s="424" t="s">
        <v>21</v>
      </c>
      <c r="D59" s="424" t="s">
        <v>1276</v>
      </c>
      <c r="E59" s="424" t="s">
        <v>113</v>
      </c>
      <c r="F59" s="424" t="s">
        <v>28</v>
      </c>
      <c r="G59" s="436" t="s">
        <v>1309</v>
      </c>
      <c r="H59" s="436" t="s">
        <v>1445</v>
      </c>
      <c r="I59" s="397" t="s">
        <v>1383</v>
      </c>
      <c r="J59" s="460">
        <v>562000</v>
      </c>
      <c r="K59" s="460"/>
      <c r="L59" s="459">
        <f>SUM(J59:K59)</f>
        <v>562000</v>
      </c>
      <c r="M59" s="460">
        <v>562000</v>
      </c>
      <c r="N59" s="461"/>
      <c r="O59" s="459">
        <f>SUM(M59:N59)</f>
        <v>562000</v>
      </c>
    </row>
    <row r="60" spans="1:15" ht="94.5" customHeight="1">
      <c r="A60" s="424" t="s">
        <v>107</v>
      </c>
      <c r="B60" s="424" t="s">
        <v>80</v>
      </c>
      <c r="C60" s="424" t="s">
        <v>21</v>
      </c>
      <c r="D60" s="424" t="s">
        <v>1276</v>
      </c>
      <c r="E60" s="424" t="s">
        <v>113</v>
      </c>
      <c r="F60" s="424" t="s">
        <v>28</v>
      </c>
      <c r="G60" s="436" t="s">
        <v>1310</v>
      </c>
      <c r="H60" s="436" t="s">
        <v>1445</v>
      </c>
      <c r="I60" s="397" t="s">
        <v>117</v>
      </c>
      <c r="J60" s="460">
        <v>64492000</v>
      </c>
      <c r="K60" s="460"/>
      <c r="L60" s="459">
        <f>SUM(J60:K60)</f>
        <v>64492000</v>
      </c>
      <c r="M60" s="460">
        <v>64492000</v>
      </c>
      <c r="N60" s="461"/>
      <c r="O60" s="459">
        <f>SUM(M60:N60)</f>
        <v>64492000</v>
      </c>
    </row>
    <row r="61" spans="1:15" ht="97.15" customHeight="1">
      <c r="A61" s="424" t="s">
        <v>103</v>
      </c>
      <c r="B61" s="424" t="s">
        <v>80</v>
      </c>
      <c r="C61" s="424" t="s">
        <v>21</v>
      </c>
      <c r="D61" s="424" t="s">
        <v>1276</v>
      </c>
      <c r="E61" s="424" t="s">
        <v>113</v>
      </c>
      <c r="F61" s="424" t="s">
        <v>28</v>
      </c>
      <c r="G61" s="436" t="s">
        <v>1326</v>
      </c>
      <c r="H61" s="436" t="s">
        <v>1445</v>
      </c>
      <c r="I61" s="397" t="s">
        <v>1384</v>
      </c>
      <c r="J61" s="460">
        <v>4407000</v>
      </c>
      <c r="K61" s="460"/>
      <c r="L61" s="459">
        <f t="shared" ref="L61:L66" si="28">SUM(J61:K61)</f>
        <v>4407000</v>
      </c>
      <c r="M61" s="460">
        <v>4407000</v>
      </c>
      <c r="N61" s="461"/>
      <c r="O61" s="459">
        <f t="shared" ref="O61:O64" si="29">SUM(M61:N61)</f>
        <v>4407000</v>
      </c>
    </row>
    <row r="62" spans="1:15" ht="66.75" customHeight="1">
      <c r="A62" s="424" t="s">
        <v>103</v>
      </c>
      <c r="B62" s="424" t="s">
        <v>80</v>
      </c>
      <c r="C62" s="424" t="s">
        <v>21</v>
      </c>
      <c r="D62" s="424" t="s">
        <v>1276</v>
      </c>
      <c r="E62" s="424" t="s">
        <v>113</v>
      </c>
      <c r="F62" s="424" t="s">
        <v>28</v>
      </c>
      <c r="G62" s="436" t="s">
        <v>1323</v>
      </c>
      <c r="H62" s="436" t="s">
        <v>1445</v>
      </c>
      <c r="I62" s="397" t="s">
        <v>131</v>
      </c>
      <c r="J62" s="460">
        <v>367331</v>
      </c>
      <c r="K62" s="460"/>
      <c r="L62" s="459">
        <f t="shared" si="28"/>
        <v>367331</v>
      </c>
      <c r="M62" s="460">
        <v>367331</v>
      </c>
      <c r="N62" s="461"/>
      <c r="O62" s="459">
        <f t="shared" si="29"/>
        <v>367331</v>
      </c>
    </row>
    <row r="63" spans="1:15" ht="0.6" hidden="1" customHeight="1">
      <c r="A63" s="424" t="s">
        <v>103</v>
      </c>
      <c r="B63" s="424" t="s">
        <v>80</v>
      </c>
      <c r="C63" s="424" t="s">
        <v>21</v>
      </c>
      <c r="D63" s="424" t="s">
        <v>1276</v>
      </c>
      <c r="E63" s="424" t="s">
        <v>113</v>
      </c>
      <c r="F63" s="424" t="s">
        <v>28</v>
      </c>
      <c r="G63" s="436" t="s">
        <v>17</v>
      </c>
      <c r="H63" s="436" t="s">
        <v>83</v>
      </c>
      <c r="I63" s="397" t="s">
        <v>127</v>
      </c>
      <c r="J63" s="460"/>
      <c r="K63" s="460"/>
      <c r="L63" s="459">
        <f t="shared" si="28"/>
        <v>0</v>
      </c>
      <c r="M63" s="460"/>
      <c r="N63" s="461"/>
      <c r="O63" s="459">
        <f t="shared" si="29"/>
        <v>0</v>
      </c>
    </row>
    <row r="64" spans="1:15" ht="94.9" customHeight="1">
      <c r="A64" s="424" t="s">
        <v>103</v>
      </c>
      <c r="B64" s="424" t="s">
        <v>80</v>
      </c>
      <c r="C64" s="424" t="s">
        <v>21</v>
      </c>
      <c r="D64" s="424" t="s">
        <v>1276</v>
      </c>
      <c r="E64" s="424" t="s">
        <v>113</v>
      </c>
      <c r="F64" s="424" t="s">
        <v>28</v>
      </c>
      <c r="G64" s="436" t="s">
        <v>1321</v>
      </c>
      <c r="H64" s="436" t="s">
        <v>1445</v>
      </c>
      <c r="I64" s="397" t="s">
        <v>129</v>
      </c>
      <c r="J64" s="459">
        <v>13049455</v>
      </c>
      <c r="K64" s="459"/>
      <c r="L64" s="459">
        <f t="shared" si="28"/>
        <v>13049455</v>
      </c>
      <c r="M64" s="459">
        <v>13049455</v>
      </c>
      <c r="N64" s="459"/>
      <c r="O64" s="459">
        <f t="shared" si="29"/>
        <v>13049455</v>
      </c>
    </row>
    <row r="65" spans="1:15" ht="33.6" customHeight="1">
      <c r="A65" s="424" t="s">
        <v>103</v>
      </c>
      <c r="B65" s="424" t="s">
        <v>80</v>
      </c>
      <c r="C65" s="424" t="s">
        <v>21</v>
      </c>
      <c r="D65" s="424" t="s">
        <v>1276</v>
      </c>
      <c r="E65" s="424" t="s">
        <v>113</v>
      </c>
      <c r="F65" s="424" t="s">
        <v>28</v>
      </c>
      <c r="G65" s="436" t="s">
        <v>1318</v>
      </c>
      <c r="H65" s="436" t="s">
        <v>1445</v>
      </c>
      <c r="I65" s="397" t="s">
        <v>126</v>
      </c>
      <c r="J65" s="459">
        <v>3020199</v>
      </c>
      <c r="K65" s="459"/>
      <c r="L65" s="459">
        <f t="shared" si="28"/>
        <v>3020199</v>
      </c>
      <c r="M65" s="459">
        <v>3020199</v>
      </c>
      <c r="N65" s="459"/>
      <c r="O65" s="459">
        <f t="shared" si="9"/>
        <v>3020199</v>
      </c>
    </row>
    <row r="66" spans="1:15" ht="66.599999999999994" customHeight="1">
      <c r="A66" s="424" t="s">
        <v>103</v>
      </c>
      <c r="B66" s="424" t="s">
        <v>80</v>
      </c>
      <c r="C66" s="424" t="s">
        <v>21</v>
      </c>
      <c r="D66" s="424" t="s">
        <v>1276</v>
      </c>
      <c r="E66" s="424" t="s">
        <v>113</v>
      </c>
      <c r="F66" s="424" t="s">
        <v>28</v>
      </c>
      <c r="G66" s="436" t="s">
        <v>1305</v>
      </c>
      <c r="H66" s="436" t="s">
        <v>1445</v>
      </c>
      <c r="I66" s="397" t="s">
        <v>114</v>
      </c>
      <c r="J66" s="459">
        <v>229264077</v>
      </c>
      <c r="K66" s="459"/>
      <c r="L66" s="459">
        <f t="shared" si="28"/>
        <v>229264077</v>
      </c>
      <c r="M66" s="459">
        <v>229264077</v>
      </c>
      <c r="N66" s="459"/>
      <c r="O66" s="459">
        <f t="shared" si="9"/>
        <v>229264077</v>
      </c>
    </row>
    <row r="67" spans="1:15" ht="51.6" customHeight="1">
      <c r="A67" s="424" t="s">
        <v>103</v>
      </c>
      <c r="B67" s="424" t="s">
        <v>80</v>
      </c>
      <c r="C67" s="424" t="s">
        <v>21</v>
      </c>
      <c r="D67" s="424" t="s">
        <v>1276</v>
      </c>
      <c r="E67" s="424" t="s">
        <v>113</v>
      </c>
      <c r="F67" s="424" t="s">
        <v>28</v>
      </c>
      <c r="G67" s="436" t="s">
        <v>1320</v>
      </c>
      <c r="H67" s="436" t="s">
        <v>1445</v>
      </c>
      <c r="I67" s="397" t="s">
        <v>128</v>
      </c>
      <c r="J67" s="459">
        <v>368757708</v>
      </c>
      <c r="K67" s="459"/>
      <c r="L67" s="459">
        <f t="shared" si="7"/>
        <v>368757708</v>
      </c>
      <c r="M67" s="459">
        <v>368757708</v>
      </c>
      <c r="N67" s="459"/>
      <c r="O67" s="459">
        <f t="shared" si="9"/>
        <v>368757708</v>
      </c>
    </row>
    <row r="68" spans="1:15" ht="53.25" customHeight="1">
      <c r="A68" s="424" t="s">
        <v>103</v>
      </c>
      <c r="B68" s="424" t="s">
        <v>80</v>
      </c>
      <c r="C68" s="424" t="s">
        <v>21</v>
      </c>
      <c r="D68" s="424" t="s">
        <v>1276</v>
      </c>
      <c r="E68" s="424" t="s">
        <v>113</v>
      </c>
      <c r="F68" s="424" t="s">
        <v>28</v>
      </c>
      <c r="G68" s="436" t="s">
        <v>1306</v>
      </c>
      <c r="H68" s="436" t="s">
        <v>1445</v>
      </c>
      <c r="I68" s="397" t="s">
        <v>115</v>
      </c>
      <c r="J68" s="459">
        <v>26158699</v>
      </c>
      <c r="K68" s="459"/>
      <c r="L68" s="459">
        <f t="shared" si="7"/>
        <v>26158699</v>
      </c>
      <c r="M68" s="459">
        <v>26158699</v>
      </c>
      <c r="N68" s="459"/>
      <c r="O68" s="459">
        <f t="shared" si="9"/>
        <v>26158699</v>
      </c>
    </row>
    <row r="69" spans="1:15" ht="65.45" customHeight="1">
      <c r="A69" s="424" t="s">
        <v>103</v>
      </c>
      <c r="B69" s="424" t="s">
        <v>80</v>
      </c>
      <c r="C69" s="424" t="s">
        <v>21</v>
      </c>
      <c r="D69" s="424" t="s">
        <v>1276</v>
      </c>
      <c r="E69" s="424" t="s">
        <v>113</v>
      </c>
      <c r="F69" s="424" t="s">
        <v>28</v>
      </c>
      <c r="G69" s="436" t="s">
        <v>1324</v>
      </c>
      <c r="H69" s="436" t="s">
        <v>1445</v>
      </c>
      <c r="I69" s="397" t="s">
        <v>133</v>
      </c>
      <c r="J69" s="459">
        <v>25316306</v>
      </c>
      <c r="K69" s="459"/>
      <c r="L69" s="459">
        <f t="shared" si="7"/>
        <v>25316306</v>
      </c>
      <c r="M69" s="459">
        <v>25316306</v>
      </c>
      <c r="N69" s="459"/>
      <c r="O69" s="459">
        <f t="shared" si="9"/>
        <v>25316306</v>
      </c>
    </row>
    <row r="70" spans="1:15" ht="33" customHeight="1">
      <c r="A70" s="424" t="s">
        <v>107</v>
      </c>
      <c r="B70" s="424" t="s">
        <v>80</v>
      </c>
      <c r="C70" s="424" t="s">
        <v>21</v>
      </c>
      <c r="D70" s="424" t="s">
        <v>1276</v>
      </c>
      <c r="E70" s="424" t="s">
        <v>113</v>
      </c>
      <c r="F70" s="424" t="s">
        <v>28</v>
      </c>
      <c r="G70" s="436" t="s">
        <v>1314</v>
      </c>
      <c r="H70" s="436" t="s">
        <v>1445</v>
      </c>
      <c r="I70" s="397" t="s">
        <v>122</v>
      </c>
      <c r="J70" s="459">
        <v>21266000</v>
      </c>
      <c r="K70" s="459"/>
      <c r="L70" s="459">
        <f t="shared" si="7"/>
        <v>21266000</v>
      </c>
      <c r="M70" s="459">
        <v>21266000</v>
      </c>
      <c r="N70" s="459"/>
      <c r="O70" s="459">
        <f t="shared" si="9"/>
        <v>21266000</v>
      </c>
    </row>
    <row r="71" spans="1:15" ht="165" customHeight="1">
      <c r="A71" s="424" t="s">
        <v>107</v>
      </c>
      <c r="B71" s="424" t="s">
        <v>80</v>
      </c>
      <c r="C71" s="424" t="s">
        <v>21</v>
      </c>
      <c r="D71" s="424" t="s">
        <v>1276</v>
      </c>
      <c r="E71" s="424" t="s">
        <v>113</v>
      </c>
      <c r="F71" s="424" t="s">
        <v>28</v>
      </c>
      <c r="G71" s="436" t="s">
        <v>1322</v>
      </c>
      <c r="H71" s="436" t="s">
        <v>1445</v>
      </c>
      <c r="I71" s="397" t="s">
        <v>130</v>
      </c>
      <c r="J71" s="459">
        <v>79748040</v>
      </c>
      <c r="K71" s="459"/>
      <c r="L71" s="459">
        <f t="shared" si="7"/>
        <v>79748040</v>
      </c>
      <c r="M71" s="459">
        <v>79748040</v>
      </c>
      <c r="N71" s="459"/>
      <c r="O71" s="459">
        <f t="shared" si="9"/>
        <v>79748040</v>
      </c>
    </row>
    <row r="72" spans="1:15" ht="54" customHeight="1">
      <c r="A72" s="424" t="s">
        <v>107</v>
      </c>
      <c r="B72" s="424" t="s">
        <v>80</v>
      </c>
      <c r="C72" s="424" t="s">
        <v>21</v>
      </c>
      <c r="D72" s="424" t="s">
        <v>1276</v>
      </c>
      <c r="E72" s="424" t="s">
        <v>113</v>
      </c>
      <c r="F72" s="424" t="s">
        <v>28</v>
      </c>
      <c r="G72" s="436" t="s">
        <v>1315</v>
      </c>
      <c r="H72" s="436" t="s">
        <v>1445</v>
      </c>
      <c r="I72" s="397" t="s">
        <v>123</v>
      </c>
      <c r="J72" s="459">
        <v>4559320</v>
      </c>
      <c r="K72" s="459"/>
      <c r="L72" s="459">
        <f t="shared" si="7"/>
        <v>4559320</v>
      </c>
      <c r="M72" s="459">
        <v>4559320</v>
      </c>
      <c r="N72" s="459"/>
      <c r="O72" s="459">
        <f t="shared" si="9"/>
        <v>4559320</v>
      </c>
    </row>
    <row r="73" spans="1:15" ht="70.5" customHeight="1">
      <c r="A73" s="424" t="s">
        <v>107</v>
      </c>
      <c r="B73" s="424" t="s">
        <v>80</v>
      </c>
      <c r="C73" s="424" t="s">
        <v>21</v>
      </c>
      <c r="D73" s="424" t="s">
        <v>1276</v>
      </c>
      <c r="E73" s="424" t="s">
        <v>113</v>
      </c>
      <c r="F73" s="424" t="s">
        <v>28</v>
      </c>
      <c r="G73" s="436" t="s">
        <v>1316</v>
      </c>
      <c r="H73" s="436" t="s">
        <v>1445</v>
      </c>
      <c r="I73" s="397" t="s">
        <v>124</v>
      </c>
      <c r="J73" s="459">
        <v>38302000</v>
      </c>
      <c r="K73" s="459"/>
      <c r="L73" s="459">
        <f t="shared" si="7"/>
        <v>38302000</v>
      </c>
      <c r="M73" s="459">
        <v>38302000</v>
      </c>
      <c r="N73" s="459"/>
      <c r="O73" s="459">
        <f t="shared" si="9"/>
        <v>38302000</v>
      </c>
    </row>
    <row r="74" spans="1:15" ht="80.45" customHeight="1">
      <c r="A74" s="424" t="s">
        <v>107</v>
      </c>
      <c r="B74" s="424" t="s">
        <v>80</v>
      </c>
      <c r="C74" s="424" t="s">
        <v>21</v>
      </c>
      <c r="D74" s="424" t="s">
        <v>1276</v>
      </c>
      <c r="E74" s="424" t="s">
        <v>113</v>
      </c>
      <c r="F74" s="424" t="s">
        <v>28</v>
      </c>
      <c r="G74" s="436" t="s">
        <v>1317</v>
      </c>
      <c r="H74" s="436" t="s">
        <v>1445</v>
      </c>
      <c r="I74" s="397" t="s">
        <v>125</v>
      </c>
      <c r="J74" s="459">
        <v>40144000</v>
      </c>
      <c r="K74" s="459"/>
      <c r="L74" s="459">
        <f t="shared" si="7"/>
        <v>40144000</v>
      </c>
      <c r="M74" s="459">
        <v>40144000</v>
      </c>
      <c r="N74" s="459"/>
      <c r="O74" s="459">
        <f t="shared" si="9"/>
        <v>40144000</v>
      </c>
    </row>
    <row r="75" spans="1:15" ht="112.15" customHeight="1">
      <c r="A75" s="424" t="s">
        <v>37</v>
      </c>
      <c r="B75" s="424" t="s">
        <v>80</v>
      </c>
      <c r="C75" s="424" t="s">
        <v>21</v>
      </c>
      <c r="D75" s="424" t="s">
        <v>1276</v>
      </c>
      <c r="E75" s="424" t="s">
        <v>113</v>
      </c>
      <c r="F75" s="424" t="s">
        <v>28</v>
      </c>
      <c r="G75" s="436" t="s">
        <v>1328</v>
      </c>
      <c r="H75" s="436" t="s">
        <v>1445</v>
      </c>
      <c r="I75" s="397" t="s">
        <v>136</v>
      </c>
      <c r="J75" s="459">
        <v>4590</v>
      </c>
      <c r="K75" s="459"/>
      <c r="L75" s="459">
        <f t="shared" si="7"/>
        <v>4590</v>
      </c>
      <c r="M75" s="459">
        <v>0</v>
      </c>
      <c r="N75" s="459"/>
      <c r="O75" s="459">
        <f t="shared" si="9"/>
        <v>0</v>
      </c>
    </row>
    <row r="76" spans="1:15" ht="38.25" customHeight="1">
      <c r="A76" s="424" t="s">
        <v>37</v>
      </c>
      <c r="B76" s="424" t="s">
        <v>80</v>
      </c>
      <c r="C76" s="424" t="s">
        <v>21</v>
      </c>
      <c r="D76" s="424" t="s">
        <v>1276</v>
      </c>
      <c r="E76" s="424" t="s">
        <v>113</v>
      </c>
      <c r="F76" s="424" t="s">
        <v>28</v>
      </c>
      <c r="G76" s="436" t="s">
        <v>1327</v>
      </c>
      <c r="H76" s="436" t="s">
        <v>1445</v>
      </c>
      <c r="I76" s="397" t="s">
        <v>135</v>
      </c>
      <c r="J76" s="459">
        <v>605770</v>
      </c>
      <c r="K76" s="459"/>
      <c r="L76" s="459">
        <f t="shared" si="7"/>
        <v>605770</v>
      </c>
      <c r="M76" s="459">
        <v>605770</v>
      </c>
      <c r="N76" s="459"/>
      <c r="O76" s="459">
        <f t="shared" si="9"/>
        <v>605770</v>
      </c>
    </row>
    <row r="77" spans="1:15" ht="66" customHeight="1">
      <c r="A77" s="439">
        <v>950</v>
      </c>
      <c r="B77" s="440" t="s">
        <v>80</v>
      </c>
      <c r="C77" s="440" t="s">
        <v>21</v>
      </c>
      <c r="D77" s="440" t="s">
        <v>1276</v>
      </c>
      <c r="E77" s="440" t="s">
        <v>113</v>
      </c>
      <c r="F77" s="440" t="s">
        <v>28</v>
      </c>
      <c r="G77" s="440" t="s">
        <v>1307</v>
      </c>
      <c r="H77" s="440" t="s">
        <v>1445</v>
      </c>
      <c r="I77" s="397" t="s">
        <v>118</v>
      </c>
      <c r="J77" s="459">
        <v>2378141</v>
      </c>
      <c r="K77" s="459"/>
      <c r="L77" s="459">
        <f t="shared" ref="L77:L123" si="30">SUM(J77:K77)</f>
        <v>2378141</v>
      </c>
      <c r="M77" s="459">
        <v>2378141</v>
      </c>
      <c r="N77" s="459"/>
      <c r="O77" s="459">
        <f t="shared" ref="O77:O123" si="31">SUM(M77:N77)</f>
        <v>2378141</v>
      </c>
    </row>
    <row r="78" spans="1:15" ht="67.5" customHeight="1">
      <c r="A78" s="424" t="s">
        <v>107</v>
      </c>
      <c r="B78" s="424" t="s">
        <v>80</v>
      </c>
      <c r="C78" s="424" t="s">
        <v>21</v>
      </c>
      <c r="D78" s="424" t="s">
        <v>1276</v>
      </c>
      <c r="E78" s="424" t="s">
        <v>113</v>
      </c>
      <c r="F78" s="424" t="s">
        <v>28</v>
      </c>
      <c r="G78" s="436" t="s">
        <v>1311</v>
      </c>
      <c r="H78" s="436" t="s">
        <v>1445</v>
      </c>
      <c r="I78" s="397" t="s">
        <v>119</v>
      </c>
      <c r="J78" s="459">
        <v>14624300</v>
      </c>
      <c r="K78" s="459"/>
      <c r="L78" s="459">
        <f t="shared" si="30"/>
        <v>14624300</v>
      </c>
      <c r="M78" s="459">
        <v>14624300</v>
      </c>
      <c r="N78" s="459"/>
      <c r="O78" s="459">
        <f t="shared" si="31"/>
        <v>14624300</v>
      </c>
    </row>
    <row r="79" spans="1:15" ht="49.5" customHeight="1">
      <c r="A79" s="424" t="s">
        <v>103</v>
      </c>
      <c r="B79" s="424" t="s">
        <v>80</v>
      </c>
      <c r="C79" s="424" t="s">
        <v>21</v>
      </c>
      <c r="D79" s="424" t="s">
        <v>1276</v>
      </c>
      <c r="E79" s="424" t="s">
        <v>113</v>
      </c>
      <c r="F79" s="424" t="s">
        <v>28</v>
      </c>
      <c r="G79" s="436" t="s">
        <v>1312</v>
      </c>
      <c r="H79" s="436" t="s">
        <v>1445</v>
      </c>
      <c r="I79" s="397" t="s">
        <v>120</v>
      </c>
      <c r="J79" s="459">
        <v>3966551</v>
      </c>
      <c r="K79" s="459"/>
      <c r="L79" s="459">
        <f t="shared" si="30"/>
        <v>3966551</v>
      </c>
      <c r="M79" s="459">
        <v>3966551</v>
      </c>
      <c r="N79" s="459"/>
      <c r="O79" s="459">
        <f t="shared" si="31"/>
        <v>3966551</v>
      </c>
    </row>
    <row r="80" spans="1:15" ht="78.75">
      <c r="A80" s="424" t="s">
        <v>37</v>
      </c>
      <c r="B80" s="424" t="s">
        <v>80</v>
      </c>
      <c r="C80" s="424" t="s">
        <v>21</v>
      </c>
      <c r="D80" s="424" t="s">
        <v>1276</v>
      </c>
      <c r="E80" s="424" t="s">
        <v>113</v>
      </c>
      <c r="F80" s="424" t="s">
        <v>28</v>
      </c>
      <c r="G80" s="436" t="s">
        <v>1313</v>
      </c>
      <c r="H80" s="436" t="s">
        <v>1445</v>
      </c>
      <c r="I80" s="397" t="s">
        <v>121</v>
      </c>
      <c r="J80" s="459">
        <v>234835</v>
      </c>
      <c r="K80" s="459"/>
      <c r="L80" s="459">
        <f t="shared" si="30"/>
        <v>234835</v>
      </c>
      <c r="M80" s="459">
        <v>234835</v>
      </c>
      <c r="N80" s="459"/>
      <c r="O80" s="459">
        <f t="shared" si="31"/>
        <v>234835</v>
      </c>
    </row>
    <row r="81" spans="1:15" ht="46.15" customHeight="1">
      <c r="A81" s="424" t="s">
        <v>103</v>
      </c>
      <c r="B81" s="424" t="s">
        <v>80</v>
      </c>
      <c r="C81" s="424" t="s">
        <v>21</v>
      </c>
      <c r="D81" s="424" t="s">
        <v>1276</v>
      </c>
      <c r="E81" s="424" t="s">
        <v>113</v>
      </c>
      <c r="F81" s="424" t="s">
        <v>28</v>
      </c>
      <c r="G81" s="436" t="s">
        <v>1325</v>
      </c>
      <c r="H81" s="436" t="s">
        <v>1445</v>
      </c>
      <c r="I81" s="397" t="s">
        <v>132</v>
      </c>
      <c r="J81" s="459">
        <v>20460</v>
      </c>
      <c r="K81" s="459"/>
      <c r="L81" s="459">
        <f t="shared" si="30"/>
        <v>20460</v>
      </c>
      <c r="M81" s="459">
        <v>20460</v>
      </c>
      <c r="N81" s="459"/>
      <c r="O81" s="459">
        <f t="shared" si="31"/>
        <v>20460</v>
      </c>
    </row>
    <row r="82" spans="1:15" ht="0.6" hidden="1" customHeight="1">
      <c r="A82" s="424" t="s">
        <v>107</v>
      </c>
      <c r="B82" s="424" t="s">
        <v>80</v>
      </c>
      <c r="C82" s="424" t="s">
        <v>21</v>
      </c>
      <c r="D82" s="424" t="s">
        <v>1276</v>
      </c>
      <c r="E82" s="424" t="s">
        <v>113</v>
      </c>
      <c r="F82" s="424" t="s">
        <v>28</v>
      </c>
      <c r="G82" s="436" t="s">
        <v>17</v>
      </c>
      <c r="H82" s="436" t="s">
        <v>83</v>
      </c>
      <c r="I82" s="397" t="s">
        <v>112</v>
      </c>
      <c r="J82" s="459"/>
      <c r="K82" s="459"/>
      <c r="L82" s="459">
        <f t="shared" si="30"/>
        <v>0</v>
      </c>
      <c r="M82" s="459"/>
      <c r="N82" s="459"/>
      <c r="O82" s="459">
        <f t="shared" si="31"/>
        <v>0</v>
      </c>
    </row>
    <row r="83" spans="1:15" ht="126">
      <c r="A83" s="24" t="s">
        <v>107</v>
      </c>
      <c r="B83" s="24" t="s">
        <v>80</v>
      </c>
      <c r="C83" s="24" t="s">
        <v>21</v>
      </c>
      <c r="D83" s="24" t="s">
        <v>1276</v>
      </c>
      <c r="E83" s="24" t="s">
        <v>113</v>
      </c>
      <c r="F83" s="24" t="s">
        <v>28</v>
      </c>
      <c r="G83" s="30" t="s">
        <v>1380</v>
      </c>
      <c r="H83" s="30" t="s">
        <v>1445</v>
      </c>
      <c r="I83" s="19" t="s">
        <v>1456</v>
      </c>
      <c r="J83" s="459">
        <v>782000</v>
      </c>
      <c r="K83" s="459"/>
      <c r="L83" s="459">
        <f t="shared" si="30"/>
        <v>782000</v>
      </c>
      <c r="M83" s="459">
        <v>782000</v>
      </c>
      <c r="N83" s="459"/>
      <c r="O83" s="459">
        <f t="shared" si="31"/>
        <v>782000</v>
      </c>
    </row>
    <row r="84" spans="1:15" ht="110.25">
      <c r="A84" s="24" t="s">
        <v>107</v>
      </c>
      <c r="B84" s="24" t="s">
        <v>80</v>
      </c>
      <c r="C84" s="24" t="s">
        <v>21</v>
      </c>
      <c r="D84" s="24" t="s">
        <v>1276</v>
      </c>
      <c r="E84" s="24" t="s">
        <v>113</v>
      </c>
      <c r="F84" s="24" t="s">
        <v>28</v>
      </c>
      <c r="G84" s="30" t="s">
        <v>1381</v>
      </c>
      <c r="H84" s="30" t="s">
        <v>1445</v>
      </c>
      <c r="I84" s="19" t="s">
        <v>1455</v>
      </c>
      <c r="J84" s="459">
        <v>22380</v>
      </c>
      <c r="K84" s="459"/>
      <c r="L84" s="459">
        <f t="shared" si="30"/>
        <v>22380</v>
      </c>
      <c r="M84" s="459">
        <v>22380</v>
      </c>
      <c r="N84" s="459"/>
      <c r="O84" s="459">
        <f t="shared" si="31"/>
        <v>22380</v>
      </c>
    </row>
    <row r="85" spans="1:15" ht="94.5">
      <c r="A85" s="424" t="s">
        <v>107</v>
      </c>
      <c r="B85" s="424" t="s">
        <v>80</v>
      </c>
      <c r="C85" s="424" t="s">
        <v>21</v>
      </c>
      <c r="D85" s="424" t="s">
        <v>1271</v>
      </c>
      <c r="E85" s="424" t="s">
        <v>1379</v>
      </c>
      <c r="F85" s="424" t="s">
        <v>28</v>
      </c>
      <c r="G85" s="436" t="s">
        <v>17</v>
      </c>
      <c r="H85" s="436" t="s">
        <v>1445</v>
      </c>
      <c r="I85" s="397" t="s">
        <v>174</v>
      </c>
      <c r="J85" s="459">
        <v>13000000</v>
      </c>
      <c r="K85" s="459"/>
      <c r="L85" s="459">
        <f t="shared" si="30"/>
        <v>13000000</v>
      </c>
      <c r="M85" s="459">
        <v>13000000</v>
      </c>
      <c r="N85" s="459"/>
      <c r="O85" s="459">
        <f t="shared" si="31"/>
        <v>13000000</v>
      </c>
    </row>
    <row r="86" spans="1:15" ht="63" hidden="1">
      <c r="A86" s="424" t="s">
        <v>85</v>
      </c>
      <c r="B86" s="424" t="s">
        <v>80</v>
      </c>
      <c r="C86" s="424" t="s">
        <v>21</v>
      </c>
      <c r="D86" s="424" t="s">
        <v>1271</v>
      </c>
      <c r="E86" s="424" t="s">
        <v>1274</v>
      </c>
      <c r="F86" s="424" t="s">
        <v>28</v>
      </c>
      <c r="G86" s="436" t="s">
        <v>17</v>
      </c>
      <c r="H86" s="436" t="s">
        <v>1445</v>
      </c>
      <c r="I86" s="397" t="s">
        <v>110</v>
      </c>
      <c r="J86" s="460">
        <v>817269</v>
      </c>
      <c r="K86" s="460">
        <v>-817269</v>
      </c>
      <c r="L86" s="459">
        <f t="shared" ref="L86:L91" si="32">SUM(J86:K86)</f>
        <v>0</v>
      </c>
      <c r="M86" s="460">
        <v>845481</v>
      </c>
      <c r="N86" s="460">
        <v>-845481</v>
      </c>
      <c r="O86" s="459">
        <f t="shared" ref="O86:O91" si="33">SUM(M86:N86)</f>
        <v>0</v>
      </c>
    </row>
    <row r="87" spans="1:15" ht="126">
      <c r="A87" s="24" t="s">
        <v>37</v>
      </c>
      <c r="B87" s="24" t="s">
        <v>80</v>
      </c>
      <c r="C87" s="24" t="s">
        <v>21</v>
      </c>
      <c r="D87" s="24" t="s">
        <v>1271</v>
      </c>
      <c r="E87" s="24" t="s">
        <v>46</v>
      </c>
      <c r="F87" s="24" t="s">
        <v>28</v>
      </c>
      <c r="G87" s="30" t="s">
        <v>17</v>
      </c>
      <c r="H87" s="30" t="s">
        <v>1445</v>
      </c>
      <c r="I87" s="19" t="s">
        <v>1283</v>
      </c>
      <c r="J87" s="460">
        <v>6415</v>
      </c>
      <c r="K87" s="460"/>
      <c r="L87" s="459">
        <f t="shared" si="32"/>
        <v>6415</v>
      </c>
      <c r="M87" s="460">
        <v>6740</v>
      </c>
      <c r="N87" s="460"/>
      <c r="O87" s="459">
        <f t="shared" si="33"/>
        <v>6740</v>
      </c>
    </row>
    <row r="88" spans="1:15" ht="119.25" customHeight="1">
      <c r="A88" s="424" t="s">
        <v>107</v>
      </c>
      <c r="B88" s="424" t="s">
        <v>80</v>
      </c>
      <c r="C88" s="424" t="s">
        <v>21</v>
      </c>
      <c r="D88" s="424" t="s">
        <v>1271</v>
      </c>
      <c r="E88" s="424" t="s">
        <v>1280</v>
      </c>
      <c r="F88" s="424" t="s">
        <v>28</v>
      </c>
      <c r="G88" s="436" t="s">
        <v>17</v>
      </c>
      <c r="H88" s="436" t="s">
        <v>1445</v>
      </c>
      <c r="I88" s="397" t="s">
        <v>141</v>
      </c>
      <c r="J88" s="459">
        <v>1649100</v>
      </c>
      <c r="K88" s="459"/>
      <c r="L88" s="459">
        <f t="shared" si="32"/>
        <v>1649100</v>
      </c>
      <c r="M88" s="459">
        <v>1731600</v>
      </c>
      <c r="N88" s="459"/>
      <c r="O88" s="459">
        <f t="shared" si="33"/>
        <v>1731600</v>
      </c>
    </row>
    <row r="89" spans="1:15" ht="117.75" customHeight="1">
      <c r="A89" s="424" t="s">
        <v>107</v>
      </c>
      <c r="B89" s="424" t="s">
        <v>80</v>
      </c>
      <c r="C89" s="424" t="s">
        <v>21</v>
      </c>
      <c r="D89" s="424" t="s">
        <v>1271</v>
      </c>
      <c r="E89" s="424" t="s">
        <v>1273</v>
      </c>
      <c r="F89" s="424" t="s">
        <v>28</v>
      </c>
      <c r="G89" s="436" t="s">
        <v>17</v>
      </c>
      <c r="H89" s="436" t="s">
        <v>1445</v>
      </c>
      <c r="I89" s="397" t="s">
        <v>109</v>
      </c>
      <c r="J89" s="460">
        <v>5923100</v>
      </c>
      <c r="K89" s="460"/>
      <c r="L89" s="459">
        <f t="shared" si="32"/>
        <v>5923100</v>
      </c>
      <c r="M89" s="460">
        <v>6189600</v>
      </c>
      <c r="N89" s="460"/>
      <c r="O89" s="459">
        <f t="shared" si="33"/>
        <v>6189600</v>
      </c>
    </row>
    <row r="90" spans="1:15" ht="63">
      <c r="A90" s="424" t="s">
        <v>107</v>
      </c>
      <c r="B90" s="424" t="s">
        <v>80</v>
      </c>
      <c r="C90" s="424" t="s">
        <v>21</v>
      </c>
      <c r="D90" s="424" t="s">
        <v>1271</v>
      </c>
      <c r="E90" s="424" t="s">
        <v>1272</v>
      </c>
      <c r="F90" s="424" t="s">
        <v>28</v>
      </c>
      <c r="G90" s="436" t="s">
        <v>17</v>
      </c>
      <c r="H90" s="436" t="s">
        <v>1445</v>
      </c>
      <c r="I90" s="397" t="s">
        <v>108</v>
      </c>
      <c r="J90" s="460">
        <v>39079000</v>
      </c>
      <c r="K90" s="460"/>
      <c r="L90" s="459">
        <f t="shared" si="32"/>
        <v>39079000</v>
      </c>
      <c r="M90" s="460">
        <v>39079000</v>
      </c>
      <c r="N90" s="460"/>
      <c r="O90" s="459">
        <f t="shared" si="33"/>
        <v>39079000</v>
      </c>
    </row>
    <row r="91" spans="1:15" ht="86.25" customHeight="1">
      <c r="A91" s="424" t="s">
        <v>103</v>
      </c>
      <c r="B91" s="424" t="s">
        <v>80</v>
      </c>
      <c r="C91" s="424" t="s">
        <v>21</v>
      </c>
      <c r="D91" s="424" t="s">
        <v>1271</v>
      </c>
      <c r="E91" s="424" t="s">
        <v>1275</v>
      </c>
      <c r="F91" s="424" t="s">
        <v>28</v>
      </c>
      <c r="G91" s="436" t="s">
        <v>17</v>
      </c>
      <c r="H91" s="436" t="s">
        <v>1445</v>
      </c>
      <c r="I91" s="397" t="s">
        <v>111</v>
      </c>
      <c r="J91" s="459">
        <v>796000</v>
      </c>
      <c r="K91" s="459"/>
      <c r="L91" s="459">
        <f t="shared" si="32"/>
        <v>796000</v>
      </c>
      <c r="M91" s="459">
        <v>547000</v>
      </c>
      <c r="N91" s="459"/>
      <c r="O91" s="459">
        <f t="shared" si="33"/>
        <v>547000</v>
      </c>
    </row>
    <row r="92" spans="1:15" ht="144" customHeight="1">
      <c r="A92" s="424" t="s">
        <v>107</v>
      </c>
      <c r="B92" s="424" t="s">
        <v>80</v>
      </c>
      <c r="C92" s="424" t="s">
        <v>21</v>
      </c>
      <c r="D92" s="424" t="s">
        <v>1271</v>
      </c>
      <c r="E92" s="424" t="s">
        <v>1277</v>
      </c>
      <c r="F92" s="424" t="s">
        <v>28</v>
      </c>
      <c r="G92" s="436" t="s">
        <v>17</v>
      </c>
      <c r="H92" s="436" t="s">
        <v>1445</v>
      </c>
      <c r="I92" s="397" t="s">
        <v>137</v>
      </c>
      <c r="J92" s="459">
        <v>323100</v>
      </c>
      <c r="K92" s="459"/>
      <c r="L92" s="459">
        <f t="shared" si="30"/>
        <v>323100</v>
      </c>
      <c r="M92" s="459">
        <v>335900</v>
      </c>
      <c r="N92" s="459"/>
      <c r="O92" s="459">
        <f t="shared" si="31"/>
        <v>335900</v>
      </c>
    </row>
    <row r="93" spans="1:15" ht="130.15" customHeight="1">
      <c r="A93" s="424" t="s">
        <v>107</v>
      </c>
      <c r="B93" s="424" t="s">
        <v>80</v>
      </c>
      <c r="C93" s="424" t="s">
        <v>21</v>
      </c>
      <c r="D93" s="424" t="s">
        <v>1271</v>
      </c>
      <c r="E93" s="424" t="s">
        <v>1279</v>
      </c>
      <c r="F93" s="424" t="s">
        <v>28</v>
      </c>
      <c r="G93" s="436" t="s">
        <v>17</v>
      </c>
      <c r="H93" s="436" t="s">
        <v>1445</v>
      </c>
      <c r="I93" s="397" t="s">
        <v>139</v>
      </c>
      <c r="J93" s="459">
        <v>18213000</v>
      </c>
      <c r="K93" s="459"/>
      <c r="L93" s="459">
        <f t="shared" si="30"/>
        <v>18213000</v>
      </c>
      <c r="M93" s="459">
        <v>18942000</v>
      </c>
      <c r="N93" s="459"/>
      <c r="O93" s="459">
        <f t="shared" si="31"/>
        <v>18942000</v>
      </c>
    </row>
    <row r="94" spans="1:15" ht="117.6" customHeight="1">
      <c r="A94" s="424" t="s">
        <v>107</v>
      </c>
      <c r="B94" s="424" t="s">
        <v>80</v>
      </c>
      <c r="C94" s="424" t="s">
        <v>21</v>
      </c>
      <c r="D94" s="424" t="s">
        <v>1271</v>
      </c>
      <c r="E94" s="424" t="s">
        <v>1279</v>
      </c>
      <c r="F94" s="424" t="s">
        <v>28</v>
      </c>
      <c r="G94" s="436" t="s">
        <v>17</v>
      </c>
      <c r="H94" s="436" t="s">
        <v>1445</v>
      </c>
      <c r="I94" s="397" t="s">
        <v>140</v>
      </c>
      <c r="J94" s="459">
        <v>2248000</v>
      </c>
      <c r="K94" s="459"/>
      <c r="L94" s="459">
        <f t="shared" si="30"/>
        <v>2248000</v>
      </c>
      <c r="M94" s="459">
        <v>2338000</v>
      </c>
      <c r="N94" s="459"/>
      <c r="O94" s="459">
        <f t="shared" si="31"/>
        <v>2338000</v>
      </c>
    </row>
    <row r="95" spans="1:15" ht="86.25" customHeight="1">
      <c r="A95" s="32" t="s">
        <v>107</v>
      </c>
      <c r="B95" s="32" t="s">
        <v>80</v>
      </c>
      <c r="C95" s="32" t="s">
        <v>21</v>
      </c>
      <c r="D95" s="32" t="s">
        <v>1271</v>
      </c>
      <c r="E95" s="32" t="s">
        <v>1278</v>
      </c>
      <c r="F95" s="32" t="s">
        <v>28</v>
      </c>
      <c r="G95" s="40" t="s">
        <v>17</v>
      </c>
      <c r="H95" s="40" t="s">
        <v>1445</v>
      </c>
      <c r="I95" s="34" t="s">
        <v>138</v>
      </c>
      <c r="J95" s="459">
        <v>1287092</v>
      </c>
      <c r="K95" s="459"/>
      <c r="L95" s="459">
        <f t="shared" si="30"/>
        <v>1287092</v>
      </c>
      <c r="M95" s="459">
        <v>1287092</v>
      </c>
      <c r="N95" s="459"/>
      <c r="O95" s="459">
        <f t="shared" si="31"/>
        <v>1287092</v>
      </c>
    </row>
    <row r="96" spans="1:15" ht="97.9" customHeight="1">
      <c r="A96" s="32" t="s">
        <v>107</v>
      </c>
      <c r="B96" s="32" t="s">
        <v>80</v>
      </c>
      <c r="C96" s="32" t="s">
        <v>21</v>
      </c>
      <c r="D96" s="32" t="s">
        <v>1271</v>
      </c>
      <c r="E96" s="32" t="s">
        <v>1451</v>
      </c>
      <c r="F96" s="32" t="s">
        <v>28</v>
      </c>
      <c r="G96" s="40" t="s">
        <v>17</v>
      </c>
      <c r="H96" s="40" t="s">
        <v>1445</v>
      </c>
      <c r="I96" s="34" t="s">
        <v>1452</v>
      </c>
      <c r="J96" s="459">
        <v>44659200</v>
      </c>
      <c r="K96" s="459"/>
      <c r="L96" s="459">
        <f t="shared" si="30"/>
        <v>44659200</v>
      </c>
      <c r="M96" s="459">
        <v>46577500</v>
      </c>
      <c r="N96" s="459"/>
      <c r="O96" s="459">
        <f t="shared" si="31"/>
        <v>46577500</v>
      </c>
    </row>
    <row r="97" spans="1:15" s="464" customFormat="1" ht="78.75">
      <c r="A97" s="465" t="s">
        <v>37</v>
      </c>
      <c r="B97" s="465" t="s">
        <v>80</v>
      </c>
      <c r="C97" s="465" t="s">
        <v>21</v>
      </c>
      <c r="D97" s="465" t="s">
        <v>1271</v>
      </c>
      <c r="E97" s="465" t="s">
        <v>1382</v>
      </c>
      <c r="F97" s="465" t="s">
        <v>28</v>
      </c>
      <c r="G97" s="466" t="s">
        <v>17</v>
      </c>
      <c r="H97" s="466" t="s">
        <v>1445</v>
      </c>
      <c r="I97" s="467" t="s">
        <v>1409</v>
      </c>
      <c r="J97" s="459">
        <v>3651251</v>
      </c>
      <c r="K97" s="459">
        <v>899900</v>
      </c>
      <c r="L97" s="459">
        <f t="shared" si="30"/>
        <v>4551151</v>
      </c>
      <c r="M97" s="459">
        <v>2562893</v>
      </c>
      <c r="N97" s="459"/>
      <c r="O97" s="459">
        <f t="shared" si="31"/>
        <v>2562893</v>
      </c>
    </row>
    <row r="98" spans="1:15" ht="24.75" customHeight="1">
      <c r="A98" s="420" t="s">
        <v>14</v>
      </c>
      <c r="B98" s="420" t="s">
        <v>80</v>
      </c>
      <c r="C98" s="420" t="s">
        <v>21</v>
      </c>
      <c r="D98" s="420" t="s">
        <v>32</v>
      </c>
      <c r="E98" s="420" t="s">
        <v>14</v>
      </c>
      <c r="F98" s="420" t="s">
        <v>16</v>
      </c>
      <c r="G98" s="434" t="s">
        <v>17</v>
      </c>
      <c r="H98" s="434" t="s">
        <v>1445</v>
      </c>
      <c r="I98" s="435" t="s">
        <v>142</v>
      </c>
      <c r="J98" s="462">
        <f>J99+J113</f>
        <v>16734176</v>
      </c>
      <c r="K98" s="462">
        <f>SUM(K99:K122)</f>
        <v>114522567</v>
      </c>
      <c r="L98" s="462">
        <f>J98+K98</f>
        <v>131256743</v>
      </c>
      <c r="M98" s="462">
        <f t="shared" ref="M98" si="34">M99+M113</f>
        <v>16734176</v>
      </c>
      <c r="N98" s="462">
        <f>SUM(N99:N122)</f>
        <v>114653618</v>
      </c>
      <c r="O98" s="462">
        <f>M98+N98</f>
        <v>131387794</v>
      </c>
    </row>
    <row r="99" spans="1:15" ht="111.75" customHeight="1">
      <c r="A99" s="424" t="s">
        <v>85</v>
      </c>
      <c r="B99" s="424" t="s">
        <v>95</v>
      </c>
      <c r="C99" s="424" t="s">
        <v>21</v>
      </c>
      <c r="D99" s="424" t="s">
        <v>32</v>
      </c>
      <c r="E99" s="424" t="s">
        <v>144</v>
      </c>
      <c r="F99" s="424" t="s">
        <v>28</v>
      </c>
      <c r="G99" s="436" t="s">
        <v>145</v>
      </c>
      <c r="H99" s="436" t="s">
        <v>1445</v>
      </c>
      <c r="I99" s="397" t="s">
        <v>1598</v>
      </c>
      <c r="J99" s="463">
        <v>16681081</v>
      </c>
      <c r="K99" s="463"/>
      <c r="L99" s="459">
        <f t="shared" si="30"/>
        <v>16681081</v>
      </c>
      <c r="M99" s="459">
        <v>16681081</v>
      </c>
      <c r="N99" s="459"/>
      <c r="O99" s="459">
        <f t="shared" si="31"/>
        <v>16681081</v>
      </c>
    </row>
    <row r="100" spans="1:15" ht="111.75" customHeight="1">
      <c r="A100" s="424" t="s">
        <v>45</v>
      </c>
      <c r="B100" s="424" t="s">
        <v>80</v>
      </c>
      <c r="C100" s="424" t="s">
        <v>21</v>
      </c>
      <c r="D100" s="424" t="s">
        <v>32</v>
      </c>
      <c r="E100" s="424" t="s">
        <v>144</v>
      </c>
      <c r="F100" s="424" t="s">
        <v>28</v>
      </c>
      <c r="G100" s="436" t="s">
        <v>146</v>
      </c>
      <c r="H100" s="436" t="s">
        <v>1445</v>
      </c>
      <c r="I100" s="397" t="s">
        <v>147</v>
      </c>
      <c r="J100" s="463"/>
      <c r="K100" s="463">
        <v>150000</v>
      </c>
      <c r="L100" s="459">
        <f t="shared" si="30"/>
        <v>150000</v>
      </c>
      <c r="M100" s="459"/>
      <c r="N100" s="459">
        <v>150000</v>
      </c>
      <c r="O100" s="459">
        <f t="shared" si="31"/>
        <v>150000</v>
      </c>
    </row>
    <row r="101" spans="1:15" ht="81.75" customHeight="1">
      <c r="A101" s="424" t="s">
        <v>37</v>
      </c>
      <c r="B101" s="424" t="s">
        <v>80</v>
      </c>
      <c r="C101" s="424" t="s">
        <v>21</v>
      </c>
      <c r="D101" s="424" t="s">
        <v>1281</v>
      </c>
      <c r="E101" s="424" t="s">
        <v>144</v>
      </c>
      <c r="F101" s="424" t="s">
        <v>28</v>
      </c>
      <c r="G101" s="436" t="s">
        <v>150</v>
      </c>
      <c r="H101" s="436" t="s">
        <v>1445</v>
      </c>
      <c r="I101" s="397" t="s">
        <v>151</v>
      </c>
      <c r="J101" s="463"/>
      <c r="K101" s="463">
        <v>23500000</v>
      </c>
      <c r="L101" s="459">
        <f t="shared" si="30"/>
        <v>23500000</v>
      </c>
      <c r="M101" s="459"/>
      <c r="N101" s="459">
        <v>24500000</v>
      </c>
      <c r="O101" s="459">
        <f t="shared" si="31"/>
        <v>24500000</v>
      </c>
    </row>
    <row r="102" spans="1:15" ht="80.25" customHeight="1">
      <c r="A102" s="424" t="s">
        <v>37</v>
      </c>
      <c r="B102" s="424" t="s">
        <v>80</v>
      </c>
      <c r="C102" s="424" t="s">
        <v>21</v>
      </c>
      <c r="D102" s="424" t="s">
        <v>1281</v>
      </c>
      <c r="E102" s="424" t="s">
        <v>144</v>
      </c>
      <c r="F102" s="424" t="s">
        <v>28</v>
      </c>
      <c r="G102" s="436" t="s">
        <v>152</v>
      </c>
      <c r="H102" s="436" t="s">
        <v>1445</v>
      </c>
      <c r="I102" s="397" t="s">
        <v>153</v>
      </c>
      <c r="J102" s="463"/>
      <c r="K102" s="463">
        <v>1265000</v>
      </c>
      <c r="L102" s="459">
        <f t="shared" si="30"/>
        <v>1265000</v>
      </c>
      <c r="M102" s="459"/>
      <c r="N102" s="459">
        <v>1265000</v>
      </c>
      <c r="O102" s="459">
        <f t="shared" si="31"/>
        <v>1265000</v>
      </c>
    </row>
    <row r="103" spans="1:15" ht="64.5" customHeight="1">
      <c r="A103" s="424" t="s">
        <v>37</v>
      </c>
      <c r="B103" s="424" t="s">
        <v>80</v>
      </c>
      <c r="C103" s="424" t="s">
        <v>21</v>
      </c>
      <c r="D103" s="424" t="s">
        <v>1281</v>
      </c>
      <c r="E103" s="424" t="s">
        <v>144</v>
      </c>
      <c r="F103" s="424" t="s">
        <v>28</v>
      </c>
      <c r="G103" s="436" t="s">
        <v>154</v>
      </c>
      <c r="H103" s="436" t="s">
        <v>1445</v>
      </c>
      <c r="I103" s="397" t="s">
        <v>1751</v>
      </c>
      <c r="J103" s="463"/>
      <c r="K103" s="463">
        <v>6000000</v>
      </c>
      <c r="L103" s="459">
        <f t="shared" si="30"/>
        <v>6000000</v>
      </c>
      <c r="M103" s="459"/>
      <c r="N103" s="459">
        <v>6600000</v>
      </c>
      <c r="O103" s="459">
        <f t="shared" si="31"/>
        <v>6600000</v>
      </c>
    </row>
    <row r="104" spans="1:15" ht="78.75" customHeight="1">
      <c r="A104" s="424" t="s">
        <v>37</v>
      </c>
      <c r="B104" s="424" t="s">
        <v>80</v>
      </c>
      <c r="C104" s="424" t="s">
        <v>21</v>
      </c>
      <c r="D104" s="424" t="s">
        <v>1281</v>
      </c>
      <c r="E104" s="424" t="s">
        <v>144</v>
      </c>
      <c r="F104" s="424" t="s">
        <v>28</v>
      </c>
      <c r="G104" s="436" t="s">
        <v>155</v>
      </c>
      <c r="H104" s="436" t="s">
        <v>1445</v>
      </c>
      <c r="I104" s="397" t="s">
        <v>1752</v>
      </c>
      <c r="J104" s="463"/>
      <c r="K104" s="463">
        <v>600000</v>
      </c>
      <c r="L104" s="459">
        <f t="shared" si="30"/>
        <v>600000</v>
      </c>
      <c r="M104" s="459"/>
      <c r="N104" s="459">
        <v>600000</v>
      </c>
      <c r="O104" s="459">
        <f t="shared" si="31"/>
        <v>600000</v>
      </c>
    </row>
    <row r="105" spans="1:15" ht="52.5" customHeight="1">
      <c r="A105" s="424" t="s">
        <v>100</v>
      </c>
      <c r="B105" s="424" t="s">
        <v>80</v>
      </c>
      <c r="C105" s="424" t="s">
        <v>21</v>
      </c>
      <c r="D105" s="424" t="s">
        <v>1281</v>
      </c>
      <c r="E105" s="424" t="s">
        <v>144</v>
      </c>
      <c r="F105" s="424" t="s">
        <v>28</v>
      </c>
      <c r="G105" s="436" t="s">
        <v>1779</v>
      </c>
      <c r="H105" s="436" t="s">
        <v>1445</v>
      </c>
      <c r="I105" s="397" t="s">
        <v>1780</v>
      </c>
      <c r="J105" s="463"/>
      <c r="K105" s="463">
        <v>1000000</v>
      </c>
      <c r="L105" s="459">
        <f t="shared" si="30"/>
        <v>1000000</v>
      </c>
      <c r="M105" s="459"/>
      <c r="N105" s="459">
        <v>1000000</v>
      </c>
      <c r="O105" s="459">
        <f t="shared" si="31"/>
        <v>1000000</v>
      </c>
    </row>
    <row r="106" spans="1:15" ht="52.5" customHeight="1">
      <c r="A106" s="424" t="s">
        <v>37</v>
      </c>
      <c r="B106" s="424" t="s">
        <v>80</v>
      </c>
      <c r="C106" s="424" t="s">
        <v>21</v>
      </c>
      <c r="D106" s="424" t="s">
        <v>1281</v>
      </c>
      <c r="E106" s="424" t="s">
        <v>144</v>
      </c>
      <c r="F106" s="424" t="s">
        <v>28</v>
      </c>
      <c r="G106" s="436" t="s">
        <v>156</v>
      </c>
      <c r="H106" s="436" t="s">
        <v>1445</v>
      </c>
      <c r="I106" s="397" t="s">
        <v>157</v>
      </c>
      <c r="J106" s="463"/>
      <c r="K106" s="463">
        <v>12840000</v>
      </c>
      <c r="L106" s="459">
        <f t="shared" si="30"/>
        <v>12840000</v>
      </c>
      <c r="M106" s="459"/>
      <c r="N106" s="459">
        <v>13738800</v>
      </c>
      <c r="O106" s="459">
        <f t="shared" si="31"/>
        <v>13738800</v>
      </c>
    </row>
    <row r="107" spans="1:15" ht="69.75" customHeight="1">
      <c r="A107" s="424" t="s">
        <v>37</v>
      </c>
      <c r="B107" s="424" t="s">
        <v>80</v>
      </c>
      <c r="C107" s="424" t="s">
        <v>21</v>
      </c>
      <c r="D107" s="424" t="s">
        <v>1281</v>
      </c>
      <c r="E107" s="424" t="s">
        <v>144</v>
      </c>
      <c r="F107" s="424" t="s">
        <v>28</v>
      </c>
      <c r="G107" s="436" t="s">
        <v>158</v>
      </c>
      <c r="H107" s="436" t="s">
        <v>1445</v>
      </c>
      <c r="I107" s="397" t="s">
        <v>159</v>
      </c>
      <c r="J107" s="463"/>
      <c r="K107" s="463">
        <v>2000000</v>
      </c>
      <c r="L107" s="459">
        <f t="shared" si="30"/>
        <v>2000000</v>
      </c>
      <c r="M107" s="459"/>
      <c r="N107" s="459">
        <v>2000000</v>
      </c>
      <c r="O107" s="459">
        <f t="shared" si="31"/>
        <v>2000000</v>
      </c>
    </row>
    <row r="108" spans="1:15" ht="69.75" customHeight="1">
      <c r="A108" s="424" t="s">
        <v>37</v>
      </c>
      <c r="B108" s="424" t="s">
        <v>80</v>
      </c>
      <c r="C108" s="424" t="s">
        <v>21</v>
      </c>
      <c r="D108" s="424" t="s">
        <v>1281</v>
      </c>
      <c r="E108" s="424" t="s">
        <v>144</v>
      </c>
      <c r="F108" s="424" t="s">
        <v>28</v>
      </c>
      <c r="G108" s="436" t="s">
        <v>160</v>
      </c>
      <c r="H108" s="436" t="s">
        <v>1445</v>
      </c>
      <c r="I108" s="397" t="s">
        <v>1753</v>
      </c>
      <c r="J108" s="463"/>
      <c r="K108" s="463">
        <v>7235000</v>
      </c>
      <c r="L108" s="459">
        <f t="shared" si="30"/>
        <v>7235000</v>
      </c>
      <c r="M108" s="459"/>
      <c r="N108" s="459">
        <v>7235000</v>
      </c>
      <c r="O108" s="459">
        <f t="shared" si="31"/>
        <v>7235000</v>
      </c>
    </row>
    <row r="109" spans="1:15" ht="48" customHeight="1">
      <c r="A109" s="424" t="s">
        <v>37</v>
      </c>
      <c r="B109" s="424" t="s">
        <v>80</v>
      </c>
      <c r="C109" s="424" t="s">
        <v>21</v>
      </c>
      <c r="D109" s="424" t="s">
        <v>1281</v>
      </c>
      <c r="E109" s="424" t="s">
        <v>144</v>
      </c>
      <c r="F109" s="424" t="s">
        <v>28</v>
      </c>
      <c r="G109" s="436" t="s">
        <v>161</v>
      </c>
      <c r="H109" s="436" t="s">
        <v>1445</v>
      </c>
      <c r="I109" s="397" t="s">
        <v>1754</v>
      </c>
      <c r="J109" s="463"/>
      <c r="K109" s="463">
        <v>3966767</v>
      </c>
      <c r="L109" s="459">
        <f t="shared" si="30"/>
        <v>3966767</v>
      </c>
      <c r="M109" s="459"/>
      <c r="N109" s="459">
        <v>4799018</v>
      </c>
      <c r="O109" s="459">
        <f t="shared" si="31"/>
        <v>4799018</v>
      </c>
    </row>
    <row r="110" spans="1:15" ht="99.75" customHeight="1">
      <c r="A110" s="424" t="s">
        <v>45</v>
      </c>
      <c r="B110" s="424" t="s">
        <v>80</v>
      </c>
      <c r="C110" s="424" t="s">
        <v>21</v>
      </c>
      <c r="D110" s="424" t="s">
        <v>1281</v>
      </c>
      <c r="E110" s="424" t="s">
        <v>144</v>
      </c>
      <c r="F110" s="424" t="s">
        <v>28</v>
      </c>
      <c r="G110" s="436" t="s">
        <v>162</v>
      </c>
      <c r="H110" s="436" t="s">
        <v>1445</v>
      </c>
      <c r="I110" s="397" t="s">
        <v>163</v>
      </c>
      <c r="J110" s="463"/>
      <c r="K110" s="463">
        <v>250000</v>
      </c>
      <c r="L110" s="459">
        <f t="shared" si="30"/>
        <v>250000</v>
      </c>
      <c r="M110" s="459"/>
      <c r="N110" s="459">
        <v>250000</v>
      </c>
      <c r="O110" s="459">
        <f t="shared" si="31"/>
        <v>250000</v>
      </c>
    </row>
    <row r="111" spans="1:15" ht="48" customHeight="1">
      <c r="A111" s="424" t="s">
        <v>37</v>
      </c>
      <c r="B111" s="424" t="s">
        <v>80</v>
      </c>
      <c r="C111" s="424" t="s">
        <v>21</v>
      </c>
      <c r="D111" s="424" t="s">
        <v>1281</v>
      </c>
      <c r="E111" s="424" t="s">
        <v>144</v>
      </c>
      <c r="F111" s="424" t="s">
        <v>28</v>
      </c>
      <c r="G111" s="436" t="s">
        <v>164</v>
      </c>
      <c r="H111" s="436" t="s">
        <v>1445</v>
      </c>
      <c r="I111" s="397" t="s">
        <v>1755</v>
      </c>
      <c r="J111" s="463"/>
      <c r="K111" s="463">
        <v>800000</v>
      </c>
      <c r="L111" s="459">
        <f t="shared" si="30"/>
        <v>800000</v>
      </c>
      <c r="M111" s="459"/>
      <c r="N111" s="459">
        <v>800000</v>
      </c>
      <c r="O111" s="459">
        <f t="shared" si="31"/>
        <v>800000</v>
      </c>
    </row>
    <row r="112" spans="1:15" ht="81" customHeight="1">
      <c r="A112" s="424" t="s">
        <v>37</v>
      </c>
      <c r="B112" s="424" t="s">
        <v>80</v>
      </c>
      <c r="C112" s="424" t="s">
        <v>21</v>
      </c>
      <c r="D112" s="424" t="s">
        <v>1281</v>
      </c>
      <c r="E112" s="424" t="s">
        <v>144</v>
      </c>
      <c r="F112" s="424" t="s">
        <v>28</v>
      </c>
      <c r="G112" s="436" t="s">
        <v>1756</v>
      </c>
      <c r="H112" s="436" t="s">
        <v>1445</v>
      </c>
      <c r="I112" s="397" t="s">
        <v>1757</v>
      </c>
      <c r="J112" s="463"/>
      <c r="K112" s="463">
        <v>1500000</v>
      </c>
      <c r="L112" s="459">
        <f t="shared" si="30"/>
        <v>1500000</v>
      </c>
      <c r="M112" s="459"/>
      <c r="N112" s="459">
        <v>1500000</v>
      </c>
      <c r="O112" s="459">
        <f t="shared" si="31"/>
        <v>1500000</v>
      </c>
    </row>
    <row r="113" spans="1:15" ht="80.25" customHeight="1">
      <c r="A113" s="24" t="s">
        <v>85</v>
      </c>
      <c r="B113" s="24" t="s">
        <v>80</v>
      </c>
      <c r="C113" s="24" t="s">
        <v>21</v>
      </c>
      <c r="D113" s="24" t="s">
        <v>1281</v>
      </c>
      <c r="E113" s="24" t="s">
        <v>144</v>
      </c>
      <c r="F113" s="24" t="s">
        <v>28</v>
      </c>
      <c r="G113" s="30" t="s">
        <v>1599</v>
      </c>
      <c r="H113" s="30" t="s">
        <v>1445</v>
      </c>
      <c r="I113" s="19" t="s">
        <v>1603</v>
      </c>
      <c r="J113" s="463">
        <v>53095</v>
      </c>
      <c r="K113" s="463"/>
      <c r="L113" s="459">
        <f t="shared" si="30"/>
        <v>53095</v>
      </c>
      <c r="M113" s="459">
        <v>53095</v>
      </c>
      <c r="N113" s="459"/>
      <c r="O113" s="459">
        <f t="shared" si="31"/>
        <v>53095</v>
      </c>
    </row>
    <row r="114" spans="1:15" ht="68.25" customHeight="1">
      <c r="A114" s="24" t="s">
        <v>37</v>
      </c>
      <c r="B114" s="24" t="s">
        <v>80</v>
      </c>
      <c r="C114" s="24" t="s">
        <v>21</v>
      </c>
      <c r="D114" s="24" t="s">
        <v>1281</v>
      </c>
      <c r="E114" s="24" t="s">
        <v>144</v>
      </c>
      <c r="F114" s="24" t="s">
        <v>28</v>
      </c>
      <c r="G114" s="30" t="s">
        <v>1758</v>
      </c>
      <c r="H114" s="30" t="s">
        <v>1445</v>
      </c>
      <c r="I114" s="19" t="s">
        <v>1759</v>
      </c>
      <c r="J114" s="463"/>
      <c r="K114" s="463">
        <v>1500000</v>
      </c>
      <c r="L114" s="459">
        <f t="shared" si="30"/>
        <v>1500000</v>
      </c>
      <c r="M114" s="459"/>
      <c r="N114" s="459">
        <v>1500000</v>
      </c>
      <c r="O114" s="459">
        <f t="shared" si="31"/>
        <v>1500000</v>
      </c>
    </row>
    <row r="115" spans="1:15" ht="48" customHeight="1">
      <c r="A115" s="24" t="s">
        <v>100</v>
      </c>
      <c r="B115" s="24" t="s">
        <v>80</v>
      </c>
      <c r="C115" s="24" t="s">
        <v>21</v>
      </c>
      <c r="D115" s="24" t="s">
        <v>1281</v>
      </c>
      <c r="E115" s="24" t="s">
        <v>144</v>
      </c>
      <c r="F115" s="24" t="s">
        <v>28</v>
      </c>
      <c r="G115" s="30" t="s">
        <v>1781</v>
      </c>
      <c r="H115" s="30" t="s">
        <v>1445</v>
      </c>
      <c r="I115" s="19" t="s">
        <v>1782</v>
      </c>
      <c r="J115" s="463"/>
      <c r="K115" s="463">
        <v>150000</v>
      </c>
      <c r="L115" s="459">
        <f t="shared" si="30"/>
        <v>150000</v>
      </c>
      <c r="M115" s="459"/>
      <c r="N115" s="459">
        <v>150000</v>
      </c>
      <c r="O115" s="459">
        <f t="shared" si="31"/>
        <v>150000</v>
      </c>
    </row>
    <row r="116" spans="1:15" ht="112.5" customHeight="1">
      <c r="A116" s="24" t="s">
        <v>37</v>
      </c>
      <c r="B116" s="24" t="s">
        <v>80</v>
      </c>
      <c r="C116" s="24" t="s">
        <v>21</v>
      </c>
      <c r="D116" s="24" t="s">
        <v>1281</v>
      </c>
      <c r="E116" s="24" t="s">
        <v>144</v>
      </c>
      <c r="F116" s="24" t="s">
        <v>28</v>
      </c>
      <c r="G116" s="30" t="s">
        <v>1762</v>
      </c>
      <c r="H116" s="30" t="s">
        <v>1445</v>
      </c>
      <c r="I116" s="19" t="s">
        <v>1763</v>
      </c>
      <c r="J116" s="463"/>
      <c r="K116" s="463">
        <v>2000000</v>
      </c>
      <c r="L116" s="459">
        <f t="shared" si="30"/>
        <v>2000000</v>
      </c>
      <c r="M116" s="459"/>
      <c r="N116" s="459">
        <v>2000000</v>
      </c>
      <c r="O116" s="459">
        <f t="shared" si="31"/>
        <v>2000000</v>
      </c>
    </row>
    <row r="117" spans="1:15" ht="64.5" customHeight="1">
      <c r="A117" s="24" t="s">
        <v>100</v>
      </c>
      <c r="B117" s="24" t="s">
        <v>80</v>
      </c>
      <c r="C117" s="24" t="s">
        <v>21</v>
      </c>
      <c r="D117" s="24" t="s">
        <v>1281</v>
      </c>
      <c r="E117" s="24" t="s">
        <v>144</v>
      </c>
      <c r="F117" s="24" t="s">
        <v>28</v>
      </c>
      <c r="G117" s="30" t="s">
        <v>1783</v>
      </c>
      <c r="H117" s="30" t="s">
        <v>1445</v>
      </c>
      <c r="I117" s="19" t="s">
        <v>1784</v>
      </c>
      <c r="J117" s="463"/>
      <c r="K117" s="463">
        <v>300000</v>
      </c>
      <c r="L117" s="459">
        <f t="shared" si="30"/>
        <v>300000</v>
      </c>
      <c r="M117" s="459"/>
      <c r="N117" s="459">
        <v>300000</v>
      </c>
      <c r="O117" s="459">
        <f t="shared" si="31"/>
        <v>300000</v>
      </c>
    </row>
    <row r="118" spans="1:15" ht="52.5" customHeight="1">
      <c r="A118" s="24" t="s">
        <v>37</v>
      </c>
      <c r="B118" s="24" t="s">
        <v>80</v>
      </c>
      <c r="C118" s="24" t="s">
        <v>21</v>
      </c>
      <c r="D118" s="24" t="s">
        <v>1281</v>
      </c>
      <c r="E118" s="24" t="s">
        <v>144</v>
      </c>
      <c r="F118" s="24" t="s">
        <v>28</v>
      </c>
      <c r="G118" s="30" t="s">
        <v>1766</v>
      </c>
      <c r="H118" s="30" t="s">
        <v>1445</v>
      </c>
      <c r="I118" s="19" t="s">
        <v>1767</v>
      </c>
      <c r="J118" s="463"/>
      <c r="K118" s="463">
        <v>12735000</v>
      </c>
      <c r="L118" s="459">
        <f t="shared" si="30"/>
        <v>12735000</v>
      </c>
      <c r="M118" s="459"/>
      <c r="N118" s="459">
        <v>13735000</v>
      </c>
      <c r="O118" s="459">
        <f t="shared" si="31"/>
        <v>13735000</v>
      </c>
    </row>
    <row r="119" spans="1:15" ht="80.25" customHeight="1">
      <c r="A119" s="24" t="s">
        <v>37</v>
      </c>
      <c r="B119" s="24" t="s">
        <v>80</v>
      </c>
      <c r="C119" s="24" t="s">
        <v>21</v>
      </c>
      <c r="D119" s="24" t="s">
        <v>1281</v>
      </c>
      <c r="E119" s="24" t="s">
        <v>144</v>
      </c>
      <c r="F119" s="24" t="s">
        <v>28</v>
      </c>
      <c r="G119" s="30" t="s">
        <v>1768</v>
      </c>
      <c r="H119" s="30" t="s">
        <v>1445</v>
      </c>
      <c r="I119" s="19" t="s">
        <v>1769</v>
      </c>
      <c r="J119" s="463"/>
      <c r="K119" s="463">
        <v>35000000</v>
      </c>
      <c r="L119" s="459">
        <f t="shared" si="30"/>
        <v>35000000</v>
      </c>
      <c r="M119" s="459"/>
      <c r="N119" s="459">
        <v>30800000</v>
      </c>
      <c r="O119" s="459">
        <f t="shared" si="31"/>
        <v>30800000</v>
      </c>
    </row>
    <row r="120" spans="1:15" ht="69.75" customHeight="1">
      <c r="A120" s="24" t="s">
        <v>37</v>
      </c>
      <c r="B120" s="24" t="s">
        <v>80</v>
      </c>
      <c r="C120" s="24" t="s">
        <v>21</v>
      </c>
      <c r="D120" s="24" t="s">
        <v>1281</v>
      </c>
      <c r="E120" s="24" t="s">
        <v>144</v>
      </c>
      <c r="F120" s="24" t="s">
        <v>28</v>
      </c>
      <c r="G120" s="30" t="s">
        <v>1770</v>
      </c>
      <c r="H120" s="30" t="s">
        <v>1445</v>
      </c>
      <c r="I120" s="19" t="s">
        <v>1771</v>
      </c>
      <c r="J120" s="463"/>
      <c r="K120" s="463">
        <v>500000</v>
      </c>
      <c r="L120" s="459">
        <f t="shared" si="30"/>
        <v>500000</v>
      </c>
      <c r="M120" s="459"/>
      <c r="N120" s="459">
        <v>500000</v>
      </c>
      <c r="O120" s="459">
        <f t="shared" si="31"/>
        <v>500000</v>
      </c>
    </row>
    <row r="121" spans="1:15" ht="68.25" customHeight="1">
      <c r="A121" s="24" t="s">
        <v>37</v>
      </c>
      <c r="B121" s="24" t="s">
        <v>80</v>
      </c>
      <c r="C121" s="24" t="s">
        <v>21</v>
      </c>
      <c r="D121" s="24" t="s">
        <v>1281</v>
      </c>
      <c r="E121" s="24" t="s">
        <v>144</v>
      </c>
      <c r="F121" s="24" t="s">
        <v>28</v>
      </c>
      <c r="G121" s="30" t="s">
        <v>1772</v>
      </c>
      <c r="H121" s="30" t="s">
        <v>1445</v>
      </c>
      <c r="I121" s="19" t="s">
        <v>1773</v>
      </c>
      <c r="J121" s="463"/>
      <c r="K121" s="463">
        <v>500000</v>
      </c>
      <c r="L121" s="459">
        <f t="shared" si="30"/>
        <v>500000</v>
      </c>
      <c r="M121" s="459"/>
      <c r="N121" s="459">
        <v>500000</v>
      </c>
      <c r="O121" s="459">
        <f t="shared" si="31"/>
        <v>500000</v>
      </c>
    </row>
    <row r="122" spans="1:15" ht="80.25" customHeight="1">
      <c r="A122" s="24" t="s">
        <v>107</v>
      </c>
      <c r="B122" s="24" t="s">
        <v>80</v>
      </c>
      <c r="C122" s="24" t="s">
        <v>21</v>
      </c>
      <c r="D122" s="24" t="s">
        <v>1281</v>
      </c>
      <c r="E122" s="24" t="s">
        <v>144</v>
      </c>
      <c r="F122" s="24" t="s">
        <v>28</v>
      </c>
      <c r="G122" s="30" t="s">
        <v>1774</v>
      </c>
      <c r="H122" s="30" t="s">
        <v>1445</v>
      </c>
      <c r="I122" s="19" t="s">
        <v>1775</v>
      </c>
      <c r="J122" s="463"/>
      <c r="K122" s="463">
        <v>730800</v>
      </c>
      <c r="L122" s="459">
        <f t="shared" si="30"/>
        <v>730800</v>
      </c>
      <c r="M122" s="459"/>
      <c r="N122" s="459">
        <v>730800</v>
      </c>
      <c r="O122" s="459">
        <f t="shared" si="31"/>
        <v>730800</v>
      </c>
    </row>
    <row r="123" spans="1:15" ht="23.25" customHeight="1">
      <c r="A123" s="424"/>
      <c r="B123" s="424"/>
      <c r="C123" s="424"/>
      <c r="D123" s="424"/>
      <c r="E123" s="424"/>
      <c r="F123" s="424"/>
      <c r="G123" s="436"/>
      <c r="H123" s="436"/>
      <c r="I123" s="422" t="s">
        <v>165</v>
      </c>
      <c r="J123" s="423">
        <f>J11+J44</f>
        <v>1726690036</v>
      </c>
      <c r="K123" s="423">
        <f t="shared" ref="K123" si="35">K11+K44</f>
        <v>111940198</v>
      </c>
      <c r="L123" s="423">
        <f t="shared" si="30"/>
        <v>1838630234</v>
      </c>
      <c r="M123" s="423">
        <f>M11+M44</f>
        <v>1508427725</v>
      </c>
      <c r="N123" s="423">
        <f t="shared" ref="N123" si="36">N11+N44</f>
        <v>113808137</v>
      </c>
      <c r="O123" s="423">
        <f t="shared" si="31"/>
        <v>1622235862</v>
      </c>
    </row>
    <row r="124" spans="1:15" ht="252.75" customHeight="1">
      <c r="A124" s="44"/>
      <c r="B124" s="44"/>
      <c r="C124" s="44"/>
      <c r="D124" s="44"/>
      <c r="E124" s="44"/>
      <c r="F124" s="44"/>
      <c r="G124" s="45"/>
      <c r="H124" s="45"/>
      <c r="I124" s="42"/>
    </row>
    <row r="125" spans="1:15" ht="15.75">
      <c r="A125" s="46"/>
      <c r="B125" s="46"/>
      <c r="C125" s="46"/>
      <c r="D125" s="46"/>
      <c r="E125" s="46"/>
      <c r="F125" s="46"/>
      <c r="G125" s="47"/>
      <c r="H125" s="47"/>
      <c r="I125" s="48"/>
    </row>
    <row r="126" spans="1:15" ht="25.5" customHeight="1">
      <c r="A126" s="44"/>
      <c r="B126" s="44"/>
      <c r="C126" s="44"/>
      <c r="D126" s="44"/>
      <c r="E126" s="44"/>
      <c r="F126" s="44"/>
      <c r="G126" s="45"/>
      <c r="H126" s="45"/>
      <c r="I126" s="42"/>
    </row>
    <row r="127" spans="1:15" ht="79.5" customHeight="1">
      <c r="A127" s="44"/>
      <c r="B127" s="44"/>
      <c r="C127" s="44"/>
      <c r="D127" s="44"/>
      <c r="E127" s="44"/>
      <c r="F127" s="44"/>
      <c r="G127" s="45"/>
      <c r="H127" s="45"/>
      <c r="I127" s="42"/>
    </row>
    <row r="128" spans="1:15" ht="54.75" customHeight="1">
      <c r="A128" s="44"/>
      <c r="B128" s="44"/>
      <c r="C128" s="44"/>
      <c r="D128" s="44"/>
      <c r="E128" s="44"/>
      <c r="F128" s="44"/>
      <c r="G128" s="45"/>
      <c r="H128" s="45"/>
      <c r="I128" s="42"/>
    </row>
    <row r="129" spans="1:9" ht="95.25" customHeight="1">
      <c r="A129" s="44"/>
      <c r="B129" s="44"/>
      <c r="C129" s="44"/>
      <c r="D129" s="44"/>
      <c r="E129" s="44"/>
      <c r="F129" s="44"/>
      <c r="G129" s="45"/>
      <c r="H129" s="45"/>
      <c r="I129" s="49"/>
    </row>
    <row r="130" spans="1:9" ht="16.5" customHeight="1">
      <c r="A130" s="50"/>
      <c r="B130" s="50"/>
      <c r="C130" s="50"/>
      <c r="D130" s="50"/>
      <c r="E130" s="50"/>
      <c r="F130" s="50"/>
      <c r="G130" s="50"/>
      <c r="H130" s="50"/>
      <c r="I130" s="51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"/>
  <sheetViews>
    <sheetView showGridLines="0" view="pageBreakPreview" zoomScale="115" zoomScaleSheetLayoutView="115" workbookViewId="0">
      <selection activeCell="I22" sqref="I22"/>
    </sheetView>
  </sheetViews>
  <sheetFormatPr defaultColWidth="9.140625" defaultRowHeight="12.75"/>
  <cols>
    <col min="1" max="1" width="64" style="120" customWidth="1"/>
    <col min="2" max="2" width="14.7109375" style="120" hidden="1" customWidth="1"/>
    <col min="3" max="3" width="12.42578125" style="120" hidden="1" customWidth="1"/>
    <col min="4" max="4" width="18" style="120" customWidth="1"/>
    <col min="5" max="16384" width="9.140625" style="120"/>
  </cols>
  <sheetData>
    <row r="1" spans="1:4" ht="15.75">
      <c r="A1" s="691" t="s">
        <v>854</v>
      </c>
      <c r="B1" s="691"/>
      <c r="C1" s="691"/>
      <c r="D1" s="691"/>
    </row>
    <row r="2" spans="1:4" ht="15.75">
      <c r="A2" s="691" t="s">
        <v>1</v>
      </c>
      <c r="B2" s="691"/>
      <c r="C2" s="691"/>
      <c r="D2" s="691"/>
    </row>
    <row r="3" spans="1:4" ht="15.75">
      <c r="A3" s="691" t="s">
        <v>2</v>
      </c>
      <c r="B3" s="691"/>
      <c r="C3" s="691"/>
      <c r="D3" s="691"/>
    </row>
    <row r="4" spans="1:4" ht="15.75">
      <c r="A4" s="691" t="s">
        <v>1821</v>
      </c>
      <c r="B4" s="691"/>
      <c r="C4" s="691"/>
      <c r="D4" s="691"/>
    </row>
    <row r="5" spans="1:4">
      <c r="A5" s="349"/>
      <c r="B5" s="349"/>
      <c r="C5" s="349"/>
      <c r="D5" s="350"/>
    </row>
    <row r="6" spans="1:4">
      <c r="A6" s="350"/>
      <c r="B6" s="350"/>
      <c r="C6" s="350"/>
      <c r="D6" s="350"/>
    </row>
    <row r="7" spans="1:4" ht="34.5" customHeight="1">
      <c r="A7" s="686" t="s">
        <v>1441</v>
      </c>
      <c r="B7" s="686"/>
      <c r="C7" s="686"/>
      <c r="D7" s="686"/>
    </row>
    <row r="8" spans="1:4" ht="18.75">
      <c r="A8" s="352"/>
      <c r="B8" s="352"/>
      <c r="C8" s="352"/>
      <c r="D8" s="350"/>
    </row>
    <row r="9" spans="1:4" ht="6" customHeight="1">
      <c r="A9" s="352"/>
      <c r="B9" s="352"/>
      <c r="C9" s="352"/>
      <c r="D9" s="350"/>
    </row>
    <row r="10" spans="1:4" ht="31.5">
      <c r="A10" s="353" t="s">
        <v>851</v>
      </c>
      <c r="B10" s="471" t="s">
        <v>437</v>
      </c>
      <c r="C10" s="354" t="s">
        <v>861</v>
      </c>
      <c r="D10" s="471" t="s">
        <v>437</v>
      </c>
    </row>
    <row r="11" spans="1:4" ht="36.75" customHeight="1">
      <c r="A11" s="484" t="s">
        <v>860</v>
      </c>
      <c r="B11" s="485">
        <v>811436</v>
      </c>
      <c r="C11" s="485">
        <f t="shared" ref="C11:D11" si="0">SUM(C12:C15)</f>
        <v>-811436</v>
      </c>
      <c r="D11" s="485">
        <f t="shared" si="0"/>
        <v>0</v>
      </c>
    </row>
    <row r="12" spans="1:4" ht="15.75">
      <c r="A12" s="355" t="s">
        <v>852</v>
      </c>
      <c r="B12" s="486">
        <v>85414</v>
      </c>
      <c r="C12" s="356">
        <v>-85414</v>
      </c>
      <c r="D12" s="357">
        <f>B12+C12</f>
        <v>0</v>
      </c>
    </row>
    <row r="13" spans="1:4" ht="15.75">
      <c r="A13" s="355" t="s">
        <v>862</v>
      </c>
      <c r="B13" s="486">
        <v>85414</v>
      </c>
      <c r="C13" s="356">
        <v>-85414</v>
      </c>
      <c r="D13" s="357">
        <f t="shared" ref="D13:D15" si="1">B13+C13</f>
        <v>0</v>
      </c>
    </row>
    <row r="14" spans="1:4" ht="15.75">
      <c r="A14" s="355" t="s">
        <v>857</v>
      </c>
      <c r="B14" s="486">
        <v>427072</v>
      </c>
      <c r="C14" s="356">
        <v>-427072</v>
      </c>
      <c r="D14" s="357">
        <f t="shared" si="1"/>
        <v>0</v>
      </c>
    </row>
    <row r="15" spans="1:4" ht="15.75">
      <c r="A15" s="355" t="s">
        <v>853</v>
      </c>
      <c r="B15" s="486">
        <v>213536</v>
      </c>
      <c r="C15" s="356">
        <v>-213536</v>
      </c>
      <c r="D15" s="357">
        <f t="shared" si="1"/>
        <v>0</v>
      </c>
    </row>
    <row r="16" spans="1:4" ht="23.25" customHeight="1">
      <c r="A16" s="358" t="s">
        <v>165</v>
      </c>
      <c r="B16" s="487">
        <f>B11</f>
        <v>811436</v>
      </c>
      <c r="C16" s="359">
        <f>SUM(C12:C15)</f>
        <v>-811436</v>
      </c>
      <c r="D16" s="360">
        <f>SUM(D12:D15)</f>
        <v>0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view="pageBreakPreview" zoomScale="85" zoomScaleSheetLayoutView="85" workbookViewId="0">
      <selection activeCell="K15" sqref="K15:L15"/>
    </sheetView>
  </sheetViews>
  <sheetFormatPr defaultColWidth="9.140625" defaultRowHeight="12.75"/>
  <cols>
    <col min="1" max="1" width="64" style="341" customWidth="1"/>
    <col min="2" max="2" width="17.42578125" style="341" customWidth="1"/>
    <col min="3" max="3" width="17.7109375" style="341" hidden="1" customWidth="1"/>
    <col min="4" max="4" width="18" style="341" hidden="1" customWidth="1"/>
    <col min="5" max="5" width="20.42578125" style="341" customWidth="1"/>
    <col min="6" max="16384" width="9.140625" style="341"/>
  </cols>
  <sheetData>
    <row r="1" spans="1:5" ht="18.75">
      <c r="A1" s="822" t="s">
        <v>859</v>
      </c>
      <c r="B1" s="822"/>
      <c r="C1" s="822"/>
      <c r="D1" s="822"/>
      <c r="E1" s="822"/>
    </row>
    <row r="2" spans="1:5" ht="18.75">
      <c r="A2" s="822" t="s">
        <v>1</v>
      </c>
      <c r="B2" s="822"/>
      <c r="C2" s="822"/>
      <c r="D2" s="822"/>
      <c r="E2" s="822"/>
    </row>
    <row r="3" spans="1:5" ht="18.75">
      <c r="A3" s="822" t="s">
        <v>2</v>
      </c>
      <c r="B3" s="822"/>
      <c r="C3" s="822"/>
      <c r="D3" s="822"/>
      <c r="E3" s="822"/>
    </row>
    <row r="4" spans="1:5" ht="18.75">
      <c r="A4" s="822" t="s">
        <v>1433</v>
      </c>
      <c r="B4" s="822"/>
      <c r="C4" s="822"/>
      <c r="D4" s="822"/>
      <c r="E4" s="822"/>
    </row>
    <row r="5" spans="1:5">
      <c r="A5" s="823"/>
      <c r="B5" s="823"/>
      <c r="C5" s="823"/>
      <c r="D5" s="823"/>
      <c r="E5" s="823"/>
    </row>
    <row r="6" spans="1:5" ht="18.75">
      <c r="A6" s="820"/>
      <c r="B6" s="820"/>
      <c r="C6" s="820"/>
      <c r="D6" s="820"/>
      <c r="E6" s="820"/>
    </row>
    <row r="7" spans="1:5" ht="47.25" customHeight="1">
      <c r="A7" s="821" t="s">
        <v>1442</v>
      </c>
      <c r="B7" s="821"/>
      <c r="C7" s="821"/>
      <c r="D7" s="821"/>
      <c r="E7" s="821"/>
    </row>
    <row r="8" spans="1:5" ht="19.5" thickBot="1">
      <c r="A8" s="398"/>
      <c r="B8" s="398"/>
      <c r="C8" s="398"/>
      <c r="D8" s="820"/>
      <c r="E8" s="820"/>
    </row>
    <row r="9" spans="1:5" ht="37.5">
      <c r="A9" s="399" t="s">
        <v>851</v>
      </c>
      <c r="B9" s="400" t="s">
        <v>1337</v>
      </c>
      <c r="C9" s="400" t="s">
        <v>861</v>
      </c>
      <c r="D9" s="213" t="s">
        <v>437</v>
      </c>
      <c r="E9" s="213" t="s">
        <v>1425</v>
      </c>
    </row>
    <row r="10" spans="1:5" s="489" customFormat="1" ht="56.25">
      <c r="A10" s="488" t="s">
        <v>860</v>
      </c>
      <c r="B10" s="490">
        <f>SUM(B11:B14)</f>
        <v>817269</v>
      </c>
      <c r="C10" s="490">
        <f t="shared" ref="C10:E10" si="0">SUM(C11:C14)</f>
        <v>0</v>
      </c>
      <c r="D10" s="490">
        <f t="shared" si="0"/>
        <v>0</v>
      </c>
      <c r="E10" s="490">
        <f t="shared" si="0"/>
        <v>845481</v>
      </c>
    </row>
    <row r="11" spans="1:5" ht="18.75">
      <c r="A11" s="401" t="s">
        <v>852</v>
      </c>
      <c r="B11" s="403">
        <v>86028</v>
      </c>
      <c r="C11" s="402"/>
      <c r="D11" s="403"/>
      <c r="E11" s="403">
        <v>88998</v>
      </c>
    </row>
    <row r="12" spans="1:5" ht="18.75">
      <c r="A12" s="401" t="s">
        <v>862</v>
      </c>
      <c r="B12" s="403">
        <v>86028</v>
      </c>
      <c r="C12" s="402"/>
      <c r="D12" s="403"/>
      <c r="E12" s="403">
        <v>88998</v>
      </c>
    </row>
    <row r="13" spans="1:5" ht="18.75">
      <c r="A13" s="401" t="s">
        <v>857</v>
      </c>
      <c r="B13" s="403">
        <v>430142</v>
      </c>
      <c r="C13" s="402"/>
      <c r="D13" s="403"/>
      <c r="E13" s="403">
        <v>444990</v>
      </c>
    </row>
    <row r="14" spans="1:5" ht="18.75">
      <c r="A14" s="401" t="s">
        <v>853</v>
      </c>
      <c r="B14" s="403">
        <v>215071</v>
      </c>
      <c r="C14" s="402"/>
      <c r="D14" s="403"/>
      <c r="E14" s="403">
        <v>222495</v>
      </c>
    </row>
    <row r="15" spans="1:5" ht="19.5" thickBot="1">
      <c r="A15" s="404" t="s">
        <v>165</v>
      </c>
      <c r="B15" s="405">
        <f>B10</f>
        <v>817269</v>
      </c>
      <c r="C15" s="405">
        <f t="shared" ref="C15:E15" si="1">C10</f>
        <v>0</v>
      </c>
      <c r="D15" s="405">
        <f t="shared" si="1"/>
        <v>0</v>
      </c>
      <c r="E15" s="405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view="pageBreakPreview" topLeftCell="A7" zoomScale="115" zoomScaleSheetLayoutView="115" workbookViewId="0">
      <selection activeCell="D20" sqref="D20"/>
    </sheetView>
  </sheetViews>
  <sheetFormatPr defaultColWidth="9.140625" defaultRowHeight="12.75"/>
  <cols>
    <col min="1" max="1" width="53.5703125" style="341" customWidth="1"/>
    <col min="2" max="2" width="16.140625" style="341" hidden="1" customWidth="1"/>
    <col min="3" max="3" width="12.7109375" style="341" hidden="1" customWidth="1"/>
    <col min="4" max="4" width="19.5703125" style="341" customWidth="1"/>
    <col min="5" max="16384" width="9.140625" style="341"/>
  </cols>
  <sheetData>
    <row r="1" spans="1:4" ht="15.75">
      <c r="A1" s="691" t="s">
        <v>327</v>
      </c>
      <c r="B1" s="691"/>
      <c r="C1" s="691"/>
      <c r="D1" s="691"/>
    </row>
    <row r="2" spans="1:4" ht="15.75">
      <c r="A2" s="691" t="s">
        <v>1</v>
      </c>
      <c r="B2" s="691"/>
      <c r="C2" s="691"/>
      <c r="D2" s="691"/>
    </row>
    <row r="3" spans="1:4" ht="15.75">
      <c r="A3" s="691" t="s">
        <v>2</v>
      </c>
      <c r="B3" s="691"/>
      <c r="C3" s="691"/>
      <c r="D3" s="691"/>
    </row>
    <row r="4" spans="1:4" ht="15.75">
      <c r="A4" s="691" t="s">
        <v>1821</v>
      </c>
      <c r="B4" s="691"/>
      <c r="C4" s="691"/>
      <c r="D4" s="691"/>
    </row>
    <row r="5" spans="1:4">
      <c r="A5" s="345"/>
      <c r="B5" s="345"/>
      <c r="C5" s="345"/>
      <c r="D5" s="344"/>
    </row>
    <row r="6" spans="1:4" ht="35.25" customHeight="1">
      <c r="A6" s="824" t="s">
        <v>1443</v>
      </c>
      <c r="B6" s="824"/>
      <c r="C6" s="824"/>
      <c r="D6" s="824"/>
    </row>
    <row r="7" spans="1:4" ht="19.5" thickBot="1">
      <c r="A7" s="361"/>
      <c r="B7" s="361"/>
      <c r="C7" s="361"/>
      <c r="D7" s="344"/>
    </row>
    <row r="8" spans="1:4" ht="31.5">
      <c r="A8" s="362" t="s">
        <v>851</v>
      </c>
      <c r="B8" s="364" t="s">
        <v>437</v>
      </c>
      <c r="C8" s="363" t="s">
        <v>861</v>
      </c>
      <c r="D8" s="364" t="s">
        <v>437</v>
      </c>
    </row>
    <row r="9" spans="1:4" s="489" customFormat="1" ht="34.5" customHeight="1">
      <c r="A9" s="505" t="s">
        <v>1232</v>
      </c>
      <c r="B9" s="491">
        <f>SUM(B10:B13)</f>
        <v>725000</v>
      </c>
      <c r="C9" s="491">
        <f t="shared" ref="C9:D9" si="0">SUM(C10:C13)</f>
        <v>0</v>
      </c>
      <c r="D9" s="491">
        <f t="shared" si="0"/>
        <v>725000</v>
      </c>
    </row>
    <row r="10" spans="1:4" ht="15.75">
      <c r="A10" s="368" t="s">
        <v>852</v>
      </c>
      <c r="B10" s="366">
        <v>300000</v>
      </c>
      <c r="C10" s="367"/>
      <c r="D10" s="366">
        <f>SUM(B10:C10)</f>
        <v>300000</v>
      </c>
    </row>
    <row r="11" spans="1:4" ht="15.75" hidden="1">
      <c r="A11" s="365" t="s">
        <v>862</v>
      </c>
      <c r="B11" s="366">
        <v>0</v>
      </c>
      <c r="C11" s="367"/>
      <c r="D11" s="366">
        <f t="shared" ref="D11:D13" si="1">SUM(B11:C11)</f>
        <v>0</v>
      </c>
    </row>
    <row r="12" spans="1:4" ht="15.75" hidden="1">
      <c r="A12" s="368" t="s">
        <v>857</v>
      </c>
      <c r="B12" s="369">
        <v>0</v>
      </c>
      <c r="C12" s="370"/>
      <c r="D12" s="366">
        <f t="shared" si="1"/>
        <v>0</v>
      </c>
    </row>
    <row r="13" spans="1:4" ht="15.75">
      <c r="A13" s="368" t="s">
        <v>853</v>
      </c>
      <c r="B13" s="572">
        <v>425000</v>
      </c>
      <c r="C13" s="370">
        <v>0</v>
      </c>
      <c r="D13" s="366">
        <f t="shared" si="1"/>
        <v>425000</v>
      </c>
    </row>
    <row r="14" spans="1:4" ht="110.25">
      <c r="A14" s="504" t="s">
        <v>1825</v>
      </c>
      <c r="B14" s="573">
        <f>SUM(B15:B15)</f>
        <v>5000000</v>
      </c>
      <c r="C14" s="573">
        <f t="shared" ref="C14:D16" si="2">SUM(C15:C15)</f>
        <v>0</v>
      </c>
      <c r="D14" s="573">
        <f t="shared" si="2"/>
        <v>5000000</v>
      </c>
    </row>
    <row r="15" spans="1:4" ht="15.75">
      <c r="A15" s="506" t="s">
        <v>853</v>
      </c>
      <c r="B15" s="574">
        <v>5000000</v>
      </c>
      <c r="C15" s="575"/>
      <c r="D15" s="578">
        <f>B15</f>
        <v>5000000</v>
      </c>
    </row>
    <row r="16" spans="1:4" ht="31.5">
      <c r="A16" s="504" t="s">
        <v>1824</v>
      </c>
      <c r="B16" s="573">
        <f>SUM(B17:B17)</f>
        <v>168837</v>
      </c>
      <c r="C16" s="573">
        <f t="shared" si="2"/>
        <v>0</v>
      </c>
      <c r="D16" s="573">
        <f t="shared" si="2"/>
        <v>168837</v>
      </c>
    </row>
    <row r="17" spans="1:4" ht="15.75">
      <c r="A17" s="506" t="s">
        <v>853</v>
      </c>
      <c r="B17" s="574">
        <v>168837</v>
      </c>
      <c r="C17" s="677"/>
      <c r="D17" s="678">
        <f>B17+C17</f>
        <v>168837</v>
      </c>
    </row>
    <row r="18" spans="1:4" ht="78.75">
      <c r="A18" s="505" t="s">
        <v>1849</v>
      </c>
      <c r="B18" s="491">
        <f>SUM(B19:B22)</f>
        <v>0</v>
      </c>
      <c r="C18" s="491">
        <f t="shared" ref="C18:D18" si="3">SUM(C19:C22)</f>
        <v>750000</v>
      </c>
      <c r="D18" s="491">
        <f t="shared" si="3"/>
        <v>750000</v>
      </c>
    </row>
    <row r="19" spans="1:4" ht="15.75">
      <c r="A19" s="368" t="s">
        <v>852</v>
      </c>
      <c r="B19" s="366"/>
      <c r="C19" s="367">
        <v>187500</v>
      </c>
      <c r="D19" s="366">
        <f>SUM(B19:C19)</f>
        <v>187500</v>
      </c>
    </row>
    <row r="20" spans="1:4" ht="15.75">
      <c r="A20" s="365" t="s">
        <v>862</v>
      </c>
      <c r="B20" s="366">
        <v>0</v>
      </c>
      <c r="C20" s="367">
        <v>187500</v>
      </c>
      <c r="D20" s="366">
        <f t="shared" ref="D20:D22" si="4">SUM(B20:C20)</f>
        <v>187500</v>
      </c>
    </row>
    <row r="21" spans="1:4" ht="15.75" hidden="1">
      <c r="A21" s="368" t="s">
        <v>857</v>
      </c>
      <c r="B21" s="369">
        <v>0</v>
      </c>
      <c r="C21" s="370"/>
      <c r="D21" s="366">
        <f t="shared" si="4"/>
        <v>0</v>
      </c>
    </row>
    <row r="22" spans="1:4" ht="15.75">
      <c r="A22" s="368" t="s">
        <v>853</v>
      </c>
      <c r="B22" s="572"/>
      <c r="C22" s="370">
        <v>375000</v>
      </c>
      <c r="D22" s="369">
        <f t="shared" si="4"/>
        <v>375000</v>
      </c>
    </row>
    <row r="23" spans="1:4">
      <c r="A23" s="679" t="s">
        <v>751</v>
      </c>
      <c r="B23" s="680">
        <f>B9+B14+B16+B18</f>
        <v>5893837</v>
      </c>
      <c r="C23" s="680">
        <f t="shared" ref="C23:D23" si="5">C9+C14+C16+C18</f>
        <v>750000</v>
      </c>
      <c r="D23" s="680">
        <f t="shared" si="5"/>
        <v>6643837</v>
      </c>
    </row>
    <row r="28" spans="1:4" ht="75" customHeight="1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28" sqref="A28"/>
    </sheetView>
  </sheetViews>
  <sheetFormatPr defaultColWidth="9.140625" defaultRowHeight="12.75"/>
  <cols>
    <col min="1" max="1" width="59" style="120" customWidth="1"/>
    <col min="2" max="3" width="0" style="120" hidden="1" customWidth="1"/>
    <col min="4" max="4" width="14.85546875" style="120" customWidth="1"/>
    <col min="5" max="5" width="14.42578125" style="120" customWidth="1"/>
    <col min="6" max="16384" width="9.140625" style="120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1167"/>
  <sheetViews>
    <sheetView topLeftCell="A1123" workbookViewId="0"/>
  </sheetViews>
  <sheetFormatPr defaultRowHeight="12.75"/>
  <cols>
    <col min="1" max="1" width="6.5703125" style="234" customWidth="1"/>
    <col min="2" max="2" width="85.7109375" style="233" customWidth="1"/>
  </cols>
  <sheetData>
    <row r="1" spans="1:2" hidden="1">
      <c r="A1" s="234" t="s">
        <v>863</v>
      </c>
      <c r="B1" s="233" t="s">
        <v>864</v>
      </c>
    </row>
    <row r="2" spans="1:2" hidden="1">
      <c r="A2" s="235" t="s">
        <v>865</v>
      </c>
      <c r="B2" s="236" t="s">
        <v>866</v>
      </c>
    </row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spans="1:2" hidden="1"/>
    <row r="994" spans="1:2" hidden="1"/>
    <row r="995" spans="1:2" hidden="1"/>
    <row r="996" spans="1:2" hidden="1"/>
    <row r="997" spans="1:2" ht="13.5" hidden="1" customHeight="1"/>
    <row r="998" spans="1:2" hidden="1"/>
    <row r="999" spans="1:2" hidden="1"/>
    <row r="1000" spans="1:2">
      <c r="A1000" s="237">
        <v>0</v>
      </c>
      <c r="B1000" s="238" t="s">
        <v>867</v>
      </c>
    </row>
    <row r="1001" spans="1:2">
      <c r="A1001" s="237">
        <v>4</v>
      </c>
      <c r="B1001" s="238" t="s">
        <v>868</v>
      </c>
    </row>
    <row r="1002" spans="1:2">
      <c r="A1002" s="237">
        <v>20</v>
      </c>
      <c r="B1002" s="238" t="s">
        <v>869</v>
      </c>
    </row>
    <row r="1003" spans="1:2">
      <c r="A1003" s="237">
        <v>22</v>
      </c>
      <c r="B1003" s="238" t="s">
        <v>870</v>
      </c>
    </row>
    <row r="1004" spans="1:2">
      <c r="A1004" s="237">
        <v>29</v>
      </c>
      <c r="B1004" s="238" t="s">
        <v>871</v>
      </c>
    </row>
    <row r="1005" spans="1:2">
      <c r="A1005" s="237">
        <v>48</v>
      </c>
      <c r="B1005" s="238" t="s">
        <v>872</v>
      </c>
    </row>
    <row r="1006" spans="1:2">
      <c r="A1006" s="237">
        <v>50</v>
      </c>
      <c r="B1006" s="238" t="s">
        <v>873</v>
      </c>
    </row>
    <row r="1007" spans="1:2">
      <c r="A1007" s="237">
        <v>53</v>
      </c>
      <c r="B1007" s="238" t="s">
        <v>874</v>
      </c>
    </row>
    <row r="1008" spans="1:2">
      <c r="A1008" s="237">
        <v>54</v>
      </c>
      <c r="B1008" s="238" t="s">
        <v>875</v>
      </c>
    </row>
    <row r="1009" spans="1:2">
      <c r="A1009" s="237">
        <v>56</v>
      </c>
      <c r="B1009" s="238" t="s">
        <v>876</v>
      </c>
    </row>
    <row r="1010" spans="1:2">
      <c r="A1010" s="237">
        <v>58</v>
      </c>
      <c r="B1010" s="238" t="s">
        <v>877</v>
      </c>
    </row>
    <row r="1011" spans="1:2">
      <c r="A1011" s="237">
        <v>70</v>
      </c>
      <c r="B1011" s="238" t="s">
        <v>878</v>
      </c>
    </row>
    <row r="1012" spans="1:2">
      <c r="A1012" s="237">
        <v>71</v>
      </c>
      <c r="B1012" s="238" t="s">
        <v>879</v>
      </c>
    </row>
    <row r="1013" spans="1:2">
      <c r="A1013" s="237">
        <v>72</v>
      </c>
      <c r="B1013" s="238" t="s">
        <v>880</v>
      </c>
    </row>
    <row r="1014" spans="1:2">
      <c r="A1014" s="237">
        <v>75</v>
      </c>
      <c r="B1014" s="238" t="s">
        <v>881</v>
      </c>
    </row>
    <row r="1015" spans="1:2">
      <c r="A1015" s="237">
        <v>76</v>
      </c>
      <c r="B1015" s="238" t="s">
        <v>882</v>
      </c>
    </row>
    <row r="1016" spans="1:2">
      <c r="A1016" s="237">
        <v>78</v>
      </c>
      <c r="B1016" s="238" t="s">
        <v>883</v>
      </c>
    </row>
    <row r="1017" spans="1:2">
      <c r="A1017" s="237">
        <v>81</v>
      </c>
      <c r="B1017" s="238" t="s">
        <v>884</v>
      </c>
    </row>
    <row r="1018" spans="1:2">
      <c r="A1018" s="237">
        <v>82</v>
      </c>
      <c r="B1018" s="238" t="s">
        <v>885</v>
      </c>
    </row>
    <row r="1019" spans="1:2">
      <c r="A1019" s="237">
        <v>83</v>
      </c>
      <c r="B1019" s="238" t="s">
        <v>886</v>
      </c>
    </row>
    <row r="1020" spans="1:2">
      <c r="A1020" s="237">
        <v>85</v>
      </c>
      <c r="B1020" s="238" t="s">
        <v>887</v>
      </c>
    </row>
    <row r="1021" spans="1:2">
      <c r="A1021" s="237">
        <v>89</v>
      </c>
      <c r="B1021" s="238" t="s">
        <v>888</v>
      </c>
    </row>
    <row r="1022" spans="1:2">
      <c r="A1022" s="237">
        <v>92</v>
      </c>
      <c r="B1022" s="238" t="s">
        <v>889</v>
      </c>
    </row>
    <row r="1023" spans="1:2">
      <c r="A1023" s="237">
        <v>99</v>
      </c>
      <c r="B1023" s="238" t="s">
        <v>890</v>
      </c>
    </row>
    <row r="1024" spans="1:2">
      <c r="A1024" s="237">
        <v>104</v>
      </c>
      <c r="B1024" s="238" t="s">
        <v>891</v>
      </c>
    </row>
    <row r="1025" spans="1:2">
      <c r="A1025" s="237">
        <v>125</v>
      </c>
      <c r="B1025" s="238" t="s">
        <v>892</v>
      </c>
    </row>
    <row r="1026" spans="1:2">
      <c r="A1026" s="237">
        <v>126</v>
      </c>
      <c r="B1026" s="238" t="s">
        <v>893</v>
      </c>
    </row>
    <row r="1027" spans="1:2">
      <c r="A1027" s="237">
        <v>128</v>
      </c>
      <c r="B1027" s="238" t="s">
        <v>894</v>
      </c>
    </row>
    <row r="1028" spans="1:2">
      <c r="A1028" s="237">
        <v>129</v>
      </c>
      <c r="B1028" s="238" t="s">
        <v>895</v>
      </c>
    </row>
    <row r="1029" spans="1:2" ht="25.5">
      <c r="A1029" s="237">
        <v>133</v>
      </c>
      <c r="B1029" s="238" t="s">
        <v>896</v>
      </c>
    </row>
    <row r="1030" spans="1:2" ht="25.5">
      <c r="A1030" s="237">
        <v>134</v>
      </c>
      <c r="B1030" s="238" t="s">
        <v>897</v>
      </c>
    </row>
    <row r="1031" spans="1:2">
      <c r="A1031" s="237">
        <v>136</v>
      </c>
      <c r="B1031" s="238" t="s">
        <v>898</v>
      </c>
    </row>
    <row r="1032" spans="1:2">
      <c r="A1032" s="237">
        <v>139</v>
      </c>
      <c r="B1032" s="238" t="s">
        <v>899</v>
      </c>
    </row>
    <row r="1033" spans="1:2">
      <c r="A1033" s="237">
        <v>140</v>
      </c>
      <c r="B1033" s="238" t="s">
        <v>900</v>
      </c>
    </row>
    <row r="1034" spans="1:2">
      <c r="A1034" s="237">
        <v>141</v>
      </c>
      <c r="B1034" s="238" t="s">
        <v>901</v>
      </c>
    </row>
    <row r="1035" spans="1:2">
      <c r="A1035" s="237">
        <v>142</v>
      </c>
      <c r="B1035" s="238" t="s">
        <v>902</v>
      </c>
    </row>
    <row r="1036" spans="1:2">
      <c r="A1036" s="237">
        <v>148</v>
      </c>
      <c r="B1036" s="238" t="s">
        <v>903</v>
      </c>
    </row>
    <row r="1037" spans="1:2">
      <c r="A1037" s="237">
        <v>149</v>
      </c>
      <c r="B1037" s="238" t="s">
        <v>904</v>
      </c>
    </row>
    <row r="1038" spans="1:2">
      <c r="A1038" s="237">
        <v>152</v>
      </c>
      <c r="B1038" s="238" t="s">
        <v>905</v>
      </c>
    </row>
    <row r="1039" spans="1:2">
      <c r="A1039" s="237">
        <v>153</v>
      </c>
      <c r="B1039" s="238" t="s">
        <v>906</v>
      </c>
    </row>
    <row r="1040" spans="1:2">
      <c r="A1040" s="237">
        <v>154</v>
      </c>
      <c r="B1040" s="238" t="s">
        <v>907</v>
      </c>
    </row>
    <row r="1041" spans="1:2">
      <c r="A1041" s="237">
        <v>156</v>
      </c>
      <c r="B1041" s="238" t="s">
        <v>908</v>
      </c>
    </row>
    <row r="1042" spans="1:2">
      <c r="A1042" s="237">
        <v>157</v>
      </c>
      <c r="B1042" s="238" t="s">
        <v>909</v>
      </c>
    </row>
    <row r="1043" spans="1:2">
      <c r="A1043" s="237">
        <v>158</v>
      </c>
      <c r="B1043" s="238" t="s">
        <v>910</v>
      </c>
    </row>
    <row r="1044" spans="1:2">
      <c r="A1044" s="237">
        <v>159</v>
      </c>
      <c r="B1044" s="238" t="s">
        <v>911</v>
      </c>
    </row>
    <row r="1045" spans="1:2">
      <c r="A1045" s="237">
        <v>160</v>
      </c>
      <c r="B1045" s="238" t="s">
        <v>912</v>
      </c>
    </row>
    <row r="1046" spans="1:2">
      <c r="A1046" s="237">
        <v>162</v>
      </c>
      <c r="B1046" s="238" t="s">
        <v>913</v>
      </c>
    </row>
    <row r="1047" spans="1:2">
      <c r="A1047" s="237">
        <v>163</v>
      </c>
      <c r="B1047" s="238" t="s">
        <v>914</v>
      </c>
    </row>
    <row r="1048" spans="1:2">
      <c r="A1048" s="237">
        <v>164</v>
      </c>
      <c r="B1048" s="238" t="s">
        <v>915</v>
      </c>
    </row>
    <row r="1049" spans="1:2">
      <c r="A1049" s="237">
        <v>165</v>
      </c>
      <c r="B1049" s="238" t="s">
        <v>916</v>
      </c>
    </row>
    <row r="1050" spans="1:2" ht="25.5">
      <c r="A1050" s="237">
        <v>166</v>
      </c>
      <c r="B1050" s="238" t="s">
        <v>917</v>
      </c>
    </row>
    <row r="1051" spans="1:2" ht="25.5">
      <c r="A1051" s="237">
        <v>177</v>
      </c>
      <c r="B1051" s="238" t="s">
        <v>918</v>
      </c>
    </row>
    <row r="1052" spans="1:2">
      <c r="A1052" s="237">
        <v>181</v>
      </c>
      <c r="B1052" s="238" t="s">
        <v>919</v>
      </c>
    </row>
    <row r="1053" spans="1:2">
      <c r="A1053" s="237">
        <v>182</v>
      </c>
      <c r="B1053" s="238" t="s">
        <v>920</v>
      </c>
    </row>
    <row r="1054" spans="1:2">
      <c r="A1054" s="237">
        <v>184</v>
      </c>
      <c r="B1054" s="238" t="s">
        <v>921</v>
      </c>
    </row>
    <row r="1055" spans="1:2">
      <c r="A1055" s="237">
        <v>186</v>
      </c>
      <c r="B1055" s="238" t="s">
        <v>922</v>
      </c>
    </row>
    <row r="1056" spans="1:2">
      <c r="A1056" s="237">
        <v>187</v>
      </c>
      <c r="B1056" s="238" t="s">
        <v>923</v>
      </c>
    </row>
    <row r="1057" spans="1:2">
      <c r="A1057" s="237">
        <v>188</v>
      </c>
      <c r="B1057" s="238" t="s">
        <v>924</v>
      </c>
    </row>
    <row r="1058" spans="1:2">
      <c r="A1058" s="237">
        <v>189</v>
      </c>
      <c r="B1058" s="238" t="s">
        <v>925</v>
      </c>
    </row>
    <row r="1059" spans="1:2">
      <c r="A1059" s="237">
        <v>190</v>
      </c>
      <c r="B1059" s="238" t="s">
        <v>926</v>
      </c>
    </row>
    <row r="1060" spans="1:2">
      <c r="A1060" s="237">
        <v>192</v>
      </c>
      <c r="B1060" s="238" t="s">
        <v>927</v>
      </c>
    </row>
    <row r="1061" spans="1:2">
      <c r="A1061" s="237">
        <v>197</v>
      </c>
      <c r="B1061" s="238" t="s">
        <v>928</v>
      </c>
    </row>
    <row r="1062" spans="1:2">
      <c r="A1062" s="237">
        <v>202</v>
      </c>
      <c r="B1062" s="238" t="s">
        <v>929</v>
      </c>
    </row>
    <row r="1063" spans="1:2" ht="25.5">
      <c r="A1063" s="237">
        <v>206</v>
      </c>
      <c r="B1063" s="238" t="s">
        <v>930</v>
      </c>
    </row>
    <row r="1064" spans="1:2">
      <c r="A1064" s="237">
        <v>207</v>
      </c>
      <c r="B1064" s="238" t="s">
        <v>931</v>
      </c>
    </row>
    <row r="1065" spans="1:2">
      <c r="A1065" s="237">
        <v>226</v>
      </c>
      <c r="B1065" s="238" t="s">
        <v>932</v>
      </c>
    </row>
    <row r="1066" spans="1:2">
      <c r="A1066" s="237">
        <v>258</v>
      </c>
      <c r="B1066" s="238" t="s">
        <v>933</v>
      </c>
    </row>
    <row r="1067" spans="1:2">
      <c r="A1067" s="237">
        <v>262</v>
      </c>
      <c r="B1067" s="238" t="s">
        <v>934</v>
      </c>
    </row>
    <row r="1068" spans="1:2">
      <c r="A1068" s="237">
        <v>263</v>
      </c>
      <c r="B1068" s="238" t="s">
        <v>935</v>
      </c>
    </row>
    <row r="1069" spans="1:2">
      <c r="A1069" s="237">
        <v>279</v>
      </c>
      <c r="B1069" s="238" t="s">
        <v>936</v>
      </c>
    </row>
    <row r="1070" spans="1:2">
      <c r="A1070" s="237">
        <v>302</v>
      </c>
      <c r="B1070" s="238" t="s">
        <v>937</v>
      </c>
    </row>
    <row r="1071" spans="1:2">
      <c r="A1071" s="237">
        <v>303</v>
      </c>
      <c r="B1071" s="238" t="s">
        <v>938</v>
      </c>
    </row>
    <row r="1072" spans="1:2">
      <c r="A1072" s="237">
        <v>304</v>
      </c>
      <c r="B1072" s="238" t="s">
        <v>939</v>
      </c>
    </row>
    <row r="1073" spans="1:2">
      <c r="A1073" s="237">
        <v>305</v>
      </c>
      <c r="B1073" s="238" t="s">
        <v>940</v>
      </c>
    </row>
    <row r="1074" spans="1:2">
      <c r="A1074" s="237">
        <v>306</v>
      </c>
      <c r="B1074" s="238" t="s">
        <v>941</v>
      </c>
    </row>
    <row r="1075" spans="1:2">
      <c r="A1075" s="237">
        <v>308</v>
      </c>
      <c r="B1075" s="238" t="s">
        <v>942</v>
      </c>
    </row>
    <row r="1076" spans="1:2">
      <c r="A1076" s="237">
        <v>310</v>
      </c>
      <c r="B1076" s="238" t="s">
        <v>943</v>
      </c>
    </row>
    <row r="1077" spans="1:2">
      <c r="A1077" s="237">
        <v>316</v>
      </c>
      <c r="B1077" s="238" t="s">
        <v>944</v>
      </c>
    </row>
    <row r="1078" spans="1:2">
      <c r="A1078" s="237">
        <v>318</v>
      </c>
      <c r="B1078" s="238" t="s">
        <v>945</v>
      </c>
    </row>
    <row r="1079" spans="1:2">
      <c r="A1079" s="237">
        <v>319</v>
      </c>
      <c r="B1079" s="238" t="s">
        <v>946</v>
      </c>
    </row>
    <row r="1080" spans="1:2">
      <c r="A1080" s="237">
        <v>320</v>
      </c>
      <c r="B1080" s="238" t="s">
        <v>947</v>
      </c>
    </row>
    <row r="1081" spans="1:2">
      <c r="A1081" s="237">
        <v>321</v>
      </c>
      <c r="B1081" s="238" t="s">
        <v>948</v>
      </c>
    </row>
    <row r="1082" spans="1:2">
      <c r="A1082" s="237">
        <v>322</v>
      </c>
      <c r="B1082" s="238" t="s">
        <v>949</v>
      </c>
    </row>
    <row r="1083" spans="1:2">
      <c r="A1083" s="237">
        <v>330</v>
      </c>
      <c r="B1083" s="238" t="s">
        <v>950</v>
      </c>
    </row>
    <row r="1084" spans="1:2">
      <c r="A1084" s="237">
        <v>333</v>
      </c>
      <c r="B1084" s="238" t="s">
        <v>951</v>
      </c>
    </row>
    <row r="1085" spans="1:2">
      <c r="A1085" s="237">
        <v>352</v>
      </c>
      <c r="B1085" s="238" t="s">
        <v>952</v>
      </c>
    </row>
    <row r="1086" spans="1:2">
      <c r="A1086" s="237">
        <v>386</v>
      </c>
      <c r="B1086" s="238" t="s">
        <v>953</v>
      </c>
    </row>
    <row r="1087" spans="1:2" ht="25.5">
      <c r="A1087" s="237">
        <v>387</v>
      </c>
      <c r="B1087" s="238" t="s">
        <v>954</v>
      </c>
    </row>
    <row r="1088" spans="1:2">
      <c r="A1088" s="237">
        <v>392</v>
      </c>
      <c r="B1088" s="238" t="s">
        <v>955</v>
      </c>
    </row>
    <row r="1089" spans="1:2">
      <c r="A1089" s="237">
        <v>393</v>
      </c>
      <c r="B1089" s="238" t="s">
        <v>956</v>
      </c>
    </row>
    <row r="1090" spans="1:2">
      <c r="A1090" s="237">
        <v>397</v>
      </c>
      <c r="B1090" s="238" t="s">
        <v>957</v>
      </c>
    </row>
    <row r="1091" spans="1:2">
      <c r="A1091" s="237">
        <v>401</v>
      </c>
      <c r="B1091" s="238" t="s">
        <v>958</v>
      </c>
    </row>
    <row r="1092" spans="1:2">
      <c r="A1092" s="237">
        <v>409</v>
      </c>
      <c r="B1092" s="238" t="s">
        <v>959</v>
      </c>
    </row>
    <row r="1093" spans="1:2">
      <c r="A1093" s="237">
        <v>415</v>
      </c>
      <c r="B1093" s="238" t="s">
        <v>960</v>
      </c>
    </row>
    <row r="1094" spans="1:2">
      <c r="A1094" s="237">
        <v>423</v>
      </c>
      <c r="B1094" s="238" t="s">
        <v>961</v>
      </c>
    </row>
    <row r="1095" spans="1:2">
      <c r="A1095" s="237">
        <v>424</v>
      </c>
      <c r="B1095" s="238" t="s">
        <v>962</v>
      </c>
    </row>
    <row r="1096" spans="1:2">
      <c r="A1096" s="237">
        <v>425</v>
      </c>
      <c r="B1096" s="238" t="s">
        <v>963</v>
      </c>
    </row>
    <row r="1097" spans="1:2">
      <c r="A1097" s="237">
        <v>434</v>
      </c>
      <c r="B1097" s="238" t="s">
        <v>964</v>
      </c>
    </row>
    <row r="1098" spans="1:2">
      <c r="A1098" s="237">
        <v>436</v>
      </c>
      <c r="B1098" s="238" t="s">
        <v>965</v>
      </c>
    </row>
    <row r="1099" spans="1:2">
      <c r="A1099" s="237">
        <v>437</v>
      </c>
      <c r="B1099" s="238" t="s">
        <v>966</v>
      </c>
    </row>
    <row r="1100" spans="1:2">
      <c r="A1100" s="237">
        <v>438</v>
      </c>
      <c r="B1100" s="238" t="s">
        <v>967</v>
      </c>
    </row>
    <row r="1101" spans="1:2">
      <c r="A1101" s="237">
        <v>464</v>
      </c>
      <c r="B1101" s="238" t="s">
        <v>968</v>
      </c>
    </row>
    <row r="1102" spans="1:2">
      <c r="A1102" s="237">
        <v>486</v>
      </c>
      <c r="B1102" s="238" t="s">
        <v>969</v>
      </c>
    </row>
    <row r="1103" spans="1:2">
      <c r="A1103" s="237">
        <v>494</v>
      </c>
      <c r="B1103" s="238" t="s">
        <v>970</v>
      </c>
    </row>
    <row r="1104" spans="1:2">
      <c r="A1104" s="237">
        <v>497</v>
      </c>
      <c r="B1104" s="238" t="s">
        <v>971</v>
      </c>
    </row>
    <row r="1105" spans="1:2">
      <c r="A1105" s="237">
        <v>498</v>
      </c>
      <c r="B1105" s="238" t="s">
        <v>972</v>
      </c>
    </row>
    <row r="1106" spans="1:2">
      <c r="A1106" s="237">
        <v>520</v>
      </c>
      <c r="B1106" s="238" t="s">
        <v>973</v>
      </c>
    </row>
    <row r="1107" spans="1:2">
      <c r="A1107" s="237">
        <v>573</v>
      </c>
      <c r="B1107" s="238" t="s">
        <v>974</v>
      </c>
    </row>
    <row r="1108" spans="1:2">
      <c r="A1108" s="237">
        <v>588</v>
      </c>
      <c r="B1108" s="238" t="s">
        <v>975</v>
      </c>
    </row>
    <row r="1109" spans="1:2">
      <c r="A1109" s="237">
        <v>589</v>
      </c>
      <c r="B1109" s="238" t="s">
        <v>976</v>
      </c>
    </row>
    <row r="1110" spans="1:2">
      <c r="A1110" s="237">
        <v>591</v>
      </c>
      <c r="B1110" s="238" t="s">
        <v>977</v>
      </c>
    </row>
    <row r="1111" spans="1:2">
      <c r="A1111" s="237">
        <v>597</v>
      </c>
      <c r="B1111" s="238" t="s">
        <v>978</v>
      </c>
    </row>
    <row r="1112" spans="1:2">
      <c r="A1112" s="237">
        <v>653</v>
      </c>
      <c r="B1112" s="238" t="s">
        <v>979</v>
      </c>
    </row>
    <row r="1113" spans="1:2">
      <c r="A1113" s="237">
        <v>665</v>
      </c>
      <c r="B1113" s="238" t="s">
        <v>980</v>
      </c>
    </row>
    <row r="1114" spans="1:2">
      <c r="A1114" s="237">
        <v>677</v>
      </c>
      <c r="B1114" s="238" t="s">
        <v>981</v>
      </c>
    </row>
    <row r="1115" spans="1:2">
      <c r="A1115" s="237">
        <v>693</v>
      </c>
      <c r="B1115" s="238" t="s">
        <v>982</v>
      </c>
    </row>
    <row r="1116" spans="1:2">
      <c r="A1116" s="237">
        <v>720</v>
      </c>
      <c r="B1116" s="238" t="s">
        <v>983</v>
      </c>
    </row>
    <row r="1117" spans="1:2">
      <c r="A1117" s="237">
        <v>721</v>
      </c>
      <c r="B1117" s="238" t="s">
        <v>984</v>
      </c>
    </row>
    <row r="1118" spans="1:2" ht="25.5">
      <c r="A1118" s="237">
        <v>722</v>
      </c>
      <c r="B1118" s="238" t="s">
        <v>985</v>
      </c>
    </row>
    <row r="1119" spans="1:2">
      <c r="A1119" s="237">
        <v>801</v>
      </c>
      <c r="B1119" s="238" t="s">
        <v>986</v>
      </c>
    </row>
    <row r="1120" spans="1:2">
      <c r="A1120" s="237">
        <v>804</v>
      </c>
      <c r="B1120" s="238" t="s">
        <v>987</v>
      </c>
    </row>
    <row r="1121" spans="1:2" ht="25.5">
      <c r="A1121" s="237">
        <v>807</v>
      </c>
      <c r="B1121" s="238" t="s">
        <v>988</v>
      </c>
    </row>
    <row r="1122" spans="1:2">
      <c r="A1122" s="237">
        <v>812</v>
      </c>
      <c r="B1122" s="238" t="s">
        <v>989</v>
      </c>
    </row>
    <row r="1123" spans="1:2">
      <c r="A1123" s="237">
        <v>905</v>
      </c>
      <c r="B1123" s="238" t="s">
        <v>990</v>
      </c>
    </row>
    <row r="1124" spans="1:2">
      <c r="A1124" s="237">
        <v>906</v>
      </c>
      <c r="B1124" s="238" t="s">
        <v>991</v>
      </c>
    </row>
    <row r="1125" spans="1:2">
      <c r="A1125" s="237">
        <v>914</v>
      </c>
      <c r="B1125" s="238" t="s">
        <v>992</v>
      </c>
    </row>
    <row r="1126" spans="1:2">
      <c r="A1126" s="237">
        <v>932</v>
      </c>
      <c r="B1126" s="238" t="s">
        <v>993</v>
      </c>
    </row>
    <row r="1127" spans="1:2">
      <c r="A1127" s="237">
        <v>950</v>
      </c>
      <c r="B1127" s="238" t="s">
        <v>478</v>
      </c>
    </row>
    <row r="1128" spans="1:2">
      <c r="A1128" s="237">
        <v>951</v>
      </c>
      <c r="B1128" s="238" t="s">
        <v>994</v>
      </c>
    </row>
    <row r="1129" spans="1:2">
      <c r="A1129" s="237">
        <v>952</v>
      </c>
      <c r="B1129" s="238" t="s">
        <v>531</v>
      </c>
    </row>
    <row r="1130" spans="1:2">
      <c r="A1130" s="237">
        <v>953</v>
      </c>
      <c r="B1130" s="238" t="s">
        <v>537</v>
      </c>
    </row>
    <row r="1131" spans="1:2">
      <c r="A1131" s="237">
        <v>954</v>
      </c>
      <c r="B1131" s="238" t="s">
        <v>618</v>
      </c>
    </row>
    <row r="1132" spans="1:2">
      <c r="A1132" s="237">
        <v>955</v>
      </c>
      <c r="B1132" s="238" t="s">
        <v>647</v>
      </c>
    </row>
    <row r="1133" spans="1:2">
      <c r="A1133" s="237">
        <v>956</v>
      </c>
      <c r="B1133" s="238" t="s">
        <v>664</v>
      </c>
    </row>
    <row r="1134" spans="1:2">
      <c r="A1134" s="237">
        <v>957</v>
      </c>
      <c r="B1134" s="238" t="s">
        <v>995</v>
      </c>
    </row>
    <row r="1135" spans="1:2">
      <c r="A1135" s="237">
        <v>958</v>
      </c>
      <c r="B1135" s="238" t="s">
        <v>701</v>
      </c>
    </row>
    <row r="1136" spans="1:2">
      <c r="A1136" s="237">
        <v>959</v>
      </c>
      <c r="B1136" s="238" t="s">
        <v>996</v>
      </c>
    </row>
    <row r="1137" spans="1:2">
      <c r="A1137" s="237">
        <v>960</v>
      </c>
      <c r="B1137" s="238" t="s">
        <v>997</v>
      </c>
    </row>
    <row r="1138" spans="1:2">
      <c r="A1138" s="237">
        <v>961</v>
      </c>
      <c r="B1138" s="238" t="s">
        <v>998</v>
      </c>
    </row>
    <row r="1139" spans="1:2">
      <c r="A1139" s="237">
        <v>962</v>
      </c>
      <c r="B1139" s="238" t="s">
        <v>999</v>
      </c>
    </row>
    <row r="1140" spans="1:2">
      <c r="A1140" s="237">
        <v>963</v>
      </c>
      <c r="B1140" s="238" t="s">
        <v>1000</v>
      </c>
    </row>
    <row r="1141" spans="1:2">
      <c r="A1141" s="237">
        <v>964</v>
      </c>
      <c r="B1141" s="238" t="s">
        <v>1001</v>
      </c>
    </row>
    <row r="1142" spans="1:2">
      <c r="A1142" s="237">
        <v>965</v>
      </c>
      <c r="B1142" s="238" t="s">
        <v>1002</v>
      </c>
    </row>
    <row r="1143" spans="1:2">
      <c r="A1143" s="237">
        <v>966</v>
      </c>
      <c r="B1143" s="238" t="s">
        <v>1003</v>
      </c>
    </row>
    <row r="1144" spans="1:2">
      <c r="A1144" s="237">
        <v>967</v>
      </c>
      <c r="B1144" s="238" t="s">
        <v>1004</v>
      </c>
    </row>
    <row r="1145" spans="1:2">
      <c r="A1145" s="237">
        <v>968</v>
      </c>
      <c r="B1145" s="238" t="s">
        <v>1005</v>
      </c>
    </row>
    <row r="1146" spans="1:2">
      <c r="A1146" s="237">
        <v>969</v>
      </c>
      <c r="B1146" s="238" t="s">
        <v>1006</v>
      </c>
    </row>
    <row r="1147" spans="1:2">
      <c r="A1147" s="237">
        <v>970</v>
      </c>
      <c r="B1147" s="238" t="s">
        <v>1007</v>
      </c>
    </row>
    <row r="1148" spans="1:2">
      <c r="A1148" s="237">
        <v>971</v>
      </c>
      <c r="B1148" s="238" t="s">
        <v>1008</v>
      </c>
    </row>
    <row r="1149" spans="1:2">
      <c r="A1149" s="237">
        <v>972</v>
      </c>
      <c r="B1149" s="238" t="s">
        <v>1009</v>
      </c>
    </row>
    <row r="1150" spans="1:2">
      <c r="A1150" s="237">
        <v>973</v>
      </c>
      <c r="B1150" s="238" t="s">
        <v>1010</v>
      </c>
    </row>
    <row r="1151" spans="1:2">
      <c r="A1151" s="237">
        <v>974</v>
      </c>
      <c r="B1151" s="238" t="s">
        <v>1011</v>
      </c>
    </row>
    <row r="1152" spans="1:2">
      <c r="A1152" s="237">
        <v>975</v>
      </c>
      <c r="B1152" s="238" t="s">
        <v>1012</v>
      </c>
    </row>
    <row r="1153" spans="1:2">
      <c r="A1153" s="237">
        <v>976</v>
      </c>
      <c r="B1153" s="238" t="s">
        <v>1013</v>
      </c>
    </row>
    <row r="1154" spans="1:2">
      <c r="A1154" s="237">
        <v>977</v>
      </c>
      <c r="B1154" s="238" t="s">
        <v>1014</v>
      </c>
    </row>
    <row r="1155" spans="1:2">
      <c r="A1155" s="237">
        <v>978</v>
      </c>
      <c r="B1155" s="238" t="s">
        <v>1015</v>
      </c>
    </row>
    <row r="1156" spans="1:2">
      <c r="A1156" s="237">
        <v>979</v>
      </c>
      <c r="B1156" s="238" t="s">
        <v>1016</v>
      </c>
    </row>
    <row r="1157" spans="1:2">
      <c r="A1157" s="237">
        <v>980</v>
      </c>
      <c r="B1157" s="238" t="s">
        <v>1017</v>
      </c>
    </row>
    <row r="1158" spans="1:2">
      <c r="A1158" s="237">
        <v>981</v>
      </c>
      <c r="B1158" s="238" t="s">
        <v>1018</v>
      </c>
    </row>
    <row r="1159" spans="1:2">
      <c r="A1159" s="237">
        <v>982</v>
      </c>
      <c r="B1159" s="238" t="s">
        <v>749</v>
      </c>
    </row>
    <row r="1160" spans="1:2">
      <c r="A1160" s="237">
        <v>983</v>
      </c>
      <c r="B1160" s="238" t="s">
        <v>1019</v>
      </c>
    </row>
    <row r="1161" spans="1:2">
      <c r="A1161" s="237">
        <v>984</v>
      </c>
      <c r="B1161" s="238" t="s">
        <v>1020</v>
      </c>
    </row>
    <row r="1162" spans="1:2">
      <c r="A1162" s="237">
        <v>985</v>
      </c>
      <c r="B1162" s="238" t="s">
        <v>1021</v>
      </c>
    </row>
    <row r="1163" spans="1:2">
      <c r="A1163" s="237">
        <v>986</v>
      </c>
      <c r="B1163" s="238" t="s">
        <v>1022</v>
      </c>
    </row>
    <row r="1164" spans="1:2">
      <c r="A1164" s="237">
        <v>987</v>
      </c>
      <c r="B1164" s="238" t="s">
        <v>1023</v>
      </c>
    </row>
    <row r="1165" spans="1:2">
      <c r="A1165" s="237">
        <v>988</v>
      </c>
      <c r="B1165" s="238" t="s">
        <v>1024</v>
      </c>
    </row>
    <row r="1166" spans="1:2">
      <c r="A1166" s="237">
        <v>989</v>
      </c>
      <c r="B1166" s="238" t="s">
        <v>1025</v>
      </c>
    </row>
    <row r="1167" spans="1:2">
      <c r="A1167" s="234">
        <v>995</v>
      </c>
      <c r="B1167" s="233" t="s">
        <v>1022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/>
  <cols>
    <col min="1" max="1" width="7" style="247" bestFit="1" customWidth="1"/>
    <col min="2" max="2" width="106.140625" style="248" customWidth="1"/>
    <col min="3" max="16384" width="31.85546875" style="239"/>
  </cols>
  <sheetData>
    <row r="1" spans="1:2" s="249" customFormat="1" hidden="1">
      <c r="A1" s="247"/>
      <c r="B1" s="250"/>
    </row>
    <row r="2" spans="1:2" hidden="1"/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2" hidden="1"/>
    <row r="98" spans="2:2" hidden="1"/>
    <row r="99" spans="2:2" hidden="1">
      <c r="B99" s="239"/>
    </row>
    <row r="100" spans="2:2" hidden="1"/>
    <row r="101" spans="2:2" hidden="1"/>
    <row r="102" spans="2:2" hidden="1"/>
    <row r="103" spans="2:2" hidden="1"/>
    <row r="104" spans="2:2" hidden="1"/>
    <row r="105" spans="2:2" hidden="1"/>
    <row r="106" spans="2:2" hidden="1"/>
    <row r="107" spans="2:2" hidden="1"/>
    <row r="108" spans="2:2" hidden="1"/>
    <row r="109" spans="2:2" hidden="1"/>
    <row r="110" spans="2:2" hidden="1"/>
    <row r="111" spans="2:2" hidden="1"/>
    <row r="112" spans="2: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spans="1:3" hidden="1"/>
    <row r="1394" spans="1:3" hidden="1"/>
    <row r="1395" spans="1:3" hidden="1"/>
    <row r="1396" spans="1:3" hidden="1"/>
    <row r="1397" spans="1:3" hidden="1"/>
    <row r="1398" spans="1:3" hidden="1"/>
    <row r="1399" spans="1:3" hidden="1"/>
    <row r="1400" spans="1:3">
      <c r="A1400" s="251">
        <v>100</v>
      </c>
      <c r="B1400" s="252" t="s">
        <v>179</v>
      </c>
      <c r="C1400" s="248"/>
    </row>
    <row r="1401" spans="1:3">
      <c r="A1401" s="253">
        <v>101</v>
      </c>
      <c r="B1401" s="254" t="s">
        <v>180</v>
      </c>
      <c r="C1401" s="248"/>
    </row>
    <row r="1402" spans="1:3">
      <c r="A1402" s="253">
        <v>102</v>
      </c>
      <c r="B1402" s="255" t="s">
        <v>181</v>
      </c>
      <c r="C1402" s="248"/>
    </row>
    <row r="1403" spans="1:3" ht="25.5">
      <c r="A1403" s="253">
        <v>103</v>
      </c>
      <c r="B1403" s="255" t="s">
        <v>182</v>
      </c>
      <c r="C1403" s="248"/>
    </row>
    <row r="1404" spans="1:3" ht="25.5">
      <c r="A1404" s="253">
        <v>104</v>
      </c>
      <c r="B1404" s="255" t="s">
        <v>183</v>
      </c>
      <c r="C1404" s="248"/>
    </row>
    <row r="1405" spans="1:3">
      <c r="A1405" s="253">
        <v>105</v>
      </c>
      <c r="B1405" s="255" t="s">
        <v>184</v>
      </c>
      <c r="C1405" s="248"/>
    </row>
    <row r="1406" spans="1:3" ht="25.5">
      <c r="A1406" s="253">
        <v>106</v>
      </c>
      <c r="B1406" s="255" t="s">
        <v>185</v>
      </c>
      <c r="C1406" s="248"/>
    </row>
    <row r="1407" spans="1:3">
      <c r="A1407" s="253">
        <v>107</v>
      </c>
      <c r="B1407" s="255" t="s">
        <v>186</v>
      </c>
      <c r="C1407" s="248"/>
    </row>
    <row r="1408" spans="1:3">
      <c r="A1408" s="253">
        <v>108</v>
      </c>
      <c r="B1408" s="255" t="s">
        <v>187</v>
      </c>
      <c r="C1408" s="248"/>
    </row>
    <row r="1409" spans="1:3">
      <c r="A1409" s="253">
        <v>109</v>
      </c>
      <c r="B1409" s="255" t="s">
        <v>188</v>
      </c>
      <c r="C1409" s="248"/>
    </row>
    <row r="1410" spans="1:3">
      <c r="A1410" s="253">
        <v>110</v>
      </c>
      <c r="B1410" s="255" t="s">
        <v>189</v>
      </c>
      <c r="C1410" s="248"/>
    </row>
    <row r="1411" spans="1:3">
      <c r="A1411" s="253">
        <v>111</v>
      </c>
      <c r="B1411" s="255" t="s">
        <v>190</v>
      </c>
      <c r="C1411" s="248"/>
    </row>
    <row r="1412" spans="1:3">
      <c r="A1412" s="253">
        <v>112</v>
      </c>
      <c r="B1412" s="255" t="s">
        <v>191</v>
      </c>
      <c r="C1412" s="248"/>
    </row>
    <row r="1413" spans="1:3">
      <c r="A1413" s="253">
        <v>113</v>
      </c>
      <c r="B1413" s="255" t="s">
        <v>192</v>
      </c>
      <c r="C1413" s="248"/>
    </row>
    <row r="1414" spans="1:3">
      <c r="A1414" s="251">
        <v>200</v>
      </c>
      <c r="B1414" s="256" t="s">
        <v>193</v>
      </c>
      <c r="C1414" s="248"/>
    </row>
    <row r="1415" spans="1:3">
      <c r="A1415" s="253">
        <v>201</v>
      </c>
      <c r="B1415" s="255" t="s">
        <v>194</v>
      </c>
      <c r="C1415" s="248"/>
    </row>
    <row r="1416" spans="1:3">
      <c r="A1416" s="253">
        <v>202</v>
      </c>
      <c r="B1416" s="255" t="s">
        <v>195</v>
      </c>
      <c r="C1416" s="248"/>
    </row>
    <row r="1417" spans="1:3">
      <c r="A1417" s="253">
        <v>203</v>
      </c>
      <c r="B1417" s="255" t="s">
        <v>196</v>
      </c>
      <c r="C1417" s="248"/>
    </row>
    <row r="1418" spans="1:3">
      <c r="A1418" s="253">
        <v>204</v>
      </c>
      <c r="B1418" s="255" t="s">
        <v>197</v>
      </c>
      <c r="C1418" s="248"/>
    </row>
    <row r="1419" spans="1:3">
      <c r="A1419" s="253">
        <v>205</v>
      </c>
      <c r="B1419" s="255" t="s">
        <v>198</v>
      </c>
      <c r="C1419" s="248"/>
    </row>
    <row r="1420" spans="1:3">
      <c r="A1420" s="253">
        <v>206</v>
      </c>
      <c r="B1420" s="255" t="s">
        <v>199</v>
      </c>
      <c r="C1420" s="248"/>
    </row>
    <row r="1421" spans="1:3">
      <c r="A1421" s="253">
        <v>207</v>
      </c>
      <c r="B1421" s="255" t="s">
        <v>200</v>
      </c>
      <c r="C1421" s="248"/>
    </row>
    <row r="1422" spans="1:3">
      <c r="A1422" s="253">
        <v>208</v>
      </c>
      <c r="B1422" s="255" t="s">
        <v>201</v>
      </c>
      <c r="C1422" s="248"/>
    </row>
    <row r="1423" spans="1:3">
      <c r="A1423" s="253">
        <v>209</v>
      </c>
      <c r="B1423" s="255" t="s">
        <v>202</v>
      </c>
      <c r="C1423" s="248"/>
    </row>
    <row r="1424" spans="1:3">
      <c r="A1424" s="251">
        <v>300</v>
      </c>
      <c r="B1424" s="256" t="s">
        <v>203</v>
      </c>
      <c r="C1424" s="248"/>
    </row>
    <row r="1425" spans="1:3">
      <c r="A1425" s="253">
        <v>301</v>
      </c>
      <c r="B1425" s="255" t="s">
        <v>1126</v>
      </c>
      <c r="C1425" s="248"/>
    </row>
    <row r="1426" spans="1:3">
      <c r="A1426" s="253">
        <v>302</v>
      </c>
      <c r="B1426" s="255" t="s">
        <v>1127</v>
      </c>
      <c r="C1426" s="248"/>
    </row>
    <row r="1427" spans="1:3">
      <c r="A1427" s="253">
        <v>303</v>
      </c>
      <c r="B1427" s="255" t="s">
        <v>204</v>
      </c>
      <c r="C1427" s="248"/>
    </row>
    <row r="1428" spans="1:3">
      <c r="A1428" s="253">
        <v>304</v>
      </c>
      <c r="B1428" s="255" t="s">
        <v>205</v>
      </c>
      <c r="C1428" s="248"/>
    </row>
    <row r="1429" spans="1:3">
      <c r="A1429" s="253">
        <v>305</v>
      </c>
      <c r="B1429" s="255" t="s">
        <v>206</v>
      </c>
      <c r="C1429" s="248"/>
    </row>
    <row r="1430" spans="1:3">
      <c r="A1430" s="253">
        <v>306</v>
      </c>
      <c r="B1430" s="255" t="s">
        <v>207</v>
      </c>
      <c r="C1430" s="248"/>
    </row>
    <row r="1431" spans="1:3">
      <c r="A1431" s="253">
        <v>307</v>
      </c>
      <c r="B1431" s="255" t="s">
        <v>208</v>
      </c>
      <c r="C1431" s="248"/>
    </row>
    <row r="1432" spans="1:3">
      <c r="A1432" s="253">
        <v>308</v>
      </c>
      <c r="B1432" s="255" t="s">
        <v>209</v>
      </c>
      <c r="C1432" s="248"/>
    </row>
    <row r="1433" spans="1:3" ht="25.5">
      <c r="A1433" s="253">
        <v>309</v>
      </c>
      <c r="B1433" s="255" t="s">
        <v>210</v>
      </c>
      <c r="C1433" s="248"/>
    </row>
    <row r="1434" spans="1:3">
      <c r="A1434" s="253">
        <v>310</v>
      </c>
      <c r="B1434" s="255" t="s">
        <v>211</v>
      </c>
      <c r="C1434" s="248"/>
    </row>
    <row r="1435" spans="1:3">
      <c r="A1435" s="253">
        <v>311</v>
      </c>
      <c r="B1435" s="255" t="s">
        <v>212</v>
      </c>
      <c r="C1435" s="248"/>
    </row>
    <row r="1436" spans="1:3">
      <c r="A1436" s="253">
        <v>312</v>
      </c>
      <c r="B1436" s="255" t="s">
        <v>213</v>
      </c>
      <c r="C1436" s="248"/>
    </row>
    <row r="1437" spans="1:3">
      <c r="A1437" s="253">
        <v>313</v>
      </c>
      <c r="B1437" s="255" t="s">
        <v>214</v>
      </c>
      <c r="C1437" s="248"/>
    </row>
    <row r="1438" spans="1:3">
      <c r="A1438" s="253">
        <v>314</v>
      </c>
      <c r="B1438" s="255" t="s">
        <v>215</v>
      </c>
      <c r="C1438" s="248"/>
    </row>
    <row r="1439" spans="1:3">
      <c r="A1439" s="251">
        <v>400</v>
      </c>
      <c r="B1439" s="256" t="s">
        <v>216</v>
      </c>
      <c r="C1439" s="248"/>
    </row>
    <row r="1440" spans="1:3">
      <c r="A1440" s="253">
        <v>401</v>
      </c>
      <c r="B1440" s="257" t="s">
        <v>217</v>
      </c>
      <c r="C1440" s="248"/>
    </row>
    <row r="1441" spans="1:3">
      <c r="A1441" s="253">
        <v>402</v>
      </c>
      <c r="B1441" s="254" t="s">
        <v>218</v>
      </c>
      <c r="C1441" s="248"/>
    </row>
    <row r="1442" spans="1:3">
      <c r="A1442" s="253">
        <v>403</v>
      </c>
      <c r="B1442" s="255" t="s">
        <v>219</v>
      </c>
      <c r="C1442" s="248"/>
    </row>
    <row r="1443" spans="1:3">
      <c r="A1443" s="253">
        <v>404</v>
      </c>
      <c r="B1443" s="255" t="s">
        <v>220</v>
      </c>
      <c r="C1443" s="248"/>
    </row>
    <row r="1444" spans="1:3">
      <c r="A1444" s="253">
        <v>405</v>
      </c>
      <c r="B1444" s="255" t="s">
        <v>221</v>
      </c>
      <c r="C1444" s="248"/>
    </row>
    <row r="1445" spans="1:3">
      <c r="A1445" s="253">
        <v>406</v>
      </c>
      <c r="B1445" s="255" t="s">
        <v>222</v>
      </c>
      <c r="C1445" s="248"/>
    </row>
    <row r="1446" spans="1:3">
      <c r="A1446" s="253">
        <v>407</v>
      </c>
      <c r="B1446" s="255" t="s">
        <v>223</v>
      </c>
      <c r="C1446" s="248"/>
    </row>
    <row r="1447" spans="1:3">
      <c r="A1447" s="253">
        <v>408</v>
      </c>
      <c r="B1447" s="255" t="s">
        <v>224</v>
      </c>
      <c r="C1447" s="248"/>
    </row>
    <row r="1448" spans="1:3">
      <c r="A1448" s="253">
        <v>409</v>
      </c>
      <c r="B1448" s="255" t="s">
        <v>225</v>
      </c>
      <c r="C1448" s="248"/>
    </row>
    <row r="1449" spans="1:3">
      <c r="A1449" s="253">
        <v>410</v>
      </c>
      <c r="B1449" s="255" t="s">
        <v>226</v>
      </c>
      <c r="C1449" s="248"/>
    </row>
    <row r="1450" spans="1:3">
      <c r="A1450" s="253">
        <v>411</v>
      </c>
      <c r="B1450" s="255" t="s">
        <v>227</v>
      </c>
      <c r="C1450" s="248"/>
    </row>
    <row r="1451" spans="1:3">
      <c r="A1451" s="253">
        <v>412</v>
      </c>
      <c r="B1451" s="255" t="s">
        <v>228</v>
      </c>
      <c r="C1451" s="248"/>
    </row>
    <row r="1452" spans="1:3">
      <c r="A1452" s="251">
        <v>500</v>
      </c>
      <c r="B1452" s="256" t="s">
        <v>229</v>
      </c>
      <c r="C1452" s="248"/>
    </row>
    <row r="1453" spans="1:3">
      <c r="A1453" s="253">
        <v>501</v>
      </c>
      <c r="B1453" s="255" t="s">
        <v>230</v>
      </c>
      <c r="C1453" s="248"/>
    </row>
    <row r="1454" spans="1:3">
      <c r="A1454" s="253">
        <v>502</v>
      </c>
      <c r="B1454" s="255" t="s">
        <v>231</v>
      </c>
      <c r="C1454" s="248"/>
    </row>
    <row r="1455" spans="1:3">
      <c r="A1455" s="253">
        <v>503</v>
      </c>
      <c r="B1455" s="254" t="s">
        <v>232</v>
      </c>
      <c r="C1455" s="248"/>
    </row>
    <row r="1456" spans="1:3">
      <c r="A1456" s="253">
        <v>504</v>
      </c>
      <c r="B1456" s="255" t="s">
        <v>233</v>
      </c>
      <c r="C1456" s="248"/>
    </row>
    <row r="1457" spans="1:3">
      <c r="A1457" s="253">
        <v>505</v>
      </c>
      <c r="B1457" s="255" t="s">
        <v>234</v>
      </c>
      <c r="C1457" s="248"/>
    </row>
    <row r="1458" spans="1:3">
      <c r="A1458" s="251">
        <v>600</v>
      </c>
      <c r="B1458" s="258" t="s">
        <v>235</v>
      </c>
      <c r="C1458" s="248"/>
    </row>
    <row r="1459" spans="1:3">
      <c r="A1459" s="253">
        <v>601</v>
      </c>
      <c r="B1459" s="254" t="s">
        <v>236</v>
      </c>
      <c r="C1459" s="248"/>
    </row>
    <row r="1460" spans="1:3">
      <c r="A1460" s="253">
        <v>602</v>
      </c>
      <c r="B1460" s="255" t="s">
        <v>237</v>
      </c>
      <c r="C1460" s="248"/>
    </row>
    <row r="1461" spans="1:3">
      <c r="A1461" s="253">
        <v>603</v>
      </c>
      <c r="B1461" s="255" t="s">
        <v>238</v>
      </c>
      <c r="C1461" s="248"/>
    </row>
    <row r="1462" spans="1:3">
      <c r="A1462" s="253">
        <v>604</v>
      </c>
      <c r="B1462" s="255" t="s">
        <v>239</v>
      </c>
      <c r="C1462" s="248"/>
    </row>
    <row r="1463" spans="1:3">
      <c r="A1463" s="253">
        <v>605</v>
      </c>
      <c r="B1463" s="255" t="s">
        <v>240</v>
      </c>
      <c r="C1463" s="248"/>
    </row>
    <row r="1464" spans="1:3">
      <c r="A1464" s="251">
        <v>700</v>
      </c>
      <c r="B1464" s="258" t="s">
        <v>241</v>
      </c>
      <c r="C1464" s="248"/>
    </row>
    <row r="1465" spans="1:3">
      <c r="A1465" s="253">
        <v>701</v>
      </c>
      <c r="B1465" s="255" t="s">
        <v>242</v>
      </c>
      <c r="C1465" s="248"/>
    </row>
    <row r="1466" spans="1:3">
      <c r="A1466" s="253">
        <v>702</v>
      </c>
      <c r="B1466" s="255" t="s">
        <v>243</v>
      </c>
      <c r="C1466" s="248"/>
    </row>
    <row r="1467" spans="1:3">
      <c r="A1467" s="253">
        <v>703</v>
      </c>
      <c r="B1467" s="255" t="s">
        <v>1224</v>
      </c>
      <c r="C1467" s="248"/>
    </row>
    <row r="1468" spans="1:3">
      <c r="A1468" s="253">
        <v>704</v>
      </c>
      <c r="B1468" s="255" t="s">
        <v>244</v>
      </c>
      <c r="C1468" s="248"/>
    </row>
    <row r="1469" spans="1:3">
      <c r="A1469" s="253">
        <v>705</v>
      </c>
      <c r="B1469" s="255" t="s">
        <v>245</v>
      </c>
      <c r="C1469" s="248"/>
    </row>
    <row r="1470" spans="1:3">
      <c r="A1470" s="259">
        <v>706</v>
      </c>
      <c r="B1470" s="260" t="s">
        <v>246</v>
      </c>
      <c r="C1470" s="248"/>
    </row>
    <row r="1471" spans="1:3">
      <c r="A1471" s="253">
        <v>707</v>
      </c>
      <c r="B1471" s="255" t="s">
        <v>1225</v>
      </c>
      <c r="C1471" s="248"/>
    </row>
    <row r="1472" spans="1:3">
      <c r="A1472" s="253">
        <v>708</v>
      </c>
      <c r="B1472" s="255" t="s">
        <v>247</v>
      </c>
      <c r="C1472" s="248"/>
    </row>
    <row r="1473" spans="1:3">
      <c r="A1473" s="253">
        <v>709</v>
      </c>
      <c r="B1473" s="255" t="s">
        <v>248</v>
      </c>
      <c r="C1473" s="248"/>
    </row>
    <row r="1474" spans="1:3">
      <c r="A1474" s="251">
        <v>800</v>
      </c>
      <c r="B1474" s="258" t="s">
        <v>249</v>
      </c>
      <c r="C1474" s="248"/>
    </row>
    <row r="1475" spans="1:3">
      <c r="A1475" s="253">
        <v>801</v>
      </c>
      <c r="B1475" s="255" t="s">
        <v>250</v>
      </c>
      <c r="C1475" s="248"/>
    </row>
    <row r="1476" spans="1:3">
      <c r="A1476" s="253">
        <v>802</v>
      </c>
      <c r="B1476" s="255" t="s">
        <v>251</v>
      </c>
      <c r="C1476" s="248"/>
    </row>
    <row r="1477" spans="1:3">
      <c r="A1477" s="253">
        <v>803</v>
      </c>
      <c r="B1477" s="255" t="s">
        <v>252</v>
      </c>
      <c r="C1477" s="248"/>
    </row>
    <row r="1478" spans="1:3">
      <c r="A1478" s="253">
        <v>804</v>
      </c>
      <c r="B1478" s="255" t="s">
        <v>253</v>
      </c>
      <c r="C1478" s="248"/>
    </row>
    <row r="1479" spans="1:3">
      <c r="A1479" s="251">
        <v>900</v>
      </c>
      <c r="B1479" s="258" t="s">
        <v>254</v>
      </c>
      <c r="C1479" s="248"/>
    </row>
    <row r="1480" spans="1:3">
      <c r="A1480" s="253">
        <v>901</v>
      </c>
      <c r="B1480" s="255" t="s">
        <v>255</v>
      </c>
      <c r="C1480" s="248"/>
    </row>
    <row r="1481" spans="1:3">
      <c r="A1481" s="253">
        <v>902</v>
      </c>
      <c r="B1481" s="255" t="s">
        <v>256</v>
      </c>
      <c r="C1481" s="248"/>
    </row>
    <row r="1482" spans="1:3">
      <c r="A1482" s="253">
        <v>903</v>
      </c>
      <c r="B1482" s="255" t="s">
        <v>257</v>
      </c>
      <c r="C1482" s="248"/>
    </row>
    <row r="1483" spans="1:3">
      <c r="A1483" s="253">
        <v>904</v>
      </c>
      <c r="B1483" s="255" t="s">
        <v>258</v>
      </c>
      <c r="C1483" s="248"/>
    </row>
    <row r="1484" spans="1:3">
      <c r="A1484" s="253">
        <v>905</v>
      </c>
      <c r="B1484" s="261" t="s">
        <v>259</v>
      </c>
      <c r="C1484" s="248"/>
    </row>
    <row r="1485" spans="1:3">
      <c r="A1485" s="253">
        <v>906</v>
      </c>
      <c r="B1485" s="261" t="s">
        <v>260</v>
      </c>
      <c r="C1485" s="248"/>
    </row>
    <row r="1486" spans="1:3">
      <c r="A1486" s="253">
        <v>907</v>
      </c>
      <c r="B1486" s="255" t="s">
        <v>261</v>
      </c>
      <c r="C1486" s="248"/>
    </row>
    <row r="1487" spans="1:3">
      <c r="A1487" s="253">
        <v>908</v>
      </c>
      <c r="B1487" s="254" t="s">
        <v>262</v>
      </c>
      <c r="C1487" s="248"/>
    </row>
    <row r="1488" spans="1:3">
      <c r="A1488" s="253">
        <v>909</v>
      </c>
      <c r="B1488" s="255" t="s">
        <v>263</v>
      </c>
      <c r="C1488" s="248"/>
    </row>
    <row r="1489" spans="1:3">
      <c r="A1489" s="251">
        <v>1000</v>
      </c>
      <c r="B1489" s="258" t="s">
        <v>264</v>
      </c>
      <c r="C1489" s="248"/>
    </row>
    <row r="1490" spans="1:3">
      <c r="A1490" s="253">
        <v>1001</v>
      </c>
      <c r="B1490" s="255" t="s">
        <v>265</v>
      </c>
      <c r="C1490" s="248"/>
    </row>
    <row r="1491" spans="1:3">
      <c r="A1491" s="253">
        <v>1002</v>
      </c>
      <c r="B1491" s="255" t="s">
        <v>266</v>
      </c>
      <c r="C1491" s="248"/>
    </row>
    <row r="1492" spans="1:3">
      <c r="A1492" s="253">
        <v>1003</v>
      </c>
      <c r="B1492" s="255" t="s">
        <v>267</v>
      </c>
      <c r="C1492" s="248"/>
    </row>
    <row r="1493" spans="1:3">
      <c r="A1493" s="253">
        <v>1004</v>
      </c>
      <c r="B1493" s="254" t="s">
        <v>268</v>
      </c>
      <c r="C1493" s="248"/>
    </row>
    <row r="1494" spans="1:3">
      <c r="A1494" s="253">
        <v>1005</v>
      </c>
      <c r="B1494" s="255" t="s">
        <v>269</v>
      </c>
      <c r="C1494" s="248"/>
    </row>
    <row r="1495" spans="1:3">
      <c r="A1495" s="253">
        <v>1006</v>
      </c>
      <c r="B1495" s="255" t="s">
        <v>270</v>
      </c>
      <c r="C1495" s="248"/>
    </row>
    <row r="1496" spans="1:3">
      <c r="A1496" s="251">
        <v>1100</v>
      </c>
      <c r="B1496" s="258" t="s">
        <v>271</v>
      </c>
      <c r="C1496" s="248"/>
    </row>
    <row r="1497" spans="1:3">
      <c r="A1497" s="253">
        <v>1101</v>
      </c>
      <c r="B1497" s="255" t="s">
        <v>272</v>
      </c>
      <c r="C1497" s="248"/>
    </row>
    <row r="1498" spans="1:3">
      <c r="A1498" s="253">
        <v>1102</v>
      </c>
      <c r="B1498" s="261" t="s">
        <v>273</v>
      </c>
      <c r="C1498" s="248"/>
    </row>
    <row r="1499" spans="1:3">
      <c r="A1499" s="253">
        <v>1103</v>
      </c>
      <c r="B1499" s="255" t="s">
        <v>274</v>
      </c>
      <c r="C1499" s="248"/>
    </row>
    <row r="1500" spans="1:3">
      <c r="A1500" s="253">
        <v>1104</v>
      </c>
      <c r="B1500" s="255" t="s">
        <v>275</v>
      </c>
      <c r="C1500" s="248"/>
    </row>
    <row r="1501" spans="1:3">
      <c r="A1501" s="253">
        <v>1105</v>
      </c>
      <c r="B1501" s="255" t="s">
        <v>276</v>
      </c>
      <c r="C1501" s="248"/>
    </row>
    <row r="1502" spans="1:3">
      <c r="A1502" s="251">
        <v>1200</v>
      </c>
      <c r="B1502" s="258" t="s">
        <v>277</v>
      </c>
    </row>
    <row r="1503" spans="1:3">
      <c r="A1503" s="253">
        <v>1201</v>
      </c>
      <c r="B1503" s="255" t="s">
        <v>278</v>
      </c>
    </row>
    <row r="1504" spans="1:3">
      <c r="A1504" s="253">
        <v>1202</v>
      </c>
      <c r="B1504" s="255" t="s">
        <v>279</v>
      </c>
    </row>
    <row r="1505" spans="1:2">
      <c r="A1505" s="253">
        <v>1203</v>
      </c>
      <c r="B1505" s="255" t="s">
        <v>280</v>
      </c>
    </row>
    <row r="1506" spans="1:2">
      <c r="A1506" s="253">
        <v>1204</v>
      </c>
      <c r="B1506" s="255" t="s">
        <v>281</v>
      </c>
    </row>
    <row r="1507" spans="1:2">
      <c r="A1507" s="251">
        <v>1300</v>
      </c>
      <c r="B1507" s="258" t="s">
        <v>282</v>
      </c>
    </row>
    <row r="1508" spans="1:2">
      <c r="A1508" s="253">
        <v>1301</v>
      </c>
      <c r="B1508" s="255" t="s">
        <v>283</v>
      </c>
    </row>
    <row r="1509" spans="1:2">
      <c r="A1509" s="253">
        <v>1302</v>
      </c>
      <c r="B1509" s="255" t="s">
        <v>284</v>
      </c>
    </row>
    <row r="1510" spans="1:2" ht="25.5">
      <c r="A1510" s="251">
        <v>1400</v>
      </c>
      <c r="B1510" s="258" t="s">
        <v>285</v>
      </c>
    </row>
    <row r="1511" spans="1:2">
      <c r="A1511" s="253">
        <v>1401</v>
      </c>
      <c r="B1511" s="255" t="s">
        <v>286</v>
      </c>
    </row>
    <row r="1512" spans="1:2">
      <c r="A1512" s="253">
        <v>1402</v>
      </c>
      <c r="B1512" s="255" t="s">
        <v>287</v>
      </c>
    </row>
    <row r="1513" spans="1:2" ht="25.5">
      <c r="A1513" s="253">
        <v>1403</v>
      </c>
      <c r="B1513" s="255" t="s">
        <v>288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151"/>
  <sheetViews>
    <sheetView topLeftCell="A26" workbookViewId="0">
      <selection activeCell="B45" sqref="B45"/>
    </sheetView>
  </sheetViews>
  <sheetFormatPr defaultColWidth="9.140625" defaultRowHeight="15.75"/>
  <cols>
    <col min="1" max="1" width="19.5703125" style="270" customWidth="1"/>
    <col min="2" max="2" width="81.7109375" style="270" customWidth="1"/>
    <col min="3" max="16384" width="9.140625" style="270"/>
  </cols>
  <sheetData>
    <row r="1" spans="1:2" ht="16.5" thickBot="1">
      <c r="A1" s="271" t="s">
        <v>754</v>
      </c>
      <c r="B1" s="272" t="s">
        <v>1220</v>
      </c>
    </row>
    <row r="2" spans="1:2" ht="32.25" thickBot="1">
      <c r="A2" s="273" t="s">
        <v>569</v>
      </c>
      <c r="B2" s="274" t="s">
        <v>568</v>
      </c>
    </row>
    <row r="3" spans="1:2" s="275" customFormat="1">
      <c r="A3" s="276" t="s">
        <v>676</v>
      </c>
      <c r="B3" s="277" t="s">
        <v>675</v>
      </c>
    </row>
    <row r="4" spans="1:2" ht="31.5">
      <c r="A4" s="278" t="s">
        <v>678</v>
      </c>
      <c r="B4" s="279" t="s">
        <v>677</v>
      </c>
    </row>
    <row r="5" spans="1:2" ht="31.5">
      <c r="A5" s="278" t="s">
        <v>1300</v>
      </c>
      <c r="B5" s="279" t="s">
        <v>1301</v>
      </c>
    </row>
    <row r="6" spans="1:2" s="275" customFormat="1" ht="47.25">
      <c r="A6" s="280" t="s">
        <v>571</v>
      </c>
      <c r="B6" s="281" t="s">
        <v>570</v>
      </c>
    </row>
    <row r="7" spans="1:2" ht="47.25">
      <c r="A7" s="278" t="s">
        <v>573</v>
      </c>
      <c r="B7" s="279" t="s">
        <v>572</v>
      </c>
    </row>
    <row r="8" spans="1:2" s="275" customFormat="1" ht="31.5">
      <c r="A8" s="280" t="s">
        <v>576</v>
      </c>
      <c r="B8" s="281" t="s">
        <v>575</v>
      </c>
    </row>
    <row r="9" spans="1:2">
      <c r="A9" s="278" t="s">
        <v>578</v>
      </c>
      <c r="B9" s="279" t="s">
        <v>577</v>
      </c>
    </row>
    <row r="10" spans="1:2" s="275" customFormat="1" ht="31.5">
      <c r="A10" s="280" t="s">
        <v>671</v>
      </c>
      <c r="B10" s="281" t="s">
        <v>670</v>
      </c>
    </row>
    <row r="11" spans="1:2">
      <c r="A11" s="278" t="s">
        <v>673</v>
      </c>
      <c r="B11" s="279" t="s">
        <v>672</v>
      </c>
    </row>
    <row r="12" spans="1:2">
      <c r="A12" s="278" t="s">
        <v>690</v>
      </c>
      <c r="B12" s="279" t="s">
        <v>689</v>
      </c>
    </row>
    <row r="13" spans="1:2">
      <c r="A13" s="278" t="s">
        <v>695</v>
      </c>
      <c r="B13" s="279" t="s">
        <v>694</v>
      </c>
    </row>
    <row r="14" spans="1:2">
      <c r="A14" s="278" t="s">
        <v>698</v>
      </c>
      <c r="B14" s="279" t="s">
        <v>697</v>
      </c>
    </row>
    <row r="15" spans="1:2" s="275" customFormat="1" ht="31.5">
      <c r="A15" s="280" t="s">
        <v>666</v>
      </c>
      <c r="B15" s="281" t="s">
        <v>665</v>
      </c>
    </row>
    <row r="16" spans="1:2" ht="16.5" thickBot="1">
      <c r="A16" s="282" t="s">
        <v>668</v>
      </c>
      <c r="B16" s="283" t="s">
        <v>667</v>
      </c>
    </row>
    <row r="17" spans="1:2" ht="32.25" thickBot="1">
      <c r="A17" s="273" t="s">
        <v>539</v>
      </c>
      <c r="B17" s="284" t="s">
        <v>538</v>
      </c>
    </row>
    <row r="18" spans="1:2" s="275" customFormat="1" ht="31.5">
      <c r="A18" s="276" t="s">
        <v>541</v>
      </c>
      <c r="B18" s="277" t="s">
        <v>540</v>
      </c>
    </row>
    <row r="19" spans="1:2" ht="31.5">
      <c r="A19" s="278" t="s">
        <v>542</v>
      </c>
      <c r="B19" s="279" t="s">
        <v>1251</v>
      </c>
    </row>
    <row r="20" spans="1:2" ht="31.5">
      <c r="A20" s="278" t="s">
        <v>582</v>
      </c>
      <c r="B20" s="279" t="s">
        <v>1252</v>
      </c>
    </row>
    <row r="21" spans="1:2" ht="31.5">
      <c r="A21" s="278" t="s">
        <v>605</v>
      </c>
      <c r="B21" s="279" t="s">
        <v>1253</v>
      </c>
    </row>
    <row r="22" spans="1:2">
      <c r="A22" s="380" t="s">
        <v>584</v>
      </c>
      <c r="B22" s="381" t="s">
        <v>1255</v>
      </c>
    </row>
    <row r="23" spans="1:2" ht="47.25">
      <c r="A23" s="380" t="s">
        <v>561</v>
      </c>
      <c r="B23" s="381" t="s">
        <v>1257</v>
      </c>
    </row>
    <row r="24" spans="1:2" ht="31.5">
      <c r="A24" s="380" t="s">
        <v>590</v>
      </c>
      <c r="B24" s="381" t="s">
        <v>1258</v>
      </c>
    </row>
    <row r="25" spans="1:2">
      <c r="A25" s="380" t="s">
        <v>1254</v>
      </c>
      <c r="B25" s="381" t="s">
        <v>1829</v>
      </c>
    </row>
    <row r="26" spans="1:2">
      <c r="A26" s="380" t="s">
        <v>1259</v>
      </c>
      <c r="B26" s="381" t="s">
        <v>1260</v>
      </c>
    </row>
    <row r="27" spans="1:2">
      <c r="A27" s="380" t="s">
        <v>1256</v>
      </c>
      <c r="B27" s="381" t="s">
        <v>589</v>
      </c>
    </row>
    <row r="28" spans="1:2" ht="31.5">
      <c r="A28" s="380" t="s">
        <v>592</v>
      </c>
      <c r="B28" s="382" t="s">
        <v>1299</v>
      </c>
    </row>
    <row r="29" spans="1:2" ht="31.5">
      <c r="A29" s="282" t="s">
        <v>594</v>
      </c>
      <c r="B29" s="285" t="s">
        <v>593</v>
      </c>
    </row>
    <row r="30" spans="1:2" ht="31.5">
      <c r="A30" s="282" t="s">
        <v>559</v>
      </c>
      <c r="B30" s="286" t="s">
        <v>558</v>
      </c>
    </row>
    <row r="31" spans="1:2" ht="47.25">
      <c r="A31" s="282" t="s">
        <v>615</v>
      </c>
      <c r="B31" s="285" t="s">
        <v>1401</v>
      </c>
    </row>
    <row r="32" spans="1:2" ht="31.5">
      <c r="A32" s="282" t="s">
        <v>560</v>
      </c>
      <c r="B32" s="285" t="s">
        <v>1402</v>
      </c>
    </row>
    <row r="33" spans="1:2" ht="16.5" thickBot="1">
      <c r="A33" s="287" t="s">
        <v>596</v>
      </c>
      <c r="B33" s="288" t="s">
        <v>1298</v>
      </c>
    </row>
    <row r="34" spans="1:2" ht="32.25" thickBot="1">
      <c r="A34" s="273" t="s">
        <v>548</v>
      </c>
      <c r="B34" s="284" t="s">
        <v>547</v>
      </c>
    </row>
    <row r="35" spans="1:2" ht="31.5">
      <c r="A35" s="289" t="s">
        <v>620</v>
      </c>
      <c r="B35" s="277" t="s">
        <v>619</v>
      </c>
    </row>
    <row r="36" spans="1:2" ht="31.5">
      <c r="A36" s="290" t="s">
        <v>622</v>
      </c>
      <c r="B36" s="291" t="s">
        <v>621</v>
      </c>
    </row>
    <row r="37" spans="1:2" ht="31.5">
      <c r="A37" s="290" t="s">
        <v>625</v>
      </c>
      <c r="B37" s="291" t="s">
        <v>624</v>
      </c>
    </row>
    <row r="38" spans="1:2" ht="31.5">
      <c r="A38" s="290" t="s">
        <v>640</v>
      </c>
      <c r="B38" s="291" t="s">
        <v>639</v>
      </c>
    </row>
    <row r="39" spans="1:2">
      <c r="A39" s="395" t="s">
        <v>1408</v>
      </c>
      <c r="B39" s="396" t="s">
        <v>1267</v>
      </c>
    </row>
    <row r="40" spans="1:2">
      <c r="A40" s="395" t="s">
        <v>1812</v>
      </c>
      <c r="B40" s="396" t="s">
        <v>1814</v>
      </c>
    </row>
    <row r="41" spans="1:2">
      <c r="A41" s="395" t="s">
        <v>1813</v>
      </c>
      <c r="B41" s="396" t="s">
        <v>1815</v>
      </c>
    </row>
    <row r="42" spans="1:2" ht="31.5">
      <c r="A42" s="282" t="s">
        <v>550</v>
      </c>
      <c r="B42" s="292" t="s">
        <v>549</v>
      </c>
    </row>
    <row r="43" spans="1:2" ht="31.5">
      <c r="A43" s="282" t="s">
        <v>551</v>
      </c>
      <c r="B43" s="293" t="s">
        <v>1847</v>
      </c>
    </row>
    <row r="44" spans="1:2" ht="31.5">
      <c r="A44" s="282" t="s">
        <v>1846</v>
      </c>
      <c r="B44" s="293" t="s">
        <v>1848</v>
      </c>
    </row>
    <row r="45" spans="1:2" ht="32.25" thickBot="1">
      <c r="A45" s="282" t="s">
        <v>1234</v>
      </c>
      <c r="B45" s="293" t="s">
        <v>1235</v>
      </c>
    </row>
    <row r="46" spans="1:2" ht="16.5" thickBot="1">
      <c r="A46" s="273" t="s">
        <v>685</v>
      </c>
      <c r="B46" s="284" t="s">
        <v>684</v>
      </c>
    </row>
    <row r="47" spans="1:2" ht="48" thickBot="1">
      <c r="A47" s="294" t="s">
        <v>687</v>
      </c>
      <c r="B47" s="295" t="s">
        <v>686</v>
      </c>
    </row>
    <row r="48" spans="1:2" ht="48" thickBot="1">
      <c r="A48" s="296" t="s">
        <v>703</v>
      </c>
      <c r="B48" s="297" t="s">
        <v>702</v>
      </c>
    </row>
    <row r="49" spans="1:2" ht="47.25">
      <c r="A49" s="298" t="s">
        <v>705</v>
      </c>
      <c r="B49" s="299" t="s">
        <v>704</v>
      </c>
    </row>
    <row r="50" spans="1:2" ht="47.25">
      <c r="A50" s="300" t="s">
        <v>731</v>
      </c>
      <c r="B50" s="301" t="s">
        <v>1810</v>
      </c>
    </row>
    <row r="51" spans="1:2" ht="31.5">
      <c r="A51" s="300" t="s">
        <v>706</v>
      </c>
      <c r="B51" s="301" t="s">
        <v>1291</v>
      </c>
    </row>
    <row r="52" spans="1:2" ht="47.25">
      <c r="A52" s="302" t="s">
        <v>734</v>
      </c>
      <c r="B52" s="303" t="s">
        <v>733</v>
      </c>
    </row>
    <row r="53" spans="1:2">
      <c r="A53" s="300" t="s">
        <v>735</v>
      </c>
      <c r="B53" s="304" t="s">
        <v>1292</v>
      </c>
    </row>
    <row r="54" spans="1:2" ht="47.25">
      <c r="A54" s="300" t="s">
        <v>776</v>
      </c>
      <c r="B54" s="304" t="s">
        <v>1294</v>
      </c>
    </row>
    <row r="55" spans="1:2" ht="47.25">
      <c r="A55" s="302" t="s">
        <v>738</v>
      </c>
      <c r="B55" s="303" t="s">
        <v>737</v>
      </c>
    </row>
    <row r="56" spans="1:2" ht="31.5">
      <c r="A56" s="302" t="s">
        <v>739</v>
      </c>
      <c r="B56" s="304" t="s">
        <v>1293</v>
      </c>
    </row>
    <row r="57" spans="1:2" ht="47.25">
      <c r="A57" s="302" t="s">
        <v>741</v>
      </c>
      <c r="B57" s="303" t="s">
        <v>740</v>
      </c>
    </row>
    <row r="58" spans="1:2" ht="31.5">
      <c r="A58" s="300" t="s">
        <v>743</v>
      </c>
      <c r="B58" s="301" t="s">
        <v>742</v>
      </c>
    </row>
    <row r="59" spans="1:2" ht="31.5">
      <c r="A59" s="300" t="s">
        <v>746</v>
      </c>
      <c r="B59" s="301" t="s">
        <v>745</v>
      </c>
    </row>
    <row r="60" spans="1:2" ht="32.25" thickBot="1">
      <c r="A60" s="305" t="s">
        <v>748</v>
      </c>
      <c r="B60" s="306" t="s">
        <v>747</v>
      </c>
    </row>
    <row r="61" spans="1:2" ht="32.25" thickBot="1">
      <c r="A61" s="273" t="s">
        <v>708</v>
      </c>
      <c r="B61" s="284" t="s">
        <v>707</v>
      </c>
    </row>
    <row r="62" spans="1:2" ht="48" thickBot="1">
      <c r="A62" s="294" t="s">
        <v>710</v>
      </c>
      <c r="B62" s="307" t="s">
        <v>709</v>
      </c>
    </row>
    <row r="63" spans="1:2" ht="32.25" thickBot="1">
      <c r="A63" s="273" t="s">
        <v>720</v>
      </c>
      <c r="B63" s="284" t="s">
        <v>1620</v>
      </c>
    </row>
    <row r="64" spans="1:2" ht="31.5">
      <c r="A64" s="276" t="s">
        <v>722</v>
      </c>
      <c r="B64" s="277" t="s">
        <v>721</v>
      </c>
    </row>
    <row r="65" spans="1:2">
      <c r="A65" s="278" t="s">
        <v>724</v>
      </c>
      <c r="B65" s="308" t="s">
        <v>723</v>
      </c>
    </row>
    <row r="66" spans="1:2" ht="31.5">
      <c r="A66" s="280" t="s">
        <v>727</v>
      </c>
      <c r="B66" s="281" t="s">
        <v>726</v>
      </c>
    </row>
    <row r="67" spans="1:2" ht="32.25" thickBot="1">
      <c r="A67" s="282" t="s">
        <v>729</v>
      </c>
      <c r="B67" s="285" t="s">
        <v>728</v>
      </c>
    </row>
    <row r="68" spans="1:2" ht="48" thickBot="1">
      <c r="A68" s="309" t="s">
        <v>779</v>
      </c>
      <c r="B68" s="310" t="s">
        <v>778</v>
      </c>
    </row>
    <row r="69" spans="1:2" ht="47.25">
      <c r="A69" s="298" t="s">
        <v>781</v>
      </c>
      <c r="B69" s="311" t="s">
        <v>780</v>
      </c>
    </row>
    <row r="70" spans="1:2" ht="63">
      <c r="A70" s="300" t="s">
        <v>783</v>
      </c>
      <c r="B70" s="312" t="s">
        <v>782</v>
      </c>
    </row>
    <row r="71" spans="1:2" ht="31.5">
      <c r="A71" s="302" t="s">
        <v>785</v>
      </c>
      <c r="B71" s="313" t="s">
        <v>784</v>
      </c>
    </row>
    <row r="72" spans="1:2" ht="47.25">
      <c r="A72" s="300" t="s">
        <v>787</v>
      </c>
      <c r="B72" s="312" t="s">
        <v>786</v>
      </c>
    </row>
    <row r="73" spans="1:2" ht="47.25">
      <c r="A73" s="302" t="s">
        <v>789</v>
      </c>
      <c r="B73" s="313" t="s">
        <v>788</v>
      </c>
    </row>
    <row r="74" spans="1:2" ht="31.5">
      <c r="A74" s="300" t="s">
        <v>791</v>
      </c>
      <c r="B74" s="312" t="s">
        <v>790</v>
      </c>
    </row>
    <row r="75" spans="1:2" ht="31.5">
      <c r="A75" s="302" t="s">
        <v>793</v>
      </c>
      <c r="B75" s="313" t="s">
        <v>792</v>
      </c>
    </row>
    <row r="76" spans="1:2" ht="32.25" thickBot="1">
      <c r="A76" s="314" t="s">
        <v>795</v>
      </c>
      <c r="B76" s="315" t="s">
        <v>794</v>
      </c>
    </row>
    <row r="77" spans="1:2" ht="48" thickBot="1">
      <c r="A77" s="273" t="s">
        <v>509</v>
      </c>
      <c r="B77" s="297" t="s">
        <v>508</v>
      </c>
    </row>
    <row r="78" spans="1:2" ht="31.5">
      <c r="A78" s="276" t="s">
        <v>519</v>
      </c>
      <c r="B78" s="299" t="s">
        <v>518</v>
      </c>
    </row>
    <row r="79" spans="1:2" ht="47.25">
      <c r="A79" s="278" t="s">
        <v>521</v>
      </c>
      <c r="B79" s="304" t="s">
        <v>520</v>
      </c>
    </row>
    <row r="80" spans="1:2" ht="31.5">
      <c r="A80" s="278" t="s">
        <v>523</v>
      </c>
      <c r="B80" s="304" t="s">
        <v>522</v>
      </c>
    </row>
    <row r="81" spans="1:2" ht="31.5">
      <c r="A81" s="278" t="s">
        <v>525</v>
      </c>
      <c r="B81" s="313" t="s">
        <v>524</v>
      </c>
    </row>
    <row r="82" spans="1:2" ht="31.5">
      <c r="A82" s="278" t="s">
        <v>527</v>
      </c>
      <c r="B82" s="301" t="s">
        <v>526</v>
      </c>
    </row>
    <row r="83" spans="1:2" ht="31.5">
      <c r="A83" s="278" t="s">
        <v>510</v>
      </c>
      <c r="B83" s="313" t="s">
        <v>1621</v>
      </c>
    </row>
    <row r="84" spans="1:2" ht="31.5">
      <c r="A84" s="278" t="s">
        <v>512</v>
      </c>
      <c r="B84" s="301" t="s">
        <v>511</v>
      </c>
    </row>
    <row r="85" spans="1:2">
      <c r="A85" s="278" t="s">
        <v>514</v>
      </c>
      <c r="B85" s="301" t="s">
        <v>513</v>
      </c>
    </row>
    <row r="86" spans="1:2" ht="47.25">
      <c r="A86" s="278" t="s">
        <v>517</v>
      </c>
      <c r="B86" s="301" t="s">
        <v>516</v>
      </c>
    </row>
    <row r="87" spans="1:2" s="316" customFormat="1" ht="32.25" thickBot="1">
      <c r="A87" s="317" t="s">
        <v>488</v>
      </c>
      <c r="B87" s="318" t="s">
        <v>487</v>
      </c>
    </row>
    <row r="88" spans="1:2" s="316" customFormat="1">
      <c r="A88" s="289" t="s">
        <v>661</v>
      </c>
      <c r="B88" s="319" t="s">
        <v>660</v>
      </c>
    </row>
    <row r="89" spans="1:2" s="316" customFormat="1">
      <c r="A89" s="278" t="s">
        <v>657</v>
      </c>
      <c r="B89" s="320" t="s">
        <v>656</v>
      </c>
    </row>
    <row r="90" spans="1:2" ht="31.5">
      <c r="A90" s="278" t="s">
        <v>649</v>
      </c>
      <c r="B90" s="320" t="s">
        <v>648</v>
      </c>
    </row>
    <row r="91" spans="1:2" ht="16.5" thickBot="1">
      <c r="A91" s="278" t="s">
        <v>651</v>
      </c>
      <c r="B91" s="321" t="s">
        <v>650</v>
      </c>
    </row>
    <row r="92" spans="1:2" ht="48" thickBot="1">
      <c r="A92" s="273" t="s">
        <v>492</v>
      </c>
      <c r="B92" s="274" t="s">
        <v>1622</v>
      </c>
    </row>
    <row r="93" spans="1:2" ht="32.25" thickBot="1">
      <c r="A93" s="294" t="s">
        <v>493</v>
      </c>
      <c r="B93" s="322" t="s">
        <v>1623</v>
      </c>
    </row>
    <row r="94" spans="1:2" s="316" customFormat="1" ht="32.25" thickBot="1">
      <c r="A94" s="273" t="s">
        <v>496</v>
      </c>
      <c r="B94" s="274" t="s">
        <v>495</v>
      </c>
    </row>
    <row r="95" spans="1:2" s="316" customFormat="1">
      <c r="A95" s="323" t="s">
        <v>532</v>
      </c>
      <c r="B95" s="324" t="s">
        <v>1406</v>
      </c>
    </row>
    <row r="96" spans="1:2" ht="32.25" thickBot="1">
      <c r="A96" s="294" t="s">
        <v>498</v>
      </c>
      <c r="B96" s="322" t="s">
        <v>497</v>
      </c>
    </row>
    <row r="97" spans="1:2" s="316" customFormat="1" ht="63.75" thickBot="1">
      <c r="A97" s="273" t="s">
        <v>500</v>
      </c>
      <c r="B97" s="274" t="s">
        <v>1302</v>
      </c>
    </row>
    <row r="98" spans="1:2" s="316" customFormat="1" ht="47.25">
      <c r="A98" s="323" t="s">
        <v>501</v>
      </c>
      <c r="B98" s="324" t="s">
        <v>1332</v>
      </c>
    </row>
    <row r="99" spans="1:2" ht="32.25" thickBot="1">
      <c r="A99" s="294" t="s">
        <v>797</v>
      </c>
      <c r="B99" s="322" t="s">
        <v>1333</v>
      </c>
    </row>
    <row r="100" spans="1:2" s="316" customFormat="1" ht="32.25" thickBot="1">
      <c r="A100" s="273" t="s">
        <v>600</v>
      </c>
      <c r="B100" s="274" t="s">
        <v>599</v>
      </c>
    </row>
    <row r="101" spans="1:2" ht="16.5" thickBot="1">
      <c r="A101" s="294" t="s">
        <v>602</v>
      </c>
      <c r="B101" s="322" t="s">
        <v>601</v>
      </c>
    </row>
    <row r="102" spans="1:2" ht="32.25" thickBot="1">
      <c r="A102" s="273" t="s">
        <v>713</v>
      </c>
      <c r="B102" s="310" t="s">
        <v>712</v>
      </c>
    </row>
    <row r="103" spans="1:2" ht="47.25">
      <c r="A103" s="289" t="s">
        <v>715</v>
      </c>
      <c r="B103" s="325" t="s">
        <v>714</v>
      </c>
    </row>
    <row r="104" spans="1:2" ht="47.25">
      <c r="A104" s="278" t="s">
        <v>717</v>
      </c>
      <c r="B104" s="304" t="s">
        <v>716</v>
      </c>
    </row>
    <row r="105" spans="1:2" ht="31.5">
      <c r="A105" s="278" t="s">
        <v>719</v>
      </c>
      <c r="B105" s="304" t="s">
        <v>718</v>
      </c>
    </row>
    <row r="106" spans="1:2" ht="32.25" thickBot="1">
      <c r="A106" s="294" t="s">
        <v>1619</v>
      </c>
      <c r="B106" s="304" t="s">
        <v>1624</v>
      </c>
    </row>
    <row r="107" spans="1:2" ht="32.25" thickBot="1">
      <c r="A107" s="296" t="s">
        <v>805</v>
      </c>
      <c r="B107" s="310" t="s">
        <v>804</v>
      </c>
    </row>
    <row r="108" spans="1:2" ht="47.25">
      <c r="A108" s="298" t="s">
        <v>808</v>
      </c>
      <c r="B108" s="311" t="s">
        <v>807</v>
      </c>
    </row>
    <row r="109" spans="1:2" ht="31.5">
      <c r="A109" s="226" t="s">
        <v>811</v>
      </c>
      <c r="B109" s="326" t="s">
        <v>810</v>
      </c>
    </row>
    <row r="110" spans="1:2" ht="31.5">
      <c r="A110" s="298" t="s">
        <v>814</v>
      </c>
      <c r="B110" s="311" t="s">
        <v>813</v>
      </c>
    </row>
    <row r="111" spans="1:2" ht="31.5">
      <c r="A111" s="298" t="s">
        <v>816</v>
      </c>
      <c r="B111" s="327" t="s">
        <v>815</v>
      </c>
    </row>
    <row r="112" spans="1:2">
      <c r="A112" s="298" t="s">
        <v>819</v>
      </c>
      <c r="B112" s="327" t="s">
        <v>818</v>
      </c>
    </row>
    <row r="113" spans="1:2">
      <c r="A113" s="298" t="s">
        <v>820</v>
      </c>
      <c r="B113" s="326" t="s">
        <v>1262</v>
      </c>
    </row>
    <row r="114" spans="1:2">
      <c r="A114" s="228" t="s">
        <v>1625</v>
      </c>
      <c r="B114" s="326" t="s">
        <v>1626</v>
      </c>
    </row>
    <row r="115" spans="1:2" ht="31.5">
      <c r="A115" s="458" t="s">
        <v>823</v>
      </c>
      <c r="B115" s="584" t="s">
        <v>822</v>
      </c>
    </row>
    <row r="116" spans="1:2" ht="31.5">
      <c r="A116" s="298" t="s">
        <v>825</v>
      </c>
      <c r="B116" s="299" t="s">
        <v>824</v>
      </c>
    </row>
    <row r="117" spans="1:2" ht="31.5">
      <c r="A117" s="300" t="s">
        <v>827</v>
      </c>
      <c r="B117" s="301" t="s">
        <v>826</v>
      </c>
    </row>
    <row r="118" spans="1:2" ht="31.5">
      <c r="A118" s="302" t="s">
        <v>829</v>
      </c>
      <c r="B118" s="303" t="s">
        <v>828</v>
      </c>
    </row>
    <row r="119" spans="1:2" ht="31.5">
      <c r="A119" s="300" t="s">
        <v>831</v>
      </c>
      <c r="B119" s="312" t="s">
        <v>830</v>
      </c>
    </row>
    <row r="120" spans="1:2" ht="31.5">
      <c r="A120" s="300" t="s">
        <v>833</v>
      </c>
      <c r="B120" s="312" t="s">
        <v>832</v>
      </c>
    </row>
    <row r="121" spans="1:2" ht="16.5" thickBot="1">
      <c r="A121" s="230" t="s">
        <v>835</v>
      </c>
      <c r="B121" s="329" t="s">
        <v>834</v>
      </c>
    </row>
    <row r="122" spans="1:2" ht="32.25" thickBot="1">
      <c r="A122" s="273" t="s">
        <v>837</v>
      </c>
      <c r="B122" s="330" t="s">
        <v>836</v>
      </c>
    </row>
    <row r="123" spans="1:2" ht="16.5" thickBot="1">
      <c r="A123" s="230" t="s">
        <v>839</v>
      </c>
      <c r="B123" s="329" t="s">
        <v>838</v>
      </c>
    </row>
    <row r="124" spans="1:2" ht="31.5">
      <c r="A124" s="391" t="s">
        <v>1222</v>
      </c>
      <c r="B124" s="392" t="s">
        <v>1237</v>
      </c>
    </row>
    <row r="125" spans="1:2">
      <c r="A125" s="226" t="s">
        <v>1223</v>
      </c>
      <c r="B125" s="394" t="s">
        <v>1296</v>
      </c>
    </row>
    <row r="126" spans="1:2" ht="31.5">
      <c r="A126" s="226" t="s">
        <v>1266</v>
      </c>
      <c r="B126" s="326" t="s">
        <v>1297</v>
      </c>
    </row>
    <row r="127" spans="1:2" ht="32.25" thickBot="1">
      <c r="A127" s="328" t="s">
        <v>1236</v>
      </c>
      <c r="B127" s="393" t="s">
        <v>1261</v>
      </c>
    </row>
    <row r="128" spans="1:2" ht="31.5">
      <c r="A128" s="231" t="s">
        <v>1238</v>
      </c>
      <c r="B128" s="374" t="s">
        <v>1239</v>
      </c>
    </row>
    <row r="129" spans="1:2" ht="48" thickBot="1">
      <c r="A129" s="230" t="s">
        <v>1240</v>
      </c>
      <c r="B129" s="376" t="s">
        <v>1241</v>
      </c>
    </row>
    <row r="130" spans="1:2" ht="32.25" thickBot="1">
      <c r="A130" s="373" t="s">
        <v>1242</v>
      </c>
      <c r="B130" s="377" t="s">
        <v>648</v>
      </c>
    </row>
    <row r="131" spans="1:2">
      <c r="A131" s="378" t="s">
        <v>1243</v>
      </c>
      <c r="B131" s="454" t="s">
        <v>1364</v>
      </c>
    </row>
    <row r="132" spans="1:2">
      <c r="A132" s="226" t="s">
        <v>1365</v>
      </c>
      <c r="B132" s="19" t="s">
        <v>1366</v>
      </c>
    </row>
    <row r="133" spans="1:2" ht="16.5" thickBot="1">
      <c r="A133" s="230" t="s">
        <v>1367</v>
      </c>
      <c r="B133" s="455" t="s">
        <v>1368</v>
      </c>
    </row>
    <row r="134" spans="1:2" ht="32.25" thickBot="1">
      <c r="A134" s="296" t="s">
        <v>1369</v>
      </c>
      <c r="B134" s="456" t="s">
        <v>1370</v>
      </c>
    </row>
    <row r="135" spans="1:2">
      <c r="A135" s="378" t="s">
        <v>1391</v>
      </c>
      <c r="B135" s="454" t="s">
        <v>1371</v>
      </c>
    </row>
    <row r="136" spans="1:2">
      <c r="A136" s="226" t="s">
        <v>1392</v>
      </c>
      <c r="B136" s="19" t="s">
        <v>1372</v>
      </c>
    </row>
    <row r="137" spans="1:2" ht="31.5">
      <c r="A137" s="278" t="s">
        <v>1393</v>
      </c>
      <c r="B137" s="598" t="s">
        <v>1799</v>
      </c>
    </row>
    <row r="138" spans="1:2">
      <c r="A138" s="278" t="s">
        <v>1801</v>
      </c>
      <c r="B138" s="598" t="s">
        <v>1802</v>
      </c>
    </row>
    <row r="139" spans="1:2" ht="48" thickBot="1">
      <c r="A139" s="328" t="s">
        <v>1373</v>
      </c>
      <c r="B139" s="597" t="s">
        <v>1809</v>
      </c>
    </row>
    <row r="140" spans="1:2" ht="16.5" thickBot="1">
      <c r="A140" s="378" t="s">
        <v>1374</v>
      </c>
      <c r="B140" s="457" t="s">
        <v>1375</v>
      </c>
    </row>
    <row r="141" spans="1:2" ht="47.25">
      <c r="A141" s="576" t="s">
        <v>1608</v>
      </c>
      <c r="B141" s="577" t="s">
        <v>1610</v>
      </c>
    </row>
    <row r="142" spans="1:2" ht="31.5">
      <c r="A142" s="300" t="s">
        <v>1609</v>
      </c>
      <c r="B142" s="585" t="s">
        <v>1611</v>
      </c>
    </row>
    <row r="143" spans="1:2" ht="16.5" thickBot="1">
      <c r="A143" s="586" t="s">
        <v>1612</v>
      </c>
      <c r="B143" s="587" t="s">
        <v>1613</v>
      </c>
    </row>
    <row r="144" spans="1:2" ht="31.5">
      <c r="A144" s="576" t="s">
        <v>1837</v>
      </c>
      <c r="B144" s="577" t="s">
        <v>1840</v>
      </c>
    </row>
    <row r="145" spans="1:2" ht="29.25" customHeight="1">
      <c r="A145" s="300" t="s">
        <v>1838</v>
      </c>
      <c r="B145" s="585" t="s">
        <v>1841</v>
      </c>
    </row>
    <row r="146" spans="1:2">
      <c r="A146" s="300" t="s">
        <v>1839</v>
      </c>
      <c r="B146" s="676" t="s">
        <v>1842</v>
      </c>
    </row>
    <row r="147" spans="1:2">
      <c r="A147" s="343"/>
      <c r="B147" s="375"/>
    </row>
    <row r="148" spans="1:2">
      <c r="A148" s="343"/>
      <c r="B148" s="375"/>
    </row>
    <row r="149" spans="1:2">
      <c r="A149" s="331" t="s">
        <v>480</v>
      </c>
      <c r="B149" s="124" t="s">
        <v>479</v>
      </c>
    </row>
    <row r="150" spans="1:2" ht="16.5" thickBot="1">
      <c r="A150" s="332" t="s">
        <v>653</v>
      </c>
      <c r="B150" s="333" t="s">
        <v>652</v>
      </c>
    </row>
    <row r="151" spans="1:2">
      <c r="A151" s="334"/>
      <c r="B151" s="33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B395"/>
  <sheetViews>
    <sheetView topLeftCell="A44" workbookViewId="0">
      <selection activeCell="B74" sqref="B74"/>
    </sheetView>
  </sheetViews>
  <sheetFormatPr defaultColWidth="9.140625" defaultRowHeight="12.75"/>
  <cols>
    <col min="1" max="1" width="21.42578125" style="121" customWidth="1"/>
    <col min="2" max="2" width="123.7109375" style="121" customWidth="1"/>
    <col min="3" max="16384" width="9.140625" style="121"/>
  </cols>
  <sheetData>
    <row r="1" spans="1:2">
      <c r="A1" s="262" t="s">
        <v>1128</v>
      </c>
      <c r="B1" s="262" t="s">
        <v>1129</v>
      </c>
    </row>
    <row r="2" spans="1:2" ht="31.5">
      <c r="A2" s="263" t="s">
        <v>1130</v>
      </c>
      <c r="B2" s="115" t="s">
        <v>1850</v>
      </c>
    </row>
    <row r="3" spans="1:2" ht="31.5">
      <c r="A3" s="263" t="s">
        <v>1131</v>
      </c>
      <c r="B3" s="115" t="s">
        <v>1132</v>
      </c>
    </row>
    <row r="4" spans="1:2" ht="15.75">
      <c r="A4" s="264">
        <v>10010</v>
      </c>
      <c r="B4" s="115" t="s">
        <v>736</v>
      </c>
    </row>
    <row r="5" spans="1:2" ht="15.75">
      <c r="A5" s="264">
        <v>10020</v>
      </c>
      <c r="B5" s="115" t="s">
        <v>1133</v>
      </c>
    </row>
    <row r="6" spans="1:2" ht="15.75">
      <c r="A6" s="264">
        <v>10030</v>
      </c>
      <c r="B6" s="115" t="s">
        <v>1245</v>
      </c>
    </row>
    <row r="7" spans="1:2" ht="15.75">
      <c r="A7" s="264">
        <v>10040</v>
      </c>
      <c r="B7" s="115" t="s">
        <v>744</v>
      </c>
    </row>
    <row r="8" spans="1:2" ht="15.75">
      <c r="A8" s="264">
        <v>10050</v>
      </c>
      <c r="B8" s="115"/>
    </row>
    <row r="9" spans="1:2" ht="15.75">
      <c r="A9" s="264">
        <v>10060</v>
      </c>
      <c r="B9" s="115" t="s">
        <v>1134</v>
      </c>
    </row>
    <row r="10" spans="1:2" ht="15.75">
      <c r="A10" s="264">
        <v>10070</v>
      </c>
      <c r="B10" s="338" t="s">
        <v>1851</v>
      </c>
    </row>
    <row r="11" spans="1:2" ht="15.75">
      <c r="A11" s="264">
        <v>10080</v>
      </c>
      <c r="B11" s="115" t="s">
        <v>1627</v>
      </c>
    </row>
    <row r="12" spans="1:2" ht="31.5">
      <c r="A12" s="264">
        <v>10090</v>
      </c>
      <c r="B12" s="115" t="s">
        <v>1135</v>
      </c>
    </row>
    <row r="13" spans="1:2" ht="15.75">
      <c r="A13" s="264">
        <v>10100</v>
      </c>
      <c r="B13" s="266" t="s">
        <v>1249</v>
      </c>
    </row>
    <row r="14" spans="1:2" ht="15.75">
      <c r="A14" s="264">
        <v>10110</v>
      </c>
      <c r="B14" s="115" t="s">
        <v>1250</v>
      </c>
    </row>
    <row r="15" spans="1:2" ht="15.75">
      <c r="A15" s="264">
        <v>10200</v>
      </c>
      <c r="B15" s="266" t="s">
        <v>725</v>
      </c>
    </row>
    <row r="16" spans="1:2" ht="31.5">
      <c r="A16" s="264">
        <v>10210</v>
      </c>
      <c r="B16" s="115" t="s">
        <v>1136</v>
      </c>
    </row>
    <row r="17" spans="1:2" ht="15.75">
      <c r="A17" s="264">
        <v>10220</v>
      </c>
      <c r="B17" s="115" t="s">
        <v>1137</v>
      </c>
    </row>
    <row r="18" spans="1:2" ht="15.75">
      <c r="A18" s="264">
        <v>10230</v>
      </c>
      <c r="B18" s="265"/>
    </row>
    <row r="19" spans="1:2" ht="15.75">
      <c r="A19" s="264">
        <v>10240</v>
      </c>
      <c r="B19" s="115" t="s">
        <v>1138</v>
      </c>
    </row>
    <row r="20" spans="1:2" ht="15.75">
      <c r="A20" s="264">
        <v>10300</v>
      </c>
      <c r="B20" s="115" t="s">
        <v>1244</v>
      </c>
    </row>
    <row r="21" spans="1:2" ht="15.75">
      <c r="A21" s="264">
        <v>10360</v>
      </c>
      <c r="B21" s="115" t="s">
        <v>1139</v>
      </c>
    </row>
    <row r="22" spans="1:2" ht="15.75">
      <c r="A22" s="264">
        <v>10370</v>
      </c>
      <c r="B22" s="115" t="s">
        <v>536</v>
      </c>
    </row>
    <row r="23" spans="1:2" ht="15.75">
      <c r="A23" s="264">
        <v>10400</v>
      </c>
      <c r="B23" s="115" t="s">
        <v>711</v>
      </c>
    </row>
    <row r="24" spans="1:2" ht="15.75">
      <c r="A24" s="264">
        <v>10410</v>
      </c>
      <c r="B24" s="534" t="s">
        <v>1852</v>
      </c>
    </row>
    <row r="25" spans="1:2" ht="15.75">
      <c r="A25" s="264">
        <v>10420</v>
      </c>
      <c r="B25" s="535" t="s">
        <v>1596</v>
      </c>
    </row>
    <row r="26" spans="1:2" ht="31.5">
      <c r="A26" s="264">
        <v>10430</v>
      </c>
      <c r="B26" s="115" t="s">
        <v>1843</v>
      </c>
    </row>
    <row r="27" spans="1:2" ht="31.5">
      <c r="A27" s="264">
        <v>10470</v>
      </c>
      <c r="B27" s="115" t="s">
        <v>587</v>
      </c>
    </row>
    <row r="28" spans="1:2" ht="15.75">
      <c r="A28" s="264">
        <v>10500</v>
      </c>
      <c r="B28" s="115" t="s">
        <v>1140</v>
      </c>
    </row>
    <row r="29" spans="1:2" ht="15.75">
      <c r="A29" s="264">
        <v>10510</v>
      </c>
      <c r="B29" s="115" t="s">
        <v>535</v>
      </c>
    </row>
    <row r="30" spans="1:2" ht="15.75">
      <c r="A30" s="264">
        <v>10520</v>
      </c>
      <c r="B30" s="115"/>
    </row>
    <row r="31" spans="1:2" ht="15.75">
      <c r="A31" s="264">
        <v>10530</v>
      </c>
      <c r="B31" s="115" t="s">
        <v>1628</v>
      </c>
    </row>
    <row r="32" spans="1:2" ht="15.75">
      <c r="A32" s="264">
        <v>10600</v>
      </c>
      <c r="B32" s="115" t="s">
        <v>1359</v>
      </c>
    </row>
    <row r="33" spans="1:2" ht="15.75">
      <c r="A33" s="264">
        <v>10700</v>
      </c>
      <c r="B33" s="115" t="s">
        <v>1403</v>
      </c>
    </row>
    <row r="34" spans="1:2" ht="15.75">
      <c r="A34" s="264">
        <v>10701</v>
      </c>
      <c r="B34" s="115" t="s">
        <v>1404</v>
      </c>
    </row>
    <row r="35" spans="1:2" ht="31.5">
      <c r="A35" s="264">
        <v>10702</v>
      </c>
      <c r="B35" s="115" t="s">
        <v>1405</v>
      </c>
    </row>
    <row r="36" spans="1:2" ht="15.75">
      <c r="A36" s="264">
        <v>10703</v>
      </c>
      <c r="B36" s="115" t="s">
        <v>1411</v>
      </c>
    </row>
    <row r="37" spans="1:2" ht="15.75">
      <c r="A37" s="264">
        <v>10704</v>
      </c>
      <c r="B37" s="115" t="s">
        <v>1629</v>
      </c>
    </row>
    <row r="38" spans="1:2" ht="17.45" customHeight="1">
      <c r="A38" s="264">
        <v>10710</v>
      </c>
      <c r="B38" s="115" t="s">
        <v>1141</v>
      </c>
    </row>
    <row r="39" spans="1:2" ht="15.75">
      <c r="A39" s="264">
        <v>10800</v>
      </c>
      <c r="B39" s="115" t="s">
        <v>662</v>
      </c>
    </row>
    <row r="40" spans="1:2" ht="15.75">
      <c r="A40" s="264">
        <v>10880</v>
      </c>
      <c r="B40" s="115" t="s">
        <v>732</v>
      </c>
    </row>
    <row r="41" spans="1:2" ht="15.75">
      <c r="A41" s="264">
        <v>10900</v>
      </c>
      <c r="B41" s="115" t="s">
        <v>669</v>
      </c>
    </row>
    <row r="42" spans="1:2" ht="15.75">
      <c r="A42" s="264">
        <v>11000</v>
      </c>
      <c r="B42" s="115" t="s">
        <v>562</v>
      </c>
    </row>
    <row r="43" spans="1:2" ht="31.5">
      <c r="A43" s="264">
        <v>11430</v>
      </c>
      <c r="B43" s="115" t="s">
        <v>579</v>
      </c>
    </row>
    <row r="44" spans="1:2" ht="15.75">
      <c r="A44" s="264">
        <v>11690</v>
      </c>
      <c r="B44" s="115" t="s">
        <v>692</v>
      </c>
    </row>
    <row r="45" spans="1:2" ht="15.75">
      <c r="A45" s="264">
        <v>12010</v>
      </c>
      <c r="B45" s="115" t="s">
        <v>482</v>
      </c>
    </row>
    <row r="46" spans="1:2" ht="15.75">
      <c r="A46" s="264">
        <v>12020</v>
      </c>
      <c r="B46" s="115" t="s">
        <v>481</v>
      </c>
    </row>
    <row r="47" spans="1:2" ht="15.75">
      <c r="A47" s="264">
        <v>12030</v>
      </c>
      <c r="B47" s="115" t="s">
        <v>750</v>
      </c>
    </row>
    <row r="48" spans="1:2" ht="15.75">
      <c r="A48" s="264">
        <v>12040</v>
      </c>
      <c r="B48" s="115" t="s">
        <v>1853</v>
      </c>
    </row>
    <row r="49" spans="1:2" ht="15.75">
      <c r="A49" s="264">
        <v>12080</v>
      </c>
      <c r="B49" s="115" t="s">
        <v>502</v>
      </c>
    </row>
    <row r="50" spans="1:2" ht="15.75">
      <c r="A50" s="264">
        <v>12090</v>
      </c>
      <c r="B50" s="115" t="s">
        <v>533</v>
      </c>
    </row>
    <row r="51" spans="1:2" ht="15.75">
      <c r="A51" s="264">
        <v>12100</v>
      </c>
      <c r="B51" s="115" t="s">
        <v>503</v>
      </c>
    </row>
    <row r="52" spans="1:2" ht="15.75">
      <c r="A52" s="264">
        <v>12130</v>
      </c>
      <c r="B52" s="265" t="s">
        <v>530</v>
      </c>
    </row>
    <row r="53" spans="1:2" ht="15.75">
      <c r="A53" s="264">
        <v>12200</v>
      </c>
      <c r="B53" s="115" t="s">
        <v>494</v>
      </c>
    </row>
    <row r="54" spans="1:2" ht="15.75">
      <c r="A54" s="264">
        <v>12210</v>
      </c>
      <c r="B54" s="115" t="s">
        <v>499</v>
      </c>
    </row>
    <row r="55" spans="1:2" ht="15.75">
      <c r="A55" s="264">
        <v>12220</v>
      </c>
      <c r="B55" s="115" t="s">
        <v>491</v>
      </c>
    </row>
    <row r="56" spans="1:2" ht="15.75">
      <c r="A56" s="264">
        <v>12240</v>
      </c>
      <c r="B56" s="115" t="s">
        <v>1334</v>
      </c>
    </row>
    <row r="57" spans="1:2" ht="31.5">
      <c r="A57" s="264">
        <v>12241</v>
      </c>
      <c r="B57" s="444" t="s">
        <v>1331</v>
      </c>
    </row>
    <row r="58" spans="1:2" ht="15.75">
      <c r="A58" s="264">
        <v>12250</v>
      </c>
      <c r="B58" s="265" t="s">
        <v>603</v>
      </c>
    </row>
    <row r="59" spans="1:2" ht="15.75">
      <c r="A59" s="264">
        <v>12260</v>
      </c>
      <c r="B59" s="265" t="s">
        <v>1142</v>
      </c>
    </row>
    <row r="60" spans="1:2" ht="15.75">
      <c r="A60" s="264">
        <v>12270</v>
      </c>
      <c r="B60" s="338" t="s">
        <v>1376</v>
      </c>
    </row>
    <row r="61" spans="1:2" ht="15.75">
      <c r="A61" s="264">
        <v>12310</v>
      </c>
      <c r="B61" s="265" t="s">
        <v>1031</v>
      </c>
    </row>
    <row r="62" spans="1:2" ht="15.75">
      <c r="A62" s="264">
        <v>12320</v>
      </c>
      <c r="B62" s="265" t="s">
        <v>1032</v>
      </c>
    </row>
    <row r="63" spans="1:2" ht="31.5">
      <c r="A63" s="264">
        <v>12440</v>
      </c>
      <c r="B63" s="115" t="s">
        <v>1797</v>
      </c>
    </row>
    <row r="64" spans="1:2" ht="15.75">
      <c r="A64" s="264">
        <v>12600</v>
      </c>
      <c r="B64" s="265" t="s">
        <v>1854</v>
      </c>
    </row>
    <row r="65" spans="1:2" ht="15.75">
      <c r="A65" s="264">
        <v>12700</v>
      </c>
      <c r="B65" s="115" t="s">
        <v>585</v>
      </c>
    </row>
    <row r="66" spans="1:2" ht="15.75">
      <c r="A66" s="264">
        <v>12710</v>
      </c>
      <c r="B66" s="115" t="s">
        <v>1855</v>
      </c>
    </row>
    <row r="67" spans="1:2" ht="15.75">
      <c r="A67" s="264">
        <v>12750</v>
      </c>
      <c r="B67" s="115" t="s">
        <v>700</v>
      </c>
    </row>
    <row r="68" spans="1:2" ht="15.75">
      <c r="A68" s="264">
        <v>12800</v>
      </c>
      <c r="B68" s="115" t="s">
        <v>658</v>
      </c>
    </row>
    <row r="69" spans="1:2" ht="31.5">
      <c r="A69" s="264">
        <v>12880</v>
      </c>
      <c r="B69" s="269" t="s">
        <v>1744</v>
      </c>
    </row>
    <row r="70" spans="1:2" ht="15.75">
      <c r="A70" s="264">
        <v>12900</v>
      </c>
      <c r="B70" s="115" t="s">
        <v>486</v>
      </c>
    </row>
    <row r="71" spans="1:2" ht="15.75">
      <c r="A71" s="264">
        <v>12950</v>
      </c>
      <c r="B71" s="115" t="s">
        <v>1864</v>
      </c>
    </row>
    <row r="72" spans="1:2" ht="15.75">
      <c r="A72" s="264">
        <v>13010</v>
      </c>
      <c r="B72" s="115" t="s">
        <v>543</v>
      </c>
    </row>
    <row r="73" spans="1:2" ht="15.75">
      <c r="A73" s="264">
        <v>13050</v>
      </c>
      <c r="B73" s="265" t="s">
        <v>1143</v>
      </c>
    </row>
    <row r="74" spans="1:2" ht="15.75">
      <c r="A74" s="264">
        <v>13110</v>
      </c>
      <c r="B74" s="115" t="s">
        <v>554</v>
      </c>
    </row>
    <row r="75" spans="1:2" ht="15.75">
      <c r="A75" s="264">
        <v>13140</v>
      </c>
      <c r="B75" s="115" t="s">
        <v>1856</v>
      </c>
    </row>
    <row r="76" spans="1:2" ht="15.75">
      <c r="A76" s="264">
        <v>13210</v>
      </c>
      <c r="B76" s="115" t="s">
        <v>555</v>
      </c>
    </row>
    <row r="77" spans="1:2" ht="15.75">
      <c r="A77" s="264">
        <v>13310</v>
      </c>
      <c r="B77" s="115" t="s">
        <v>583</v>
      </c>
    </row>
    <row r="78" spans="1:2" ht="15.75">
      <c r="A78" s="264">
        <v>13320</v>
      </c>
      <c r="B78" s="115" t="s">
        <v>586</v>
      </c>
    </row>
    <row r="79" spans="1:2" ht="15.75">
      <c r="A79" s="264">
        <v>13330</v>
      </c>
      <c r="B79" s="338" t="s">
        <v>1144</v>
      </c>
    </row>
    <row r="80" spans="1:2" ht="15.75">
      <c r="A80" s="264">
        <v>13340</v>
      </c>
      <c r="B80" s="265"/>
    </row>
    <row r="81" spans="1:2" ht="15.75">
      <c r="A81" s="264">
        <v>13380</v>
      </c>
      <c r="B81" s="115" t="s">
        <v>1145</v>
      </c>
    </row>
    <row r="82" spans="1:2" ht="31.5">
      <c r="A82" s="264">
        <v>13390</v>
      </c>
      <c r="B82" s="265" t="s">
        <v>1146</v>
      </c>
    </row>
    <row r="83" spans="1:2" ht="15.75">
      <c r="A83" s="264">
        <v>13400</v>
      </c>
      <c r="B83" s="265"/>
    </row>
    <row r="84" spans="1:2" ht="15.75">
      <c r="A84" s="264">
        <v>13510</v>
      </c>
      <c r="B84" s="265" t="s">
        <v>1147</v>
      </c>
    </row>
    <row r="85" spans="1:2" ht="15.75">
      <c r="A85" s="264">
        <v>13710</v>
      </c>
      <c r="B85" s="265" t="s">
        <v>604</v>
      </c>
    </row>
    <row r="86" spans="1:2" ht="15.75">
      <c r="A86" s="264">
        <v>13750</v>
      </c>
      <c r="B86" s="265" t="s">
        <v>606</v>
      </c>
    </row>
    <row r="87" spans="1:2" ht="15.75">
      <c r="A87" s="264">
        <v>13810</v>
      </c>
      <c r="B87" s="115" t="s">
        <v>595</v>
      </c>
    </row>
    <row r="88" spans="1:2" ht="31.5">
      <c r="A88" s="264">
        <v>13820</v>
      </c>
      <c r="B88" s="115" t="s">
        <v>683</v>
      </c>
    </row>
    <row r="89" spans="1:2" ht="31.5">
      <c r="A89" s="264">
        <v>13900</v>
      </c>
      <c r="B89" s="115" t="s">
        <v>1795</v>
      </c>
    </row>
    <row r="90" spans="1:2" ht="15.75">
      <c r="A90" s="264">
        <v>14010</v>
      </c>
      <c r="B90" s="115" t="s">
        <v>614</v>
      </c>
    </row>
    <row r="91" spans="1:2" ht="15.75">
      <c r="A91" s="264">
        <v>14020</v>
      </c>
      <c r="B91" s="115" t="s">
        <v>1263</v>
      </c>
    </row>
    <row r="92" spans="1:2" ht="15.75">
      <c r="A92" s="264">
        <v>14100</v>
      </c>
      <c r="B92" s="115" t="s">
        <v>1148</v>
      </c>
    </row>
    <row r="93" spans="1:2" ht="15.75">
      <c r="A93" s="264">
        <v>14510</v>
      </c>
      <c r="B93" s="115" t="s">
        <v>679</v>
      </c>
    </row>
    <row r="94" spans="1:2" ht="15.75">
      <c r="A94" s="264">
        <v>14530</v>
      </c>
      <c r="B94" s="115" t="s">
        <v>680</v>
      </c>
    </row>
    <row r="95" spans="1:2" ht="15.75">
      <c r="A95" s="264">
        <v>14550</v>
      </c>
      <c r="B95" s="265"/>
    </row>
    <row r="96" spans="1:2" ht="15.75">
      <c r="A96" s="264">
        <v>14560</v>
      </c>
      <c r="B96" s="115" t="s">
        <v>574</v>
      </c>
    </row>
    <row r="97" spans="1:2" ht="15.75">
      <c r="A97" s="264">
        <v>14570</v>
      </c>
      <c r="B97" s="265" t="s">
        <v>1149</v>
      </c>
    </row>
    <row r="98" spans="1:2" ht="15.75">
      <c r="A98" s="264">
        <v>14580</v>
      </c>
      <c r="B98" s="265"/>
    </row>
    <row r="99" spans="1:2" ht="15.75">
      <c r="A99" s="264">
        <v>14880</v>
      </c>
      <c r="B99" s="265" t="s">
        <v>1265</v>
      </c>
    </row>
    <row r="100" spans="1:2" ht="15.75">
      <c r="A100" s="264">
        <v>15010</v>
      </c>
      <c r="B100" s="265" t="s">
        <v>691</v>
      </c>
    </row>
    <row r="101" spans="1:2" ht="15.75">
      <c r="A101" s="264">
        <v>15030</v>
      </c>
      <c r="B101" s="265" t="s">
        <v>1150</v>
      </c>
    </row>
    <row r="102" spans="1:2" ht="15.75">
      <c r="A102" s="264">
        <v>15110</v>
      </c>
      <c r="B102" s="115" t="s">
        <v>696</v>
      </c>
    </row>
    <row r="103" spans="1:2" ht="15.75">
      <c r="A103" s="264">
        <v>15130</v>
      </c>
      <c r="B103" s="115" t="s">
        <v>1151</v>
      </c>
    </row>
    <row r="104" spans="1:2" ht="15.75">
      <c r="A104" s="264">
        <v>15210</v>
      </c>
      <c r="B104" s="115" t="s">
        <v>699</v>
      </c>
    </row>
    <row r="105" spans="1:2" ht="15.75">
      <c r="A105" s="264">
        <v>15220</v>
      </c>
      <c r="B105" s="115" t="s">
        <v>674</v>
      </c>
    </row>
    <row r="106" spans="1:2" ht="15.75">
      <c r="A106" s="264">
        <v>15250</v>
      </c>
      <c r="B106" s="265"/>
    </row>
    <row r="107" spans="1:2" ht="15.75">
      <c r="A107" s="264">
        <v>15260</v>
      </c>
      <c r="B107" s="338" t="s">
        <v>1630</v>
      </c>
    </row>
    <row r="108" spans="1:2" ht="15.75">
      <c r="A108" s="264">
        <v>15350</v>
      </c>
      <c r="B108" s="338" t="s">
        <v>1663</v>
      </c>
    </row>
    <row r="109" spans="1:2" ht="15.75">
      <c r="A109" s="264">
        <v>15800</v>
      </c>
      <c r="B109" s="338" t="s">
        <v>1735</v>
      </c>
    </row>
    <row r="110" spans="1:2" ht="31.5">
      <c r="A110" s="264">
        <v>15880</v>
      </c>
      <c r="B110" s="338" t="s">
        <v>1811</v>
      </c>
    </row>
    <row r="111" spans="1:2" ht="15.75">
      <c r="A111" s="264">
        <v>16010</v>
      </c>
      <c r="B111" s="115" t="s">
        <v>623</v>
      </c>
    </row>
    <row r="112" spans="1:2" ht="15.75">
      <c r="A112" s="263">
        <v>16050</v>
      </c>
      <c r="B112" s="588" t="s">
        <v>1631</v>
      </c>
    </row>
    <row r="113" spans="1:2" ht="15.75">
      <c r="A113" s="264">
        <v>16110</v>
      </c>
      <c r="B113" s="265"/>
    </row>
    <row r="114" spans="1:2" ht="15.75">
      <c r="A114" s="264">
        <v>16150</v>
      </c>
      <c r="B114" s="115" t="s">
        <v>552</v>
      </c>
    </row>
    <row r="115" spans="1:2" ht="15.75">
      <c r="A115" s="264">
        <v>16151</v>
      </c>
      <c r="B115" s="115" t="s">
        <v>1632</v>
      </c>
    </row>
    <row r="116" spans="1:2" ht="31.5">
      <c r="A116" s="264">
        <v>16160</v>
      </c>
      <c r="B116" s="115" t="s">
        <v>1857</v>
      </c>
    </row>
    <row r="117" spans="1:2" ht="15.75">
      <c r="A117" s="264">
        <v>16210</v>
      </c>
      <c r="B117" s="115" t="s">
        <v>641</v>
      </c>
    </row>
    <row r="118" spans="1:2" ht="15.75">
      <c r="A118" s="264">
        <v>16220</v>
      </c>
      <c r="B118" s="115" t="s">
        <v>642</v>
      </c>
    </row>
    <row r="119" spans="1:2" ht="21" customHeight="1">
      <c r="A119" s="264">
        <v>16250</v>
      </c>
      <c r="B119" s="115" t="s">
        <v>688</v>
      </c>
    </row>
    <row r="120" spans="1:2" ht="21" customHeight="1">
      <c r="A120" s="264"/>
      <c r="B120" s="115"/>
    </row>
    <row r="121" spans="1:2" ht="21" customHeight="1">
      <c r="A121" s="264">
        <v>21236</v>
      </c>
      <c r="B121" s="115" t="s">
        <v>1633</v>
      </c>
    </row>
    <row r="122" spans="1:2" ht="30.75" customHeight="1">
      <c r="A122" s="264">
        <v>22446</v>
      </c>
      <c r="B122" s="115" t="s">
        <v>1798</v>
      </c>
    </row>
    <row r="123" spans="1:2" ht="35.25" customHeight="1">
      <c r="A123" s="264">
        <v>23906</v>
      </c>
      <c r="B123" s="115" t="s">
        <v>1796</v>
      </c>
    </row>
    <row r="124" spans="1:2" ht="35.25" customHeight="1">
      <c r="A124" s="264">
        <v>25356</v>
      </c>
      <c r="B124" s="115" t="s">
        <v>1634</v>
      </c>
    </row>
    <row r="125" spans="1:2" ht="24" customHeight="1">
      <c r="A125" s="264">
        <v>25626</v>
      </c>
      <c r="B125" s="115" t="s">
        <v>1635</v>
      </c>
    </row>
    <row r="126" spans="1:2" ht="35.25" customHeight="1">
      <c r="A126" s="264"/>
      <c r="B126" s="115"/>
    </row>
    <row r="127" spans="1:2" ht="18.75" customHeight="1">
      <c r="A127" s="264">
        <v>29016</v>
      </c>
      <c r="B127" s="267" t="s">
        <v>484</v>
      </c>
    </row>
    <row r="128" spans="1:2" ht="31.5">
      <c r="A128" s="264">
        <v>29026</v>
      </c>
      <c r="B128" s="115" t="s">
        <v>534</v>
      </c>
    </row>
    <row r="129" spans="1:2" ht="31.5">
      <c r="A129" s="264">
        <v>29036</v>
      </c>
      <c r="B129" s="115" t="s">
        <v>1152</v>
      </c>
    </row>
    <row r="130" spans="1:2" ht="15.75">
      <c r="A130" s="264">
        <v>29046</v>
      </c>
      <c r="B130" s="583" t="s">
        <v>1386</v>
      </c>
    </row>
    <row r="131" spans="1:2" ht="15.75">
      <c r="A131" s="264">
        <v>29056</v>
      </c>
      <c r="B131" s="583" t="s">
        <v>1153</v>
      </c>
    </row>
    <row r="132" spans="1:2" ht="15.75">
      <c r="A132" s="264">
        <v>29066</v>
      </c>
      <c r="B132" s="583" t="s">
        <v>1387</v>
      </c>
    </row>
    <row r="133" spans="1:2" ht="15.75">
      <c r="A133" s="264">
        <v>29076</v>
      </c>
      <c r="B133" s="19" t="s">
        <v>1154</v>
      </c>
    </row>
    <row r="134" spans="1:2" ht="23.25" customHeight="1">
      <c r="A134" s="264">
        <v>29086</v>
      </c>
      <c r="B134" s="19" t="s">
        <v>1155</v>
      </c>
    </row>
    <row r="135" spans="1:2" ht="15.75">
      <c r="A135" s="264">
        <v>29096</v>
      </c>
      <c r="B135" s="19" t="s">
        <v>1156</v>
      </c>
    </row>
    <row r="136" spans="1:2" ht="15.75">
      <c r="A136" s="264">
        <v>29106</v>
      </c>
      <c r="B136" s="472" t="s">
        <v>1157</v>
      </c>
    </row>
    <row r="137" spans="1:2" ht="31.5">
      <c r="A137" s="264">
        <v>29116</v>
      </c>
      <c r="B137" s="115" t="s">
        <v>1158</v>
      </c>
    </row>
    <row r="138" spans="1:2" ht="31.5">
      <c r="A138" s="264">
        <v>29126</v>
      </c>
      <c r="B138" s="19" t="s">
        <v>1159</v>
      </c>
    </row>
    <row r="139" spans="1:2" ht="31.5">
      <c r="A139" s="264">
        <v>29136</v>
      </c>
      <c r="B139" s="19" t="s">
        <v>1858</v>
      </c>
    </row>
    <row r="140" spans="1:2" ht="15.75">
      <c r="A140" s="264">
        <v>29146</v>
      </c>
      <c r="B140" s="19" t="s">
        <v>1160</v>
      </c>
    </row>
    <row r="141" spans="1:2" ht="15.75">
      <c r="A141" s="264">
        <v>29156</v>
      </c>
      <c r="B141" s="111" t="s">
        <v>1161</v>
      </c>
    </row>
    <row r="142" spans="1:2" ht="15.75">
      <c r="A142" s="264">
        <v>29166</v>
      </c>
      <c r="B142" s="19" t="s">
        <v>1162</v>
      </c>
    </row>
    <row r="143" spans="1:2" ht="15.75">
      <c r="A143" s="264">
        <v>29176</v>
      </c>
      <c r="B143" s="19" t="s">
        <v>1636</v>
      </c>
    </row>
    <row r="144" spans="1:2" ht="31.5">
      <c r="A144" s="264">
        <v>29186</v>
      </c>
      <c r="B144" s="19" t="s">
        <v>1163</v>
      </c>
    </row>
    <row r="145" spans="1:2" ht="15.75">
      <c r="A145" s="264">
        <v>29196</v>
      </c>
      <c r="B145" s="19" t="s">
        <v>1164</v>
      </c>
    </row>
    <row r="146" spans="1:2" ht="15.75">
      <c r="A146" s="264">
        <v>29206</v>
      </c>
      <c r="B146" s="19" t="s">
        <v>1248</v>
      </c>
    </row>
    <row r="147" spans="1:2" ht="19.5" customHeight="1">
      <c r="A147" s="264">
        <v>29216</v>
      </c>
      <c r="B147" s="19" t="s">
        <v>1165</v>
      </c>
    </row>
    <row r="148" spans="1:2" ht="15.75">
      <c r="A148" s="264">
        <v>29226</v>
      </c>
      <c r="B148" s="19" t="s">
        <v>1166</v>
      </c>
    </row>
    <row r="149" spans="1:2" ht="15.75">
      <c r="A149" s="264">
        <v>29236</v>
      </c>
      <c r="B149" s="19" t="s">
        <v>1167</v>
      </c>
    </row>
    <row r="150" spans="1:2" ht="15.75">
      <c r="A150" s="264">
        <v>29246</v>
      </c>
      <c r="B150" s="19" t="s">
        <v>1168</v>
      </c>
    </row>
    <row r="151" spans="1:2" ht="15.75">
      <c r="A151" s="264">
        <v>29256</v>
      </c>
      <c r="B151" s="19" t="s">
        <v>1388</v>
      </c>
    </row>
    <row r="152" spans="1:2" ht="15.75">
      <c r="A152" s="264">
        <v>29266</v>
      </c>
      <c r="B152" s="19" t="s">
        <v>1389</v>
      </c>
    </row>
    <row r="153" spans="1:2" ht="31.5">
      <c r="A153" s="264">
        <v>29276</v>
      </c>
      <c r="B153" s="19" t="s">
        <v>1169</v>
      </c>
    </row>
    <row r="154" spans="1:2" ht="15.75">
      <c r="A154" s="264">
        <v>29286</v>
      </c>
      <c r="B154" s="268" t="s">
        <v>1170</v>
      </c>
    </row>
    <row r="155" spans="1:2" ht="30" customHeight="1">
      <c r="A155" s="264">
        <v>29296</v>
      </c>
      <c r="B155" s="268" t="s">
        <v>1171</v>
      </c>
    </row>
    <row r="156" spans="1:2" ht="15.75">
      <c r="A156" s="264">
        <v>29306</v>
      </c>
      <c r="B156" s="472" t="s">
        <v>1172</v>
      </c>
    </row>
    <row r="157" spans="1:2" ht="15.75">
      <c r="A157" s="264">
        <v>29316</v>
      </c>
      <c r="B157" s="19" t="s">
        <v>1173</v>
      </c>
    </row>
    <row r="158" spans="1:2" ht="15.75">
      <c r="A158" s="264">
        <v>29326</v>
      </c>
      <c r="B158" s="19" t="s">
        <v>1174</v>
      </c>
    </row>
    <row r="159" spans="1:2" ht="15.75">
      <c r="A159" s="264">
        <v>29336</v>
      </c>
      <c r="B159" s="583" t="s">
        <v>1175</v>
      </c>
    </row>
    <row r="160" spans="1:2" ht="15.75">
      <c r="A160" s="264">
        <v>29346</v>
      </c>
      <c r="B160" s="19" t="s">
        <v>1176</v>
      </c>
    </row>
    <row r="161" spans="1:2" ht="15.75">
      <c r="A161" s="264">
        <v>29356</v>
      </c>
      <c r="B161" s="583"/>
    </row>
    <row r="162" spans="1:2" ht="15.75">
      <c r="A162" s="264">
        <v>29366</v>
      </c>
      <c r="B162" s="19" t="s">
        <v>1177</v>
      </c>
    </row>
    <row r="163" spans="1:2" ht="15.75">
      <c r="A163" s="264">
        <v>29376</v>
      </c>
      <c r="B163" s="115" t="s">
        <v>1859</v>
      </c>
    </row>
    <row r="164" spans="1:2" ht="15.75">
      <c r="A164" s="264">
        <v>29386</v>
      </c>
      <c r="B164" s="583" t="s">
        <v>1637</v>
      </c>
    </row>
    <row r="165" spans="1:2" ht="31.5">
      <c r="A165" s="264">
        <v>29396</v>
      </c>
      <c r="B165" s="115" t="s">
        <v>1178</v>
      </c>
    </row>
    <row r="166" spans="1:2" ht="31.5">
      <c r="A166" s="264">
        <v>29406</v>
      </c>
      <c r="B166" s="268" t="s">
        <v>1179</v>
      </c>
    </row>
    <row r="167" spans="1:2" ht="44.25" customHeight="1">
      <c r="A167" s="264">
        <v>29416</v>
      </c>
      <c r="B167" s="115" t="s">
        <v>1180</v>
      </c>
    </row>
    <row r="168" spans="1:2" ht="15.75">
      <c r="A168" s="264">
        <v>29426</v>
      </c>
      <c r="B168" s="583" t="s">
        <v>1181</v>
      </c>
    </row>
    <row r="169" spans="1:2" ht="15.75">
      <c r="A169" s="264">
        <v>29436</v>
      </c>
      <c r="B169" s="115" t="s">
        <v>1182</v>
      </c>
    </row>
    <row r="170" spans="1:2" ht="31.5">
      <c r="A170" s="264">
        <v>29446</v>
      </c>
      <c r="B170" s="115" t="s">
        <v>1183</v>
      </c>
    </row>
    <row r="171" spans="1:2" ht="15.75">
      <c r="A171" s="264">
        <v>29456</v>
      </c>
      <c r="B171" s="267" t="s">
        <v>1742</v>
      </c>
    </row>
    <row r="172" spans="1:2" ht="15.75">
      <c r="A172" s="264">
        <v>29466</v>
      </c>
      <c r="B172" s="267" t="s">
        <v>1184</v>
      </c>
    </row>
    <row r="173" spans="1:2" ht="15.75">
      <c r="A173" s="264">
        <v>29476</v>
      </c>
      <c r="B173" s="583" t="s">
        <v>1390</v>
      </c>
    </row>
    <row r="174" spans="1:2" ht="15.75">
      <c r="A174" s="264">
        <v>29486</v>
      </c>
      <c r="B174" s="583" t="s">
        <v>1185</v>
      </c>
    </row>
    <row r="175" spans="1:2" ht="15.75">
      <c r="A175" s="264">
        <v>29496</v>
      </c>
      <c r="B175" s="472" t="s">
        <v>1186</v>
      </c>
    </row>
    <row r="176" spans="1:2" ht="15.75">
      <c r="A176" s="264">
        <v>29506</v>
      </c>
      <c r="B176" s="268" t="s">
        <v>1187</v>
      </c>
    </row>
    <row r="177" spans="1:2" ht="15.75">
      <c r="A177" s="264">
        <v>29516</v>
      </c>
      <c r="B177" s="268" t="s">
        <v>1356</v>
      </c>
    </row>
    <row r="178" spans="1:2" ht="15.75">
      <c r="A178" s="264">
        <v>29526</v>
      </c>
      <c r="B178" s="268" t="s">
        <v>1808</v>
      </c>
    </row>
    <row r="179" spans="1:2" ht="15.75">
      <c r="A179" s="264">
        <v>29536</v>
      </c>
      <c r="B179" s="268" t="s">
        <v>1638</v>
      </c>
    </row>
    <row r="180" spans="1:2" ht="31.5">
      <c r="A180" s="264">
        <v>29556</v>
      </c>
      <c r="B180" s="268" t="s">
        <v>1639</v>
      </c>
    </row>
    <row r="181" spans="1:2" ht="15.75">
      <c r="A181" s="264">
        <v>29566</v>
      </c>
      <c r="B181" s="268" t="s">
        <v>1355</v>
      </c>
    </row>
    <row r="182" spans="1:2" ht="31.5">
      <c r="A182" s="264">
        <v>29576</v>
      </c>
      <c r="B182" s="115" t="s">
        <v>1640</v>
      </c>
    </row>
    <row r="183" spans="1:2" ht="31.5">
      <c r="A183" s="264">
        <v>29586</v>
      </c>
      <c r="B183" s="268" t="s">
        <v>1641</v>
      </c>
    </row>
    <row r="184" spans="1:2" ht="15.75">
      <c r="A184" s="264">
        <v>29596</v>
      </c>
      <c r="B184" s="472" t="s">
        <v>1642</v>
      </c>
    </row>
    <row r="185" spans="1:2" ht="15.75">
      <c r="A185" s="264">
        <v>29606</v>
      </c>
      <c r="B185" s="115" t="s">
        <v>1643</v>
      </c>
    </row>
    <row r="186" spans="1:2" ht="15.75">
      <c r="A186" s="264">
        <v>29616</v>
      </c>
      <c r="B186" s="472" t="s">
        <v>1644</v>
      </c>
    </row>
    <row r="187" spans="1:2" ht="15.75">
      <c r="A187" s="264">
        <v>29626</v>
      </c>
      <c r="B187" s="115" t="s">
        <v>1645</v>
      </c>
    </row>
    <row r="188" spans="1:2" ht="15.75">
      <c r="A188" s="264">
        <v>29636</v>
      </c>
      <c r="B188" s="472" t="s">
        <v>1646</v>
      </c>
    </row>
    <row r="189" spans="1:2" ht="15.75">
      <c r="A189" s="264">
        <v>29646</v>
      </c>
      <c r="B189" s="268" t="s">
        <v>1647</v>
      </c>
    </row>
    <row r="190" spans="1:2" ht="15.75">
      <c r="A190" s="264">
        <v>29656</v>
      </c>
      <c r="B190" s="267" t="s">
        <v>1648</v>
      </c>
    </row>
    <row r="191" spans="1:2" ht="15.75">
      <c r="A191" s="264">
        <v>29666</v>
      </c>
      <c r="B191" s="267" t="s">
        <v>1649</v>
      </c>
    </row>
    <row r="192" spans="1:2" ht="31.5">
      <c r="A192" s="264">
        <v>29676</v>
      </c>
      <c r="B192" s="115" t="s">
        <v>1650</v>
      </c>
    </row>
    <row r="193" spans="1:2" ht="15.75">
      <c r="A193" s="264">
        <v>29686</v>
      </c>
      <c r="B193" s="115" t="s">
        <v>1651</v>
      </c>
    </row>
    <row r="194" spans="1:2" ht="15.75">
      <c r="A194" s="264">
        <v>29696</v>
      </c>
      <c r="B194" s="115" t="s">
        <v>1652</v>
      </c>
    </row>
    <row r="195" spans="1:2" ht="15.75">
      <c r="A195" s="264">
        <v>29706</v>
      </c>
      <c r="B195" s="115" t="s">
        <v>1653</v>
      </c>
    </row>
    <row r="196" spans="1:2" ht="15.75">
      <c r="A196" s="264">
        <v>29716</v>
      </c>
      <c r="B196" s="115" t="s">
        <v>1654</v>
      </c>
    </row>
    <row r="197" spans="1:2" ht="31.5">
      <c r="A197" s="264">
        <v>29726</v>
      </c>
      <c r="B197" s="268" t="s">
        <v>1655</v>
      </c>
    </row>
    <row r="198" spans="1:2" ht="15.75">
      <c r="A198" s="264">
        <v>29736</v>
      </c>
      <c r="B198" s="268"/>
    </row>
    <row r="199" spans="1:2" ht="15.75">
      <c r="A199" s="264">
        <v>29746</v>
      </c>
      <c r="B199" s="268"/>
    </row>
    <row r="200" spans="1:2" ht="15.75">
      <c r="A200" s="264">
        <v>29756</v>
      </c>
      <c r="B200" s="267" t="s">
        <v>1817</v>
      </c>
    </row>
    <row r="201" spans="1:2" ht="15.75">
      <c r="A201" s="264"/>
      <c r="B201" s="589"/>
    </row>
    <row r="202" spans="1:2" ht="15.75">
      <c r="A202" s="264"/>
      <c r="B202" s="268"/>
    </row>
    <row r="203" spans="1:2" ht="15.75">
      <c r="A203" s="264"/>
      <c r="B203" s="268"/>
    </row>
    <row r="204" spans="1:2" ht="15.75">
      <c r="A204" s="264"/>
      <c r="B204" s="268"/>
    </row>
    <row r="205" spans="1:2" ht="15.75">
      <c r="A205" s="264"/>
      <c r="B205" s="268"/>
    </row>
    <row r="206" spans="1:2" ht="15.75">
      <c r="A206" s="264">
        <v>50130</v>
      </c>
      <c r="B206" s="265" t="s">
        <v>1033</v>
      </c>
    </row>
    <row r="207" spans="1:2" ht="47.25">
      <c r="A207" s="264">
        <v>50650</v>
      </c>
      <c r="B207" s="265" t="s">
        <v>564</v>
      </c>
    </row>
    <row r="208" spans="1:2" ht="31.5">
      <c r="A208" s="264">
        <v>50840</v>
      </c>
      <c r="B208" s="265" t="s">
        <v>643</v>
      </c>
    </row>
    <row r="209" spans="1:2" ht="15.75">
      <c r="A209" s="264">
        <v>51180</v>
      </c>
      <c r="B209" s="115" t="s">
        <v>654</v>
      </c>
    </row>
    <row r="210" spans="1:2" ht="31.5">
      <c r="A210" s="264">
        <v>51190</v>
      </c>
      <c r="B210" s="265" t="s">
        <v>1188</v>
      </c>
    </row>
    <row r="211" spans="1:2" ht="31.5">
      <c r="A211" s="264">
        <v>51200</v>
      </c>
      <c r="B211" s="115" t="s">
        <v>485</v>
      </c>
    </row>
    <row r="212" spans="1:2" ht="15.75">
      <c r="A212" s="264">
        <v>51370</v>
      </c>
      <c r="B212" s="115" t="s">
        <v>627</v>
      </c>
    </row>
    <row r="213" spans="1:2" ht="15.75">
      <c r="A213" s="264">
        <v>51440</v>
      </c>
      <c r="B213" s="265" t="s">
        <v>1189</v>
      </c>
    </row>
    <row r="214" spans="1:2" ht="31.5">
      <c r="A214" s="264">
        <v>52200</v>
      </c>
      <c r="B214" s="115" t="s">
        <v>628</v>
      </c>
    </row>
    <row r="215" spans="1:2" ht="31.5">
      <c r="A215" s="264">
        <v>52400</v>
      </c>
      <c r="B215" s="115" t="s">
        <v>629</v>
      </c>
    </row>
    <row r="216" spans="1:2" ht="15.75">
      <c r="A216" s="264">
        <v>52500</v>
      </c>
      <c r="B216" s="115" t="s">
        <v>630</v>
      </c>
    </row>
    <row r="217" spans="1:2" ht="31.5">
      <c r="A217" s="264">
        <v>52600</v>
      </c>
      <c r="B217" s="265" t="s">
        <v>609</v>
      </c>
    </row>
    <row r="218" spans="1:2" ht="47.25">
      <c r="A218" s="264">
        <v>52700</v>
      </c>
      <c r="B218" s="265" t="s">
        <v>644</v>
      </c>
    </row>
    <row r="219" spans="1:2" ht="15.75">
      <c r="A219" s="264">
        <v>52930</v>
      </c>
      <c r="B219" s="265" t="s">
        <v>1816</v>
      </c>
    </row>
    <row r="220" spans="1:2" ht="15.75">
      <c r="A220" s="264">
        <v>53116</v>
      </c>
      <c r="B220" s="516" t="s">
        <v>1830</v>
      </c>
    </row>
    <row r="221" spans="1:2" ht="47.25">
      <c r="A221" s="264">
        <v>53800</v>
      </c>
      <c r="B221" s="265" t="s">
        <v>1190</v>
      </c>
    </row>
    <row r="222" spans="1:2" ht="31.5">
      <c r="A222" s="264">
        <v>53810</v>
      </c>
      <c r="B222" s="115" t="s">
        <v>631</v>
      </c>
    </row>
    <row r="223" spans="1:2" ht="31.5">
      <c r="A223" s="264">
        <v>53850</v>
      </c>
      <c r="B223" s="115" t="s">
        <v>632</v>
      </c>
    </row>
    <row r="224" spans="1:2" ht="15.75">
      <c r="A224" s="264">
        <v>53910</v>
      </c>
      <c r="B224" s="115" t="s">
        <v>504</v>
      </c>
    </row>
    <row r="225" spans="1:2" ht="31.5">
      <c r="A225" s="264">
        <v>54620</v>
      </c>
      <c r="B225" s="115" t="s">
        <v>1231</v>
      </c>
    </row>
    <row r="226" spans="1:2" ht="15.75">
      <c r="A226" s="264">
        <v>55556</v>
      </c>
      <c r="B226" s="115" t="s">
        <v>1836</v>
      </c>
    </row>
    <row r="227" spans="1:2" ht="31.5">
      <c r="A227" s="264">
        <v>55730</v>
      </c>
      <c r="B227" s="115" t="s">
        <v>1597</v>
      </c>
    </row>
    <row r="228" spans="1:2" ht="15.75">
      <c r="A228" s="264">
        <v>59300</v>
      </c>
      <c r="B228" s="115" t="s">
        <v>505</v>
      </c>
    </row>
    <row r="229" spans="1:2" ht="31.5">
      <c r="A229" s="264">
        <v>70430</v>
      </c>
      <c r="B229" s="265" t="s">
        <v>610</v>
      </c>
    </row>
    <row r="230" spans="1:2" ht="31.5">
      <c r="A230" s="264">
        <v>70460</v>
      </c>
      <c r="B230" s="265" t="s">
        <v>611</v>
      </c>
    </row>
    <row r="231" spans="1:2" ht="31.5">
      <c r="A231" s="264">
        <v>70470</v>
      </c>
      <c r="B231" s="265" t="s">
        <v>587</v>
      </c>
    </row>
    <row r="232" spans="1:2" ht="15.75">
      <c r="A232" s="264">
        <v>70480</v>
      </c>
      <c r="B232" s="265" t="s">
        <v>1191</v>
      </c>
    </row>
    <row r="233" spans="1:2" ht="15.75">
      <c r="A233" s="264">
        <v>70500</v>
      </c>
      <c r="B233" s="265" t="s">
        <v>612</v>
      </c>
    </row>
    <row r="234" spans="1:2" ht="31.5">
      <c r="A234" s="264">
        <v>70510</v>
      </c>
      <c r="B234" s="265" t="s">
        <v>545</v>
      </c>
    </row>
    <row r="235" spans="1:2" ht="15.75">
      <c r="A235" s="264">
        <v>70520</v>
      </c>
      <c r="B235" s="265" t="s">
        <v>556</v>
      </c>
    </row>
    <row r="236" spans="1:2" ht="31.5">
      <c r="A236" s="264">
        <v>70530</v>
      </c>
      <c r="B236" s="265" t="s">
        <v>557</v>
      </c>
    </row>
    <row r="237" spans="1:2" ht="15.75">
      <c r="A237" s="264">
        <v>70550</v>
      </c>
      <c r="B237" s="265" t="s">
        <v>591</v>
      </c>
    </row>
    <row r="238" spans="1:2" ht="31.5">
      <c r="A238" s="264">
        <v>70560</v>
      </c>
      <c r="B238" s="265" t="s">
        <v>1192</v>
      </c>
    </row>
    <row r="239" spans="1:2" ht="31.5">
      <c r="A239" s="264">
        <v>70570</v>
      </c>
      <c r="B239" s="265" t="s">
        <v>1193</v>
      </c>
    </row>
    <row r="240" spans="1:2" ht="31.5">
      <c r="A240" s="264">
        <v>70650</v>
      </c>
      <c r="B240" s="115" t="s">
        <v>681</v>
      </c>
    </row>
    <row r="241" spans="1:2" ht="31.5">
      <c r="A241" s="264">
        <v>70660</v>
      </c>
      <c r="B241" s="265" t="s">
        <v>1194</v>
      </c>
    </row>
    <row r="242" spans="1:2" ht="15.75">
      <c r="A242" s="264">
        <v>70670</v>
      </c>
      <c r="B242" s="265" t="s">
        <v>1195</v>
      </c>
    </row>
    <row r="243" spans="1:2" ht="31.5">
      <c r="A243" s="264">
        <v>70740</v>
      </c>
      <c r="B243" s="115" t="s">
        <v>633</v>
      </c>
    </row>
    <row r="244" spans="1:2" ht="31.5">
      <c r="A244" s="264">
        <v>70750</v>
      </c>
      <c r="B244" s="115" t="s">
        <v>634</v>
      </c>
    </row>
    <row r="245" spans="1:2" ht="31.5">
      <c r="A245" s="264">
        <v>70830</v>
      </c>
      <c r="B245" s="265" t="s">
        <v>645</v>
      </c>
    </row>
    <row r="246" spans="1:2" ht="31.5">
      <c r="A246" s="264">
        <v>70840</v>
      </c>
      <c r="B246" s="115" t="s">
        <v>635</v>
      </c>
    </row>
    <row r="247" spans="1:2" ht="47.25">
      <c r="A247" s="264">
        <v>70850</v>
      </c>
      <c r="B247" s="115" t="s">
        <v>626</v>
      </c>
    </row>
    <row r="248" spans="1:2" ht="15.75">
      <c r="A248" s="264">
        <v>70860</v>
      </c>
      <c r="B248" s="115" t="s">
        <v>636</v>
      </c>
    </row>
    <row r="249" spans="1:2" ht="31.5">
      <c r="A249" s="264">
        <v>70870</v>
      </c>
      <c r="B249" s="265" t="s">
        <v>646</v>
      </c>
    </row>
    <row r="250" spans="1:2" ht="15.75">
      <c r="A250" s="264">
        <v>70890</v>
      </c>
      <c r="B250" s="115" t="s">
        <v>637</v>
      </c>
    </row>
    <row r="251" spans="1:2" ht="15.75">
      <c r="A251" s="264">
        <v>70920</v>
      </c>
      <c r="B251" s="265" t="s">
        <v>1149</v>
      </c>
    </row>
    <row r="252" spans="1:2" ht="31.5">
      <c r="A252" s="264">
        <v>70930</v>
      </c>
      <c r="B252" s="265" t="s">
        <v>1196</v>
      </c>
    </row>
    <row r="253" spans="1:2" ht="31.5">
      <c r="A253" s="264">
        <v>70970</v>
      </c>
      <c r="B253" s="265" t="s">
        <v>613</v>
      </c>
    </row>
    <row r="254" spans="1:2" ht="15.75">
      <c r="A254" s="264">
        <v>70990</v>
      </c>
      <c r="B254" s="265" t="s">
        <v>1197</v>
      </c>
    </row>
    <row r="255" spans="1:2" ht="31.5">
      <c r="A255" s="264">
        <v>71000</v>
      </c>
      <c r="B255" s="338" t="s">
        <v>565</v>
      </c>
    </row>
    <row r="256" spans="1:2" ht="15.75">
      <c r="A256" s="264">
        <v>71010</v>
      </c>
      <c r="B256" s="265" t="s">
        <v>1198</v>
      </c>
    </row>
    <row r="257" spans="1:2" ht="31.5">
      <c r="A257" s="264">
        <v>71060</v>
      </c>
      <c r="B257" s="338" t="s">
        <v>566</v>
      </c>
    </row>
    <row r="258" spans="1:2" ht="31.5">
      <c r="A258" s="264">
        <v>71160</v>
      </c>
      <c r="B258" s="265" t="s">
        <v>1199</v>
      </c>
    </row>
    <row r="259" spans="1:2" ht="31.5">
      <c r="A259" s="264">
        <v>71170</v>
      </c>
      <c r="B259" s="265" t="s">
        <v>1200</v>
      </c>
    </row>
    <row r="260" spans="1:2" ht="31.5">
      <c r="A260" s="264">
        <v>71180</v>
      </c>
      <c r="B260" s="265" t="s">
        <v>1201</v>
      </c>
    </row>
    <row r="261" spans="1:2" ht="31.5">
      <c r="A261" s="264">
        <v>71190</v>
      </c>
      <c r="B261" s="265" t="s">
        <v>1202</v>
      </c>
    </row>
    <row r="262" spans="1:2" ht="31.5">
      <c r="A262" s="264">
        <v>71230</v>
      </c>
      <c r="B262" s="338" t="s">
        <v>1203</v>
      </c>
    </row>
    <row r="263" spans="1:2" ht="31.5">
      <c r="A263" s="264">
        <v>71236</v>
      </c>
      <c r="B263" s="338" t="s">
        <v>1656</v>
      </c>
    </row>
    <row r="264" spans="1:2" ht="31.5">
      <c r="A264" s="264">
        <v>71430</v>
      </c>
      <c r="B264" s="265" t="s">
        <v>581</v>
      </c>
    </row>
    <row r="265" spans="1:2" ht="15.75">
      <c r="A265" s="264">
        <v>71450</v>
      </c>
      <c r="B265" s="338" t="s">
        <v>1204</v>
      </c>
    </row>
    <row r="266" spans="1:2" ht="15.75">
      <c r="A266" s="264">
        <v>71690</v>
      </c>
      <c r="B266" s="115" t="s">
        <v>692</v>
      </c>
    </row>
    <row r="267" spans="1:2" ht="15.75">
      <c r="A267" s="264">
        <v>71700</v>
      </c>
      <c r="B267" s="265" t="s">
        <v>1205</v>
      </c>
    </row>
    <row r="268" spans="1:2" ht="31.5">
      <c r="A268" s="264">
        <v>71750</v>
      </c>
      <c r="B268" s="338" t="s">
        <v>105</v>
      </c>
    </row>
    <row r="269" spans="1:2" ht="15.75">
      <c r="A269" s="264">
        <v>71756</v>
      </c>
      <c r="B269" s="338" t="s">
        <v>1657</v>
      </c>
    </row>
    <row r="270" spans="1:2" ht="31.5">
      <c r="A270" s="264">
        <v>71860</v>
      </c>
      <c r="B270" s="115" t="s">
        <v>1206</v>
      </c>
    </row>
    <row r="271" spans="1:2" ht="15.75">
      <c r="A271" s="264">
        <v>72010</v>
      </c>
      <c r="B271" s="115" t="s">
        <v>1207</v>
      </c>
    </row>
    <row r="272" spans="1:2" ht="31.5">
      <c r="A272" s="264">
        <v>72040</v>
      </c>
      <c r="B272" s="265" t="s">
        <v>1208</v>
      </c>
    </row>
    <row r="273" spans="1:2" ht="15.75">
      <c r="A273" s="264">
        <v>72150</v>
      </c>
      <c r="B273" s="115" t="s">
        <v>1209</v>
      </c>
    </row>
    <row r="274" spans="1:2" ht="31.5">
      <c r="A274" s="264">
        <v>72170</v>
      </c>
      <c r="B274" s="115" t="s">
        <v>1210</v>
      </c>
    </row>
    <row r="275" spans="1:2" ht="15.75">
      <c r="A275" s="264">
        <v>72280</v>
      </c>
      <c r="B275" s="265" t="s">
        <v>1211</v>
      </c>
    </row>
    <row r="276" spans="1:2" ht="15.75">
      <c r="A276" s="264">
        <v>72290</v>
      </c>
      <c r="B276" s="265" t="s">
        <v>1212</v>
      </c>
    </row>
    <row r="277" spans="1:2" ht="15.75">
      <c r="A277" s="263">
        <v>72440</v>
      </c>
      <c r="B277" s="590" t="s">
        <v>730</v>
      </c>
    </row>
    <row r="278" spans="1:2" ht="31.5">
      <c r="A278" s="264">
        <v>72470</v>
      </c>
      <c r="B278" s="115" t="s">
        <v>1213</v>
      </c>
    </row>
    <row r="279" spans="1:2" ht="31.5">
      <c r="A279" s="264">
        <v>72550</v>
      </c>
      <c r="B279" s="115" t="s">
        <v>1246</v>
      </c>
    </row>
    <row r="280" spans="1:2" ht="31.5">
      <c r="A280" s="264">
        <v>72560</v>
      </c>
      <c r="B280" s="115" t="s">
        <v>1247</v>
      </c>
    </row>
    <row r="281" spans="1:2" ht="31.5">
      <c r="A281" s="264">
        <v>72610</v>
      </c>
      <c r="B281" s="265" t="s">
        <v>1214</v>
      </c>
    </row>
    <row r="282" spans="1:2" ht="47.25">
      <c r="A282" s="264">
        <v>72880</v>
      </c>
      <c r="B282" s="265" t="s">
        <v>1658</v>
      </c>
    </row>
    <row r="283" spans="1:2" ht="15.75">
      <c r="A283" s="264">
        <v>72940</v>
      </c>
      <c r="B283" s="265" t="s">
        <v>1215</v>
      </c>
    </row>
    <row r="284" spans="1:2" ht="15.75">
      <c r="A284" s="264">
        <v>72970</v>
      </c>
      <c r="B284" s="115" t="s">
        <v>663</v>
      </c>
    </row>
    <row r="285" spans="1:2" ht="31.5">
      <c r="A285" s="264">
        <v>73000</v>
      </c>
      <c r="B285" s="265" t="s">
        <v>1216</v>
      </c>
    </row>
    <row r="286" spans="1:2" ht="15.75">
      <c r="A286" s="264">
        <v>73040</v>
      </c>
      <c r="B286" s="115" t="s">
        <v>638</v>
      </c>
    </row>
    <row r="287" spans="1:2" ht="31.5">
      <c r="A287" s="264">
        <v>73110</v>
      </c>
      <c r="B287" s="265" t="s">
        <v>546</v>
      </c>
    </row>
    <row r="288" spans="1:2" ht="15.75">
      <c r="A288" s="264">
        <v>73140</v>
      </c>
      <c r="B288" s="265" t="s">
        <v>1856</v>
      </c>
    </row>
    <row r="289" spans="1:2" ht="15.75">
      <c r="A289" s="264">
        <v>73230</v>
      </c>
      <c r="B289" s="265" t="s">
        <v>1217</v>
      </c>
    </row>
    <row r="290" spans="1:2" ht="15.75">
      <c r="A290" s="264">
        <v>73260</v>
      </c>
      <c r="B290" s="338" t="s">
        <v>1659</v>
      </c>
    </row>
    <row r="291" spans="1:2" ht="15.75">
      <c r="A291" s="264">
        <v>73266</v>
      </c>
      <c r="B291" s="338" t="s">
        <v>1860</v>
      </c>
    </row>
    <row r="292" spans="1:2" ht="15.75">
      <c r="A292" s="264">
        <v>73280</v>
      </c>
      <c r="B292" s="265" t="s">
        <v>494</v>
      </c>
    </row>
    <row r="293" spans="1:2" ht="31.5">
      <c r="A293" s="264">
        <v>73900</v>
      </c>
      <c r="B293" s="338" t="s">
        <v>1660</v>
      </c>
    </row>
    <row r="294" spans="1:2" ht="15.75">
      <c r="A294" s="264">
        <v>73906</v>
      </c>
      <c r="B294" s="338" t="s">
        <v>1661</v>
      </c>
    </row>
    <row r="295" spans="1:2" ht="15.75">
      <c r="A295" s="264">
        <v>74390</v>
      </c>
      <c r="B295" s="115" t="s">
        <v>567</v>
      </c>
    </row>
    <row r="296" spans="1:2" ht="15.75">
      <c r="A296" s="264">
        <v>74420</v>
      </c>
      <c r="B296" s="115" t="s">
        <v>135</v>
      </c>
    </row>
    <row r="297" spans="1:2" ht="31.5">
      <c r="A297" s="264">
        <v>74450</v>
      </c>
      <c r="B297" s="115" t="s">
        <v>136</v>
      </c>
    </row>
    <row r="298" spans="1:2" ht="15.75">
      <c r="A298" s="264">
        <v>74770</v>
      </c>
      <c r="B298" s="115" t="s">
        <v>1218</v>
      </c>
    </row>
    <row r="299" spans="1:2" ht="31.5">
      <c r="A299" s="264">
        <v>74790</v>
      </c>
      <c r="B299" s="115" t="s">
        <v>99</v>
      </c>
    </row>
    <row r="300" spans="1:2" ht="15.75">
      <c r="A300" s="264">
        <v>74880</v>
      </c>
      <c r="B300" s="115" t="s">
        <v>1265</v>
      </c>
    </row>
    <row r="301" spans="1:2" ht="15.75">
      <c r="A301" s="264">
        <v>75160</v>
      </c>
      <c r="B301" s="115" t="s">
        <v>132</v>
      </c>
    </row>
    <row r="302" spans="1:2" ht="15.75">
      <c r="A302" s="264">
        <v>75260</v>
      </c>
      <c r="B302" s="115" t="s">
        <v>1662</v>
      </c>
    </row>
    <row r="303" spans="1:2" ht="15.75">
      <c r="A303" s="264">
        <v>75350</v>
      </c>
      <c r="B303" s="115" t="s">
        <v>1663</v>
      </c>
    </row>
    <row r="304" spans="1:2" ht="31.5">
      <c r="A304" s="264">
        <v>75356</v>
      </c>
      <c r="B304" s="115" t="s">
        <v>1664</v>
      </c>
    </row>
    <row r="305" spans="1:2" ht="31.5">
      <c r="A305" s="264">
        <v>75480</v>
      </c>
      <c r="B305" s="115" t="s">
        <v>1407</v>
      </c>
    </row>
    <row r="306" spans="1:2" ht="31.5">
      <c r="A306" s="264">
        <v>75490</v>
      </c>
      <c r="B306" s="115" t="s">
        <v>1395</v>
      </c>
    </row>
    <row r="307" spans="1:2" ht="15.75">
      <c r="A307" s="264">
        <v>75550</v>
      </c>
      <c r="B307" s="115" t="s">
        <v>1665</v>
      </c>
    </row>
    <row r="308" spans="1:2" ht="15.75">
      <c r="A308" s="264">
        <v>75556</v>
      </c>
      <c r="B308" s="115" t="s">
        <v>1666</v>
      </c>
    </row>
    <row r="309" spans="1:2" ht="15.75">
      <c r="A309" s="264">
        <v>75620</v>
      </c>
      <c r="B309" s="115" t="s">
        <v>1861</v>
      </c>
    </row>
    <row r="310" spans="1:2" ht="15.75">
      <c r="A310" s="264">
        <v>75626</v>
      </c>
      <c r="B310" s="115" t="s">
        <v>1635</v>
      </c>
    </row>
    <row r="311" spans="1:2" ht="15.75">
      <c r="A311" s="264">
        <v>75800</v>
      </c>
      <c r="B311" s="115" t="s">
        <v>1400</v>
      </c>
    </row>
    <row r="312" spans="1:2" ht="31.5">
      <c r="A312" s="264">
        <v>75870</v>
      </c>
      <c r="B312" s="115" t="s">
        <v>1667</v>
      </c>
    </row>
    <row r="313" spans="1:2" ht="15.75">
      <c r="A313" s="264">
        <v>75876</v>
      </c>
      <c r="B313" s="115" t="s">
        <v>1668</v>
      </c>
    </row>
    <row r="314" spans="1:2" ht="31.5">
      <c r="A314" s="264">
        <v>75870</v>
      </c>
      <c r="B314" s="115" t="s">
        <v>1667</v>
      </c>
    </row>
    <row r="315" spans="1:2" ht="31.5">
      <c r="A315" s="264">
        <v>75880</v>
      </c>
      <c r="B315" s="115" t="s">
        <v>1811</v>
      </c>
    </row>
    <row r="316" spans="1:2" ht="15.75">
      <c r="A316" s="264">
        <v>76150</v>
      </c>
      <c r="B316" s="115" t="s">
        <v>1632</v>
      </c>
    </row>
    <row r="317" spans="1:2" ht="31.5">
      <c r="A317" s="264">
        <v>76160</v>
      </c>
      <c r="B317" s="115" t="s">
        <v>1857</v>
      </c>
    </row>
    <row r="318" spans="1:2" ht="15.75">
      <c r="A318" s="264">
        <v>80120</v>
      </c>
      <c r="B318" s="265" t="s">
        <v>1219</v>
      </c>
    </row>
    <row r="319" spans="1:2" ht="31.5">
      <c r="A319" s="264">
        <v>80190</v>
      </c>
      <c r="B319" s="265" t="s">
        <v>506</v>
      </c>
    </row>
    <row r="320" spans="1:2" ht="31.5">
      <c r="A320" s="264">
        <v>80200</v>
      </c>
      <c r="B320" s="265" t="s">
        <v>507</v>
      </c>
    </row>
    <row r="321" spans="1:2" ht="31.5">
      <c r="A321" s="264">
        <v>90050</v>
      </c>
      <c r="B321" s="338" t="s">
        <v>1862</v>
      </c>
    </row>
    <row r="322" spans="1:2" ht="15.75">
      <c r="A322" s="264" t="s">
        <v>1228</v>
      </c>
      <c r="B322" s="591" t="s">
        <v>1229</v>
      </c>
    </row>
    <row r="323" spans="1:2" ht="15.75">
      <c r="A323" s="264" t="s">
        <v>1669</v>
      </c>
      <c r="B323" s="591" t="s">
        <v>1670</v>
      </c>
    </row>
    <row r="324" spans="1:2" ht="15.75">
      <c r="A324" s="264" t="s">
        <v>1671</v>
      </c>
      <c r="B324" s="591" t="s">
        <v>1672</v>
      </c>
    </row>
    <row r="325" spans="1:2" ht="15.75">
      <c r="A325" s="264" t="s">
        <v>1673</v>
      </c>
      <c r="B325" s="591" t="s">
        <v>1674</v>
      </c>
    </row>
    <row r="326" spans="1:2" ht="31.5">
      <c r="A326" s="264" t="s">
        <v>1675</v>
      </c>
      <c r="B326" s="591" t="s">
        <v>1676</v>
      </c>
    </row>
    <row r="327" spans="1:2" ht="15.75">
      <c r="A327" s="264" t="s">
        <v>1677</v>
      </c>
      <c r="B327" s="591" t="s">
        <v>1678</v>
      </c>
    </row>
    <row r="328" spans="1:2" ht="31.5">
      <c r="A328" s="264" t="s">
        <v>1679</v>
      </c>
      <c r="B328" s="591" t="s">
        <v>1680</v>
      </c>
    </row>
    <row r="329" spans="1:2" ht="15.75">
      <c r="A329" s="264" t="s">
        <v>1227</v>
      </c>
      <c r="B329" s="591" t="s">
        <v>1230</v>
      </c>
    </row>
    <row r="330" spans="1:2" ht="31.5">
      <c r="A330" s="264" t="s">
        <v>1681</v>
      </c>
      <c r="B330" s="338" t="s">
        <v>506</v>
      </c>
    </row>
    <row r="331" spans="1:2" ht="31.5">
      <c r="A331" s="264" t="s">
        <v>1682</v>
      </c>
      <c r="B331" s="338" t="s">
        <v>507</v>
      </c>
    </row>
    <row r="332" spans="1:2" ht="31.5">
      <c r="A332" s="264" t="s">
        <v>1683</v>
      </c>
      <c r="B332" s="338" t="s">
        <v>610</v>
      </c>
    </row>
    <row r="333" spans="1:2" ht="31.5">
      <c r="A333" s="264" t="s">
        <v>1684</v>
      </c>
      <c r="B333" s="338" t="s">
        <v>611</v>
      </c>
    </row>
    <row r="334" spans="1:2" ht="15.75">
      <c r="A334" s="264" t="s">
        <v>1685</v>
      </c>
      <c r="B334" s="338" t="s">
        <v>612</v>
      </c>
    </row>
    <row r="335" spans="1:2" ht="31.5">
      <c r="A335" s="264" t="s">
        <v>1686</v>
      </c>
      <c r="B335" s="338" t="s">
        <v>545</v>
      </c>
    </row>
    <row r="336" spans="1:2" ht="15.75">
      <c r="A336" s="264" t="s">
        <v>1687</v>
      </c>
      <c r="B336" s="338" t="s">
        <v>556</v>
      </c>
    </row>
    <row r="337" spans="1:2" ht="31.5">
      <c r="A337" s="264" t="s">
        <v>1688</v>
      </c>
      <c r="B337" s="338" t="s">
        <v>557</v>
      </c>
    </row>
    <row r="338" spans="1:2" ht="15.75">
      <c r="A338" s="264" t="s">
        <v>1689</v>
      </c>
      <c r="B338" s="338" t="s">
        <v>591</v>
      </c>
    </row>
    <row r="339" spans="1:2" ht="31.5">
      <c r="A339" s="264" t="s">
        <v>1690</v>
      </c>
      <c r="B339" s="338" t="s">
        <v>681</v>
      </c>
    </row>
    <row r="340" spans="1:2" ht="31.5">
      <c r="A340" s="264" t="s">
        <v>1691</v>
      </c>
      <c r="B340" s="338" t="s">
        <v>633</v>
      </c>
    </row>
    <row r="341" spans="1:2" ht="31.5">
      <c r="A341" s="264" t="s">
        <v>1692</v>
      </c>
      <c r="B341" s="338" t="s">
        <v>634</v>
      </c>
    </row>
    <row r="342" spans="1:2" ht="31.5">
      <c r="A342" s="264" t="s">
        <v>1221</v>
      </c>
      <c r="B342" s="338" t="s">
        <v>645</v>
      </c>
    </row>
    <row r="343" spans="1:2" ht="31.5">
      <c r="A343" s="264" t="s">
        <v>1693</v>
      </c>
      <c r="B343" s="338" t="s">
        <v>635</v>
      </c>
    </row>
    <row r="344" spans="1:2" ht="47.25">
      <c r="A344" s="264" t="s">
        <v>1694</v>
      </c>
      <c r="B344" s="338" t="s">
        <v>626</v>
      </c>
    </row>
    <row r="345" spans="1:2" ht="17.45" customHeight="1">
      <c r="A345" s="264" t="s">
        <v>1695</v>
      </c>
      <c r="B345" s="338" t="s">
        <v>636</v>
      </c>
    </row>
    <row r="346" spans="1:2" ht="17.45" customHeight="1">
      <c r="A346" s="264" t="s">
        <v>1696</v>
      </c>
      <c r="B346" s="338" t="s">
        <v>646</v>
      </c>
    </row>
    <row r="347" spans="1:2" ht="17.45" customHeight="1">
      <c r="A347" s="264" t="s">
        <v>1697</v>
      </c>
      <c r="B347" s="338" t="s">
        <v>637</v>
      </c>
    </row>
    <row r="348" spans="1:2" ht="32.25" customHeight="1">
      <c r="A348" s="264" t="s">
        <v>1698</v>
      </c>
      <c r="B348" s="338" t="s">
        <v>1699</v>
      </c>
    </row>
    <row r="349" spans="1:2" ht="17.45" customHeight="1">
      <c r="A349" s="264" t="s">
        <v>1700</v>
      </c>
      <c r="B349" s="338" t="s">
        <v>562</v>
      </c>
    </row>
    <row r="350" spans="1:2" ht="31.5" customHeight="1">
      <c r="A350" s="264" t="s">
        <v>1701</v>
      </c>
      <c r="B350" s="338" t="s">
        <v>566</v>
      </c>
    </row>
    <row r="351" spans="1:2" ht="31.5" customHeight="1">
      <c r="A351" s="264" t="s">
        <v>1702</v>
      </c>
      <c r="B351" s="338" t="s">
        <v>581</v>
      </c>
    </row>
    <row r="352" spans="1:2" ht="17.45" customHeight="1">
      <c r="A352" s="264" t="s">
        <v>1703</v>
      </c>
      <c r="B352" s="338" t="s">
        <v>1204</v>
      </c>
    </row>
    <row r="353" spans="1:2" ht="17.45" customHeight="1">
      <c r="A353" s="264" t="s">
        <v>1704</v>
      </c>
      <c r="B353" s="338" t="s">
        <v>692</v>
      </c>
    </row>
    <row r="354" spans="1:2" ht="17.45" customHeight="1">
      <c r="A354" s="264" t="s">
        <v>1705</v>
      </c>
      <c r="B354" s="338" t="s">
        <v>1706</v>
      </c>
    </row>
    <row r="355" spans="1:2" ht="17.45" customHeight="1">
      <c r="A355" s="264" t="s">
        <v>1707</v>
      </c>
      <c r="B355" s="338" t="s">
        <v>1708</v>
      </c>
    </row>
    <row r="356" spans="1:2" ht="17.45" customHeight="1">
      <c r="A356" s="264" t="s">
        <v>1709</v>
      </c>
      <c r="B356" s="338" t="s">
        <v>1710</v>
      </c>
    </row>
    <row r="357" spans="1:2" ht="36.75" customHeight="1">
      <c r="A357" s="264" t="s">
        <v>1711</v>
      </c>
      <c r="B357" s="338" t="s">
        <v>1246</v>
      </c>
    </row>
    <row r="358" spans="1:2" ht="36.75" customHeight="1">
      <c r="A358" s="264" t="s">
        <v>1712</v>
      </c>
      <c r="B358" s="338" t="s">
        <v>1247</v>
      </c>
    </row>
    <row r="359" spans="1:2" ht="49.15" customHeight="1">
      <c r="A359" s="264" t="s">
        <v>1713</v>
      </c>
      <c r="B359" s="338" t="s">
        <v>1863</v>
      </c>
    </row>
    <row r="360" spans="1:2" ht="15.75">
      <c r="A360" s="264" t="s">
        <v>1714</v>
      </c>
      <c r="B360" s="338" t="s">
        <v>638</v>
      </c>
    </row>
    <row r="361" spans="1:2" ht="31.5">
      <c r="A361" s="264" t="s">
        <v>1715</v>
      </c>
      <c r="B361" s="338" t="s">
        <v>546</v>
      </c>
    </row>
    <row r="362" spans="1:2" ht="15.75">
      <c r="A362" s="264" t="s">
        <v>1716</v>
      </c>
      <c r="B362" s="338" t="s">
        <v>1717</v>
      </c>
    </row>
    <row r="363" spans="1:2" ht="15.75">
      <c r="A363" s="264" t="s">
        <v>1718</v>
      </c>
      <c r="B363" s="338" t="s">
        <v>567</v>
      </c>
    </row>
    <row r="364" spans="1:2" ht="15.75">
      <c r="A364" s="264" t="s">
        <v>1719</v>
      </c>
      <c r="B364" s="338" t="s">
        <v>135</v>
      </c>
    </row>
    <row r="365" spans="1:2" ht="31.5">
      <c r="A365" s="264" t="s">
        <v>1720</v>
      </c>
      <c r="B365" s="338" t="s">
        <v>136</v>
      </c>
    </row>
    <row r="366" spans="1:2" ht="31.5">
      <c r="A366" s="264" t="s">
        <v>1385</v>
      </c>
      <c r="B366" s="338" t="s">
        <v>1394</v>
      </c>
    </row>
    <row r="367" spans="1:2" ht="15.75">
      <c r="A367" s="264" t="s">
        <v>1721</v>
      </c>
      <c r="B367" s="338" t="s">
        <v>132</v>
      </c>
    </row>
    <row r="368" spans="1:2" ht="15.75">
      <c r="A368" s="264" t="s">
        <v>1722</v>
      </c>
      <c r="B368" s="338" t="s">
        <v>1674</v>
      </c>
    </row>
    <row r="369" spans="1:2" ht="15.75">
      <c r="A369" s="264" t="s">
        <v>1723</v>
      </c>
      <c r="B369" s="338" t="s">
        <v>1526</v>
      </c>
    </row>
    <row r="370" spans="1:2" ht="15.75">
      <c r="A370" s="264" t="s">
        <v>1724</v>
      </c>
      <c r="B370" s="338" t="s">
        <v>1663</v>
      </c>
    </row>
    <row r="371" spans="1:2" ht="15.75">
      <c r="A371" s="264" t="s">
        <v>1725</v>
      </c>
      <c r="B371" s="338" t="s">
        <v>1726</v>
      </c>
    </row>
    <row r="372" spans="1:2" ht="31.5">
      <c r="A372" s="264" t="s">
        <v>1727</v>
      </c>
      <c r="B372" s="115" t="s">
        <v>1407</v>
      </c>
    </row>
    <row r="373" spans="1:2" ht="31.5">
      <c r="A373" s="264" t="s">
        <v>1728</v>
      </c>
      <c r="B373" s="338" t="s">
        <v>1395</v>
      </c>
    </row>
    <row r="374" spans="1:2" ht="15.75">
      <c r="A374" s="264" t="s">
        <v>1729</v>
      </c>
      <c r="B374" s="338" t="s">
        <v>1666</v>
      </c>
    </row>
    <row r="375" spans="1:2" ht="15.75">
      <c r="A375" s="264" t="s">
        <v>1730</v>
      </c>
      <c r="B375" s="338" t="s">
        <v>1666</v>
      </c>
    </row>
    <row r="376" spans="1:2" ht="15.75">
      <c r="A376" s="264" t="s">
        <v>1731</v>
      </c>
      <c r="B376" s="338" t="s">
        <v>1732</v>
      </c>
    </row>
    <row r="377" spans="1:2" ht="15.75">
      <c r="A377" s="264" t="s">
        <v>1733</v>
      </c>
      <c r="B377" s="338" t="s">
        <v>1635</v>
      </c>
    </row>
    <row r="378" spans="1:2" ht="15.75">
      <c r="A378" s="264" t="s">
        <v>1734</v>
      </c>
      <c r="B378" s="338" t="s">
        <v>1735</v>
      </c>
    </row>
    <row r="379" spans="1:2" ht="31.5">
      <c r="A379" s="264" t="s">
        <v>588</v>
      </c>
      <c r="B379" s="115" t="s">
        <v>587</v>
      </c>
    </row>
    <row r="380" spans="1:2" ht="31.5">
      <c r="A380" s="264" t="s">
        <v>682</v>
      </c>
      <c r="B380" s="115" t="s">
        <v>681</v>
      </c>
    </row>
    <row r="381" spans="1:2" ht="15.75">
      <c r="A381" s="264" t="s">
        <v>608</v>
      </c>
      <c r="B381" s="115" t="s">
        <v>607</v>
      </c>
    </row>
    <row r="382" spans="1:2" ht="15.75">
      <c r="A382" s="264" t="s">
        <v>563</v>
      </c>
      <c r="B382" s="115" t="s">
        <v>562</v>
      </c>
    </row>
    <row r="383" spans="1:2" ht="15.75">
      <c r="A383" s="264" t="s">
        <v>1736</v>
      </c>
      <c r="B383" s="115" t="s">
        <v>1161</v>
      </c>
    </row>
    <row r="384" spans="1:2" ht="31.5">
      <c r="A384" s="263" t="s">
        <v>580</v>
      </c>
      <c r="B384" s="115" t="s">
        <v>579</v>
      </c>
    </row>
    <row r="385" spans="1:2" ht="15.75">
      <c r="A385" s="263" t="s">
        <v>693</v>
      </c>
      <c r="B385" s="115" t="s">
        <v>692</v>
      </c>
    </row>
    <row r="386" spans="1:2" ht="15.75">
      <c r="A386" s="263" t="s">
        <v>617</v>
      </c>
      <c r="B386" s="115" t="s">
        <v>616</v>
      </c>
    </row>
    <row r="387" spans="1:2" ht="15.75">
      <c r="A387" s="263" t="s">
        <v>1737</v>
      </c>
      <c r="B387" s="115" t="s">
        <v>1155</v>
      </c>
    </row>
    <row r="388" spans="1:2" ht="31.5">
      <c r="A388" s="264" t="s">
        <v>529</v>
      </c>
      <c r="B388" s="269" t="s">
        <v>528</v>
      </c>
    </row>
    <row r="389" spans="1:2" ht="15.75">
      <c r="A389" s="264" t="s">
        <v>1398</v>
      </c>
      <c r="B389" s="269" t="s">
        <v>1856</v>
      </c>
    </row>
    <row r="390" spans="1:2" ht="15.75">
      <c r="A390" s="264" t="s">
        <v>598</v>
      </c>
      <c r="B390" s="115" t="s">
        <v>597</v>
      </c>
    </row>
    <row r="391" spans="1:2" ht="15.75">
      <c r="A391" s="264" t="s">
        <v>1264</v>
      </c>
      <c r="B391" s="115" t="s">
        <v>1265</v>
      </c>
    </row>
    <row r="392" spans="1:2" ht="15.75">
      <c r="A392" s="264" t="s">
        <v>1738</v>
      </c>
      <c r="B392" s="115" t="s">
        <v>1527</v>
      </c>
    </row>
    <row r="393" spans="1:2" ht="15.75">
      <c r="A393" s="264" t="s">
        <v>1739</v>
      </c>
      <c r="B393" s="115" t="s">
        <v>1740</v>
      </c>
    </row>
    <row r="394" spans="1:2" ht="15.75">
      <c r="A394" s="264" t="s">
        <v>1741</v>
      </c>
      <c r="B394" s="338" t="s">
        <v>1635</v>
      </c>
    </row>
    <row r="395" spans="1:2" ht="15.75">
      <c r="A395" s="264" t="s">
        <v>1399</v>
      </c>
      <c r="B395" s="115" t="s">
        <v>1400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/>
  <cols>
    <col min="1" max="1" width="7.140625" style="240" customWidth="1"/>
    <col min="2" max="2" width="128" style="241" customWidth="1"/>
    <col min="3" max="16384" width="9.140625" style="239"/>
  </cols>
  <sheetData>
    <row r="1" spans="2:2" hidden="1">
      <c r="B1" s="242"/>
    </row>
    <row r="2" spans="2:2" hidden="1"/>
    <row r="3" spans="2:2" hidden="1"/>
    <row r="4" spans="2:2" hidden="1"/>
    <row r="5" spans="2:2" hidden="1"/>
    <row r="6" spans="2:2" hidden="1"/>
    <row r="7" spans="2:2" hidden="1"/>
    <row r="8" spans="2:2" hidden="1"/>
    <row r="9" spans="2:2" hidden="1"/>
    <row r="10" spans="2:2" hidden="1"/>
    <row r="11" spans="2:2" hidden="1"/>
    <row r="12" spans="2:2" hidden="1"/>
    <row r="13" spans="2:2" hidden="1"/>
    <row r="14" spans="2:2" hidden="1"/>
    <row r="15" spans="2:2" hidden="1"/>
    <row r="16" spans="2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t="10.5" hidden="1" customHeight="1"/>
    <row r="1806" hidden="1"/>
    <row r="1807" hidden="1"/>
    <row r="1808" hidden="1"/>
    <row r="1809" spans="1:2" hidden="1"/>
    <row r="1810" spans="1:2" hidden="1"/>
    <row r="1811" spans="1:2" hidden="1"/>
    <row r="1812" spans="1:2" hidden="1"/>
    <row r="1813" spans="1:2" hidden="1"/>
    <row r="1814" spans="1:2" hidden="1"/>
    <row r="1815" spans="1:2" hidden="1"/>
    <row r="1816" spans="1:2" hidden="1"/>
    <row r="1817" spans="1:2" hidden="1"/>
    <row r="1818" spans="1:2" hidden="1"/>
    <row r="1819" spans="1:2" hidden="1"/>
    <row r="1820" spans="1:2" ht="38.25">
      <c r="A1820" s="243">
        <v>100</v>
      </c>
      <c r="B1820" s="244" t="s">
        <v>1362</v>
      </c>
    </row>
    <row r="1821" spans="1:2">
      <c r="A1821" s="243">
        <v>110</v>
      </c>
      <c r="B1821" s="244" t="s">
        <v>1035</v>
      </c>
    </row>
    <row r="1822" spans="1:2">
      <c r="A1822" s="243">
        <v>111</v>
      </c>
      <c r="B1822" s="244" t="s">
        <v>1036</v>
      </c>
    </row>
    <row r="1823" spans="1:2">
      <c r="A1823" s="243">
        <v>112</v>
      </c>
      <c r="B1823" s="244" t="s">
        <v>1037</v>
      </c>
    </row>
    <row r="1824" spans="1:2">
      <c r="A1824" s="243">
        <v>120</v>
      </c>
      <c r="B1824" s="244" t="s">
        <v>1038</v>
      </c>
    </row>
    <row r="1825" spans="1:2">
      <c r="A1825" s="243">
        <v>121</v>
      </c>
      <c r="B1825" s="244" t="s">
        <v>1036</v>
      </c>
    </row>
    <row r="1826" spans="1:2">
      <c r="A1826" s="243">
        <v>122</v>
      </c>
      <c r="B1826" s="244" t="s">
        <v>1037</v>
      </c>
    </row>
    <row r="1827" spans="1:2">
      <c r="A1827" s="243">
        <v>130</v>
      </c>
      <c r="B1827" s="244" t="s">
        <v>1039</v>
      </c>
    </row>
    <row r="1828" spans="1:2">
      <c r="A1828" s="243">
        <v>131</v>
      </c>
      <c r="B1828" s="244" t="s">
        <v>1040</v>
      </c>
    </row>
    <row r="1829" spans="1:2">
      <c r="A1829" s="243">
        <v>132</v>
      </c>
      <c r="B1829" s="244" t="s">
        <v>1041</v>
      </c>
    </row>
    <row r="1830" spans="1:2">
      <c r="A1830" s="243">
        <v>133</v>
      </c>
      <c r="B1830" s="244" t="s">
        <v>1042</v>
      </c>
    </row>
    <row r="1831" spans="1:2">
      <c r="A1831" s="243">
        <v>134</v>
      </c>
      <c r="B1831" s="244" t="s">
        <v>1043</v>
      </c>
    </row>
    <row r="1832" spans="1:2">
      <c r="A1832" s="243">
        <v>140</v>
      </c>
      <c r="B1832" s="244" t="s">
        <v>1044</v>
      </c>
    </row>
    <row r="1833" spans="1:2">
      <c r="A1833" s="243">
        <v>141</v>
      </c>
      <c r="B1833" s="244" t="s">
        <v>1036</v>
      </c>
    </row>
    <row r="1834" spans="1:2" ht="25.5">
      <c r="A1834" s="243">
        <v>142</v>
      </c>
      <c r="B1834" s="244" t="s">
        <v>1045</v>
      </c>
    </row>
    <row r="1835" spans="1:2" ht="25.5">
      <c r="A1835" s="243">
        <v>200</v>
      </c>
      <c r="B1835" s="244" t="s">
        <v>1361</v>
      </c>
    </row>
    <row r="1836" spans="1:2">
      <c r="A1836" s="243">
        <v>210</v>
      </c>
      <c r="B1836" s="244" t="s">
        <v>1046</v>
      </c>
    </row>
    <row r="1837" spans="1:2" ht="25.5">
      <c r="A1837" s="243">
        <v>211</v>
      </c>
      <c r="B1837" s="244" t="s">
        <v>1047</v>
      </c>
    </row>
    <row r="1838" spans="1:2" ht="25.5">
      <c r="A1838" s="243">
        <v>212</v>
      </c>
      <c r="B1838" s="244" t="s">
        <v>1048</v>
      </c>
    </row>
    <row r="1839" spans="1:2" ht="25.5">
      <c r="A1839" s="243">
        <v>213</v>
      </c>
      <c r="B1839" s="244" t="s">
        <v>1049</v>
      </c>
    </row>
    <row r="1840" spans="1:2" ht="25.5">
      <c r="A1840" s="243">
        <v>214</v>
      </c>
      <c r="B1840" s="244" t="s">
        <v>1050</v>
      </c>
    </row>
    <row r="1841" spans="1:2" ht="25.5">
      <c r="A1841" s="243">
        <v>215</v>
      </c>
      <c r="B1841" s="244" t="s">
        <v>1051</v>
      </c>
    </row>
    <row r="1842" spans="1:2" ht="25.5">
      <c r="A1842" s="243">
        <v>216</v>
      </c>
      <c r="B1842" s="244" t="s">
        <v>1052</v>
      </c>
    </row>
    <row r="1843" spans="1:2" ht="25.5">
      <c r="A1843" s="243">
        <v>217</v>
      </c>
      <c r="B1843" s="244" t="s">
        <v>1053</v>
      </c>
    </row>
    <row r="1844" spans="1:2" ht="25.5">
      <c r="A1844" s="243">
        <v>218</v>
      </c>
      <c r="B1844" s="244" t="s">
        <v>1054</v>
      </c>
    </row>
    <row r="1845" spans="1:2">
      <c r="A1845" s="243">
        <v>219</v>
      </c>
      <c r="B1845" s="244" t="s">
        <v>1055</v>
      </c>
    </row>
    <row r="1846" spans="1:2" ht="25.5">
      <c r="A1846" s="243">
        <v>220</v>
      </c>
      <c r="B1846" s="244" t="s">
        <v>1056</v>
      </c>
    </row>
    <row r="1847" spans="1:2">
      <c r="A1847" s="243">
        <v>221</v>
      </c>
      <c r="B1847" s="244" t="s">
        <v>1057</v>
      </c>
    </row>
    <row r="1848" spans="1:2">
      <c r="A1848" s="243">
        <v>222</v>
      </c>
      <c r="B1848" s="244" t="s">
        <v>1058</v>
      </c>
    </row>
    <row r="1849" spans="1:2">
      <c r="A1849" s="243">
        <v>223</v>
      </c>
      <c r="B1849" s="244" t="s">
        <v>1026</v>
      </c>
    </row>
    <row r="1850" spans="1:2">
      <c r="A1850" s="243">
        <v>224</v>
      </c>
      <c r="B1850" s="244" t="s">
        <v>1027</v>
      </c>
    </row>
    <row r="1851" spans="1:2">
      <c r="A1851" s="243">
        <v>225</v>
      </c>
      <c r="B1851" s="244" t="s">
        <v>1028</v>
      </c>
    </row>
    <row r="1852" spans="1:2">
      <c r="A1852" s="243">
        <v>226</v>
      </c>
      <c r="B1852" s="244" t="s">
        <v>1029</v>
      </c>
    </row>
    <row r="1853" spans="1:2">
      <c r="A1853" s="243">
        <v>230</v>
      </c>
      <c r="B1853" s="244" t="s">
        <v>1059</v>
      </c>
    </row>
    <row r="1854" spans="1:2">
      <c r="A1854" s="243">
        <v>240</v>
      </c>
      <c r="B1854" s="244" t="s">
        <v>1060</v>
      </c>
    </row>
    <row r="1855" spans="1:2">
      <c r="A1855" s="243">
        <v>241</v>
      </c>
      <c r="B1855" s="244" t="s">
        <v>1061</v>
      </c>
    </row>
    <row r="1856" spans="1:2">
      <c r="A1856" s="243">
        <v>242</v>
      </c>
      <c r="B1856" s="244" t="s">
        <v>1062</v>
      </c>
    </row>
    <row r="1857" spans="1:2">
      <c r="A1857" s="243">
        <v>243</v>
      </c>
      <c r="B1857" s="244" t="s">
        <v>1063</v>
      </c>
    </row>
    <row r="1858" spans="1:2">
      <c r="A1858" s="243">
        <v>244</v>
      </c>
      <c r="B1858" s="244" t="s">
        <v>1360</v>
      </c>
    </row>
    <row r="1859" spans="1:2">
      <c r="A1859" s="243">
        <v>300</v>
      </c>
      <c r="B1859" s="244" t="s">
        <v>515</v>
      </c>
    </row>
    <row r="1860" spans="1:2">
      <c r="A1860" s="243">
        <v>310</v>
      </c>
      <c r="B1860" s="244" t="s">
        <v>1064</v>
      </c>
    </row>
    <row r="1861" spans="1:2">
      <c r="A1861" s="243">
        <v>311</v>
      </c>
      <c r="B1861" s="244" t="s">
        <v>1065</v>
      </c>
    </row>
    <row r="1862" spans="1:2">
      <c r="A1862" s="243">
        <v>312</v>
      </c>
      <c r="B1862" s="244" t="s">
        <v>1066</v>
      </c>
    </row>
    <row r="1863" spans="1:2">
      <c r="A1863" s="243">
        <v>313</v>
      </c>
      <c r="B1863" s="244" t="s">
        <v>1067</v>
      </c>
    </row>
    <row r="1864" spans="1:2">
      <c r="A1864" s="243">
        <v>314</v>
      </c>
      <c r="B1864" s="244" t="s">
        <v>1068</v>
      </c>
    </row>
    <row r="1865" spans="1:2">
      <c r="A1865" s="243">
        <v>320</v>
      </c>
      <c r="B1865" s="244" t="s">
        <v>1069</v>
      </c>
    </row>
    <row r="1866" spans="1:2">
      <c r="A1866" s="243">
        <v>321</v>
      </c>
      <c r="B1866" s="244" t="s">
        <v>1070</v>
      </c>
    </row>
    <row r="1867" spans="1:2">
      <c r="A1867" s="243">
        <v>322</v>
      </c>
      <c r="B1867" s="244" t="s">
        <v>1071</v>
      </c>
    </row>
    <row r="1868" spans="1:2">
      <c r="A1868" s="243">
        <v>323</v>
      </c>
      <c r="B1868" s="244" t="s">
        <v>1072</v>
      </c>
    </row>
    <row r="1869" spans="1:2">
      <c r="A1869" s="243">
        <v>330</v>
      </c>
      <c r="B1869" s="244" t="s">
        <v>1073</v>
      </c>
    </row>
    <row r="1870" spans="1:2">
      <c r="A1870" s="243">
        <v>340</v>
      </c>
      <c r="B1870" s="244" t="s">
        <v>1074</v>
      </c>
    </row>
    <row r="1871" spans="1:2">
      <c r="A1871" s="243">
        <v>350</v>
      </c>
      <c r="B1871" s="244" t="s">
        <v>1075</v>
      </c>
    </row>
    <row r="1872" spans="1:2">
      <c r="A1872" s="243">
        <v>360</v>
      </c>
      <c r="B1872" s="244" t="s">
        <v>1076</v>
      </c>
    </row>
    <row r="1873" spans="1:2" ht="12.75" customHeight="1">
      <c r="A1873" s="243">
        <v>400</v>
      </c>
      <c r="B1873" s="244" t="s">
        <v>1363</v>
      </c>
    </row>
    <row r="1874" spans="1:2">
      <c r="A1874" s="243">
        <v>410</v>
      </c>
      <c r="B1874" s="244" t="s">
        <v>1077</v>
      </c>
    </row>
    <row r="1875" spans="1:2">
      <c r="A1875" s="243">
        <v>411</v>
      </c>
      <c r="B1875" s="244" t="s">
        <v>1078</v>
      </c>
    </row>
    <row r="1876" spans="1:2">
      <c r="A1876" s="243">
        <v>412</v>
      </c>
      <c r="B1876" s="244" t="s">
        <v>1079</v>
      </c>
    </row>
    <row r="1877" spans="1:2">
      <c r="A1877" s="243">
        <v>413</v>
      </c>
      <c r="B1877" s="244" t="s">
        <v>1080</v>
      </c>
    </row>
    <row r="1878" spans="1:2">
      <c r="A1878" s="243">
        <v>414</v>
      </c>
      <c r="B1878" s="244" t="s">
        <v>1081</v>
      </c>
    </row>
    <row r="1879" spans="1:2">
      <c r="A1879" s="243">
        <v>415</v>
      </c>
      <c r="B1879" s="244" t="s">
        <v>1082</v>
      </c>
    </row>
    <row r="1880" spans="1:2">
      <c r="A1880" s="243">
        <v>420</v>
      </c>
      <c r="B1880" s="244" t="s">
        <v>1083</v>
      </c>
    </row>
    <row r="1881" spans="1:2" ht="25.5">
      <c r="A1881" s="243">
        <v>421</v>
      </c>
      <c r="B1881" s="244" t="s">
        <v>1084</v>
      </c>
    </row>
    <row r="1882" spans="1:2" ht="25.5">
      <c r="A1882" s="243">
        <v>422</v>
      </c>
      <c r="B1882" s="244" t="s">
        <v>1085</v>
      </c>
    </row>
    <row r="1883" spans="1:2">
      <c r="A1883" s="243">
        <v>430</v>
      </c>
      <c r="B1883" s="244" t="s">
        <v>1086</v>
      </c>
    </row>
    <row r="1884" spans="1:2">
      <c r="A1884" s="243">
        <v>440</v>
      </c>
      <c r="B1884" s="244" t="s">
        <v>1087</v>
      </c>
    </row>
    <row r="1885" spans="1:2">
      <c r="A1885" s="243">
        <v>500</v>
      </c>
      <c r="B1885" s="244" t="s">
        <v>655</v>
      </c>
    </row>
    <row r="1886" spans="1:2">
      <c r="A1886" s="243">
        <v>510</v>
      </c>
      <c r="B1886" s="244" t="s">
        <v>1034</v>
      </c>
    </row>
    <row r="1887" spans="1:2">
      <c r="A1887" s="243">
        <v>511</v>
      </c>
      <c r="B1887" s="244" t="s">
        <v>1088</v>
      </c>
    </row>
    <row r="1888" spans="1:2">
      <c r="A1888" s="243">
        <v>512</v>
      </c>
      <c r="B1888" s="244" t="s">
        <v>1089</v>
      </c>
    </row>
    <row r="1889" spans="1:2" ht="25.5">
      <c r="A1889" s="243">
        <v>513</v>
      </c>
      <c r="B1889" s="244" t="s">
        <v>1090</v>
      </c>
    </row>
    <row r="1890" spans="1:2">
      <c r="A1890" s="243">
        <v>514</v>
      </c>
      <c r="B1890" s="244" t="s">
        <v>1091</v>
      </c>
    </row>
    <row r="1891" spans="1:2">
      <c r="A1891" s="243">
        <v>515</v>
      </c>
      <c r="B1891" s="244" t="s">
        <v>287</v>
      </c>
    </row>
    <row r="1892" spans="1:2">
      <c r="A1892" s="243">
        <v>520</v>
      </c>
      <c r="B1892" s="244" t="s">
        <v>1030</v>
      </c>
    </row>
    <row r="1893" spans="1:2" ht="25.5">
      <c r="A1893" s="243">
        <v>521</v>
      </c>
      <c r="B1893" s="244" t="s">
        <v>1092</v>
      </c>
    </row>
    <row r="1894" spans="1:2">
      <c r="A1894" s="243">
        <v>522</v>
      </c>
      <c r="B1894" s="244" t="s">
        <v>1093</v>
      </c>
    </row>
    <row r="1895" spans="1:2">
      <c r="A1895" s="243">
        <v>530</v>
      </c>
      <c r="B1895" s="244" t="s">
        <v>1094</v>
      </c>
    </row>
    <row r="1896" spans="1:2">
      <c r="A1896" s="243">
        <v>540</v>
      </c>
      <c r="B1896" s="244" t="s">
        <v>1095</v>
      </c>
    </row>
    <row r="1897" spans="1:2">
      <c r="A1897" s="243">
        <v>560</v>
      </c>
      <c r="B1897" s="244" t="s">
        <v>1096</v>
      </c>
    </row>
    <row r="1898" spans="1:2">
      <c r="A1898" s="243">
        <v>570</v>
      </c>
      <c r="B1898" s="244" t="s">
        <v>1097</v>
      </c>
    </row>
    <row r="1899" spans="1:2">
      <c r="A1899" s="243">
        <v>580</v>
      </c>
      <c r="B1899" s="244" t="s">
        <v>1098</v>
      </c>
    </row>
    <row r="1900" spans="1:2">
      <c r="A1900" s="243">
        <v>600</v>
      </c>
      <c r="B1900" s="244" t="s">
        <v>544</v>
      </c>
    </row>
    <row r="1901" spans="1:2">
      <c r="A1901" s="243">
        <v>610</v>
      </c>
      <c r="B1901" s="244" t="s">
        <v>1099</v>
      </c>
    </row>
    <row r="1902" spans="1:2">
      <c r="A1902" s="243">
        <v>611</v>
      </c>
      <c r="B1902" s="244" t="s">
        <v>553</v>
      </c>
    </row>
    <row r="1903" spans="1:2">
      <c r="A1903" s="243">
        <v>612</v>
      </c>
      <c r="B1903" s="244" t="s">
        <v>1100</v>
      </c>
    </row>
    <row r="1904" spans="1:2">
      <c r="A1904" s="243">
        <v>620</v>
      </c>
      <c r="B1904" s="244" t="s">
        <v>1101</v>
      </c>
    </row>
    <row r="1905" spans="1:2">
      <c r="A1905" s="243">
        <v>621</v>
      </c>
      <c r="B1905" s="244" t="s">
        <v>1102</v>
      </c>
    </row>
    <row r="1906" spans="1:2">
      <c r="A1906" s="243">
        <v>622</v>
      </c>
      <c r="B1906" s="244" t="s">
        <v>1103</v>
      </c>
    </row>
    <row r="1907" spans="1:2">
      <c r="A1907" s="243">
        <v>630</v>
      </c>
      <c r="B1907" s="244" t="s">
        <v>1104</v>
      </c>
    </row>
    <row r="1908" spans="1:2">
      <c r="A1908" s="243">
        <v>700</v>
      </c>
      <c r="B1908" s="244" t="s">
        <v>659</v>
      </c>
    </row>
    <row r="1909" spans="1:2">
      <c r="A1909" s="243">
        <v>710</v>
      </c>
      <c r="B1909" s="244" t="s">
        <v>659</v>
      </c>
    </row>
    <row r="1910" spans="1:2">
      <c r="A1910" s="243">
        <v>800</v>
      </c>
      <c r="B1910" s="244" t="s">
        <v>483</v>
      </c>
    </row>
    <row r="1911" spans="1:2">
      <c r="A1911" s="243">
        <v>810</v>
      </c>
      <c r="B1911" s="244" t="s">
        <v>1105</v>
      </c>
    </row>
    <row r="1912" spans="1:2">
      <c r="A1912" s="243">
        <v>820</v>
      </c>
      <c r="B1912" s="244" t="s">
        <v>1106</v>
      </c>
    </row>
    <row r="1913" spans="1:2">
      <c r="A1913" s="243">
        <v>821</v>
      </c>
      <c r="B1913" s="244" t="s">
        <v>1107</v>
      </c>
    </row>
    <row r="1914" spans="1:2">
      <c r="A1914" s="243">
        <v>822</v>
      </c>
      <c r="B1914" s="244" t="s">
        <v>1108</v>
      </c>
    </row>
    <row r="1915" spans="1:2">
      <c r="A1915" s="243">
        <v>823</v>
      </c>
      <c r="B1915" s="244" t="s">
        <v>1109</v>
      </c>
    </row>
    <row r="1916" spans="1:2">
      <c r="A1916" s="243">
        <v>830</v>
      </c>
      <c r="B1916" s="244" t="s">
        <v>1110</v>
      </c>
    </row>
    <row r="1917" spans="1:2" ht="38.25">
      <c r="A1917" s="243">
        <v>831</v>
      </c>
      <c r="B1917" s="245" t="s">
        <v>1111</v>
      </c>
    </row>
    <row r="1918" spans="1:2" ht="51">
      <c r="A1918" s="243">
        <v>832</v>
      </c>
      <c r="B1918" s="245" t="s">
        <v>1112</v>
      </c>
    </row>
    <row r="1919" spans="1:2">
      <c r="A1919" s="243">
        <v>833</v>
      </c>
      <c r="B1919" s="244" t="s">
        <v>1113</v>
      </c>
    </row>
    <row r="1920" spans="1:2" ht="25.5">
      <c r="A1920" s="243">
        <v>840</v>
      </c>
      <c r="B1920" s="244" t="s">
        <v>1114</v>
      </c>
    </row>
    <row r="1921" spans="1:2">
      <c r="A1921" s="243">
        <v>841</v>
      </c>
      <c r="B1921" s="244" t="s">
        <v>1115</v>
      </c>
    </row>
    <row r="1922" spans="1:2">
      <c r="A1922" s="243">
        <v>850</v>
      </c>
      <c r="B1922" s="244" t="s">
        <v>1116</v>
      </c>
    </row>
    <row r="1923" spans="1:2">
      <c r="A1923" s="243">
        <v>851</v>
      </c>
      <c r="B1923" s="244" t="s">
        <v>1117</v>
      </c>
    </row>
    <row r="1924" spans="1:2" ht="12.75" customHeight="1">
      <c r="A1924" s="243">
        <v>852</v>
      </c>
      <c r="B1924" s="244" t="s">
        <v>1118</v>
      </c>
    </row>
    <row r="1925" spans="1:2">
      <c r="A1925" s="243">
        <v>860</v>
      </c>
      <c r="B1925" s="244" t="s">
        <v>1119</v>
      </c>
    </row>
    <row r="1926" spans="1:2">
      <c r="A1926" s="243">
        <v>861</v>
      </c>
      <c r="B1926" s="244" t="s">
        <v>1120</v>
      </c>
    </row>
    <row r="1927" spans="1:2">
      <c r="A1927" s="243">
        <v>862</v>
      </c>
      <c r="B1927" s="244" t="s">
        <v>1121</v>
      </c>
    </row>
    <row r="1928" spans="1:2">
      <c r="A1928" s="243">
        <v>863</v>
      </c>
      <c r="B1928" s="244" t="s">
        <v>1122</v>
      </c>
    </row>
    <row r="1929" spans="1:2">
      <c r="A1929" s="243">
        <v>870</v>
      </c>
      <c r="B1929" s="244" t="s">
        <v>1123</v>
      </c>
    </row>
    <row r="1930" spans="1:2">
      <c r="A1930" s="243">
        <v>880</v>
      </c>
      <c r="B1930" s="244" t="s">
        <v>1124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2"/>
  <sheetViews>
    <sheetView showGridLines="0" view="pageBreakPreview" topLeftCell="A76" zoomScale="115" zoomScaleSheetLayoutView="115" workbookViewId="0">
      <selection activeCell="E118" sqref="E118"/>
    </sheetView>
  </sheetViews>
  <sheetFormatPr defaultColWidth="11.85546875" defaultRowHeight="15.75"/>
  <cols>
    <col min="1" max="1" width="6.42578125" style="52" customWidth="1"/>
    <col min="2" max="2" width="62" style="53" customWidth="1"/>
    <col min="3" max="3" width="15.5703125" style="37" hidden="1" customWidth="1"/>
    <col min="4" max="4" width="12.85546875" style="37" hidden="1" customWidth="1"/>
    <col min="5" max="5" width="18.5703125" style="37" customWidth="1"/>
    <col min="6" max="6" width="43.42578125" style="37" customWidth="1"/>
    <col min="7" max="16384" width="11.85546875" style="37"/>
  </cols>
  <sheetData>
    <row r="1" spans="1:5" s="53" customFormat="1">
      <c r="A1" s="682" t="s">
        <v>166</v>
      </c>
      <c r="B1" s="682"/>
      <c r="C1" s="682"/>
      <c r="D1" s="682"/>
      <c r="E1" s="682"/>
    </row>
    <row r="2" spans="1:5" s="53" customFormat="1">
      <c r="A2" s="682" t="s">
        <v>1</v>
      </c>
      <c r="B2" s="682"/>
      <c r="C2" s="682"/>
      <c r="D2" s="682"/>
      <c r="E2" s="682"/>
    </row>
    <row r="3" spans="1:5" s="53" customFormat="1">
      <c r="A3" s="682" t="s">
        <v>2</v>
      </c>
      <c r="B3" s="682"/>
      <c r="C3" s="682"/>
      <c r="D3" s="682"/>
      <c r="E3" s="682"/>
    </row>
    <row r="4" spans="1:5" s="53" customFormat="1">
      <c r="A4" s="682" t="s">
        <v>1819</v>
      </c>
      <c r="B4" s="682"/>
      <c r="C4" s="682"/>
      <c r="D4" s="682"/>
      <c r="E4" s="682"/>
    </row>
    <row r="5" spans="1:5" s="53" customFormat="1">
      <c r="A5" s="54"/>
      <c r="B5" s="55"/>
    </row>
    <row r="6" spans="1:5" s="53" customFormat="1" ht="52.5" customHeight="1">
      <c r="A6" s="693" t="s">
        <v>1414</v>
      </c>
      <c r="B6" s="693"/>
      <c r="C6" s="693"/>
      <c r="D6" s="693"/>
      <c r="E6" s="693"/>
    </row>
    <row r="7" spans="1:5" s="53" customFormat="1" ht="16.5" thickBot="1">
      <c r="A7" s="57"/>
    </row>
    <row r="8" spans="1:5" s="56" customFormat="1" ht="32.25" thickBot="1">
      <c r="A8" s="58" t="s">
        <v>176</v>
      </c>
      <c r="B8" s="59" t="s">
        <v>177</v>
      </c>
      <c r="C8" s="59" t="s">
        <v>178</v>
      </c>
      <c r="D8" s="59" t="s">
        <v>1787</v>
      </c>
      <c r="E8" s="59" t="s">
        <v>178</v>
      </c>
    </row>
    <row r="9" spans="1:5" s="60" customFormat="1" ht="16.5" thickBot="1">
      <c r="A9" s="61">
        <v>100</v>
      </c>
      <c r="B9" s="62" t="s">
        <v>179</v>
      </c>
      <c r="C9" s="63">
        <f>C11+C13+C15+C20+C22+C14</f>
        <v>138174146</v>
      </c>
      <c r="D9" s="63">
        <f t="shared" ref="D9:E9" si="0">D11+D13+D15+D20+D22+D14</f>
        <v>573870</v>
      </c>
      <c r="E9" s="63">
        <f t="shared" si="0"/>
        <v>138748016</v>
      </c>
    </row>
    <row r="10" spans="1:5" s="60" customFormat="1" ht="16.5" hidden="1" thickBot="1">
      <c r="A10" s="64">
        <v>101</v>
      </c>
      <c r="B10" s="65" t="s">
        <v>180</v>
      </c>
      <c r="C10" s="66">
        <f>SUMIF(Пр12!C10:C963,101,Пр12!G10:G963)</f>
        <v>0</v>
      </c>
      <c r="D10" s="66">
        <f>SUMIF(Пр12!D10:D963,101,Пр12!H10:H963)</f>
        <v>0</v>
      </c>
      <c r="E10" s="66">
        <f>SUMIF(Пр12!E10:E963,101,Пр12!I10:I963)</f>
        <v>0</v>
      </c>
    </row>
    <row r="11" spans="1:5" s="60" customFormat="1" ht="32.25" thickBot="1">
      <c r="A11" s="64">
        <v>102</v>
      </c>
      <c r="B11" s="67" t="s">
        <v>181</v>
      </c>
      <c r="C11" s="66">
        <f>SUMIF(Пр12!C7:C984,102,Пр12!G7:G984)</f>
        <v>1569248</v>
      </c>
      <c r="D11" s="66">
        <f>SUMIF(Пр12!D7:D984,102,Пр12!H7:H984)</f>
        <v>0</v>
      </c>
      <c r="E11" s="66">
        <f>SUMIF(Пр12!$C7:$C984,102,Пр12!I7:I984)</f>
        <v>1569248</v>
      </c>
    </row>
    <row r="12" spans="1:5" s="60" customFormat="1" ht="48" hidden="1" thickBot="1">
      <c r="A12" s="64">
        <v>103</v>
      </c>
      <c r="B12" s="67" t="s">
        <v>182</v>
      </c>
      <c r="C12" s="66">
        <f>SUMIF(Пр12!C8:C985,103,Пр12!G8:G985)</f>
        <v>0</v>
      </c>
      <c r="D12" s="66">
        <f>SUMIF(Пр12!D8:D985,103,Пр12!H8:H985)</f>
        <v>0</v>
      </c>
      <c r="E12" s="66">
        <f>SUMIF(Пр12!E8:E985,103,Пр12!I8:I985)</f>
        <v>0</v>
      </c>
    </row>
    <row r="13" spans="1:5" ht="48" thickBot="1">
      <c r="A13" s="64">
        <v>104</v>
      </c>
      <c r="B13" s="67" t="s">
        <v>183</v>
      </c>
      <c r="C13" s="66">
        <f>SUMIF(Пр12!$C9:$C986,104,Пр12!G9:G986)</f>
        <v>46646731</v>
      </c>
      <c r="D13" s="66">
        <f>SUMIF(Пр12!$C9:$C986,104,Пр12!H9:H986)</f>
        <v>-1364337</v>
      </c>
      <c r="E13" s="66">
        <f>SUMIF(Пр12!$C9:$C986,104,Пр12!I9:I986)</f>
        <v>45282394</v>
      </c>
    </row>
    <row r="14" spans="1:5" ht="16.5" thickBot="1">
      <c r="A14" s="64">
        <v>105</v>
      </c>
      <c r="B14" s="67" t="s">
        <v>184</v>
      </c>
      <c r="C14" s="66">
        <f>SUMIF(Пр12!C7:C959,105,Пр12!G7:G959)</f>
        <v>6143</v>
      </c>
      <c r="D14" s="66">
        <f>SUMIF(Пр12!C10:C987,105,Пр12!H10:H987)</f>
        <v>0</v>
      </c>
      <c r="E14" s="66">
        <f>SUMIF(Пр12!$C10:$C987,105,Пр12!I10:I987)</f>
        <v>6143</v>
      </c>
    </row>
    <row r="15" spans="1:5" ht="48" thickBot="1">
      <c r="A15" s="64">
        <v>106</v>
      </c>
      <c r="B15" s="67" t="s">
        <v>185</v>
      </c>
      <c r="C15" s="66">
        <f>SUMIF(Пр12!$C10:$C987,106,Пр12!G10:G987)</f>
        <v>15787411</v>
      </c>
      <c r="D15" s="66">
        <f>SUMIF(Пр12!$C10:$C987,106,Пр12!H10:H987)</f>
        <v>24592</v>
      </c>
      <c r="E15" s="66">
        <f>SUMIF(Пр12!$C10:$C987,106,Пр12!I10:I987)</f>
        <v>15812003</v>
      </c>
    </row>
    <row r="16" spans="1:5" ht="16.5" hidden="1" thickBot="1">
      <c r="A16" s="64">
        <v>107</v>
      </c>
      <c r="B16" s="67" t="s">
        <v>186</v>
      </c>
      <c r="C16" s="66">
        <f>SUMIF(Пр12!C10:C963,107,Пр12!G10:G963)</f>
        <v>0</v>
      </c>
      <c r="D16" s="66">
        <f>SUMIF(Пр12!D10:D963,107,Пр12!H10:H963)</f>
        <v>0</v>
      </c>
      <c r="E16" s="66">
        <f>SUMIF(Пр12!E10:E963,107,Пр12!I10:I963)</f>
        <v>0</v>
      </c>
    </row>
    <row r="17" spans="1:5" s="60" customFormat="1" ht="32.25" hidden="1" thickBot="1">
      <c r="A17" s="64">
        <v>108</v>
      </c>
      <c r="B17" s="67" t="s">
        <v>187</v>
      </c>
      <c r="C17" s="66">
        <f>SUMIF(Пр12!C10:C963,108,Пр12!G10:G963)</f>
        <v>0</v>
      </c>
      <c r="D17" s="66">
        <f>SUMIF(Пр12!D10:D963,108,Пр12!H10:H963)</f>
        <v>0</v>
      </c>
      <c r="E17" s="66">
        <f>SUMIF(Пр12!E10:E963,108,Пр12!I10:I963)</f>
        <v>0</v>
      </c>
    </row>
    <row r="18" spans="1:5" ht="16.5" hidden="1" thickBot="1">
      <c r="A18" s="64">
        <v>109</v>
      </c>
      <c r="B18" s="67" t="s">
        <v>188</v>
      </c>
      <c r="C18" s="66">
        <f>SUMIF(Пр12!C10:C963,109,Пр12!G10:G963)</f>
        <v>0</v>
      </c>
      <c r="D18" s="66">
        <f>SUMIF(Пр12!D10:D963,109,Пр12!H10:H963)</f>
        <v>0</v>
      </c>
      <c r="E18" s="66">
        <f>SUMIF(Пр12!E10:E963,109,Пр12!I10:I963)</f>
        <v>0</v>
      </c>
    </row>
    <row r="19" spans="1:5" ht="16.5" hidden="1" thickBot="1">
      <c r="A19" s="64">
        <v>110</v>
      </c>
      <c r="B19" s="67" t="s">
        <v>189</v>
      </c>
      <c r="C19" s="66">
        <f>SUMIF(Пр12!C10:C963,110,Пр12!G10:G963)</f>
        <v>0</v>
      </c>
      <c r="D19" s="66">
        <f>SUMIF(Пр12!D10:D963,110,Пр12!H10:H963)</f>
        <v>0</v>
      </c>
      <c r="E19" s="66">
        <f>SUMIF(Пр12!E10:E963,110,Пр12!I10:I963)</f>
        <v>0</v>
      </c>
    </row>
    <row r="20" spans="1:5" s="60" customFormat="1" ht="16.5" thickBot="1">
      <c r="A20" s="64">
        <v>111</v>
      </c>
      <c r="B20" s="67" t="s">
        <v>190</v>
      </c>
      <c r="C20" s="66">
        <f>SUMIF(Пр12!$C10:$C963,111,Пр12!G10:G963)</f>
        <v>2975000</v>
      </c>
      <c r="D20" s="66">
        <f>SUMIF(Пр12!$C10:$C963,111,Пр12!H10:H963)</f>
        <v>0</v>
      </c>
      <c r="E20" s="66">
        <f>SUMIF(Пр12!$C10:$C963,111,Пр12!I10:I963)</f>
        <v>2975000</v>
      </c>
    </row>
    <row r="21" spans="1:5" ht="32.25" hidden="1" thickBot="1">
      <c r="A21" s="64">
        <v>112</v>
      </c>
      <c r="B21" s="67" t="s">
        <v>191</v>
      </c>
      <c r="C21" s="66">
        <f>SUMIF(Пр12!C10:C963,112,Пр12!G10:G963)</f>
        <v>0</v>
      </c>
      <c r="D21" s="66">
        <f>SUMIF(Пр12!D10:D963,112,Пр12!H10:H963)</f>
        <v>0</v>
      </c>
      <c r="E21" s="66">
        <f>SUMIF(Пр12!E10:E963,112,Пр12!I10:I963)</f>
        <v>0</v>
      </c>
    </row>
    <row r="22" spans="1:5" ht="16.5" thickBot="1">
      <c r="A22" s="64">
        <v>113</v>
      </c>
      <c r="B22" s="67" t="s">
        <v>192</v>
      </c>
      <c r="C22" s="66">
        <f>SUMIF(Пр12!$C10:$C984,113,Пр12!G10:G984)</f>
        <v>71189613</v>
      </c>
      <c r="D22" s="66">
        <f>SUMIF(Пр12!$C10:$C984,113,Пр12!H10:H984)</f>
        <v>1913615</v>
      </c>
      <c r="E22" s="66">
        <f>SUMIF(Пр12!$C10:$C984,113,Пр12!I10:I984)</f>
        <v>73103228</v>
      </c>
    </row>
    <row r="23" spans="1:5" ht="16.5" hidden="1" thickBot="1">
      <c r="A23" s="61">
        <v>200</v>
      </c>
      <c r="B23" s="68" t="s">
        <v>193</v>
      </c>
      <c r="C23" s="63">
        <f>SUM(C24:C32)</f>
        <v>0</v>
      </c>
      <c r="D23" s="63">
        <f t="shared" ref="D23:E23" si="1">SUM(D24:D32)</f>
        <v>0</v>
      </c>
      <c r="E23" s="63">
        <f t="shared" si="1"/>
        <v>0</v>
      </c>
    </row>
    <row r="24" spans="1:5" ht="16.5" hidden="1" thickBot="1">
      <c r="A24" s="64">
        <v>201</v>
      </c>
      <c r="B24" s="67" t="s">
        <v>194</v>
      </c>
      <c r="C24" s="66">
        <f>SUMIF(Пр12!C10:C963,201,Пр12!G10:G963)</f>
        <v>0</v>
      </c>
      <c r="D24" s="66">
        <f>SUMIF(Пр12!D10:D963,201,Пр12!H10:H963)</f>
        <v>0</v>
      </c>
      <c r="E24" s="66">
        <f>SUMIF(Пр12!E10:E963,201,Пр12!I10:I963)</f>
        <v>0</v>
      </c>
    </row>
    <row r="25" spans="1:5" s="60" customFormat="1" ht="32.25" hidden="1" thickBot="1">
      <c r="A25" s="64">
        <v>202</v>
      </c>
      <c r="B25" s="67" t="s">
        <v>195</v>
      </c>
      <c r="C25" s="66">
        <f>SUMIF(Пр12!C10:C963,202,Пр12!G10:G963)</f>
        <v>0</v>
      </c>
      <c r="D25" s="66">
        <f>SUMIF(Пр12!D10:D963,202,Пр12!H10:H963)</f>
        <v>0</v>
      </c>
      <c r="E25" s="66">
        <f>SUMIF(Пр12!E10:E963,202,Пр12!I10:I963)</f>
        <v>0</v>
      </c>
    </row>
    <row r="26" spans="1:5" s="60" customFormat="1" ht="16.5" hidden="1" thickBot="1">
      <c r="A26" s="64">
        <v>203</v>
      </c>
      <c r="B26" s="67" t="s">
        <v>196</v>
      </c>
      <c r="C26" s="66">
        <f>SUMIF(Пр12!$C10:$C963,203,Пр12!G10:G963)</f>
        <v>0</v>
      </c>
      <c r="D26" s="66">
        <f>SUMIF(Пр12!$C10:$C963,203,Пр12!H10:H963)</f>
        <v>0</v>
      </c>
      <c r="E26" s="66">
        <f>SUMIF(Пр12!$C10:$C963,203,Пр12!I10:I963)</f>
        <v>0</v>
      </c>
    </row>
    <row r="27" spans="1:5" ht="16.5" hidden="1" thickBot="1">
      <c r="A27" s="64">
        <v>204</v>
      </c>
      <c r="B27" s="67" t="s">
        <v>197</v>
      </c>
      <c r="C27" s="66">
        <f>SUMIF(Пр12!C10:C963,204,Пр12!G10:G963)</f>
        <v>0</v>
      </c>
      <c r="D27" s="66">
        <f>SUMIF(Пр12!D10:D963,204,Пр12!H10:H963)</f>
        <v>0</v>
      </c>
      <c r="E27" s="66">
        <f>SUMIF(Пр12!E10:E963,204,Пр12!I10:I963)</f>
        <v>0</v>
      </c>
    </row>
    <row r="28" spans="1:5" ht="32.25" hidden="1" thickBot="1">
      <c r="A28" s="64">
        <v>205</v>
      </c>
      <c r="B28" s="67" t="s">
        <v>198</v>
      </c>
      <c r="C28" s="66">
        <f>SUMIF(Пр12!C10:C963,205,Пр12!G10:G963)</f>
        <v>0</v>
      </c>
      <c r="D28" s="66">
        <f>SUMIF(Пр12!D10:D963,205,Пр12!H10:H963)</f>
        <v>0</v>
      </c>
      <c r="E28" s="66">
        <f>SUMIF(Пр12!E10:E963,205,Пр12!I10:I963)</f>
        <v>0</v>
      </c>
    </row>
    <row r="29" spans="1:5" ht="16.5" hidden="1" thickBot="1">
      <c r="A29" s="64">
        <v>206</v>
      </c>
      <c r="B29" s="67" t="s">
        <v>199</v>
      </c>
      <c r="C29" s="66">
        <f>SUMIF(Пр12!C10:C963,206,Пр12!G10:G963)</f>
        <v>0</v>
      </c>
      <c r="D29" s="66">
        <f>SUMIF(Пр12!D10:D963,206,Пр12!H10:H963)</f>
        <v>0</v>
      </c>
      <c r="E29" s="66">
        <f>SUMIF(Пр12!E10:E963,206,Пр12!I10:I963)</f>
        <v>0</v>
      </c>
    </row>
    <row r="30" spans="1:5" s="60" customFormat="1" ht="32.25" hidden="1" thickBot="1">
      <c r="A30" s="64">
        <v>207</v>
      </c>
      <c r="B30" s="67" t="s">
        <v>200</v>
      </c>
      <c r="C30" s="66">
        <f>SUMIF(Пр12!C10:C963,207,Пр12!G10:G963)</f>
        <v>0</v>
      </c>
      <c r="D30" s="66">
        <f>SUMIF(Пр12!D10:D963,207,Пр12!H10:H963)</f>
        <v>0</v>
      </c>
      <c r="E30" s="66">
        <f>SUMIF(Пр12!E10:E963,207,Пр12!I10:I963)</f>
        <v>0</v>
      </c>
    </row>
    <row r="31" spans="1:5" ht="32.25" hidden="1" thickBot="1">
      <c r="A31" s="64">
        <v>208</v>
      </c>
      <c r="B31" s="67" t="s">
        <v>201</v>
      </c>
      <c r="C31" s="66">
        <f>SUMIF(Пр12!C10:C963,208,Пр12!G10:G963)</f>
        <v>0</v>
      </c>
      <c r="D31" s="66">
        <f>SUMIF(Пр12!D10:D963,208,Пр12!H10:H963)</f>
        <v>0</v>
      </c>
      <c r="E31" s="66">
        <f>SUMIF(Пр12!E10:E963,208,Пр12!I10:I963)</f>
        <v>0</v>
      </c>
    </row>
    <row r="32" spans="1:5" ht="16.5" hidden="1" thickBot="1">
      <c r="A32" s="64">
        <v>209</v>
      </c>
      <c r="B32" s="67" t="s">
        <v>202</v>
      </c>
      <c r="C32" s="66">
        <f>SUMIF(Пр12!C10:C963,209,Пр12!G10:G963)</f>
        <v>0</v>
      </c>
      <c r="D32" s="66">
        <f>SUMIF(Пр12!D10:D963,209,Пр12!H10:H963)</f>
        <v>0</v>
      </c>
      <c r="E32" s="66">
        <f>SUMIF(Пр12!E10:E963,209,Пр12!I10:I963)</f>
        <v>0</v>
      </c>
    </row>
    <row r="33" spans="1:5" ht="32.25" thickBot="1">
      <c r="A33" s="61">
        <v>300</v>
      </c>
      <c r="B33" s="68" t="s">
        <v>203</v>
      </c>
      <c r="C33" s="63">
        <f>SUM(C34:C45)</f>
        <v>2150000</v>
      </c>
      <c r="D33" s="63">
        <f t="shared" ref="D33:E33" si="2">SUM(D34:D45)</f>
        <v>551980</v>
      </c>
      <c r="E33" s="63">
        <f t="shared" si="2"/>
        <v>2701980</v>
      </c>
    </row>
    <row r="34" spans="1:5" ht="16.5" hidden="1" thickBot="1">
      <c r="A34" s="64">
        <v>303</v>
      </c>
      <c r="B34" s="67" t="s">
        <v>204</v>
      </c>
      <c r="C34" s="66">
        <f>SUMIF(Пр12!C10:C963,303,Пр12!G10:G963)</f>
        <v>0</v>
      </c>
      <c r="D34" s="66">
        <f>SUMIF(Пр12!D10:D963,303,Пр12!H10:H963)</f>
        <v>0</v>
      </c>
      <c r="E34" s="66">
        <f>SUMIF(Пр12!E10:E963,303,Пр12!I10:I963)</f>
        <v>0</v>
      </c>
    </row>
    <row r="35" spans="1:5" s="60" customFormat="1" ht="16.5" hidden="1" thickBot="1">
      <c r="A35" s="64">
        <v>304</v>
      </c>
      <c r="B35" s="67" t="s">
        <v>205</v>
      </c>
      <c r="C35" s="66">
        <f>SUMIF(Пр12!C10:C963,304,Пр12!G10:G963)</f>
        <v>0</v>
      </c>
      <c r="D35" s="66">
        <f>SUMIF(Пр12!D10:D963,304,Пр12!H10:H963)</f>
        <v>0</v>
      </c>
      <c r="E35" s="66">
        <f>SUMIF(Пр12!E10:E963,304,Пр12!I10:I963)</f>
        <v>0</v>
      </c>
    </row>
    <row r="36" spans="1:5" ht="16.5" hidden="1" thickBot="1">
      <c r="A36" s="64">
        <v>305</v>
      </c>
      <c r="B36" s="67" t="s">
        <v>206</v>
      </c>
      <c r="C36" s="66">
        <f>SUMIF(Пр12!C10:C963,305,Пр12!G10:G963)</f>
        <v>0</v>
      </c>
      <c r="D36" s="66">
        <f>SUMIF(Пр12!D10:D963,305,Пр12!H10:H963)</f>
        <v>0</v>
      </c>
      <c r="E36" s="66">
        <f>SUMIF(Пр12!E10:E963,305,Пр12!I10:I963)</f>
        <v>0</v>
      </c>
    </row>
    <row r="37" spans="1:5" ht="16.5" hidden="1" thickBot="1">
      <c r="A37" s="64">
        <v>306</v>
      </c>
      <c r="B37" s="67" t="s">
        <v>207</v>
      </c>
      <c r="C37" s="66">
        <f>SUMIF(Пр12!C10:C963,306,Пр12!G10:G963)</f>
        <v>0</v>
      </c>
      <c r="D37" s="66">
        <f>SUMIF(Пр12!D10:D963,306,Пр12!H10:H963)</f>
        <v>0</v>
      </c>
      <c r="E37" s="66">
        <f>SUMIF(Пр12!E10:E963,306,Пр12!I10:I963)</f>
        <v>0</v>
      </c>
    </row>
    <row r="38" spans="1:5" ht="16.5" hidden="1" thickBot="1">
      <c r="A38" s="64">
        <v>307</v>
      </c>
      <c r="B38" s="67" t="s">
        <v>208</v>
      </c>
      <c r="C38" s="66">
        <f>SUMIF(Пр12!C10:C963,307,Пр12!G10:G963)</f>
        <v>0</v>
      </c>
      <c r="D38" s="66">
        <f>SUMIF(Пр12!D10:D963,307,Пр12!H10:H963)</f>
        <v>0</v>
      </c>
      <c r="E38" s="66">
        <f>SUMIF(Пр12!E10:E963,307,Пр12!I10:I963)</f>
        <v>0</v>
      </c>
    </row>
    <row r="39" spans="1:5" s="60" customFormat="1" ht="32.25" hidden="1" thickBot="1">
      <c r="A39" s="64">
        <v>308</v>
      </c>
      <c r="B39" s="67" t="s">
        <v>209</v>
      </c>
      <c r="C39" s="66">
        <f>SUMIF(Пр12!C10:C963,308,Пр12!G10:G963)</f>
        <v>0</v>
      </c>
      <c r="D39" s="66">
        <f>SUMIF(Пр12!D10:D963,308,Пр12!H10:H963)</f>
        <v>0</v>
      </c>
      <c r="E39" s="66">
        <f>SUMIF(Пр12!E10:E963,308,Пр12!I10:I963)</f>
        <v>0</v>
      </c>
    </row>
    <row r="40" spans="1:5" ht="48" thickBot="1">
      <c r="A40" s="64">
        <v>309</v>
      </c>
      <c r="B40" s="67" t="s">
        <v>210</v>
      </c>
      <c r="C40" s="66">
        <f>SUMIF(Пр12!C10:C963,309,Пр12!G10:G963)</f>
        <v>2000000</v>
      </c>
      <c r="D40" s="66">
        <f>SUMIF(Пр12!$C33:$C1002,309,Пр12!H33:H1002)</f>
        <v>551980</v>
      </c>
      <c r="E40" s="66">
        <f>SUMIF(Пр12!$C29:$C977,309,Пр12!I29:I977)</f>
        <v>2551980</v>
      </c>
    </row>
    <row r="41" spans="1:5" ht="16.5" hidden="1" thickBot="1">
      <c r="A41" s="64">
        <v>310</v>
      </c>
      <c r="B41" s="67" t="s">
        <v>211</v>
      </c>
      <c r="C41" s="66">
        <f>SUMIF(Пр12!C10:C963,310,Пр12!G10:G963)</f>
        <v>0</v>
      </c>
      <c r="D41" s="66">
        <f>SUMIF(Пр12!D10:D963,310,Пр12!H10:H963)</f>
        <v>0</v>
      </c>
      <c r="E41" s="66">
        <f>SUMIF(Пр12!E10:E963,310,Пр12!I10:I963)</f>
        <v>0</v>
      </c>
    </row>
    <row r="42" spans="1:5" ht="16.5" hidden="1" thickBot="1">
      <c r="A42" s="64">
        <v>311</v>
      </c>
      <c r="B42" s="67" t="s">
        <v>212</v>
      </c>
      <c r="C42" s="66">
        <f>SUMIF(Пр12!C10:C963,311,Пр12!G10:G963)</f>
        <v>0</v>
      </c>
      <c r="D42" s="66">
        <f>SUMIF(Пр12!D10:D963,311,Пр12!H10:H963)</f>
        <v>0</v>
      </c>
      <c r="E42" s="66">
        <f>SUMIF(Пр12!E10:E963,311,Пр12!I10:I963)</f>
        <v>0</v>
      </c>
    </row>
    <row r="43" spans="1:5" ht="32.25" hidden="1" thickBot="1">
      <c r="A43" s="64">
        <v>312</v>
      </c>
      <c r="B43" s="67" t="s">
        <v>213</v>
      </c>
      <c r="C43" s="66">
        <f>SUMIF(Пр12!C10:C963,312,Пр12!G10:G963)</f>
        <v>0</v>
      </c>
      <c r="D43" s="66">
        <f>SUMIF(Пр12!D10:D963,312,Пр12!H10:H963)</f>
        <v>0</v>
      </c>
      <c r="E43" s="66">
        <f>SUMIF(Пр12!E10:E963,312,Пр12!I10:I963)</f>
        <v>0</v>
      </c>
    </row>
    <row r="44" spans="1:5" ht="48" hidden="1" thickBot="1">
      <c r="A44" s="64">
        <v>313</v>
      </c>
      <c r="B44" s="67" t="s">
        <v>214</v>
      </c>
      <c r="C44" s="66">
        <f>SUMIF(Пр12!C10:C963,313,Пр12!G10:G963)</f>
        <v>0</v>
      </c>
      <c r="D44" s="66">
        <f>SUMIF(Пр12!D10:D963,313,Пр12!H10:H963)</f>
        <v>0</v>
      </c>
      <c r="E44" s="66">
        <f>SUMIF(Пр12!E10:E963,313,Пр12!I10:I963)</f>
        <v>0</v>
      </c>
    </row>
    <row r="45" spans="1:5" ht="32.25" thickBot="1">
      <c r="A45" s="64">
        <v>314</v>
      </c>
      <c r="B45" s="67" t="s">
        <v>215</v>
      </c>
      <c r="C45" s="66">
        <f>SUMIF(Пр12!C15:C968,314,Пр12!G15:G968)</f>
        <v>150000</v>
      </c>
      <c r="D45" s="66">
        <f>SUMIF(Пр12!$C38:$C1007,314,Пр12!H38:H1007)</f>
        <v>0</v>
      </c>
      <c r="E45" s="66">
        <f>SUMIF(Пр12!$C34:$C982,314,Пр12!I34:I982)</f>
        <v>150000</v>
      </c>
    </row>
    <row r="46" spans="1:5" ht="16.5" thickBot="1">
      <c r="A46" s="61">
        <v>400</v>
      </c>
      <c r="B46" s="68" t="s">
        <v>216</v>
      </c>
      <c r="C46" s="63">
        <f>C48+C51+C54+C55+C58+C52</f>
        <v>164480271</v>
      </c>
      <c r="D46" s="63">
        <f t="shared" ref="D46:E46" si="3">D48+D51+D54+D55+D58+D52</f>
        <v>7931471</v>
      </c>
      <c r="E46" s="63">
        <f t="shared" si="3"/>
        <v>172411742</v>
      </c>
    </row>
    <row r="47" spans="1:5" ht="16.5" hidden="1" thickBot="1">
      <c r="A47" s="64">
        <v>401</v>
      </c>
      <c r="B47" s="69" t="s">
        <v>217</v>
      </c>
      <c r="C47" s="66">
        <f>SUMIF(Пр12!C10:C963,401,Пр12!G10:G963)</f>
        <v>0</v>
      </c>
      <c r="D47" s="66">
        <f>SUMIF(Пр12!D10:D963,401,Пр12!H10:H963)</f>
        <v>0</v>
      </c>
      <c r="E47" s="66">
        <f>SUMIF(Пр12!E10:E963,401,Пр12!I10:I963)</f>
        <v>0</v>
      </c>
    </row>
    <row r="48" spans="1:5" ht="16.5" thickBot="1">
      <c r="A48" s="64">
        <v>402</v>
      </c>
      <c r="B48" s="65" t="s">
        <v>218</v>
      </c>
      <c r="C48" s="66">
        <f>SUMIF(Пр12!$C10:$C963,402,Пр12!G10:G963)</f>
        <v>532620</v>
      </c>
      <c r="D48" s="66">
        <f>SUMIF(Пр12!$C10:$C963,402,Пр12!H10:H963)</f>
        <v>0</v>
      </c>
      <c r="E48" s="66">
        <f>SUMIF(Пр12!$C10:$C963,402,Пр12!I10:I963)</f>
        <v>532620</v>
      </c>
    </row>
    <row r="49" spans="1:5" ht="16.5" hidden="1" thickBot="1">
      <c r="A49" s="64">
        <v>403</v>
      </c>
      <c r="B49" s="67" t="s">
        <v>219</v>
      </c>
      <c r="C49" s="66">
        <f>SUMIF(Пр12!C10:C963,403,Пр12!G10:G963)</f>
        <v>0</v>
      </c>
      <c r="D49" s="66">
        <f>SUMIF(Пр12!D10:D963,403,Пр12!H10:H963)</f>
        <v>0</v>
      </c>
      <c r="E49" s="66">
        <f>SUMIF(Пр12!E10:E963,403,Пр12!I10:I963)</f>
        <v>0</v>
      </c>
    </row>
    <row r="50" spans="1:5" ht="16.5" hidden="1" thickBot="1">
      <c r="A50" s="64">
        <v>404</v>
      </c>
      <c r="B50" s="67" t="s">
        <v>220</v>
      </c>
      <c r="C50" s="66">
        <f>SUMIF(Пр12!C10:C963,404,Пр12!G10:G963)</f>
        <v>0</v>
      </c>
      <c r="D50" s="66">
        <f>SUMIF(Пр12!D10:D963,404,Пр12!H10:H963)</f>
        <v>0</v>
      </c>
      <c r="E50" s="66">
        <f>SUMIF(Пр12!E10:E963,404,Пр12!I10:I963)</f>
        <v>0</v>
      </c>
    </row>
    <row r="51" spans="1:5" ht="16.5" thickBot="1">
      <c r="A51" s="64">
        <v>405</v>
      </c>
      <c r="B51" s="67" t="s">
        <v>221</v>
      </c>
      <c r="C51" s="66">
        <f>SUMIF(Пр12!$C10:$C963,405,Пр12!G10:G963)</f>
        <v>1916220</v>
      </c>
      <c r="D51" s="66">
        <f>SUMIF(Пр12!$C10:$C963,405,Пр12!H10:H963)</f>
        <v>0</v>
      </c>
      <c r="E51" s="66">
        <f>SUMIF(Пр12!$C10:$C963,405,Пр12!I10:I963)</f>
        <v>1916220</v>
      </c>
    </row>
    <row r="52" spans="1:5" ht="16.5" hidden="1" thickBot="1">
      <c r="A52" s="64">
        <v>406</v>
      </c>
      <c r="B52" s="67" t="s">
        <v>222</v>
      </c>
      <c r="C52" s="66">
        <f>SUMIF(Пр12!$C10:$C963,406,Пр12!G10:G963)</f>
        <v>0</v>
      </c>
      <c r="D52" s="66">
        <f>SUMIF(Пр12!$C10:$C963,406,Пр12!H10:H963)</f>
        <v>0</v>
      </c>
      <c r="E52" s="66">
        <f>SUMIF(Пр12!$C10:$C963,406,Пр12!I10:I963)</f>
        <v>0</v>
      </c>
    </row>
    <row r="53" spans="1:5" ht="16.5" hidden="1" thickBot="1">
      <c r="A53" s="64">
        <v>407</v>
      </c>
      <c r="B53" s="67" t="s">
        <v>223</v>
      </c>
      <c r="C53" s="66">
        <f>SUMIF(Пр12!C10:C963,407,Пр12!G10:G963)</f>
        <v>0</v>
      </c>
      <c r="D53" s="66">
        <f>SUMIF(Пр12!D10:D963,407,Пр12!H10:H963)</f>
        <v>0</v>
      </c>
      <c r="E53" s="66">
        <f>SUMIF(Пр12!E10:E963,407,Пр12!I10:I963)</f>
        <v>0</v>
      </c>
    </row>
    <row r="54" spans="1:5" ht="16.5" thickBot="1">
      <c r="A54" s="64">
        <v>408</v>
      </c>
      <c r="B54" s="67" t="s">
        <v>224</v>
      </c>
      <c r="C54" s="66">
        <f>SUMIF(Пр12!$C10:$C963,408,Пр12!G10:G963)</f>
        <v>27100000</v>
      </c>
      <c r="D54" s="66">
        <f>SUMIF(Пр12!$C10:$C963,408,Пр12!H10:H963)</f>
        <v>565200</v>
      </c>
      <c r="E54" s="66">
        <f>SUMIF(Пр12!$C10:$C963,408,Пр12!I10:I963)</f>
        <v>27665200</v>
      </c>
    </row>
    <row r="55" spans="1:5" ht="16.5" thickBot="1">
      <c r="A55" s="64">
        <v>409</v>
      </c>
      <c r="B55" s="67" t="s">
        <v>225</v>
      </c>
      <c r="C55" s="66">
        <f>SUMIF(Пр12!$C10:$C963,409,Пр12!G10:G963)</f>
        <v>131531153</v>
      </c>
      <c r="D55" s="66">
        <f>SUMIF(Пр12!$C10:$C963,409,Пр12!H10:H963)</f>
        <v>7096271</v>
      </c>
      <c r="E55" s="66">
        <f>SUMIF(Пр12!$C10:$C963,409,Пр12!I10:I963)</f>
        <v>138627424</v>
      </c>
    </row>
    <row r="56" spans="1:5" ht="16.5" hidden="1" thickBot="1">
      <c r="A56" s="64">
        <v>410</v>
      </c>
      <c r="B56" s="67" t="s">
        <v>226</v>
      </c>
      <c r="C56" s="66">
        <f>SUMIF(Пр12!C10:C963,410,Пр12!G10:G963)</f>
        <v>0</v>
      </c>
      <c r="D56" s="66">
        <f>SUMIF(Пр12!D10:D963,410,Пр12!H10:H963)</f>
        <v>0</v>
      </c>
      <c r="E56" s="66">
        <f>SUMIF(Пр12!E10:E963,410,Пр12!I10:I963)</f>
        <v>0</v>
      </c>
    </row>
    <row r="57" spans="1:5" ht="32.25" hidden="1" thickBot="1">
      <c r="A57" s="64">
        <v>411</v>
      </c>
      <c r="B57" s="67" t="s">
        <v>227</v>
      </c>
      <c r="C57" s="66">
        <f>SUMIF(Пр12!C10:C963,411,Пр12!G10:G963)</f>
        <v>0</v>
      </c>
      <c r="D57" s="66">
        <f>SUMIF(Пр12!D10:D963,411,Пр12!H10:H963)</f>
        <v>0</v>
      </c>
      <c r="E57" s="66">
        <f>SUMIF(Пр12!E10:E963,411,Пр12!I10:I963)</f>
        <v>0</v>
      </c>
    </row>
    <row r="58" spans="1:5" ht="16.5" thickBot="1">
      <c r="A58" s="64">
        <v>412</v>
      </c>
      <c r="B58" s="67" t="s">
        <v>228</v>
      </c>
      <c r="C58" s="66">
        <f>SUMIF(Пр12!$C10:$C963,412,Пр12!G10:G963)</f>
        <v>3400278</v>
      </c>
      <c r="D58" s="66">
        <f>SUMIF(Пр12!$C10:$C963,412,Пр12!H10:H963)</f>
        <v>270000</v>
      </c>
      <c r="E58" s="66">
        <f>SUMIF(Пр12!$C10:$C963,412,Пр12!I10:I963)</f>
        <v>3670278</v>
      </c>
    </row>
    <row r="59" spans="1:5" ht="16.5" thickBot="1">
      <c r="A59" s="61">
        <v>500</v>
      </c>
      <c r="B59" s="68" t="s">
        <v>229</v>
      </c>
      <c r="C59" s="63">
        <f>C60+C61+C62+C63+C64</f>
        <v>107857194</v>
      </c>
      <c r="D59" s="63">
        <f t="shared" ref="D59:E59" si="4">D60+D61+D62+D63+D64</f>
        <v>4088050</v>
      </c>
      <c r="E59" s="63">
        <f t="shared" si="4"/>
        <v>111945244</v>
      </c>
    </row>
    <row r="60" spans="1:5" ht="16.5" thickBot="1">
      <c r="A60" s="64">
        <v>501</v>
      </c>
      <c r="B60" s="67" t="s">
        <v>230</v>
      </c>
      <c r="C60" s="66">
        <f>SUMIF(Пр12!$C10:$C963,501,Пр12!G10:G963)</f>
        <v>2616048</v>
      </c>
      <c r="D60" s="66">
        <f>SUMIF(Пр12!$C10:$C963,501,Пр12!H10:H963)</f>
        <v>57636</v>
      </c>
      <c r="E60" s="66">
        <f>SUMIF(Пр12!$C10:$C963,501,Пр12!I10:I963)</f>
        <v>2673684</v>
      </c>
    </row>
    <row r="61" spans="1:5" ht="16.5" thickBot="1">
      <c r="A61" s="64">
        <v>502</v>
      </c>
      <c r="B61" s="67" t="s">
        <v>231</v>
      </c>
      <c r="C61" s="66">
        <f>SUMIF(Пр12!$C10:$C963,502,Пр12!G10:G963)</f>
        <v>12854167</v>
      </c>
      <c r="D61" s="66">
        <f>SUMIF(Пр12!$C10:$C963,502,Пр12!H10:H963)</f>
        <v>0</v>
      </c>
      <c r="E61" s="66">
        <f>SUMIF(Пр12!$C10:$C963,502,Пр12!I10:I963)</f>
        <v>12854167</v>
      </c>
    </row>
    <row r="62" spans="1:5" ht="16.5" thickBot="1">
      <c r="A62" s="64">
        <v>503</v>
      </c>
      <c r="B62" s="65" t="s">
        <v>232</v>
      </c>
      <c r="C62" s="66">
        <f>SUMIF(Пр12!$C10:$C963,503,Пр12!G10:G963)</f>
        <v>91592403</v>
      </c>
      <c r="D62" s="66">
        <f>SUMIF(Пр12!$C10:$C963,503,Пр12!H10:H963)</f>
        <v>4030414</v>
      </c>
      <c r="E62" s="66">
        <f>SUMIF(Пр12!$C10:$C963,503,Пр12!I10:I963)</f>
        <v>95622817</v>
      </c>
    </row>
    <row r="63" spans="1:5" ht="32.25" hidden="1" thickBot="1">
      <c r="A63" s="64">
        <v>504</v>
      </c>
      <c r="B63" s="67" t="s">
        <v>233</v>
      </c>
      <c r="C63" s="66">
        <f>SUMIF(Пр12!C10:C963,504,Пр12!G10:G963)</f>
        <v>0</v>
      </c>
      <c r="D63" s="66">
        <f>SUMIF(Пр12!D10:D963,504,Пр12!H10:H963)</f>
        <v>0</v>
      </c>
      <c r="E63" s="66">
        <f>SUMIF(Пр12!E10:E963,504,Пр12!I10:I963)</f>
        <v>0</v>
      </c>
    </row>
    <row r="64" spans="1:5" ht="32.25" thickBot="1">
      <c r="A64" s="64">
        <v>505</v>
      </c>
      <c r="B64" s="67" t="s">
        <v>234</v>
      </c>
      <c r="C64" s="66">
        <f>SUMIF(Пр12!$C10:$C963,505,Пр12!G10:G963)</f>
        <v>794576</v>
      </c>
      <c r="D64" s="66">
        <f>SUMIF(Пр12!$C10:$C963,505,Пр12!H10:H963)</f>
        <v>0</v>
      </c>
      <c r="E64" s="66">
        <f>SUMIF(Пр12!$C10:$C963,505,Пр12!I10:I963)</f>
        <v>794576</v>
      </c>
    </row>
    <row r="65" spans="1:5" ht="16.5" thickBot="1">
      <c r="A65" s="61">
        <v>600</v>
      </c>
      <c r="B65" s="70" t="s">
        <v>235</v>
      </c>
      <c r="C65" s="63">
        <f>SUM(C66:C70)</f>
        <v>600000</v>
      </c>
      <c r="D65" s="63">
        <f t="shared" ref="D65:E65" si="5">SUM(D66:D70)</f>
        <v>0</v>
      </c>
      <c r="E65" s="63">
        <f t="shared" si="5"/>
        <v>600000</v>
      </c>
    </row>
    <row r="66" spans="1:5" ht="16.5" hidden="1" thickBot="1">
      <c r="A66" s="64">
        <v>601</v>
      </c>
      <c r="B66" s="65" t="s">
        <v>236</v>
      </c>
      <c r="C66" s="66">
        <f>SUMIF(Пр12!C10:C963,601,Пр12!G10:G963)</f>
        <v>0</v>
      </c>
      <c r="D66" s="66">
        <f>SUMIF(Пр12!D10:D963,601,Пр12!H10:H963)</f>
        <v>0</v>
      </c>
      <c r="E66" s="66">
        <f>SUMIF(Пр12!E10:E963,601,Пр12!I10:I963)</f>
        <v>0</v>
      </c>
    </row>
    <row r="67" spans="1:5" ht="16.5" hidden="1" thickBot="1">
      <c r="A67" s="64">
        <v>602</v>
      </c>
      <c r="B67" s="67" t="s">
        <v>237</v>
      </c>
      <c r="C67" s="66">
        <f>SUMIF(Пр12!C10:C963,602,Пр12!G10:G963)</f>
        <v>0</v>
      </c>
      <c r="D67" s="66">
        <f>SUMIF(Пр12!D10:D963,602,Пр12!H10:H963)</f>
        <v>0</v>
      </c>
      <c r="E67" s="66">
        <f>SUMIF(Пр12!E10:E963,602,Пр12!I10:I963)</f>
        <v>0</v>
      </c>
    </row>
    <row r="68" spans="1:5" ht="32.25" hidden="1" thickBot="1">
      <c r="A68" s="64">
        <v>603</v>
      </c>
      <c r="B68" s="67" t="s">
        <v>238</v>
      </c>
      <c r="C68" s="66">
        <f>SUMIF(Пр12!C10:C963,603,Пр12!G10:G963)</f>
        <v>0</v>
      </c>
      <c r="D68" s="66">
        <f>SUMIF(Пр12!D10:D963,603,Пр12!H10:H963)</f>
        <v>0</v>
      </c>
      <c r="E68" s="66">
        <f>SUMIF(Пр12!E10:E963,603,Пр12!I10:I963)</f>
        <v>0</v>
      </c>
    </row>
    <row r="69" spans="1:5" ht="32.25" hidden="1" thickBot="1">
      <c r="A69" s="64">
        <v>604</v>
      </c>
      <c r="B69" s="67" t="s">
        <v>239</v>
      </c>
      <c r="C69" s="66">
        <f>SUMIF(Пр12!C10:C963,604,Пр12!G10:G963)</f>
        <v>0</v>
      </c>
      <c r="D69" s="66">
        <f>SUMIF(Пр12!D10:D963,604,Пр12!H10:H963)</f>
        <v>0</v>
      </c>
      <c r="E69" s="66">
        <f>SUMIF(Пр12!E10:E963,604,Пр12!I10:I963)</f>
        <v>0</v>
      </c>
    </row>
    <row r="70" spans="1:5" ht="16.5" thickBot="1">
      <c r="A70" s="64">
        <v>605</v>
      </c>
      <c r="B70" s="67" t="s">
        <v>240</v>
      </c>
      <c r="C70" s="66">
        <f>SUMIF(Пр12!$C10:$C963,605,Пр12!G10:G963)</f>
        <v>600000</v>
      </c>
      <c r="D70" s="66">
        <f>SUMIF(Пр12!$C10:$C963,605,Пр12!H10:H963)</f>
        <v>0</v>
      </c>
      <c r="E70" s="66">
        <f>SUMIF(Пр12!$C10:$C963,605,Пр12!I10:I963)</f>
        <v>600000</v>
      </c>
    </row>
    <row r="71" spans="1:5" ht="16.5" thickBot="1">
      <c r="A71" s="61">
        <v>700</v>
      </c>
      <c r="B71" s="70" t="s">
        <v>241</v>
      </c>
      <c r="C71" s="63">
        <f>C72+C73+C78+C80+C74+C76</f>
        <v>1040820375</v>
      </c>
      <c r="D71" s="63">
        <f>D72+D73+D78+D80+D74+D76</f>
        <v>10297679</v>
      </c>
      <c r="E71" s="63">
        <f>E72+E73+E78+E80+E74+E76</f>
        <v>1051118054</v>
      </c>
    </row>
    <row r="72" spans="1:5" ht="16.5" thickBot="1">
      <c r="A72" s="64">
        <v>701</v>
      </c>
      <c r="B72" s="67" t="s">
        <v>242</v>
      </c>
      <c r="C72" s="66">
        <f>SUMIF(Пр12!$C10:$C963,701,Пр12!G10:G963)</f>
        <v>433869204</v>
      </c>
      <c r="D72" s="66">
        <f>SUMIF(Пр12!$C10:$C963,701,Пр12!H10:H963)</f>
        <v>3122765</v>
      </c>
      <c r="E72" s="66">
        <f>SUMIF(Пр12!$C10:$C963,701,Пр12!I10:I963)</f>
        <v>436991969</v>
      </c>
    </row>
    <row r="73" spans="1:5" ht="16.5" thickBot="1">
      <c r="A73" s="64">
        <v>702</v>
      </c>
      <c r="B73" s="67" t="s">
        <v>243</v>
      </c>
      <c r="C73" s="66">
        <f>SUMIF(Пр12!$C10:$C963,702,Пр12!G10:G963)</f>
        <v>458309368</v>
      </c>
      <c r="D73" s="66">
        <f>SUMIF(Пр12!$C10:$C963,702,Пр12!H10:H963)</f>
        <v>1527984</v>
      </c>
      <c r="E73" s="66">
        <f>SUMIF(Пр12!$C10:$C963,702,Пр12!I10:I963)</f>
        <v>459837352</v>
      </c>
    </row>
    <row r="74" spans="1:5" ht="16.5" thickBot="1">
      <c r="A74" s="64">
        <v>703</v>
      </c>
      <c r="B74" s="342" t="s">
        <v>1224</v>
      </c>
      <c r="C74" s="66">
        <f>SUMIF(Пр12!$C10:$C963,703,Пр12!G10:G963)</f>
        <v>91634749</v>
      </c>
      <c r="D74" s="66">
        <f>SUMIF(Пр12!$C10:$C963,703,Пр12!H10:H963)</f>
        <v>1094300</v>
      </c>
      <c r="E74" s="66">
        <f>SUMIF(Пр12!$C10:$C963,703,Пр12!I10:I963)</f>
        <v>92729049</v>
      </c>
    </row>
    <row r="75" spans="1:5" ht="20.25" hidden="1" customHeight="1" thickBot="1">
      <c r="A75" s="64">
        <v>704</v>
      </c>
      <c r="B75" s="67" t="s">
        <v>244</v>
      </c>
      <c r="C75" s="66">
        <f>SUMIF(Пр12!C10:C963,704,Пр12!G10:G963)</f>
        <v>0</v>
      </c>
      <c r="D75" s="66">
        <f>SUMIF(Пр12!$C11:$C964,703,Пр12!H11:H964)</f>
        <v>1094300</v>
      </c>
      <c r="E75" s="66">
        <f>SUMIF(Пр12!$C11:$C964,704,Пр12!I11:I964)</f>
        <v>0</v>
      </c>
    </row>
    <row r="76" spans="1:5" ht="32.25" thickBot="1">
      <c r="A76" s="64">
        <v>705</v>
      </c>
      <c r="B76" s="67" t="s">
        <v>245</v>
      </c>
      <c r="C76" s="468">
        <f>SUMIF(Пр12!C10:C963,705,Пр12!G10:G963)</f>
        <v>1247200</v>
      </c>
      <c r="D76" s="66">
        <f>SUMIF(Пр12!$C12:$C965,705,Пр12!H12:H965)</f>
        <v>68000</v>
      </c>
      <c r="E76" s="66">
        <f>SUMIF(Пр12!$C12:$C965,705,Пр12!I12:I965)</f>
        <v>1315200</v>
      </c>
    </row>
    <row r="77" spans="1:5" ht="16.5" hidden="1" thickBot="1">
      <c r="A77" s="71">
        <v>706</v>
      </c>
      <c r="B77" s="72" t="s">
        <v>246</v>
      </c>
      <c r="C77" s="66">
        <f>SUMIF(Пр12!C10:C963,706,Пр12!G10:G963)</f>
        <v>0</v>
      </c>
      <c r="D77" s="66">
        <f>SUMIF(Пр12!D10:D963,706,Пр12!H10:H963)</f>
        <v>0</v>
      </c>
      <c r="E77" s="66">
        <f>SUMIF(Пр12!E10:E963,706,Пр12!I10:I963)</f>
        <v>0</v>
      </c>
    </row>
    <row r="78" spans="1:5" ht="16.5" thickBot="1">
      <c r="A78" s="64">
        <v>707</v>
      </c>
      <c r="B78" s="342" t="s">
        <v>1225</v>
      </c>
      <c r="C78" s="66">
        <f>SUMIF(Пр12!$C10:$C963,707,Пр12!G10:G963)</f>
        <v>15451000</v>
      </c>
      <c r="D78" s="66">
        <f>SUMIF(Пр12!$C10:$C963,707,Пр12!H10:H963)</f>
        <v>4300000</v>
      </c>
      <c r="E78" s="66">
        <f>SUMIF(Пр12!$C10:$C963,707,Пр12!I10:I963)</f>
        <v>19751000</v>
      </c>
    </row>
    <row r="79" spans="1:5" ht="16.5" hidden="1" thickBot="1">
      <c r="A79" s="64">
        <v>708</v>
      </c>
      <c r="B79" s="67" t="s">
        <v>247</v>
      </c>
      <c r="C79" s="66">
        <f>SUMIF(Пр12!C10:C963,708,Пр12!G10:G963)</f>
        <v>0</v>
      </c>
      <c r="D79" s="66">
        <f>SUMIF(Пр12!D10:D963,708,Пр12!H10:H963)</f>
        <v>0</v>
      </c>
      <c r="E79" s="66">
        <f>SUMIF(Пр12!E10:E963,708,Пр12!I10:I963)</f>
        <v>0</v>
      </c>
    </row>
    <row r="80" spans="1:5" ht="16.5" thickBot="1">
      <c r="A80" s="64">
        <v>709</v>
      </c>
      <c r="B80" s="67" t="s">
        <v>248</v>
      </c>
      <c r="C80" s="66">
        <f>SUMIF(Пр12!$C10:$C963,709,Пр12!G10:G963)</f>
        <v>40308854</v>
      </c>
      <c r="D80" s="66">
        <f>SUMIF(Пр12!$C10:$C963,709,Пр12!H10:H963)</f>
        <v>184630</v>
      </c>
      <c r="E80" s="66">
        <f>SUMIF(Пр12!$C10:$C963,709,Пр12!I10:I963)</f>
        <v>40493484</v>
      </c>
    </row>
    <row r="81" spans="1:5" ht="16.5" thickBot="1">
      <c r="A81" s="61">
        <v>800</v>
      </c>
      <c r="B81" s="70" t="s">
        <v>249</v>
      </c>
      <c r="C81" s="63">
        <f>C82+C85</f>
        <v>134679525</v>
      </c>
      <c r="D81" s="63">
        <f t="shared" ref="D81:E81" si="6">D82+D85</f>
        <v>2540482</v>
      </c>
      <c r="E81" s="63">
        <f t="shared" si="6"/>
        <v>137220007</v>
      </c>
    </row>
    <row r="82" spans="1:5" ht="16.5" thickBot="1">
      <c r="A82" s="64">
        <v>801</v>
      </c>
      <c r="B82" s="67" t="s">
        <v>250</v>
      </c>
      <c r="C82" s="66">
        <f>SUMIF(Пр12!$C10:$C963,801,Пр12!G10:G963)</f>
        <v>104082317</v>
      </c>
      <c r="D82" s="66">
        <f>SUMIF(Пр12!$C10:$C963,801,Пр12!H10:H963)</f>
        <v>2535482</v>
      </c>
      <c r="E82" s="66">
        <f>SUMIF(Пр12!$C10:$C963,801,Пр12!I10:I963)</f>
        <v>106617799</v>
      </c>
    </row>
    <row r="83" spans="1:5" ht="16.5" hidden="1" thickBot="1">
      <c r="A83" s="64">
        <v>802</v>
      </c>
      <c r="B83" s="67" t="s">
        <v>251</v>
      </c>
      <c r="C83" s="66">
        <f>SUMIF(Пр12!C10:C963,802,Пр12!G10:G963)</f>
        <v>0</v>
      </c>
      <c r="D83" s="66">
        <f>SUMIF(Пр12!D10:D963,802,Пр12!H10:H963)</f>
        <v>0</v>
      </c>
      <c r="E83" s="66">
        <f>SUMIF(Пр12!E10:E963,802,Пр12!I10:I963)</f>
        <v>0</v>
      </c>
    </row>
    <row r="84" spans="1:5" ht="32.25" hidden="1" thickBot="1">
      <c r="A84" s="64">
        <v>803</v>
      </c>
      <c r="B84" s="67" t="s">
        <v>252</v>
      </c>
      <c r="C84" s="66">
        <f>SUMIF(Пр12!C10:C963,803,Пр12!G10:G963)</f>
        <v>0</v>
      </c>
      <c r="D84" s="66">
        <f>SUMIF(Пр12!D10:D963,803,Пр12!H10:H963)</f>
        <v>0</v>
      </c>
      <c r="E84" s="66">
        <f>SUMIF(Пр12!E10:E963,803,Пр12!I10:I963)</f>
        <v>0</v>
      </c>
    </row>
    <row r="85" spans="1:5" ht="16.5" thickBot="1">
      <c r="A85" s="64">
        <v>804</v>
      </c>
      <c r="B85" s="67" t="s">
        <v>253</v>
      </c>
      <c r="C85" s="66">
        <f>SUMIF(Пр12!$C10:$C963,804,Пр12!G10:G963)</f>
        <v>30597208</v>
      </c>
      <c r="D85" s="66">
        <f>SUMIF(Пр12!$C10:$C963,804,Пр12!H10:H963)</f>
        <v>5000</v>
      </c>
      <c r="E85" s="66">
        <f>SUMIF(Пр12!$C10:$C963,804,Пр12!I10:I963)</f>
        <v>30602208</v>
      </c>
    </row>
    <row r="86" spans="1:5" ht="16.5" hidden="1" thickBot="1">
      <c r="A86" s="61">
        <v>900</v>
      </c>
      <c r="B86" s="70" t="s">
        <v>254</v>
      </c>
      <c r="C86" s="63">
        <f>SUM(C87:C95)</f>
        <v>0</v>
      </c>
      <c r="D86" s="63">
        <f t="shared" ref="D86:E86" si="7">SUM(D87:D95)</f>
        <v>0</v>
      </c>
      <c r="E86" s="63">
        <f t="shared" si="7"/>
        <v>0</v>
      </c>
    </row>
    <row r="87" spans="1:5" ht="16.5" hidden="1" thickBot="1">
      <c r="A87" s="64">
        <v>901</v>
      </c>
      <c r="B87" s="67" t="s">
        <v>255</v>
      </c>
      <c r="C87" s="66">
        <f>SUMIF(Пр12!C10:C963,901,Пр12!G10:G963)</f>
        <v>0</v>
      </c>
      <c r="D87" s="66">
        <f>SUMIF(Пр12!D10:D963,901,Пр12!H10:H963)</f>
        <v>0</v>
      </c>
      <c r="E87" s="66">
        <f>SUMIF(Пр12!E10:E963,901,Пр12!I10:I963)</f>
        <v>0</v>
      </c>
    </row>
    <row r="88" spans="1:5" ht="16.5" hidden="1" thickBot="1">
      <c r="A88" s="64">
        <v>902</v>
      </c>
      <c r="B88" s="67" t="s">
        <v>256</v>
      </c>
      <c r="C88" s="66">
        <f>SUMIF(Пр12!C10:C963,902,Пр12!G10:G963)</f>
        <v>0</v>
      </c>
      <c r="D88" s="66">
        <f>SUMIF(Пр12!D10:D963,902,Пр12!H10:H963)</f>
        <v>0</v>
      </c>
      <c r="E88" s="66">
        <f>SUMIF(Пр12!E10:E963,902,Пр12!I10:I963)</f>
        <v>0</v>
      </c>
    </row>
    <row r="89" spans="1:5" ht="16.5" hidden="1" thickBot="1">
      <c r="A89" s="64">
        <v>903</v>
      </c>
      <c r="B89" s="67" t="s">
        <v>257</v>
      </c>
      <c r="C89" s="66">
        <f>SUMIF(Пр12!C10:C963,903,Пр12!G10:G963)</f>
        <v>0</v>
      </c>
      <c r="D89" s="66">
        <f>SUMIF(Пр12!D10:D963,903,Пр12!H10:H963)</f>
        <v>0</v>
      </c>
      <c r="E89" s="66">
        <f>SUMIF(Пр12!E10:E963,903,Пр12!I10:I963)</f>
        <v>0</v>
      </c>
    </row>
    <row r="90" spans="1:5" ht="16.5" hidden="1" thickBot="1">
      <c r="A90" s="64">
        <v>904</v>
      </c>
      <c r="B90" s="67" t="s">
        <v>258</v>
      </c>
      <c r="C90" s="66">
        <f>SUMIF(Пр12!C10:C963,904,Пр12!G10:G963)</f>
        <v>0</v>
      </c>
      <c r="D90" s="66">
        <f>SUMIF(Пр12!D10:D963,904,Пр12!H10:H963)</f>
        <v>0</v>
      </c>
      <c r="E90" s="66">
        <f>SUMIF(Пр12!E10:E963,904,Пр12!I10:I963)</f>
        <v>0</v>
      </c>
    </row>
    <row r="91" spans="1:5" ht="16.5" hidden="1" thickBot="1">
      <c r="A91" s="64">
        <v>905</v>
      </c>
      <c r="B91" s="73" t="s">
        <v>259</v>
      </c>
      <c r="C91" s="66">
        <f>SUMIF(Пр12!C10:C963,905,Пр12!G10:G963)</f>
        <v>0</v>
      </c>
      <c r="D91" s="66">
        <f>SUMIF(Пр12!D10:D963,905,Пр12!H10:H963)</f>
        <v>0</v>
      </c>
      <c r="E91" s="66">
        <f>SUMIF(Пр12!E10:E963,905,Пр12!I10:I963)</f>
        <v>0</v>
      </c>
    </row>
    <row r="92" spans="1:5" ht="32.25" hidden="1" thickBot="1">
      <c r="A92" s="64">
        <v>906</v>
      </c>
      <c r="B92" s="73" t="s">
        <v>260</v>
      </c>
      <c r="C92" s="66">
        <f>SUMIF(Пр12!C10:C963,906,Пр12!G10:G963)</f>
        <v>0</v>
      </c>
      <c r="D92" s="66">
        <f>SUMIF(Пр12!D10:D963,906,Пр12!H10:H963)</f>
        <v>0</v>
      </c>
      <c r="E92" s="66">
        <f>SUMIF(Пр12!E10:E963,906,Пр12!I10:I963)</f>
        <v>0</v>
      </c>
    </row>
    <row r="93" spans="1:5" ht="16.5" hidden="1" thickBot="1">
      <c r="A93" s="64">
        <v>907</v>
      </c>
      <c r="B93" s="67" t="s">
        <v>261</v>
      </c>
      <c r="C93" s="66">
        <f>SUMIF(Пр12!C10:C963,907,Пр12!G10:G963)</f>
        <v>0</v>
      </c>
      <c r="D93" s="66">
        <f>SUMIF(Пр12!D10:D963,907,Пр12!H10:H963)</f>
        <v>0</v>
      </c>
      <c r="E93" s="66">
        <f>SUMIF(Пр12!E10:E963,907,Пр12!I10:I963)</f>
        <v>0</v>
      </c>
    </row>
    <row r="94" spans="1:5" ht="32.25" hidden="1" thickBot="1">
      <c r="A94" s="64">
        <v>908</v>
      </c>
      <c r="B94" s="65" t="s">
        <v>262</v>
      </c>
      <c r="C94" s="66">
        <f>SUMIF(Пр12!C10:C963,908,Пр12!G10:G963)</f>
        <v>0</v>
      </c>
      <c r="D94" s="66">
        <f>SUMIF(Пр12!D10:D963,908,Пр12!H10:H963)</f>
        <v>0</v>
      </c>
      <c r="E94" s="66">
        <f>SUMIF(Пр12!E10:E963,908,Пр12!I10:I963)</f>
        <v>0</v>
      </c>
    </row>
    <row r="95" spans="1:5" ht="16.5" hidden="1" thickBot="1">
      <c r="A95" s="64">
        <v>909</v>
      </c>
      <c r="B95" s="67" t="s">
        <v>263</v>
      </c>
      <c r="C95" s="66">
        <f>SUMIF(Пр12!C10:C963,909,Пр12!G10:G963)</f>
        <v>0</v>
      </c>
      <c r="D95" s="66">
        <f>SUMIF(Пр12!D10:D963,909,Пр12!H10:H963)</f>
        <v>0</v>
      </c>
      <c r="E95" s="66">
        <f>SUMIF(Пр12!E10:E963,909,Пр12!I10:I963)</f>
        <v>0</v>
      </c>
    </row>
    <row r="96" spans="1:5" ht="16.5" thickBot="1">
      <c r="A96" s="61">
        <v>1000</v>
      </c>
      <c r="B96" s="70" t="s">
        <v>264</v>
      </c>
      <c r="C96" s="63">
        <f>C97+C98+C99+C100+C102</f>
        <v>490757056</v>
      </c>
      <c r="D96" s="63">
        <f t="shared" ref="D96:E96" si="8">D97+D98+D99+D100+D102</f>
        <v>727153</v>
      </c>
      <c r="E96" s="63">
        <f t="shared" si="8"/>
        <v>491484209</v>
      </c>
    </row>
    <row r="97" spans="1:5" ht="16.5" thickBot="1">
      <c r="A97" s="64">
        <v>1001</v>
      </c>
      <c r="B97" s="67" t="s">
        <v>265</v>
      </c>
      <c r="C97" s="66">
        <f>SUMIF(Пр12!$C10:$C963,1001,Пр12!G10:G963)</f>
        <v>5753004</v>
      </c>
      <c r="D97" s="66">
        <f>SUMIF(Пр12!$C10:$C963,1001,Пр12!H10:H963)</f>
        <v>0</v>
      </c>
      <c r="E97" s="66">
        <f>SUMIF(Пр12!$C10:$C963,1001,Пр12!I10:I963)</f>
        <v>5753004</v>
      </c>
    </row>
    <row r="98" spans="1:5" ht="16.5" thickBot="1">
      <c r="A98" s="64">
        <v>1002</v>
      </c>
      <c r="B98" s="67" t="s">
        <v>266</v>
      </c>
      <c r="C98" s="66">
        <f>SUMIF(Пр12!$C10:$C963,1002,Пр12!G10:G963)</f>
        <v>80498040</v>
      </c>
      <c r="D98" s="66">
        <f>SUMIF(Пр12!$C10:$C963,1002,Пр12!H10:H963)</f>
        <v>754400</v>
      </c>
      <c r="E98" s="66">
        <f>SUMIF(Пр12!$C10:$C963,1002,Пр12!I10:I963)</f>
        <v>81252440</v>
      </c>
    </row>
    <row r="99" spans="1:5" ht="16.5" thickBot="1">
      <c r="A99" s="64">
        <v>1003</v>
      </c>
      <c r="B99" s="67" t="s">
        <v>267</v>
      </c>
      <c r="C99" s="66">
        <f>SUMIF(Пр12!$C10:$C963,1003,Пр12!G10:G963)</f>
        <v>207660876</v>
      </c>
      <c r="D99" s="66">
        <f>SUMIF(Пр12!$C10:$C963,1003,Пр12!H10:H963)</f>
        <v>-127247</v>
      </c>
      <c r="E99" s="66">
        <f>SUMIF(Пр12!$C10:$C963,1003,Пр12!I10:I963)</f>
        <v>207533629</v>
      </c>
    </row>
    <row r="100" spans="1:5" ht="16.5" thickBot="1">
      <c r="A100" s="64">
        <v>1004</v>
      </c>
      <c r="B100" s="65" t="s">
        <v>268</v>
      </c>
      <c r="C100" s="66">
        <f>SUMIF(Пр12!$C10:$C963,1004,Пр12!G10:G963)</f>
        <v>181687736</v>
      </c>
      <c r="D100" s="66">
        <f>SUMIF(Пр12!$C10:$C963,1004,Пр12!H10:H963)</f>
        <v>100000</v>
      </c>
      <c r="E100" s="66">
        <f>SUMIF(Пр12!$C10:$C963,1004,Пр12!I10:I963)</f>
        <v>181787736</v>
      </c>
    </row>
    <row r="101" spans="1:5" ht="32.25" hidden="1" thickBot="1">
      <c r="A101" s="64">
        <v>1005</v>
      </c>
      <c r="B101" s="67" t="s">
        <v>269</v>
      </c>
      <c r="C101" s="66">
        <f>SUMIF(Пр12!C10:C963,1005,Пр12!G10:G963)</f>
        <v>0</v>
      </c>
      <c r="D101" s="66">
        <f>SUMIF(Пр12!D10:D963,1005,Пр12!H10:H963)</f>
        <v>0</v>
      </c>
      <c r="E101" s="66">
        <f>SUMIF(Пр12!E10:E963,1005,Пр12!I10:I963)</f>
        <v>0</v>
      </c>
    </row>
    <row r="102" spans="1:5" ht="16.5" thickBot="1">
      <c r="A102" s="64">
        <v>1006</v>
      </c>
      <c r="B102" s="67" t="s">
        <v>270</v>
      </c>
      <c r="C102" s="66">
        <f>SUMIF(Пр12!$C10:$C963,1006,Пр12!G10:G963)</f>
        <v>15157400</v>
      </c>
      <c r="D102" s="66">
        <f>SUMIF(Пр12!$C10:$C963,1006,Пр12!H10:H963)</f>
        <v>0</v>
      </c>
      <c r="E102" s="66">
        <f>SUMIF(Пр12!$C10:$C963,1006,Пр12!I10:I963)</f>
        <v>15157400</v>
      </c>
    </row>
    <row r="103" spans="1:5" ht="16.5" thickBot="1">
      <c r="A103" s="61">
        <v>1100</v>
      </c>
      <c r="B103" s="70" t="s">
        <v>271</v>
      </c>
      <c r="C103" s="63">
        <f>SUM(C104:C108)</f>
        <v>41967178</v>
      </c>
      <c r="D103" s="63">
        <f t="shared" ref="D103:E103" si="9">SUM(D104:D108)</f>
        <v>1671300</v>
      </c>
      <c r="E103" s="63">
        <f t="shared" si="9"/>
        <v>43638478</v>
      </c>
    </row>
    <row r="104" spans="1:5" ht="16.5" hidden="1" thickBot="1">
      <c r="A104" s="64">
        <v>1101</v>
      </c>
      <c r="B104" s="67" t="s">
        <v>272</v>
      </c>
      <c r="C104" s="66">
        <f>SUMIF(Пр12!C10:C963,1101,Пр12!G10:G963)</f>
        <v>0</v>
      </c>
      <c r="D104" s="66">
        <f>SUMIF(Пр12!D10:D963,1101,Пр12!H10:H963)</f>
        <v>0</v>
      </c>
      <c r="E104" s="66">
        <f>SUMIF(Пр12!E10:E963,1101,Пр12!I10:I963)</f>
        <v>0</v>
      </c>
    </row>
    <row r="105" spans="1:5" ht="16.5" thickBot="1">
      <c r="A105" s="64">
        <v>1102</v>
      </c>
      <c r="B105" s="73" t="s">
        <v>273</v>
      </c>
      <c r="C105" s="66">
        <f>SUMIF(Пр12!$C10:$C963,1102,Пр12!G10:G963)</f>
        <v>41967178</v>
      </c>
      <c r="D105" s="66">
        <f>SUMIF(Пр12!$C10:$C963,1102,Пр12!H10:H963)</f>
        <v>1671300</v>
      </c>
      <c r="E105" s="66">
        <f>SUMIF(Пр12!$C10:$C963,1102,Пр12!I10:I963)</f>
        <v>43638478</v>
      </c>
    </row>
    <row r="106" spans="1:5" ht="16.5" hidden="1" thickBot="1">
      <c r="A106" s="64">
        <v>1103</v>
      </c>
      <c r="B106" s="67" t="s">
        <v>274</v>
      </c>
      <c r="C106" s="66">
        <f>SUMIF(Пр12!C10:C963,1103,Пр12!G10:G963)</f>
        <v>0</v>
      </c>
      <c r="D106" s="66">
        <f>SUMIF(Пр12!D10:D963,1103,Пр12!H10:H963)</f>
        <v>0</v>
      </c>
      <c r="E106" s="66">
        <f>SUMIF(Пр12!E10:E963,1103,Пр12!I10:I963)</f>
        <v>0</v>
      </c>
    </row>
    <row r="107" spans="1:5" ht="32.25" hidden="1" thickBot="1">
      <c r="A107" s="64">
        <v>1104</v>
      </c>
      <c r="B107" s="67" t="s">
        <v>275</v>
      </c>
      <c r="C107" s="66">
        <f>SUMIF(Пр12!C10:C963,1104,Пр12!G10:G963)</f>
        <v>0</v>
      </c>
      <c r="D107" s="66">
        <f>SUMIF(Пр12!D10:D963,1104,Пр12!H10:H963)</f>
        <v>0</v>
      </c>
      <c r="E107" s="66">
        <f>SUMIF(Пр12!E10:E963,1104,Пр12!I10:I963)</f>
        <v>0</v>
      </c>
    </row>
    <row r="108" spans="1:5" ht="16.5" hidden="1" thickBot="1">
      <c r="A108" s="64">
        <v>1105</v>
      </c>
      <c r="B108" s="67" t="s">
        <v>276</v>
      </c>
      <c r="C108" s="66">
        <f>SUMIF(Пр12!C10:C963,1105,Пр12!G10:G963)</f>
        <v>0</v>
      </c>
      <c r="D108" s="66">
        <f>SUMIF(Пр12!D10:D963,1105,Пр12!H10:H963)</f>
        <v>0</v>
      </c>
      <c r="E108" s="66">
        <f>SUMIF(Пр12!E10:E963,1105,Пр12!I10:I963)</f>
        <v>0</v>
      </c>
    </row>
    <row r="109" spans="1:5" ht="16.5" thickBot="1">
      <c r="A109" s="61">
        <v>1200</v>
      </c>
      <c r="B109" s="70" t="s">
        <v>277</v>
      </c>
      <c r="C109" s="63">
        <f>SUM(C110:C113)</f>
        <v>3230000</v>
      </c>
      <c r="D109" s="63">
        <f t="shared" ref="D109:E109" si="10">SUM(D110:D113)</f>
        <v>-65000</v>
      </c>
      <c r="E109" s="63">
        <f t="shared" si="10"/>
        <v>3165000</v>
      </c>
    </row>
    <row r="110" spans="1:5" ht="16.5" hidden="1" thickBot="1">
      <c r="A110" s="64">
        <v>1201</v>
      </c>
      <c r="B110" s="67" t="s">
        <v>278</v>
      </c>
      <c r="C110" s="66">
        <f>SUMIF(Пр12!C10:C963,1201,Пр12!G10:G963)</f>
        <v>0</v>
      </c>
      <c r="D110" s="66">
        <f>SUMIF(Пр12!D10:D963,1201,Пр12!H10:H963)</f>
        <v>0</v>
      </c>
      <c r="E110" s="66">
        <f>SUMIF(Пр12!E10:E963,1201,Пр12!I10:I963)</f>
        <v>0</v>
      </c>
    </row>
    <row r="111" spans="1:5" ht="16.5" thickBot="1">
      <c r="A111" s="64">
        <v>1202</v>
      </c>
      <c r="B111" s="67" t="s">
        <v>279</v>
      </c>
      <c r="C111" s="66">
        <f>SUMIF(Пр12!$C10:$C963,1202,Пр12!G10:G963)</f>
        <v>3230000</v>
      </c>
      <c r="D111" s="66">
        <f>SUMIF(Пр12!$C10:$C963,1202,Пр12!H10:H963)</f>
        <v>-65000</v>
      </c>
      <c r="E111" s="66">
        <f>SUMIF(Пр12!$C10:$C963,1202,Пр12!I10:I963)</f>
        <v>3165000</v>
      </c>
    </row>
    <row r="112" spans="1:5" ht="32.25" hidden="1" thickBot="1">
      <c r="A112" s="64">
        <v>1203</v>
      </c>
      <c r="B112" s="67" t="s">
        <v>280</v>
      </c>
      <c r="C112" s="66">
        <f>SUMIF(Пр12!C10:C963,1203,Пр12!G10:G963)</f>
        <v>0</v>
      </c>
      <c r="D112" s="66">
        <f>SUMIF(Пр12!D10:D963,1203,Пр12!H10:H963)</f>
        <v>0</v>
      </c>
      <c r="E112" s="66">
        <f>SUMIF(Пр12!E10:E963,1203,Пр12!I10:I963)</f>
        <v>0</v>
      </c>
    </row>
    <row r="113" spans="1:5" ht="16.5" hidden="1" thickBot="1">
      <c r="A113" s="64">
        <v>1204</v>
      </c>
      <c r="B113" s="67" t="s">
        <v>281</v>
      </c>
      <c r="C113" s="66">
        <f>SUMIF(Пр12!C10:C963,1204,Пр12!G10:G963)</f>
        <v>0</v>
      </c>
      <c r="D113" s="66">
        <f>SUMIF(Пр12!D10:D963,1204,Пр12!H10:H963)</f>
        <v>0</v>
      </c>
      <c r="E113" s="66">
        <f>SUMIF(Пр12!E10:E963,1204,Пр12!I10:I963)</f>
        <v>0</v>
      </c>
    </row>
    <row r="114" spans="1:5" ht="32.25" thickBot="1">
      <c r="A114" s="61">
        <v>1300</v>
      </c>
      <c r="B114" s="70" t="s">
        <v>282</v>
      </c>
      <c r="C114" s="63">
        <f>SUM(C115:C116)</f>
        <v>400000</v>
      </c>
      <c r="D114" s="63">
        <f t="shared" ref="D114:E114" si="11">SUM(D115:D116)</f>
        <v>0</v>
      </c>
      <c r="E114" s="63">
        <f t="shared" si="11"/>
        <v>400000</v>
      </c>
    </row>
    <row r="115" spans="1:5" ht="32.25" thickBot="1">
      <c r="A115" s="64">
        <v>1301</v>
      </c>
      <c r="B115" s="67" t="s">
        <v>283</v>
      </c>
      <c r="C115" s="66">
        <f>SUMIF(Пр12!$C10:$C963,1301,Пр12!G10:G963)</f>
        <v>400000</v>
      </c>
      <c r="D115" s="66">
        <f>SUMIF(Пр12!$C10:$C963,1301,Пр12!H10:H963)</f>
        <v>0</v>
      </c>
      <c r="E115" s="66">
        <f>SUMIF(Пр12!$C10:$C963,1301,Пр12!I10:I963)</f>
        <v>400000</v>
      </c>
    </row>
    <row r="116" spans="1:5" ht="16.5" hidden="1" thickBot="1">
      <c r="A116" s="64">
        <v>1302</v>
      </c>
      <c r="B116" s="67" t="s">
        <v>284</v>
      </c>
      <c r="C116" s="66">
        <f>SUMIF(Пр12!C10:C963,1302,Пр12!G10:G963)</f>
        <v>0</v>
      </c>
      <c r="D116" s="66">
        <f>SUMIF(Пр12!D10:D963,1302,Пр12!H10:H963)</f>
        <v>0</v>
      </c>
      <c r="E116" s="66">
        <f>SUMIF(Пр12!E10:E963,1302,Пр12!I10:I963)</f>
        <v>0</v>
      </c>
    </row>
    <row r="117" spans="1:5" ht="63.75" thickBot="1">
      <c r="A117" s="61">
        <v>1400</v>
      </c>
      <c r="B117" s="70" t="s">
        <v>285</v>
      </c>
      <c r="C117" s="63">
        <f>SUM(C118:C120)</f>
        <v>337000</v>
      </c>
      <c r="D117" s="63">
        <f t="shared" ref="D117:E117" si="12">SUM(D118:D120)</f>
        <v>0</v>
      </c>
      <c r="E117" s="63">
        <f t="shared" si="12"/>
        <v>337000</v>
      </c>
    </row>
    <row r="118" spans="1:5" ht="48" thickBot="1">
      <c r="A118" s="64">
        <v>1401</v>
      </c>
      <c r="B118" s="67" t="s">
        <v>286</v>
      </c>
      <c r="C118" s="66">
        <f>SUMIF(Пр12!$C10:$C963,1401,Пр12!G10:G963)</f>
        <v>337000</v>
      </c>
      <c r="D118" s="66">
        <f>SUMIF(Пр12!$C10:$C963,1401,Пр12!H10:H963)</f>
        <v>0</v>
      </c>
      <c r="E118" s="66">
        <f>SUMIF(Пр12!$C10:$C963,1401,Пр12!I10:I963)</f>
        <v>337000</v>
      </c>
    </row>
    <row r="119" spans="1:5" ht="16.5" hidden="1" thickBot="1">
      <c r="A119" s="64">
        <v>1402</v>
      </c>
      <c r="B119" s="67" t="s">
        <v>287</v>
      </c>
      <c r="C119" s="66">
        <f>SUMIF(Пр12!C10:C963,1402,Пр12!G10:G963)</f>
        <v>0</v>
      </c>
      <c r="D119" s="66">
        <f>SUMIF(Пр12!D10:D963,1402,Пр12!H10:H963)</f>
        <v>0</v>
      </c>
      <c r="E119" s="66">
        <f>SUMIF(Пр12!E10:E963,1402,Пр12!I10:I963)</f>
        <v>0</v>
      </c>
    </row>
    <row r="120" spans="1:5" ht="48" hidden="1" thickBot="1">
      <c r="A120" s="64">
        <v>1403</v>
      </c>
      <c r="B120" s="67" t="s">
        <v>288</v>
      </c>
      <c r="C120" s="66">
        <f>SUMIF(Пр12!C10:C963,1403,Пр12!G10:G963)</f>
        <v>0</v>
      </c>
      <c r="D120" s="66">
        <f>SUMIF(Пр12!D10:D963,1403,Пр12!H10:H963)</f>
        <v>0</v>
      </c>
      <c r="E120" s="66">
        <f>SUMIF(Пр12!E10:E963,1403,Пр12!I10:I963)</f>
        <v>0</v>
      </c>
    </row>
    <row r="121" spans="1:5" ht="16.5" thickBot="1">
      <c r="A121" s="692" t="s">
        <v>165</v>
      </c>
      <c r="B121" s="692"/>
      <c r="C121" s="63">
        <f>C9+C23+C33+C46+C59+C65+C71+C81+C96+C103+C109+C114+C117</f>
        <v>2125452745</v>
      </c>
      <c r="D121" s="63">
        <f t="shared" ref="D121" si="13">D9+D23+D33+D46+D59+D65+D71+D81+D96+D103+D109+D114+D117</f>
        <v>28316985</v>
      </c>
      <c r="E121" s="63">
        <f>E9+E23+E33+E46+E59+E65+E71+E81+E96+E103+E109+E114+E117</f>
        <v>2153769730</v>
      </c>
    </row>
    <row r="122" spans="1:5" ht="16.5" thickBot="1">
      <c r="A122" s="692" t="s">
        <v>289</v>
      </c>
      <c r="B122" s="692"/>
      <c r="C122" s="63">
        <f>Пр1!J137-Пр_3!C121</f>
        <v>0</v>
      </c>
      <c r="D122" s="63">
        <f>Пр1!K137-Пр_3!D121</f>
        <v>-2200000</v>
      </c>
      <c r="E122" s="63">
        <f>Пр1!L137-Пр_3!E121</f>
        <v>-2200000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/>
  <cols>
    <col min="1" max="1" width="10.7109375" style="43" customWidth="1"/>
    <col min="2" max="2" width="50.5703125" style="43" customWidth="1"/>
    <col min="3" max="3" width="15" style="43" hidden="1" customWidth="1"/>
    <col min="4" max="4" width="14.28515625" style="43" hidden="1" customWidth="1"/>
    <col min="5" max="5" width="14.7109375" style="43" customWidth="1"/>
    <col min="6" max="6" width="14.28515625" style="43" hidden="1" customWidth="1"/>
    <col min="7" max="7" width="12.28515625" style="43" hidden="1" customWidth="1"/>
    <col min="8" max="8" width="14.28515625" style="43" customWidth="1"/>
    <col min="9" max="16384" width="9.140625" style="43"/>
  </cols>
  <sheetData>
    <row r="1" spans="1:8" ht="15.75">
      <c r="A1" s="682" t="s">
        <v>290</v>
      </c>
      <c r="B1" s="682"/>
      <c r="C1" s="682"/>
      <c r="D1" s="682"/>
      <c r="E1" s="682"/>
      <c r="F1" s="682"/>
      <c r="G1" s="682"/>
      <c r="H1" s="682"/>
    </row>
    <row r="2" spans="1:8" ht="15.75">
      <c r="A2" s="682" t="s">
        <v>1</v>
      </c>
      <c r="B2" s="682"/>
      <c r="C2" s="682"/>
      <c r="D2" s="682"/>
      <c r="E2" s="682"/>
      <c r="F2" s="682"/>
      <c r="G2" s="682"/>
      <c r="H2" s="682"/>
    </row>
    <row r="3" spans="1:8" ht="15.75">
      <c r="A3" s="682" t="s">
        <v>2</v>
      </c>
      <c r="B3" s="682"/>
      <c r="C3" s="682"/>
      <c r="D3" s="682"/>
      <c r="E3" s="682"/>
      <c r="F3" s="682"/>
      <c r="G3" s="682"/>
      <c r="H3" s="682"/>
    </row>
    <row r="4" spans="1:8" ht="15.75">
      <c r="A4" s="682" t="s">
        <v>1827</v>
      </c>
      <c r="B4" s="682"/>
      <c r="C4" s="682"/>
      <c r="D4" s="682"/>
      <c r="E4" s="682"/>
      <c r="F4" s="682"/>
      <c r="G4" s="682"/>
      <c r="H4" s="682"/>
    </row>
    <row r="5" spans="1:8" ht="1.5" customHeight="1">
      <c r="A5" s="693" t="s">
        <v>1415</v>
      </c>
      <c r="B5" s="693"/>
      <c r="C5" s="693"/>
      <c r="D5" s="693"/>
      <c r="E5" s="693"/>
      <c r="F5" s="693"/>
      <c r="G5" s="693"/>
      <c r="H5" s="693"/>
    </row>
    <row r="6" spans="1:8" ht="71.25" customHeight="1">
      <c r="A6" s="693"/>
      <c r="B6" s="693"/>
      <c r="C6" s="693"/>
      <c r="D6" s="693"/>
      <c r="E6" s="693"/>
      <c r="F6" s="693"/>
      <c r="G6" s="693"/>
      <c r="H6" s="693"/>
    </row>
    <row r="7" spans="1:8" ht="16.5" thickBot="1">
      <c r="A7" s="57"/>
      <c r="B7" s="53"/>
      <c r="C7" s="694"/>
      <c r="D7" s="694"/>
      <c r="E7" s="694"/>
      <c r="F7" s="694"/>
      <c r="G7" s="694"/>
      <c r="H7" s="694"/>
    </row>
    <row r="8" spans="1:8" ht="32.25" thickBot="1">
      <c r="A8" s="58" t="s">
        <v>176</v>
      </c>
      <c r="B8" s="59" t="s">
        <v>177</v>
      </c>
      <c r="C8" s="59" t="s">
        <v>1606</v>
      </c>
      <c r="D8" s="59" t="s">
        <v>843</v>
      </c>
      <c r="E8" s="59" t="s">
        <v>1606</v>
      </c>
      <c r="F8" s="59" t="s">
        <v>1607</v>
      </c>
      <c r="G8" s="59" t="s">
        <v>843</v>
      </c>
      <c r="H8" s="59" t="s">
        <v>1607</v>
      </c>
    </row>
    <row r="9" spans="1:8" ht="16.5" thickBot="1">
      <c r="A9" s="61">
        <v>100</v>
      </c>
      <c r="B9" s="62" t="s">
        <v>179</v>
      </c>
      <c r="C9" s="63">
        <f>SUM(C10:C22)</f>
        <v>126391484</v>
      </c>
      <c r="D9" s="63">
        <f t="shared" ref="D9:E9" ca="1" si="0">SUM(D10:D22)</f>
        <v>1049900</v>
      </c>
      <c r="E9" s="63">
        <f t="shared" ca="1" si="0"/>
        <v>127441384</v>
      </c>
      <c r="F9" s="63">
        <f t="shared" ref="F9" ca="1" si="1">SUM(F10:F22)</f>
        <v>123153451</v>
      </c>
      <c r="G9" s="63">
        <f t="shared" ref="G9" ca="1" si="2">SUM(G10:G22)</f>
        <v>150000</v>
      </c>
      <c r="H9" s="63">
        <f t="shared" ref="H9" ca="1" si="3">SUM(H10:H22)</f>
        <v>123303451</v>
      </c>
    </row>
    <row r="10" spans="1:8" ht="32.25" hidden="1" thickBot="1">
      <c r="A10" s="64">
        <v>101</v>
      </c>
      <c r="B10" s="65" t="s">
        <v>180</v>
      </c>
      <c r="C10" s="66">
        <f>SUMIF(Пр.13!C$10:C$550,101,Пр.13!G$10:G$550)</f>
        <v>0</v>
      </c>
      <c r="D10" s="66">
        <f>SUMIF(Пр.13!D$10:D$550,101,Пр.13!H$10:H$550)</f>
        <v>0</v>
      </c>
      <c r="E10" s="66">
        <f>SUMIF(Пр.13!C$10:C$550,101,Пр.13!I$10:I$550)</f>
        <v>0</v>
      </c>
      <c r="F10" s="66">
        <f>SUMIF(Пр.13!D$10:D$550,101,Пр.13!J$10:J$550)</f>
        <v>0</v>
      </c>
      <c r="G10" s="66">
        <f>SUMIF(Пр.13!E$10:E$550,101,Пр.13!K$10:K$550)</f>
        <v>0</v>
      </c>
      <c r="H10" s="66">
        <f>SUMIF(Пр.13!F$10:F$550,101,Пр.13!L$10:L$550)</f>
        <v>0</v>
      </c>
    </row>
    <row r="11" spans="1:8" ht="48" thickBot="1">
      <c r="A11" s="64">
        <v>102</v>
      </c>
      <c r="B11" s="67" t="s">
        <v>181</v>
      </c>
      <c r="C11" s="66">
        <f>SUMIF(Пр.13!C$10:C554,102,Пр.13!G$10:G554)</f>
        <v>1569248</v>
      </c>
      <c r="D11" s="66">
        <f ca="1">SUMIF(Пр.13!C$10:D554,102,Пр.13!H$10:H554)</f>
        <v>0</v>
      </c>
      <c r="E11" s="66">
        <f ca="1">SUMIF(Пр.13!C$10:E554,102,Пр.13!I$10:I554)</f>
        <v>1569248</v>
      </c>
      <c r="F11" s="66">
        <f>SUMIF(Пр.13!$C$10:$C554,$A11,Пр.13!J$10:J554)</f>
        <v>1569248</v>
      </c>
      <c r="G11" s="66">
        <f>SUMIF(Пр.13!$C$10:$C554,$A11,Пр.13!K$10:K554)</f>
        <v>0</v>
      </c>
      <c r="H11" s="66">
        <f>SUMIF(Пр.13!$C$10:$C554,$A11,Пр.13!L$10:L554)</f>
        <v>1569248</v>
      </c>
    </row>
    <row r="12" spans="1:8" ht="63.75" hidden="1" thickBot="1">
      <c r="A12" s="64">
        <v>103</v>
      </c>
      <c r="B12" s="67" t="s">
        <v>182</v>
      </c>
      <c r="C12" s="66">
        <f>SUMIF(Пр.13!C$10:C555,103,Пр.13!G$10:G555)</f>
        <v>0</v>
      </c>
      <c r="D12" s="66">
        <f ca="1">SUMIF(Пр.13!C$10:D555,103,Пр.13!H$10:H555)</f>
        <v>0</v>
      </c>
      <c r="E12" s="66">
        <f ca="1">SUMIF(Пр.13!C$10:E555,103,Пр.13!I$10:I555)</f>
        <v>0</v>
      </c>
      <c r="F12" s="66">
        <f ca="1">SUMIF(Пр.13!D$10:F555,103,Пр.13!J$10:J555)</f>
        <v>0</v>
      </c>
      <c r="G12" s="66">
        <f ca="1">SUMIF(Пр.13!E$10:G555,103,Пр.13!K$10:K555)</f>
        <v>0</v>
      </c>
      <c r="H12" s="66">
        <f ca="1">SUMIF(Пр.13!F$10:H555,103,Пр.13!L$10:L555)</f>
        <v>0</v>
      </c>
    </row>
    <row r="13" spans="1:8" ht="63.75" thickBot="1">
      <c r="A13" s="64">
        <v>104</v>
      </c>
      <c r="B13" s="67" t="s">
        <v>183</v>
      </c>
      <c r="C13" s="66">
        <f>SUMIF(Пр.13!C$10:C556,104,Пр.13!G$10:G556)</f>
        <v>46478010</v>
      </c>
      <c r="D13" s="66">
        <f ca="1">SUMIF(Пр.13!C$10:D556,104,Пр.13!H$10:H556)</f>
        <v>0</v>
      </c>
      <c r="E13" s="66">
        <f>SUMIF(Пр.13!$C$10:$C556,$A13,Пр.13!I$10:I556)</f>
        <v>46478010</v>
      </c>
      <c r="F13" s="66">
        <f>SUMIF(Пр.13!$C$10:$C556,$A13,Пр.13!J$10:J556)</f>
        <v>46478010</v>
      </c>
      <c r="G13" s="66">
        <f>SUMIF(Пр.13!$C$10:$C556,$A13,Пр.13!K$10:K556)</f>
        <v>0</v>
      </c>
      <c r="H13" s="66">
        <f>SUMIF(Пр.13!$C$10:$C556,$A13,Пр.13!L$10:L556)</f>
        <v>46478010</v>
      </c>
    </row>
    <row r="14" spans="1:8" ht="16.5" thickBot="1">
      <c r="A14" s="64">
        <v>105</v>
      </c>
      <c r="B14" s="67" t="s">
        <v>184</v>
      </c>
      <c r="C14" s="66">
        <f>SUMIF(Пр.13!C$10:C557,105,Пр.13!G$10:G557)</f>
        <v>6415</v>
      </c>
      <c r="D14" s="66">
        <f ca="1">SUMIF(Пр.13!C$10:D557,105,Пр.13!H$10:H557)</f>
        <v>0</v>
      </c>
      <c r="E14" s="66">
        <f>SUMIF(Пр.13!$C$10:$C557,$A14,Пр.13!I$10:I557)</f>
        <v>6415</v>
      </c>
      <c r="F14" s="66">
        <f>SUMIF(Пр.13!$C$10:$C557,$A14,Пр.13!J$10:J557)</f>
        <v>6740</v>
      </c>
      <c r="G14" s="66">
        <f>SUMIF(Пр.13!$C$10:$C557,$A14,Пр.13!K$10:K557)</f>
        <v>0</v>
      </c>
      <c r="H14" s="66">
        <f>SUMIF(Пр.13!$C$10:$C557,$A14,Пр.13!L$10:L557)</f>
        <v>6740</v>
      </c>
    </row>
    <row r="15" spans="1:8" ht="48" thickBot="1">
      <c r="A15" s="64">
        <v>106</v>
      </c>
      <c r="B15" s="67" t="s">
        <v>185</v>
      </c>
      <c r="C15" s="66">
        <f>SUMIF(Пр.13!C$10:C558,106,Пр.13!G$10:G558)</f>
        <v>15787411</v>
      </c>
      <c r="D15" s="66">
        <f ca="1">SUMIF(Пр.13!C$10:D558,106,Пр.13!H$10:H558)</f>
        <v>0</v>
      </c>
      <c r="E15" s="66">
        <f>SUMIF(Пр.13!$C$10:$C558,$A15,Пр.13!I$10:I558)</f>
        <v>15787411</v>
      </c>
      <c r="F15" s="66">
        <f>SUMIF(Пр.13!$C$10:$C558,$A15,Пр.13!J$10:J558)</f>
        <v>15787411</v>
      </c>
      <c r="G15" s="66">
        <f>SUMIF(Пр.13!$C$10:$C558,$A15,Пр.13!K$10:K558)</f>
        <v>0</v>
      </c>
      <c r="H15" s="66">
        <f>SUMIF(Пр.13!$C$10:$C558,$A15,Пр.13!L$10:L558)</f>
        <v>15787411</v>
      </c>
    </row>
    <row r="16" spans="1:8" ht="32.25" hidden="1" thickBot="1">
      <c r="A16" s="64">
        <v>107</v>
      </c>
      <c r="B16" s="67" t="s">
        <v>186</v>
      </c>
      <c r="C16" s="66">
        <f>SUMIF(Пр.13!C$10:C559,107,Пр.13!G$10:G559)</f>
        <v>0</v>
      </c>
      <c r="D16" s="66">
        <f ca="1">SUMIF(Пр.13!C$10:D559,107,Пр.13!H$10:H559)</f>
        <v>0</v>
      </c>
      <c r="E16" s="66">
        <f>SUMIF(Пр.13!$C$10:$C559,$A16,Пр.13!I$10:I559)</f>
        <v>0</v>
      </c>
      <c r="F16" s="66">
        <f>SUMIF(Пр.13!$C$10:$C559,$A16,Пр.13!J$10:J559)</f>
        <v>0</v>
      </c>
      <c r="G16" s="66">
        <f>SUMIF(Пр.13!$C$10:$C559,$A16,Пр.13!K$10:K559)</f>
        <v>0</v>
      </c>
      <c r="H16" s="66">
        <f>SUMIF(Пр.13!$C$10:$C559,$A16,Пр.13!L$10:L559)</f>
        <v>0</v>
      </c>
    </row>
    <row r="17" spans="1:8" ht="32.25" hidden="1" thickBot="1">
      <c r="A17" s="64">
        <v>108</v>
      </c>
      <c r="B17" s="67" t="s">
        <v>187</v>
      </c>
      <c r="C17" s="66">
        <f>SUMIF(Пр.13!C$10:C560,108,Пр.13!G$10:G560)</f>
        <v>0</v>
      </c>
      <c r="D17" s="66">
        <f ca="1">SUMIF(Пр.13!C$10:D560,108,Пр.13!H$10:H560)</f>
        <v>0</v>
      </c>
      <c r="E17" s="66">
        <f>SUMIF(Пр.13!$C$10:$C560,$A17,Пр.13!I$10:I560)</f>
        <v>0</v>
      </c>
      <c r="F17" s="66">
        <f>SUMIF(Пр.13!$C$10:$C560,$A17,Пр.13!J$10:J560)</f>
        <v>0</v>
      </c>
      <c r="G17" s="66">
        <f>SUMIF(Пр.13!$C$10:$C560,$A17,Пр.13!K$10:K560)</f>
        <v>0</v>
      </c>
      <c r="H17" s="66">
        <f>SUMIF(Пр.13!$C$10:$C560,$A17,Пр.13!L$10:L560)</f>
        <v>0</v>
      </c>
    </row>
    <row r="18" spans="1:8" ht="16.5" hidden="1" thickBot="1">
      <c r="A18" s="64">
        <v>109</v>
      </c>
      <c r="B18" s="67" t="s">
        <v>188</v>
      </c>
      <c r="C18" s="66">
        <f>SUMIF(Пр.13!C$10:C561,109,Пр.13!G$10:G561)</f>
        <v>0</v>
      </c>
      <c r="D18" s="66">
        <f ca="1">SUMIF(Пр.13!C$10:D561,109,Пр.13!H$10:H561)</f>
        <v>0</v>
      </c>
      <c r="E18" s="66">
        <f>SUMIF(Пр.13!$C$10:$C561,$A18,Пр.13!I$10:I561)</f>
        <v>0</v>
      </c>
      <c r="F18" s="66">
        <f>SUMIF(Пр.13!$C$10:$C561,$A18,Пр.13!J$10:J561)</f>
        <v>0</v>
      </c>
      <c r="G18" s="66">
        <f>SUMIF(Пр.13!$C$10:$C561,$A18,Пр.13!K$10:K561)</f>
        <v>0</v>
      </c>
      <c r="H18" s="66">
        <f>SUMIF(Пр.13!$C$10:$C561,$A18,Пр.13!L$10:L561)</f>
        <v>0</v>
      </c>
    </row>
    <row r="19" spans="1:8" ht="16.5" hidden="1" thickBot="1">
      <c r="A19" s="64">
        <v>110</v>
      </c>
      <c r="B19" s="67" t="s">
        <v>189</v>
      </c>
      <c r="C19" s="66">
        <f>SUMIF(Пр.13!C$10:C562,110,Пр.13!G$10:G562)</f>
        <v>0</v>
      </c>
      <c r="D19" s="66">
        <f ca="1">SUMIF(Пр.13!C$10:D562,110,Пр.13!H$10:H562)</f>
        <v>0</v>
      </c>
      <c r="E19" s="66">
        <f>SUMIF(Пр.13!$C$10:$C562,$A19,Пр.13!I$10:I562)</f>
        <v>0</v>
      </c>
      <c r="F19" s="66">
        <f>SUMIF(Пр.13!$C$10:$C562,$A19,Пр.13!J$10:J562)</f>
        <v>0</v>
      </c>
      <c r="G19" s="66">
        <f>SUMIF(Пр.13!$C$10:$C562,$A19,Пр.13!K$10:K562)</f>
        <v>0</v>
      </c>
      <c r="H19" s="66">
        <f>SUMIF(Пр.13!$C$10:$C562,$A19,Пр.13!L$10:L562)</f>
        <v>0</v>
      </c>
    </row>
    <row r="20" spans="1:8" ht="16.5" thickBot="1">
      <c r="A20" s="64">
        <v>111</v>
      </c>
      <c r="B20" s="67" t="s">
        <v>190</v>
      </c>
      <c r="C20" s="66">
        <f>SUMIF(Пр.13!C$10:C563,111,Пр.13!G$10:G563)</f>
        <v>3000000</v>
      </c>
      <c r="D20" s="66">
        <f ca="1">SUMIF(Пр.13!C$10:D563,111,Пр.13!H$10:H563)</f>
        <v>0</v>
      </c>
      <c r="E20" s="66">
        <f>SUMIF(Пр.13!$C$10:$C563,$A20,Пр.13!I$10:I563)</f>
        <v>3000000</v>
      </c>
      <c r="F20" s="66">
        <f>SUMIF(Пр.13!$C$10:$C563,$A20,Пр.13!J$10:J563)</f>
        <v>3000000</v>
      </c>
      <c r="G20" s="66">
        <f>SUMIF(Пр.13!$C$10:$C563,$A20,Пр.13!K$10:K563)</f>
        <v>0</v>
      </c>
      <c r="H20" s="66">
        <f>SUMIF(Пр.13!$C$10:$C563,$A20,Пр.13!L$10:L563)</f>
        <v>3000000</v>
      </c>
    </row>
    <row r="21" spans="1:8" ht="32.25" hidden="1" thickBot="1">
      <c r="A21" s="64">
        <v>112</v>
      </c>
      <c r="B21" s="67" t="s">
        <v>191</v>
      </c>
      <c r="C21" s="66">
        <f>SUMIF(Пр.13!C$10:C564,112,Пр.13!G$10:G564)</f>
        <v>0</v>
      </c>
      <c r="D21" s="66">
        <f ca="1">SUMIF(Пр.13!C$10:D564,112,Пр.13!H$10:H564)</f>
        <v>0</v>
      </c>
      <c r="E21" s="66">
        <f ca="1">SUMIF(Пр.13!C$10:E564,112,Пр.13!I$10:I564)</f>
        <v>0</v>
      </c>
      <c r="F21" s="66">
        <f>SUMIF(Пр.13!$C$10:$C564,$A21,Пр.13!J$10:J564)</f>
        <v>0</v>
      </c>
      <c r="G21" s="66">
        <f>SUMIF(Пр.13!$C$10:$C564,$A21,Пр.13!K$10:K564)</f>
        <v>0</v>
      </c>
      <c r="H21" s="66">
        <f>SUMIF(Пр.13!$C$10:$C564,$A21,Пр.13!L$10:L564)</f>
        <v>0</v>
      </c>
    </row>
    <row r="22" spans="1:8" ht="16.5" thickBot="1">
      <c r="A22" s="64">
        <v>113</v>
      </c>
      <c r="B22" s="67" t="s">
        <v>192</v>
      </c>
      <c r="C22" s="66">
        <f>SUMIF(Пр.13!C$10:C565,113,Пр.13!G$10:G565)</f>
        <v>59550400</v>
      </c>
      <c r="D22" s="66">
        <f ca="1">SUMIF(Пр.13!C$10:D565,113,Пр.13!H$10:H565)</f>
        <v>1049900</v>
      </c>
      <c r="E22" s="66">
        <f ca="1">SUMIF(Пр.13!C$10:E565,113,Пр.13!I$10:I565)</f>
        <v>60600300</v>
      </c>
      <c r="F22" s="66">
        <f>SUMIF(Пр.13!$C$10:$C565,$A22,Пр.13!J$10:J565)</f>
        <v>56312042</v>
      </c>
      <c r="G22" s="66">
        <f>SUMIF(Пр.13!$C$10:$C565,$A22,Пр.13!K$10:K565)</f>
        <v>150000</v>
      </c>
      <c r="H22" s="66">
        <f>SUMIF(Пр.13!$C$10:$C565,$A22,Пр.13!L$10:L565)</f>
        <v>56462042</v>
      </c>
    </row>
    <row r="23" spans="1:8" ht="16.5" hidden="1" thickBot="1">
      <c r="A23" s="61">
        <v>200</v>
      </c>
      <c r="B23" s="68" t="s">
        <v>193</v>
      </c>
      <c r="C23" s="63">
        <f ca="1">SUM(C24:C32)</f>
        <v>817269</v>
      </c>
      <c r="D23" s="63">
        <f t="shared" ref="D23:E23" ca="1" si="4">SUM(D24:D32)</f>
        <v>-817269</v>
      </c>
      <c r="E23" s="63">
        <f t="shared" ca="1" si="4"/>
        <v>0</v>
      </c>
      <c r="F23" s="63">
        <f t="shared" ref="F23" ca="1" si="5">SUM(F24:F32)</f>
        <v>845481</v>
      </c>
      <c r="G23" s="63">
        <f t="shared" ref="G23" ca="1" si="6">SUM(G24:G32)</f>
        <v>-845481</v>
      </c>
      <c r="H23" s="63">
        <f t="shared" ref="H23" ca="1" si="7">SUM(H24:H32)</f>
        <v>0</v>
      </c>
    </row>
    <row r="24" spans="1:8" ht="16.5" hidden="1" thickBot="1">
      <c r="A24" s="64">
        <v>201</v>
      </c>
      <c r="B24" s="67" t="s">
        <v>194</v>
      </c>
      <c r="C24" s="66">
        <f>SUMIF(Пр.13!$C10:$C550,201,Пр.13!G10:G550)</f>
        <v>0</v>
      </c>
      <c r="D24" s="66">
        <f>SUMIF(Пр.13!$C10:$C550,201,Пр.13!H10:H550)</f>
        <v>0</v>
      </c>
      <c r="E24" s="66">
        <f>SUMIF(Пр.13!$C10:$C550,201,Пр.13!I10:I550)</f>
        <v>0</v>
      </c>
      <c r="F24" s="66">
        <f>SUMIF(Пр.13!$C10:$C550,201,Пр.13!J10:J550)</f>
        <v>0</v>
      </c>
      <c r="G24" s="66">
        <f>SUMIF(Пр.13!$C10:$C550,201,Пр.13!K10:K550)</f>
        <v>0</v>
      </c>
      <c r="H24" s="66">
        <f>SUMIF(Пр.13!$C10:$C550,201,Пр.13!L10:L550)</f>
        <v>0</v>
      </c>
    </row>
    <row r="25" spans="1:8" ht="32.25" hidden="1" thickBot="1">
      <c r="A25" s="64">
        <v>202</v>
      </c>
      <c r="B25" s="67" t="s">
        <v>195</v>
      </c>
      <c r="C25" s="66">
        <f>SUMIF(Пр.13!$C10:$C550,202,Пр.13!G10:G550)</f>
        <v>0</v>
      </c>
      <c r="D25" s="66">
        <f>SUMIF(Пр.13!$C10:$C550,202,Пр.13!H10:H550)</f>
        <v>0</v>
      </c>
      <c r="E25" s="66">
        <f>SUMIF(Пр.13!$C10:$C550,202,Пр.13!I10:I550)</f>
        <v>0</v>
      </c>
      <c r="F25" s="66">
        <f>SUMIF(Пр.13!$C10:$C550,202,Пр.13!J10:J550)</f>
        <v>0</v>
      </c>
      <c r="G25" s="66">
        <f>SUMIF(Пр.13!$C10:$C550,202,Пр.13!K10:K550)</f>
        <v>0</v>
      </c>
      <c r="H25" s="66">
        <f>SUMIF(Пр.13!$C10:$C550,202,Пр.13!L10:L550)</f>
        <v>0</v>
      </c>
    </row>
    <row r="26" spans="1:8" ht="16.5" hidden="1" thickBot="1">
      <c r="A26" s="64">
        <v>203</v>
      </c>
      <c r="B26" s="67" t="s">
        <v>196</v>
      </c>
      <c r="C26" s="66">
        <f ca="1">SUMIF(Пр.13!$C10:$C554,203,Пр.13!G10:G550)</f>
        <v>817269</v>
      </c>
      <c r="D26" s="66">
        <f ca="1">SUMIF(Пр.13!$C10:$C554,203,Пр.13!H10:H550)</f>
        <v>-817269</v>
      </c>
      <c r="E26" s="66">
        <f ca="1">SUMIF(Пр.13!$C10:$C554,203,Пр.13!I10:I550)</f>
        <v>0</v>
      </c>
      <c r="F26" s="66">
        <f ca="1">SUMIF(Пр.13!$C10:$C554,203,Пр.13!J10:J550)</f>
        <v>845481</v>
      </c>
      <c r="G26" s="66">
        <f ca="1">SUMIF(Пр.13!$C10:$C554,203,Пр.13!K10:K550)</f>
        <v>-845481</v>
      </c>
      <c r="H26" s="66">
        <f ca="1">SUMIF(Пр.13!$C10:$C554,203,Пр.13!L10:L550)</f>
        <v>0</v>
      </c>
    </row>
    <row r="27" spans="1:8" ht="16.5" hidden="1" thickBot="1">
      <c r="A27" s="64">
        <v>204</v>
      </c>
      <c r="B27" s="67" t="s">
        <v>197</v>
      </c>
      <c r="C27" s="66">
        <f ca="1">SUMIF(Пр.13!$C14:$C555,204,Пр.13!G14:G550)</f>
        <v>0</v>
      </c>
      <c r="D27" s="66">
        <f ca="1">SUMIF(Пр.13!$C14:$C555,204,Пр.13!H14:H550)</f>
        <v>0</v>
      </c>
      <c r="E27" s="66">
        <f ca="1">SUMIF(Пр.13!$C14:$C555,204,Пр.13!I14:I550)</f>
        <v>0</v>
      </c>
      <c r="F27" s="66">
        <f ca="1">SUMIF(Пр.13!$C14:$C555,204,Пр.13!J14:J550)</f>
        <v>0</v>
      </c>
      <c r="G27" s="66">
        <f ca="1">SUMIF(Пр.13!$C14:$C555,204,Пр.13!K14:K550)</f>
        <v>0</v>
      </c>
      <c r="H27" s="66">
        <f ca="1">SUMIF(Пр.13!$C14:$C555,204,Пр.13!L14:L550)</f>
        <v>0</v>
      </c>
    </row>
    <row r="28" spans="1:8" ht="48" hidden="1" thickBot="1">
      <c r="A28" s="64">
        <v>205</v>
      </c>
      <c r="B28" s="67" t="s">
        <v>198</v>
      </c>
      <c r="C28" s="66">
        <f ca="1">SUMIF(Пр.13!$C15:$C556,205,Пр.13!G15:G550)</f>
        <v>0</v>
      </c>
      <c r="D28" s="66">
        <f ca="1">SUMIF(Пр.13!$C15:$C556,205,Пр.13!H15:H550)</f>
        <v>0</v>
      </c>
      <c r="E28" s="66">
        <f ca="1">SUMIF(Пр.13!$C15:$C556,205,Пр.13!I15:I550)</f>
        <v>0</v>
      </c>
      <c r="F28" s="66">
        <f ca="1">SUMIF(Пр.13!$C15:$C556,205,Пр.13!J15:J550)</f>
        <v>0</v>
      </c>
      <c r="G28" s="66">
        <f ca="1">SUMIF(Пр.13!$C15:$C556,205,Пр.13!K15:K550)</f>
        <v>0</v>
      </c>
      <c r="H28" s="66">
        <f ca="1">SUMIF(Пр.13!$C15:$C556,205,Пр.13!L15:L550)</f>
        <v>0</v>
      </c>
    </row>
    <row r="29" spans="1:8" ht="16.5" hidden="1" thickBot="1">
      <c r="A29" s="64">
        <v>206</v>
      </c>
      <c r="B29" s="67" t="s">
        <v>199</v>
      </c>
      <c r="C29" s="66">
        <f ca="1">SUMIF(Пр.13!$C15:$C557,206,Пр.13!G15:G550)</f>
        <v>0</v>
      </c>
      <c r="D29" s="66">
        <f ca="1">SUMIF(Пр.13!$C15:$C557,206,Пр.13!H15:H550)</f>
        <v>0</v>
      </c>
      <c r="E29" s="66">
        <f ca="1">SUMIF(Пр.13!$C15:$C557,206,Пр.13!I15:I550)</f>
        <v>0</v>
      </c>
      <c r="F29" s="66">
        <f ca="1">SUMIF(Пр.13!$C15:$C557,206,Пр.13!J15:J550)</f>
        <v>0</v>
      </c>
      <c r="G29" s="66">
        <f ca="1">SUMIF(Пр.13!$C15:$C557,206,Пр.13!K15:K550)</f>
        <v>0</v>
      </c>
      <c r="H29" s="66">
        <f ca="1">SUMIF(Пр.13!$C15:$C557,206,Пр.13!L15:L550)</f>
        <v>0</v>
      </c>
    </row>
    <row r="30" spans="1:8" ht="32.25" hidden="1" thickBot="1">
      <c r="A30" s="64">
        <v>207</v>
      </c>
      <c r="B30" s="67" t="s">
        <v>200</v>
      </c>
      <c r="C30" s="66">
        <f ca="1">SUMIF(Пр.13!$C16:$C558,207,Пр.13!G16:G550)</f>
        <v>0</v>
      </c>
      <c r="D30" s="66">
        <f ca="1">SUMIF(Пр.13!$C16:$C558,207,Пр.13!H16:H550)</f>
        <v>0</v>
      </c>
      <c r="E30" s="66">
        <f ca="1">SUMIF(Пр.13!$C16:$C558,207,Пр.13!I16:I550)</f>
        <v>0</v>
      </c>
      <c r="F30" s="66">
        <f ca="1">SUMIF(Пр.13!$C16:$C558,207,Пр.13!J16:J550)</f>
        <v>0</v>
      </c>
      <c r="G30" s="66">
        <f ca="1">SUMIF(Пр.13!$C16:$C558,207,Пр.13!K16:K550)</f>
        <v>0</v>
      </c>
      <c r="H30" s="66">
        <f ca="1">SUMIF(Пр.13!$C16:$C558,207,Пр.13!L16:L550)</f>
        <v>0</v>
      </c>
    </row>
    <row r="31" spans="1:8" ht="32.25" hidden="1" thickBot="1">
      <c r="A31" s="64">
        <v>208</v>
      </c>
      <c r="B31" s="67" t="s">
        <v>201</v>
      </c>
      <c r="C31" s="66">
        <f ca="1">SUMIF(Пр.13!$C17:$C559,208,Пр.13!G17:G550)</f>
        <v>0</v>
      </c>
      <c r="D31" s="66">
        <f ca="1">SUMIF(Пр.13!$C17:$C559,208,Пр.13!H17:H550)</f>
        <v>0</v>
      </c>
      <c r="E31" s="66">
        <f ca="1">SUMIF(Пр.13!$C17:$C559,208,Пр.13!I17:I550)</f>
        <v>0</v>
      </c>
      <c r="F31" s="66">
        <f ca="1">SUMIF(Пр.13!$C17:$C559,208,Пр.13!J17:J550)</f>
        <v>0</v>
      </c>
      <c r="G31" s="66">
        <f ca="1">SUMIF(Пр.13!$C17:$C559,208,Пр.13!K17:K550)</f>
        <v>0</v>
      </c>
      <c r="H31" s="66">
        <f ca="1">SUMIF(Пр.13!$C17:$C559,208,Пр.13!L17:L550)</f>
        <v>0</v>
      </c>
    </row>
    <row r="32" spans="1:8" ht="32.25" hidden="1" thickBot="1">
      <c r="A32" s="64">
        <v>209</v>
      </c>
      <c r="B32" s="67" t="s">
        <v>202</v>
      </c>
      <c r="C32" s="66">
        <f ca="1">SUMIF(Пр.13!$C18:$C560,209,Пр.13!G18:G550)</f>
        <v>0</v>
      </c>
      <c r="D32" s="66">
        <f ca="1">SUMIF(Пр.13!$C18:$C560,209,Пр.13!H18:H550)</f>
        <v>0</v>
      </c>
      <c r="E32" s="66">
        <f ca="1">SUMIF(Пр.13!$C18:$C560,209,Пр.13!I18:I550)</f>
        <v>0</v>
      </c>
      <c r="F32" s="66">
        <f ca="1">SUMIF(Пр.13!$C18:$C560,209,Пр.13!J18:J550)</f>
        <v>0</v>
      </c>
      <c r="G32" s="66">
        <f ca="1">SUMIF(Пр.13!$C18:$C560,209,Пр.13!K18:K550)</f>
        <v>0</v>
      </c>
      <c r="H32" s="66">
        <f ca="1">SUMIF(Пр.13!$C18:$C560,209,Пр.13!L18:L550)</f>
        <v>0</v>
      </c>
    </row>
    <row r="33" spans="1:8" ht="36" hidden="1" customHeight="1" thickBot="1">
      <c r="A33" s="61">
        <v>300</v>
      </c>
      <c r="B33" s="68" t="s">
        <v>203</v>
      </c>
      <c r="C33" s="63">
        <f ca="1">SUM(C34:C45)</f>
        <v>0</v>
      </c>
      <c r="D33" s="63">
        <f t="shared" ref="D33:E33" ca="1" si="8">SUM(D34:D45)</f>
        <v>2150000</v>
      </c>
      <c r="E33" s="63">
        <f t="shared" ca="1" si="8"/>
        <v>2150000</v>
      </c>
      <c r="F33" s="63">
        <f t="shared" ref="F33:H33" ca="1" si="9">SUM(F34:F45)</f>
        <v>0</v>
      </c>
      <c r="G33" s="63">
        <f t="shared" ca="1" si="9"/>
        <v>2150000</v>
      </c>
      <c r="H33" s="63">
        <f t="shared" ca="1" si="9"/>
        <v>2150000</v>
      </c>
    </row>
    <row r="34" spans="1:8" ht="16.5" hidden="1" thickBot="1">
      <c r="A34" s="64">
        <v>303</v>
      </c>
      <c r="B34" s="67" t="s">
        <v>204</v>
      </c>
      <c r="C34" s="66">
        <f>SUMIF(Пр.13!$C10:$C550,303,Пр.13!G10:G550)</f>
        <v>0</v>
      </c>
      <c r="D34" s="66">
        <f>SUMIF(Пр.13!$C10:$C550,303,Пр.13!H10:H550)</f>
        <v>0</v>
      </c>
      <c r="E34" s="66">
        <f>SUMIF(Пр.13!$C10:$C550,303,Пр.13!I10:I550)</f>
        <v>0</v>
      </c>
      <c r="F34" s="66">
        <f>SUMIF(Пр.13!$C10:$C550,303,Пр.13!J10:J550)</f>
        <v>0</v>
      </c>
      <c r="G34" s="66">
        <f>SUMIF(Пр.13!$C10:$C550,303,Пр.13!K10:K550)</f>
        <v>0</v>
      </c>
      <c r="H34" s="66">
        <f>SUMIF(Пр.13!$C10:$C550,303,Пр.13!L10:L550)</f>
        <v>0</v>
      </c>
    </row>
    <row r="35" spans="1:8" ht="16.5" hidden="1" thickBot="1">
      <c r="A35" s="64">
        <v>304</v>
      </c>
      <c r="B35" s="67" t="s">
        <v>205</v>
      </c>
      <c r="C35" s="66">
        <f>SUMIF(Пр.13!$C11:$C550,304,Пр.13!G11:G550)</f>
        <v>0</v>
      </c>
      <c r="D35" s="66">
        <f>SUMIF(Пр.13!$C11:$C550,304,Пр.13!H11:H550)</f>
        <v>0</v>
      </c>
      <c r="E35" s="66">
        <f>SUMIF(Пр.13!$C11:$C550,304,Пр.13!I11:I550)</f>
        <v>0</v>
      </c>
      <c r="F35" s="66">
        <f>SUMIF(Пр.13!$C11:$C550,304,Пр.13!J11:J550)</f>
        <v>0</v>
      </c>
      <c r="G35" s="66">
        <f>SUMIF(Пр.13!$C11:$C550,304,Пр.13!K11:K550)</f>
        <v>0</v>
      </c>
      <c r="H35" s="66">
        <f>SUMIF(Пр.13!$C11:$C550,304,Пр.13!L11:L550)</f>
        <v>0</v>
      </c>
    </row>
    <row r="36" spans="1:8" ht="16.5" hidden="1" thickBot="1">
      <c r="A36" s="64">
        <v>305</v>
      </c>
      <c r="B36" s="67" t="s">
        <v>206</v>
      </c>
      <c r="C36" s="66">
        <f ca="1">SUMIF(Пр.13!$C12:$C554,305,Пр.13!G12:G550)</f>
        <v>0</v>
      </c>
      <c r="D36" s="66">
        <f ca="1">SUMIF(Пр.13!$C12:$C554,305,Пр.13!H12:H550)</f>
        <v>0</v>
      </c>
      <c r="E36" s="66">
        <f ca="1">SUMIF(Пр.13!$C12:$C554,305,Пр.13!I12:I550)</f>
        <v>0</v>
      </c>
      <c r="F36" s="66">
        <f ca="1">SUMIF(Пр.13!$C12:$C554,305,Пр.13!J12:J550)</f>
        <v>0</v>
      </c>
      <c r="G36" s="66">
        <f ca="1">SUMIF(Пр.13!$C12:$C554,305,Пр.13!K12:K550)</f>
        <v>0</v>
      </c>
      <c r="H36" s="66">
        <f ca="1">SUMIF(Пр.13!$C12:$C554,305,Пр.13!L12:L550)</f>
        <v>0</v>
      </c>
    </row>
    <row r="37" spans="1:8" ht="16.5" hidden="1" thickBot="1">
      <c r="A37" s="64">
        <v>306</v>
      </c>
      <c r="B37" s="67" t="s">
        <v>207</v>
      </c>
      <c r="C37" s="66">
        <f ca="1">SUMIF(Пр.13!$C14:$C555,306,Пр.13!G14:G550)</f>
        <v>0</v>
      </c>
      <c r="D37" s="66">
        <f ca="1">SUMIF(Пр.13!$C14:$C555,306,Пр.13!H14:H550)</f>
        <v>0</v>
      </c>
      <c r="E37" s="66">
        <f ca="1">SUMIF(Пр.13!$C14:$C555,306,Пр.13!I14:I550)</f>
        <v>0</v>
      </c>
      <c r="F37" s="66">
        <f ca="1">SUMIF(Пр.13!$C14:$C555,306,Пр.13!J14:J550)</f>
        <v>0</v>
      </c>
      <c r="G37" s="66">
        <f ca="1">SUMIF(Пр.13!$C14:$C555,306,Пр.13!K14:K550)</f>
        <v>0</v>
      </c>
      <c r="H37" s="66">
        <f ca="1">SUMIF(Пр.13!$C14:$C555,306,Пр.13!L14:L550)</f>
        <v>0</v>
      </c>
    </row>
    <row r="38" spans="1:8" ht="16.5" hidden="1" thickBot="1">
      <c r="A38" s="64">
        <v>307</v>
      </c>
      <c r="B38" s="67" t="s">
        <v>208</v>
      </c>
      <c r="C38" s="66">
        <f ca="1">SUMIF(Пр.13!$C15:$C556,307,Пр.13!G15:G550)</f>
        <v>0</v>
      </c>
      <c r="D38" s="66">
        <f ca="1">SUMIF(Пр.13!$C15:$C556,307,Пр.13!H15:H550)</f>
        <v>0</v>
      </c>
      <c r="E38" s="66">
        <f ca="1">SUMIF(Пр.13!$C15:$C556,307,Пр.13!I15:I550)</f>
        <v>0</v>
      </c>
      <c r="F38" s="66">
        <f ca="1">SUMIF(Пр.13!$C15:$C556,307,Пр.13!J15:J550)</f>
        <v>0</v>
      </c>
      <c r="G38" s="66">
        <f ca="1">SUMIF(Пр.13!$C15:$C556,307,Пр.13!K15:K550)</f>
        <v>0</v>
      </c>
      <c r="H38" s="66">
        <f ca="1">SUMIF(Пр.13!$C15:$C556,307,Пр.13!L15:L550)</f>
        <v>0</v>
      </c>
    </row>
    <row r="39" spans="1:8" ht="32.25" hidden="1" thickBot="1">
      <c r="A39" s="64">
        <v>308</v>
      </c>
      <c r="B39" s="67" t="s">
        <v>209</v>
      </c>
      <c r="C39" s="66">
        <f ca="1">SUMIF(Пр.13!$C15:$C557,308,Пр.13!G15:G550)</f>
        <v>0</v>
      </c>
      <c r="D39" s="66">
        <f ca="1">SUMIF(Пр.13!$C15:$C557,308,Пр.13!H15:H550)</f>
        <v>0</v>
      </c>
      <c r="E39" s="66">
        <f ca="1">SUMIF(Пр.13!$C15:$C557,308,Пр.13!I15:I550)</f>
        <v>0</v>
      </c>
      <c r="F39" s="66">
        <f ca="1">SUMIF(Пр.13!$C15:$C557,308,Пр.13!J15:J550)</f>
        <v>0</v>
      </c>
      <c r="G39" s="66">
        <f ca="1">SUMIF(Пр.13!$C15:$C557,308,Пр.13!K15:K550)</f>
        <v>0</v>
      </c>
      <c r="H39" s="66">
        <f ca="1">SUMIF(Пр.13!$C15:$C557,308,Пр.13!L15:L550)</f>
        <v>0</v>
      </c>
    </row>
    <row r="40" spans="1:8" ht="48" hidden="1" thickBot="1">
      <c r="A40" s="64">
        <v>309</v>
      </c>
      <c r="B40" s="67" t="s">
        <v>210</v>
      </c>
      <c r="C40" s="66">
        <f ca="1">SUMIF(Пр.13!$C16:$C558,309,Пр.13!G16:G550)</f>
        <v>0</v>
      </c>
      <c r="D40" s="66">
        <f ca="1">SUMIF(Пр.13!$C16:$C558,309,Пр.13!H16:H550)</f>
        <v>2000000</v>
      </c>
      <c r="E40" s="66">
        <f ca="1">SUMIF(Пр.13!$C16:$C558,309,Пр.13!I16:I550)</f>
        <v>2000000</v>
      </c>
      <c r="F40" s="66">
        <f ca="1">SUMIF(Пр.13!$C16:$C558,309,Пр.13!J16:J550)</f>
        <v>0</v>
      </c>
      <c r="G40" s="66">
        <f ca="1">SUMIF(Пр.13!$C16:$C558,309,Пр.13!K16:K550)</f>
        <v>2000000</v>
      </c>
      <c r="H40" s="66">
        <f ca="1">SUMIF(Пр.13!$C16:$C558,309,Пр.13!L16:L550)</f>
        <v>2000000</v>
      </c>
    </row>
    <row r="41" spans="1:8" ht="16.5" hidden="1" thickBot="1">
      <c r="A41" s="64">
        <v>310</v>
      </c>
      <c r="B41" s="67" t="s">
        <v>211</v>
      </c>
      <c r="C41" s="66">
        <f ca="1">SUMIF(Пр.13!$C17:$C559,310,Пр.13!G17:G550)</f>
        <v>0</v>
      </c>
      <c r="D41" s="66">
        <f ca="1">SUMIF(Пр.13!$C17:$C559,310,Пр.13!H17:H550)</f>
        <v>0</v>
      </c>
      <c r="E41" s="66">
        <f ca="1">SUMIF(Пр.13!$C17:$C559,310,Пр.13!I17:I550)</f>
        <v>0</v>
      </c>
      <c r="F41" s="66">
        <f ca="1">SUMIF(Пр.13!$C17:$C559,310,Пр.13!J17:J550)</f>
        <v>0</v>
      </c>
      <c r="G41" s="66">
        <f ca="1">SUMIF(Пр.13!$C17:$C559,310,Пр.13!K17:K550)</f>
        <v>0</v>
      </c>
      <c r="H41" s="66">
        <f ca="1">SUMIF(Пр.13!$C17:$C559,310,Пр.13!L17:L550)</f>
        <v>0</v>
      </c>
    </row>
    <row r="42" spans="1:8" ht="16.5" hidden="1" thickBot="1">
      <c r="A42" s="64">
        <v>311</v>
      </c>
      <c r="B42" s="67" t="s">
        <v>212</v>
      </c>
      <c r="C42" s="66">
        <f ca="1">SUMIF(Пр.13!$C18:$C560,311,Пр.13!G18:G550)</f>
        <v>0</v>
      </c>
      <c r="D42" s="66">
        <f ca="1">SUMIF(Пр.13!$C18:$C560,311,Пр.13!H18:H550)</f>
        <v>0</v>
      </c>
      <c r="E42" s="66">
        <f ca="1">SUMIF(Пр.13!$C18:$C560,311,Пр.13!I18:I550)</f>
        <v>0</v>
      </c>
      <c r="F42" s="66">
        <f ca="1">SUMIF(Пр.13!$C18:$C560,311,Пр.13!J18:J550)</f>
        <v>0</v>
      </c>
      <c r="G42" s="66">
        <f ca="1">SUMIF(Пр.13!$C18:$C560,311,Пр.13!K18:K550)</f>
        <v>0</v>
      </c>
      <c r="H42" s="66">
        <f ca="1">SUMIF(Пр.13!$C18:$C560,311,Пр.13!L18:L550)</f>
        <v>0</v>
      </c>
    </row>
    <row r="43" spans="1:8" ht="48" hidden="1" thickBot="1">
      <c r="A43" s="64">
        <v>312</v>
      </c>
      <c r="B43" s="67" t="s">
        <v>213</v>
      </c>
      <c r="C43" s="66">
        <f ca="1">SUMIF(Пр.13!$C27:$C561,312,Пр.13!G27:G550)</f>
        <v>0</v>
      </c>
      <c r="D43" s="66">
        <f ca="1">SUMIF(Пр.13!$C27:$C561,312,Пр.13!H27:H550)</f>
        <v>0</v>
      </c>
      <c r="E43" s="66">
        <f ca="1">SUMIF(Пр.13!$C27:$C561,312,Пр.13!I27:I550)</f>
        <v>0</v>
      </c>
      <c r="F43" s="66">
        <f ca="1">SUMIF(Пр.13!$C27:$C561,312,Пр.13!J27:J550)</f>
        <v>0</v>
      </c>
      <c r="G43" s="66">
        <f ca="1">SUMIF(Пр.13!$C27:$C561,312,Пр.13!K27:K550)</f>
        <v>0</v>
      </c>
      <c r="H43" s="66">
        <f ca="1">SUMIF(Пр.13!$C27:$C561,312,Пр.13!L27:L550)</f>
        <v>0</v>
      </c>
    </row>
    <row r="44" spans="1:8" ht="48" hidden="1" thickBot="1">
      <c r="A44" s="64">
        <v>313</v>
      </c>
      <c r="B44" s="67" t="s">
        <v>214</v>
      </c>
      <c r="C44" s="66">
        <f ca="1">SUMIF(Пр.13!$C27:$C562,313,Пр.13!G27:G550)</f>
        <v>0</v>
      </c>
      <c r="D44" s="66">
        <f ca="1">SUMIF(Пр.13!$C27:$C562,313,Пр.13!H27:H550)</f>
        <v>0</v>
      </c>
      <c r="E44" s="66">
        <f ca="1">SUMIF(Пр.13!$C27:$C562,313,Пр.13!I27:I550)</f>
        <v>0</v>
      </c>
      <c r="F44" s="66">
        <f ca="1">SUMIF(Пр.13!$C27:$C562,313,Пр.13!J27:J550)</f>
        <v>0</v>
      </c>
      <c r="G44" s="66">
        <f ca="1">SUMIF(Пр.13!$C27:$C562,313,Пр.13!K27:K550)</f>
        <v>0</v>
      </c>
      <c r="H44" s="66">
        <f ca="1">SUMIF(Пр.13!$C27:$C562,313,Пр.13!L27:L550)</f>
        <v>0</v>
      </c>
    </row>
    <row r="45" spans="1:8" ht="48" hidden="1" thickBot="1">
      <c r="A45" s="64">
        <v>314</v>
      </c>
      <c r="B45" s="67" t="s">
        <v>215</v>
      </c>
      <c r="C45" s="66">
        <f ca="1">SUMIF(Пр.13!$C27:$C563,314,Пр.13!G27:G550)</f>
        <v>0</v>
      </c>
      <c r="D45" s="66">
        <f ca="1">SUMIF(Пр.13!$C27:$C563,314,Пр.13!H27:H550)</f>
        <v>150000</v>
      </c>
      <c r="E45" s="66">
        <f ca="1">SUMIF(Пр.13!$C27:$C563,314,Пр.13!I27:I550)</f>
        <v>150000</v>
      </c>
      <c r="F45" s="66">
        <f ca="1">SUMIF(Пр.13!$C27:$C563,314,Пр.13!J27:J550)</f>
        <v>0</v>
      </c>
      <c r="G45" s="66">
        <f ca="1">SUMIF(Пр.13!$C27:$C563,314,Пр.13!K27:K550)</f>
        <v>150000</v>
      </c>
      <c r="H45" s="66">
        <f ca="1">SUMIF(Пр.13!$C27:$C563,314,Пр.13!L27:L550)</f>
        <v>150000</v>
      </c>
    </row>
    <row r="46" spans="1:8" ht="16.5" thickBot="1">
      <c r="A46" s="61">
        <v>400</v>
      </c>
      <c r="B46" s="68" t="s">
        <v>216</v>
      </c>
      <c r="C46" s="63">
        <f ca="1">SUM(C47:C58)</f>
        <v>33512890</v>
      </c>
      <c r="D46" s="63">
        <f t="shared" ref="D46:E46" ca="1" si="10">SUM(D47:D58)</f>
        <v>79850000</v>
      </c>
      <c r="E46" s="63">
        <f t="shared" ca="1" si="10"/>
        <v>113362890</v>
      </c>
      <c r="F46" s="63">
        <f t="shared" ref="F46" ca="1" si="11">SUM(F47:F58)</f>
        <v>26712040</v>
      </c>
      <c r="G46" s="63">
        <f t="shared" ref="G46" ca="1" si="12">SUM(G47:G58)</f>
        <v>78250000</v>
      </c>
      <c r="H46" s="63">
        <f t="shared" ref="H46" ca="1" si="13">SUM(H47:H58)</f>
        <v>104962040</v>
      </c>
    </row>
    <row r="47" spans="1:8" ht="15.75" hidden="1" customHeight="1" thickBot="1">
      <c r="A47" s="64">
        <v>401</v>
      </c>
      <c r="B47" s="69" t="s">
        <v>217</v>
      </c>
      <c r="C47" s="66">
        <f>SUMIF(Пр.13!$C10:$C550,401,Пр.13!G10:G550)</f>
        <v>0</v>
      </c>
      <c r="D47" s="66">
        <f>SUMIF(Пр.13!$C10:$C550,401,Пр.13!H10:H550)</f>
        <v>0</v>
      </c>
      <c r="E47" s="66">
        <f>SUMIF(Пр.13!$C10:$C550,401,Пр.13!I10:I550)</f>
        <v>0</v>
      </c>
      <c r="F47" s="66">
        <f>SUMIF(Пр.13!$C10:$C550,401,Пр.13!J10:J550)</f>
        <v>0</v>
      </c>
      <c r="G47" s="66">
        <f>SUMIF(Пр.13!$C10:$C550,401,Пр.13!K10:K550)</f>
        <v>0</v>
      </c>
      <c r="H47" s="66">
        <f>SUMIF(Пр.13!$C10:$C550,401,Пр.13!L10:L550)</f>
        <v>0</v>
      </c>
    </row>
    <row r="48" spans="1:8" ht="16.5" hidden="1" thickBot="1">
      <c r="A48" s="64">
        <v>402</v>
      </c>
      <c r="B48" s="65" t="s">
        <v>218</v>
      </c>
      <c r="C48" s="66">
        <f>SUMIF(Пр.13!$C11:$C550,402,Пр.13!G11:G550)</f>
        <v>0</v>
      </c>
      <c r="D48" s="66">
        <f>SUMIF(Пр.13!$C11:$C550,402,Пр.13!H11:H550)</f>
        <v>0</v>
      </c>
      <c r="E48" s="66">
        <f>SUMIF(Пр.13!$C11:$C550,402,Пр.13!I11:I550)</f>
        <v>0</v>
      </c>
      <c r="F48" s="66">
        <f>SUMIF(Пр.13!$C11:$C550,402,Пр.13!J11:J550)</f>
        <v>0</v>
      </c>
      <c r="G48" s="66">
        <f>SUMIF(Пр.13!$C11:$C550,402,Пр.13!K11:K550)</f>
        <v>0</v>
      </c>
      <c r="H48" s="66">
        <f>SUMIF(Пр.13!$C11:$C550,402,Пр.13!L11:L550)</f>
        <v>0</v>
      </c>
    </row>
    <row r="49" spans="1:8" ht="32.25" hidden="1" thickBot="1">
      <c r="A49" s="64">
        <v>403</v>
      </c>
      <c r="B49" s="67" t="s">
        <v>219</v>
      </c>
      <c r="C49" s="66">
        <f ca="1">SUMIF(Пр.13!$C12:$C554,403,Пр.13!G12:G550)</f>
        <v>0</v>
      </c>
      <c r="D49" s="66">
        <f ca="1">SUMIF(Пр.13!$C12:$C554,403,Пр.13!H12:H550)</f>
        <v>0</v>
      </c>
      <c r="E49" s="66">
        <f ca="1">SUMIF(Пр.13!$C12:$C554,403,Пр.13!I12:I550)</f>
        <v>0</v>
      </c>
      <c r="F49" s="66">
        <f ca="1">SUMIF(Пр.13!$C12:$C554,403,Пр.13!J12:J550)</f>
        <v>0</v>
      </c>
      <c r="G49" s="66">
        <f ca="1">SUMIF(Пр.13!$C12:$C554,403,Пр.13!K12:K550)</f>
        <v>0</v>
      </c>
      <c r="H49" s="66">
        <f ca="1">SUMIF(Пр.13!$C12:$C554,403,Пр.13!L12:L550)</f>
        <v>0</v>
      </c>
    </row>
    <row r="50" spans="1:8" ht="16.5" hidden="1" thickBot="1">
      <c r="A50" s="64">
        <v>404</v>
      </c>
      <c r="B50" s="67" t="s">
        <v>220</v>
      </c>
      <c r="C50" s="66">
        <f ca="1">SUMIF(Пр.13!$C14:$C555,404,Пр.13!G14:G550)</f>
        <v>0</v>
      </c>
      <c r="D50" s="66">
        <f ca="1">SUMIF(Пр.13!$C14:$C555,404,Пр.13!H14:H550)</f>
        <v>0</v>
      </c>
      <c r="E50" s="66">
        <f ca="1">SUMIF(Пр.13!$C14:$C555,404,Пр.13!I14:I550)</f>
        <v>0</v>
      </c>
      <c r="F50" s="66">
        <f ca="1">SUMIF(Пр.13!$C14:$C555,404,Пр.13!J14:J550)</f>
        <v>0</v>
      </c>
      <c r="G50" s="66">
        <f ca="1">SUMIF(Пр.13!$C14:$C555,404,Пр.13!K14:K550)</f>
        <v>0</v>
      </c>
      <c r="H50" s="66">
        <f ca="1">SUMIF(Пр.13!$C14:$C555,404,Пр.13!L14:L550)</f>
        <v>0</v>
      </c>
    </row>
    <row r="51" spans="1:8" ht="16.5" thickBot="1">
      <c r="A51" s="64">
        <v>405</v>
      </c>
      <c r="B51" s="67" t="s">
        <v>221</v>
      </c>
      <c r="C51" s="66">
        <f ca="1">SUMIF(Пр.13!$C15:$C556,405,Пр.13!G15:G550)</f>
        <v>610360</v>
      </c>
      <c r="D51" s="66">
        <f ca="1">SUMIF(Пр.13!$C15:$C556,405,Пр.13!H15:H550)</f>
        <v>0</v>
      </c>
      <c r="E51" s="66">
        <f ca="1">SUMIF(Пр.13!$C15:$C556,405,Пр.13!I15:I550)</f>
        <v>610360</v>
      </c>
      <c r="F51" s="66">
        <f ca="1">SUMIF(Пр.13!$C15:$C556,405,Пр.13!J15:J550)</f>
        <v>605770</v>
      </c>
      <c r="G51" s="66">
        <f ca="1">SUMIF(Пр.13!$C15:$C556,405,Пр.13!K15:K550)</f>
        <v>0</v>
      </c>
      <c r="H51" s="66">
        <f ca="1">SUMIF(Пр.13!$C15:$C556,405,Пр.13!L15:L550)</f>
        <v>605770</v>
      </c>
    </row>
    <row r="52" spans="1:8" ht="16.5" hidden="1" thickBot="1">
      <c r="A52" s="64">
        <v>406</v>
      </c>
      <c r="B52" s="67" t="s">
        <v>222</v>
      </c>
      <c r="C52" s="66">
        <f ca="1">SUMIF(Пр.13!$C15:$C557,406,Пр.13!G15:G550)</f>
        <v>0</v>
      </c>
      <c r="D52" s="66">
        <f ca="1">SUMIF(Пр.13!$C15:$C557,406,Пр.13!H15:H550)</f>
        <v>0</v>
      </c>
      <c r="E52" s="66">
        <f ca="1">SUMIF(Пр.13!$C15:$C557,406,Пр.13!I15:I550)</f>
        <v>0</v>
      </c>
      <c r="F52" s="66">
        <f ca="1">SUMIF(Пр.13!$C15:$C557,406,Пр.13!J15:J550)</f>
        <v>0</v>
      </c>
      <c r="G52" s="66">
        <f ca="1">SUMIF(Пр.13!$C15:$C557,406,Пр.13!K15:K550)</f>
        <v>0</v>
      </c>
      <c r="H52" s="66">
        <f ca="1">SUMIF(Пр.13!$C15:$C557,406,Пр.13!L15:L550)</f>
        <v>0</v>
      </c>
    </row>
    <row r="53" spans="1:8" ht="16.5" hidden="1" thickBot="1">
      <c r="A53" s="64">
        <v>407</v>
      </c>
      <c r="B53" s="67" t="s">
        <v>223</v>
      </c>
      <c r="C53" s="66">
        <f ca="1">SUMIF(Пр.13!$C16:$C558,407,Пр.13!G16:G550)</f>
        <v>0</v>
      </c>
      <c r="D53" s="66">
        <f ca="1">SUMIF(Пр.13!$C16:$C558,407,Пр.13!H16:H550)</f>
        <v>0</v>
      </c>
      <c r="E53" s="66">
        <f ca="1">SUMIF(Пр.13!$C16:$C558,407,Пр.13!I16:I550)</f>
        <v>0</v>
      </c>
      <c r="F53" s="66">
        <f ca="1">SUMIF(Пр.13!$C16:$C558,407,Пр.13!J16:J550)</f>
        <v>0</v>
      </c>
      <c r="G53" s="66">
        <f ca="1">SUMIF(Пр.13!$C16:$C558,407,Пр.13!K16:K550)</f>
        <v>0</v>
      </c>
      <c r="H53" s="66">
        <f ca="1">SUMIF(Пр.13!$C16:$C558,407,Пр.13!L16:L550)</f>
        <v>0</v>
      </c>
    </row>
    <row r="54" spans="1:8" ht="16.5" thickBot="1">
      <c r="A54" s="64">
        <v>408</v>
      </c>
      <c r="B54" s="67" t="s">
        <v>224</v>
      </c>
      <c r="C54" s="66">
        <f ca="1">SUMIF(Пр.13!$C17:$C559,408,Пр.13!G17:G550)</f>
        <v>10000000</v>
      </c>
      <c r="D54" s="66">
        <f ca="1">SUMIF(Пр.13!$C17:$C559,408,Пр.13!H17:H550)</f>
        <v>6600000</v>
      </c>
      <c r="E54" s="66">
        <f ca="1">SUMIF(Пр.13!$C17:$C559,408,Пр.13!I17:I550)</f>
        <v>16600000</v>
      </c>
      <c r="F54" s="66">
        <f ca="1">SUMIF(Пр.13!$C17:$C559,408,Пр.13!J17:J550)</f>
        <v>0</v>
      </c>
      <c r="G54" s="66">
        <f ca="1">SUMIF(Пр.13!$C17:$C559,408,Пр.13!K17:K550)</f>
        <v>7200000</v>
      </c>
      <c r="H54" s="66">
        <f ca="1">SUMIF(Пр.13!$C17:$C559,408,Пр.13!L17:L550)</f>
        <v>7200000</v>
      </c>
    </row>
    <row r="55" spans="1:8" ht="16.5" thickBot="1">
      <c r="A55" s="64">
        <v>409</v>
      </c>
      <c r="B55" s="67" t="s">
        <v>225</v>
      </c>
      <c r="C55" s="66">
        <f ca="1">SUMIF(Пр.13!$C18:$C560,409,Пр.13!G18:G550)</f>
        <v>22202530</v>
      </c>
      <c r="D55" s="66">
        <f ca="1">SUMIF(Пр.13!$C18:$C560,409,Пр.13!H18:H550)</f>
        <v>73000000</v>
      </c>
      <c r="E55" s="66">
        <f ca="1">SUMIF(Пр.13!$C18:$C560,409,Пр.13!I18:I550)</f>
        <v>95202530</v>
      </c>
      <c r="F55" s="66">
        <f ca="1">SUMIF(Пр.13!$C18:$C560,409,Пр.13!J18:J550)</f>
        <v>26106270</v>
      </c>
      <c r="G55" s="66">
        <f ca="1">SUMIF(Пр.13!$C18:$C560,409,Пр.13!K18:K550)</f>
        <v>70800000</v>
      </c>
      <c r="H55" s="66">
        <f ca="1">SUMIF(Пр.13!$C18:$C560,409,Пр.13!L18:L550)</f>
        <v>96906270</v>
      </c>
    </row>
    <row r="56" spans="1:8" ht="16.5" hidden="1" thickBot="1">
      <c r="A56" s="64">
        <v>410</v>
      </c>
      <c r="B56" s="67" t="s">
        <v>226</v>
      </c>
      <c r="C56" s="66">
        <f ca="1">SUMIF(Пр.13!$C27:$C561,410,Пр.13!G27:G550)</f>
        <v>0</v>
      </c>
      <c r="D56" s="66">
        <f ca="1">SUMIF(Пр.13!$C27:$C561,410,Пр.13!H27:H550)</f>
        <v>0</v>
      </c>
      <c r="E56" s="66">
        <f ca="1">SUMIF(Пр.13!$C27:$C561,410,Пр.13!I27:I550)</f>
        <v>0</v>
      </c>
      <c r="F56" s="66">
        <f ca="1">SUMIF(Пр.13!$C27:$C561,410,Пр.13!J27:J550)</f>
        <v>0</v>
      </c>
      <c r="G56" s="66">
        <f ca="1">SUMIF(Пр.13!$C27:$C561,410,Пр.13!K27:K550)</f>
        <v>0</v>
      </c>
      <c r="H56" s="66">
        <f ca="1">SUMIF(Пр.13!$C27:$C561,410,Пр.13!L27:L550)</f>
        <v>0</v>
      </c>
    </row>
    <row r="57" spans="1:8" ht="32.25" hidden="1" thickBot="1">
      <c r="A57" s="64">
        <v>411</v>
      </c>
      <c r="B57" s="67" t="s">
        <v>227</v>
      </c>
      <c r="C57" s="66">
        <f ca="1">SUMIF(Пр.13!$C27:$C562,411,Пр.13!G27:G550)</f>
        <v>0</v>
      </c>
      <c r="D57" s="66">
        <f ca="1">SUMIF(Пр.13!$C27:$C562,411,Пр.13!H27:H550)</f>
        <v>0</v>
      </c>
      <c r="E57" s="66">
        <f ca="1">SUMIF(Пр.13!$C27:$C562,411,Пр.13!I27:I550)</f>
        <v>0</v>
      </c>
      <c r="F57" s="66">
        <f ca="1">SUMIF(Пр.13!$C27:$C562,411,Пр.13!J27:J550)</f>
        <v>0</v>
      </c>
      <c r="G57" s="66">
        <f ca="1">SUMIF(Пр.13!$C27:$C562,411,Пр.13!K27:K550)</f>
        <v>0</v>
      </c>
      <c r="H57" s="66">
        <f ca="1">SUMIF(Пр.13!$C27:$C562,411,Пр.13!L27:L550)</f>
        <v>0</v>
      </c>
    </row>
    <row r="58" spans="1:8" ht="32.25" thickBot="1">
      <c r="A58" s="64">
        <v>412</v>
      </c>
      <c r="B58" s="67" t="s">
        <v>228</v>
      </c>
      <c r="C58" s="66">
        <f ca="1">SUMIF(Пр.13!$C10:$C563,412,Пр.13!G10:G550)</f>
        <v>700000</v>
      </c>
      <c r="D58" s="66">
        <f ca="1">SUMIF(Пр.13!$C10:$C563,412,Пр.13!H10:H550)</f>
        <v>250000</v>
      </c>
      <c r="E58" s="66">
        <f ca="1">SUMIF(Пр.13!$C10:$C563,412,Пр.13!I10:I550)</f>
        <v>950000</v>
      </c>
      <c r="F58" s="66">
        <f ca="1">SUMIF(Пр.13!$C10:$C563,412,Пр.13!J10:J550)</f>
        <v>0</v>
      </c>
      <c r="G58" s="66">
        <f ca="1">SUMIF(Пр.13!$C10:$C563,412,Пр.13!K10:K550)</f>
        <v>250000</v>
      </c>
      <c r="H58" s="66">
        <f ca="1">SUMIF(Пр.13!$C10:$C563,412,Пр.13!L10:L550)</f>
        <v>250000</v>
      </c>
    </row>
    <row r="59" spans="1:8" ht="32.25" thickBot="1">
      <c r="A59" s="61">
        <v>500</v>
      </c>
      <c r="B59" s="68" t="s">
        <v>229</v>
      </c>
      <c r="C59" s="63">
        <f ca="1">SUM(C60:C64)</f>
        <v>12237547</v>
      </c>
      <c r="D59" s="63">
        <f t="shared" ref="D59:E59" ca="1" si="14">SUM(D60:D64)</f>
        <v>30341767</v>
      </c>
      <c r="E59" s="63">
        <f t="shared" ca="1" si="14"/>
        <v>42579314</v>
      </c>
      <c r="F59" s="63">
        <f t="shared" ref="F59:H59" ca="1" si="15">SUM(F60:F64)</f>
        <v>2000000</v>
      </c>
      <c r="G59" s="63">
        <f t="shared" ca="1" si="15"/>
        <v>32072818</v>
      </c>
      <c r="H59" s="63">
        <f t="shared" ca="1" si="15"/>
        <v>34072818</v>
      </c>
    </row>
    <row r="60" spans="1:8" ht="16.5" thickBot="1">
      <c r="A60" s="64">
        <v>501</v>
      </c>
      <c r="B60" s="67" t="s">
        <v>230</v>
      </c>
      <c r="C60" s="66">
        <f>SUMIF(Пр.13!$C10:$C550,501,Пр.13!G10:G550)</f>
        <v>256000</v>
      </c>
      <c r="D60" s="66">
        <f>SUMIF(Пр.13!$C10:$C550,501,Пр.13!H10:H550)</f>
        <v>1500000</v>
      </c>
      <c r="E60" s="66">
        <f>SUMIF(Пр.13!$C10:$C550,501,Пр.13!I10:I550)</f>
        <v>1756000</v>
      </c>
      <c r="F60" s="66">
        <f>SUMIF(Пр.13!$C10:$C550,501,Пр.13!J10:J550)</f>
        <v>0</v>
      </c>
      <c r="G60" s="66">
        <f>SUMIF(Пр.13!$C10:$C550,501,Пр.13!K10:K550)</f>
        <v>1500000</v>
      </c>
      <c r="H60" s="66">
        <f>SUMIF(Пр.13!$C10:$C550,501,Пр.13!L10:L550)</f>
        <v>1500000</v>
      </c>
    </row>
    <row r="61" spans="1:8" ht="16.5" thickBot="1">
      <c r="A61" s="64">
        <v>502</v>
      </c>
      <c r="B61" s="67" t="s">
        <v>231</v>
      </c>
      <c r="C61" s="66">
        <f>SUMIF(Пр.13!$C11:$C550,502,Пр.13!G11:G550)</f>
        <v>11981547</v>
      </c>
      <c r="D61" s="66">
        <f>SUMIF(Пр.13!$C11:$C550,502,Пр.13!H11:H550)</f>
        <v>0</v>
      </c>
      <c r="E61" s="66">
        <f>SUMIF(Пр.13!$C11:$C550,502,Пр.13!I11:I550)</f>
        <v>11981547</v>
      </c>
      <c r="F61" s="66">
        <f>SUMIF(Пр.13!$C11:$C550,502,Пр.13!J11:J550)</f>
        <v>2000000</v>
      </c>
      <c r="G61" s="66">
        <f>SUMIF(Пр.13!$C11:$C550,502,Пр.13!K11:K550)</f>
        <v>0</v>
      </c>
      <c r="H61" s="66">
        <f>SUMIF(Пр.13!$C11:$C550,502,Пр.13!L11:L550)</f>
        <v>2000000</v>
      </c>
    </row>
    <row r="62" spans="1:8" ht="16.5" thickBot="1">
      <c r="A62" s="64">
        <v>503</v>
      </c>
      <c r="B62" s="65" t="s">
        <v>232</v>
      </c>
      <c r="C62" s="66">
        <f ca="1">SUMIF(Пр.13!$C12:$C554,503,Пр.13!G12:G550)</f>
        <v>0</v>
      </c>
      <c r="D62" s="66">
        <f ca="1">SUMIF(Пр.13!$C12:$C554,503,Пр.13!H12:H550)</f>
        <v>28841767</v>
      </c>
      <c r="E62" s="66">
        <f ca="1">SUMIF(Пр.13!$C12:$C554,503,Пр.13!I12:I550)</f>
        <v>28841767</v>
      </c>
      <c r="F62" s="66">
        <f ca="1">SUMIF(Пр.13!$C12:$C554,503,Пр.13!J12:J550)</f>
        <v>0</v>
      </c>
      <c r="G62" s="66">
        <f ca="1">SUMIF(Пр.13!$C12:$C554,503,Пр.13!K12:K550)</f>
        <v>30572818</v>
      </c>
      <c r="H62" s="66">
        <f ca="1">SUMIF(Пр.13!$C12:$C554,503,Пр.13!L12:L550)</f>
        <v>30572818</v>
      </c>
    </row>
    <row r="63" spans="1:8" ht="32.25" hidden="1" thickBot="1">
      <c r="A63" s="64">
        <v>504</v>
      </c>
      <c r="B63" s="67" t="s">
        <v>233</v>
      </c>
      <c r="C63" s="66">
        <f ca="1">SUMIF(Пр.13!$C14:$C555,504,Пр.13!G14:G550)</f>
        <v>0</v>
      </c>
      <c r="D63" s="66">
        <f ca="1">SUMIF(Пр.13!$C14:$C555,504,Пр.13!H14:H550)</f>
        <v>0</v>
      </c>
      <c r="E63" s="66">
        <f ca="1">SUMIF(Пр.13!$C14:$C555,504,Пр.13!I14:I550)</f>
        <v>0</v>
      </c>
      <c r="F63" s="66">
        <f ca="1">SUMIF(Пр.13!$C14:$C555,504,Пр.13!J14:J550)</f>
        <v>0</v>
      </c>
      <c r="G63" s="66">
        <f ca="1">SUMIF(Пр.13!$C14:$C555,504,Пр.13!K14:K550)</f>
        <v>0</v>
      </c>
      <c r="H63" s="66">
        <f ca="1">SUMIF(Пр.13!$C14:$C555,504,Пр.13!L14:L550)</f>
        <v>0</v>
      </c>
    </row>
    <row r="64" spans="1:8" ht="32.25" hidden="1" thickBot="1">
      <c r="A64" s="64">
        <v>505</v>
      </c>
      <c r="B64" s="67" t="s">
        <v>234</v>
      </c>
      <c r="C64" s="66">
        <f ca="1">SUMIF(Пр.13!$C15:$C556,505,Пр.13!G15:G550)</f>
        <v>0</v>
      </c>
      <c r="D64" s="66">
        <f ca="1">SUMIF(Пр.13!$C15:$C556,505,Пр.13!H15:H550)</f>
        <v>0</v>
      </c>
      <c r="E64" s="66">
        <f ca="1">SUMIF(Пр.13!$C15:$C556,505,Пр.13!I15:I550)</f>
        <v>0</v>
      </c>
      <c r="F64" s="66">
        <f ca="1">SUMIF(Пр.13!$C15:$C556,505,Пр.13!J15:J550)</f>
        <v>0</v>
      </c>
      <c r="G64" s="66">
        <f ca="1">SUMIF(Пр.13!$C15:$C556,505,Пр.13!K15:K550)</f>
        <v>0</v>
      </c>
      <c r="H64" s="66">
        <f ca="1">SUMIF(Пр.13!$C15:$C556,505,Пр.13!L15:L550)</f>
        <v>0</v>
      </c>
    </row>
    <row r="65" spans="1:8" ht="16.5" hidden="1" thickBot="1">
      <c r="A65" s="61">
        <v>600</v>
      </c>
      <c r="B65" s="70" t="s">
        <v>235</v>
      </c>
      <c r="C65" s="63">
        <f>SUM(C66:C70)</f>
        <v>0</v>
      </c>
      <c r="D65" s="63">
        <f t="shared" ref="D65:E65" si="16">SUM(D66:D70)</f>
        <v>0</v>
      </c>
      <c r="E65" s="63">
        <f t="shared" si="16"/>
        <v>0</v>
      </c>
      <c r="F65" s="63">
        <f t="shared" ref="F65" si="17">SUM(F66:F70)</f>
        <v>0</v>
      </c>
      <c r="G65" s="63">
        <f t="shared" ref="G65" si="18">SUM(G66:G70)</f>
        <v>0</v>
      </c>
      <c r="H65" s="63">
        <f t="shared" ref="H65" si="19">SUM(H66:H70)</f>
        <v>0</v>
      </c>
    </row>
    <row r="66" spans="1:8" ht="16.5" hidden="1" thickBot="1">
      <c r="A66" s="64">
        <v>601</v>
      </c>
      <c r="B66" s="65" t="s">
        <v>236</v>
      </c>
      <c r="C66" s="66">
        <f>SUMIF(Пр.13!$C10:$C550,601,Пр.13!G10:G550)</f>
        <v>0</v>
      </c>
      <c r="D66" s="66">
        <f>SUMIF(Пр.13!$C10:$C550,601,Пр.13!H10:H550)</f>
        <v>0</v>
      </c>
      <c r="E66" s="66">
        <f>SUMIF(Пр.13!$C10:$C550,601,Пр.13!I10:I550)</f>
        <v>0</v>
      </c>
      <c r="F66" s="66">
        <f>SUMIF(Пр.13!$C10:$C550,601,Пр.13!J10:J550)</f>
        <v>0</v>
      </c>
      <c r="G66" s="66">
        <f>SUMIF(Пр.13!$C10:$C550,601,Пр.13!K10:K550)</f>
        <v>0</v>
      </c>
      <c r="H66" s="66">
        <f>SUMIF(Пр.13!$C10:$C550,601,Пр.13!L10:L550)</f>
        <v>0</v>
      </c>
    </row>
    <row r="67" spans="1:8" ht="16.5" hidden="1" thickBot="1">
      <c r="A67" s="64">
        <v>602</v>
      </c>
      <c r="B67" s="67" t="s">
        <v>237</v>
      </c>
      <c r="C67" s="66">
        <f>SUMIF(Пр.13!$C11:$C550,602,Пр.13!G11:G550)</f>
        <v>0</v>
      </c>
      <c r="D67" s="66">
        <f>SUMIF(Пр.13!$C11:$C550,602,Пр.13!H11:H550)</f>
        <v>0</v>
      </c>
      <c r="E67" s="66">
        <f>SUMIF(Пр.13!$C11:$C550,602,Пр.13!I11:I550)</f>
        <v>0</v>
      </c>
      <c r="F67" s="66">
        <f>SUMIF(Пр.13!$C11:$C550,602,Пр.13!J11:J550)</f>
        <v>0</v>
      </c>
      <c r="G67" s="66">
        <f>SUMIF(Пр.13!$C11:$C550,602,Пр.13!K11:K550)</f>
        <v>0</v>
      </c>
      <c r="H67" s="66">
        <f>SUMIF(Пр.13!$C11:$C550,602,Пр.13!L11:L550)</f>
        <v>0</v>
      </c>
    </row>
    <row r="68" spans="1:8" ht="32.25" hidden="1" thickBot="1">
      <c r="A68" s="64">
        <v>603</v>
      </c>
      <c r="B68" s="67" t="s">
        <v>238</v>
      </c>
      <c r="C68" s="66">
        <f>SUMIF(Пр.13!$C12:$C554,603,Пр.13!G12:G554)</f>
        <v>0</v>
      </c>
      <c r="D68" s="66">
        <f>SUMIF(Пр.13!$C12:$C554,603,Пр.13!H12:H554)</f>
        <v>0</v>
      </c>
      <c r="E68" s="66">
        <f>SUMIF(Пр.13!$C12:$C554,603,Пр.13!I12:I554)</f>
        <v>0</v>
      </c>
      <c r="F68" s="66">
        <f>SUMIF(Пр.13!$C12:$C554,603,Пр.13!J12:J554)</f>
        <v>0</v>
      </c>
      <c r="G68" s="66">
        <f>SUMIF(Пр.13!$C12:$C554,603,Пр.13!K12:K554)</f>
        <v>0</v>
      </c>
      <c r="H68" s="66">
        <f>SUMIF(Пр.13!$C12:$C554,603,Пр.13!L12:L554)</f>
        <v>0</v>
      </c>
    </row>
    <row r="69" spans="1:8" ht="32.25" hidden="1" thickBot="1">
      <c r="A69" s="64">
        <v>604</v>
      </c>
      <c r="B69" s="67" t="s">
        <v>239</v>
      </c>
      <c r="C69" s="66">
        <f>SUMIF(Пр.13!$C14:$C555,604,Пр.13!G14:G555)</f>
        <v>0</v>
      </c>
      <c r="D69" s="66">
        <f>SUMIF(Пр.13!$C14:$C555,604,Пр.13!H14:H555)</f>
        <v>0</v>
      </c>
      <c r="E69" s="66">
        <f>SUMIF(Пр.13!$C14:$C555,604,Пр.13!I14:I555)</f>
        <v>0</v>
      </c>
      <c r="F69" s="66">
        <f>SUMIF(Пр.13!$C14:$C555,604,Пр.13!J14:J555)</f>
        <v>0</v>
      </c>
      <c r="G69" s="66">
        <f>SUMIF(Пр.13!$C14:$C555,604,Пр.13!K14:K555)</f>
        <v>0</v>
      </c>
      <c r="H69" s="66">
        <f>SUMIF(Пр.13!$C14:$C555,604,Пр.13!L14:L555)</f>
        <v>0</v>
      </c>
    </row>
    <row r="70" spans="1:8" ht="32.25" hidden="1" thickBot="1">
      <c r="A70" s="64">
        <v>605</v>
      </c>
      <c r="B70" s="67" t="s">
        <v>240</v>
      </c>
      <c r="C70" s="66">
        <f>SUMIF(Пр.13!$C15:$C556,605,Пр.13!G15:G556)</f>
        <v>0</v>
      </c>
      <c r="D70" s="66">
        <f>SUMIF(Пр.13!$C15:$C556,605,Пр.13!H15:H556)</f>
        <v>0</v>
      </c>
      <c r="E70" s="66">
        <f>SUMIF(Пр.13!$C15:$C556,605,Пр.13!I15:I556)</f>
        <v>0</v>
      </c>
      <c r="F70" s="66">
        <f>SUMIF(Пр.13!$C15:$C556,605,Пр.13!J15:J556)</f>
        <v>0</v>
      </c>
      <c r="G70" s="66">
        <f>SUMIF(Пр.13!$C15:$C556,605,Пр.13!K15:K556)</f>
        <v>0</v>
      </c>
      <c r="H70" s="66">
        <f>SUMIF(Пр.13!$C15:$C556,605,Пр.13!L15:L556)</f>
        <v>0</v>
      </c>
    </row>
    <row r="71" spans="1:8" ht="16.5" thickBot="1">
      <c r="A71" s="61">
        <v>700</v>
      </c>
      <c r="B71" s="70" t="s">
        <v>241</v>
      </c>
      <c r="C71" s="63">
        <f>SUM(C72:C80)</f>
        <v>942106522</v>
      </c>
      <c r="D71" s="63">
        <f t="shared" ref="D71:E71" si="20">SUM(D72:D80)</f>
        <v>-367331</v>
      </c>
      <c r="E71" s="63">
        <f t="shared" si="20"/>
        <v>941739191</v>
      </c>
      <c r="F71" s="63">
        <f t="shared" ref="F71:H71" si="21">SUM(F72:F80)</f>
        <v>801835829</v>
      </c>
      <c r="G71" s="63">
        <f t="shared" si="21"/>
        <v>-367331</v>
      </c>
      <c r="H71" s="63">
        <f t="shared" si="21"/>
        <v>801468498</v>
      </c>
    </row>
    <row r="72" spans="1:8" ht="16.5" thickBot="1">
      <c r="A72" s="64">
        <v>701</v>
      </c>
      <c r="B72" s="67" t="s">
        <v>242</v>
      </c>
      <c r="C72" s="66">
        <f>SUMIF(Пр.13!$C10:$C590,701,Пр.13!G10:G590)</f>
        <v>380200794</v>
      </c>
      <c r="D72" s="66">
        <f>SUMIF(Пр.13!$C10:$C590,701,Пр.13!H10:H590)</f>
        <v>652247</v>
      </c>
      <c r="E72" s="66">
        <f>SUMIF(Пр.13!$C10:$C590,701,Пр.13!I10:I590)</f>
        <v>380853041</v>
      </c>
      <c r="F72" s="66">
        <f>SUMIF(Пр.13!$C10:$C590,701,Пр.13!J10:J590)</f>
        <v>337187101</v>
      </c>
      <c r="G72" s="66">
        <f>SUMIF(Пр.13!$C10:$C590,701,Пр.13!K10:K590)</f>
        <v>652247</v>
      </c>
      <c r="H72" s="66">
        <f>SUMIF(Пр.13!$C10:$C590,701,Пр.13!L10:L590)</f>
        <v>337839348</v>
      </c>
    </row>
    <row r="73" spans="1:8" ht="16.5" thickBot="1">
      <c r="A73" s="64">
        <v>702</v>
      </c>
      <c r="B73" s="67" t="s">
        <v>243</v>
      </c>
      <c r="C73" s="66">
        <f>SUMIF(Пр.13!$C10:$C591,702,Пр.13!G10:G591)</f>
        <v>439437109</v>
      </c>
      <c r="D73" s="66">
        <f>SUMIF(Пр.13!$C10:$C591,702,Пр.13!H10:H591)</f>
        <v>-652247</v>
      </c>
      <c r="E73" s="66">
        <f>SUMIF(Пр.13!$C10:$C591,702,Пр.13!I10:I591)</f>
        <v>438784862</v>
      </c>
      <c r="F73" s="66">
        <f>SUMIF(Пр.13!$C10:$C591,702,Пр.13!J10:J591)</f>
        <v>396680109</v>
      </c>
      <c r="G73" s="66">
        <f>SUMIF(Пр.13!$C10:$C591,702,Пр.13!K10:K591)</f>
        <v>-652247</v>
      </c>
      <c r="H73" s="66">
        <f>SUMIF(Пр.13!$C10:$C591,702,Пр.13!L10:L591)</f>
        <v>396027862</v>
      </c>
    </row>
    <row r="74" spans="1:8" ht="16.5" thickBot="1">
      <c r="A74" s="64">
        <v>703</v>
      </c>
      <c r="B74" s="342" t="s">
        <v>1224</v>
      </c>
      <c r="C74" s="66">
        <f>SUMIF(Пр.13!$C151:$C592,703,Пр.13!G151:G592)</f>
        <v>77421086</v>
      </c>
      <c r="D74" s="66">
        <f>SUMIF(Пр.13!$C151:$C592,703,Пр.13!H151:H592)</f>
        <v>0</v>
      </c>
      <c r="E74" s="66">
        <f>SUMIF(Пр.13!$C151:$C592,703,Пр.13!I151:I592)</f>
        <v>77421086</v>
      </c>
      <c r="F74" s="66">
        <f>SUMIF(Пр.13!$C151:$C592,703,Пр.13!J151:J592)</f>
        <v>39421086</v>
      </c>
      <c r="G74" s="66">
        <f>SUMIF(Пр.13!$C151:$C592,703,Пр.13!K151:K592)</f>
        <v>0</v>
      </c>
      <c r="H74" s="66">
        <f>SUMIF(Пр.13!$C151:$C592,703,Пр.13!L151:L592)</f>
        <v>39421086</v>
      </c>
    </row>
    <row r="75" spans="1:8" ht="16.5" hidden="1" thickBot="1">
      <c r="A75" s="64">
        <v>704</v>
      </c>
      <c r="B75" s="67" t="s">
        <v>244</v>
      </c>
      <c r="C75" s="66">
        <f>SUMIF(Пр.13!$C151:$C593,304,Пр.13!G151:G593)</f>
        <v>0</v>
      </c>
      <c r="D75" s="66">
        <f>SUMIF(Пр.13!$C151:$C593,304,Пр.13!H151:H593)</f>
        <v>0</v>
      </c>
      <c r="E75" s="66">
        <f>SUMIF(Пр.13!$C151:$C593,304,Пр.13!I151:I593)</f>
        <v>0</v>
      </c>
      <c r="F75" s="66">
        <f>SUMIF(Пр.13!$C151:$C593,304,Пр.13!J151:J593)</f>
        <v>0</v>
      </c>
      <c r="G75" s="66">
        <f>SUMIF(Пр.13!$C151:$C593,304,Пр.13!K151:K593)</f>
        <v>0</v>
      </c>
      <c r="H75" s="66">
        <f>SUMIF(Пр.13!$C151:$C593,304,Пр.13!L151:L593)</f>
        <v>0</v>
      </c>
    </row>
    <row r="76" spans="1:8" ht="32.25" hidden="1" thickBot="1">
      <c r="A76" s="64">
        <v>705</v>
      </c>
      <c r="B76" s="67" t="s">
        <v>245</v>
      </c>
      <c r="C76" s="66">
        <f>SUMIF(Пр.13!$C151:$C594,705,Пр.13!G151:G594)</f>
        <v>0</v>
      </c>
      <c r="D76" s="66">
        <f>SUMIF(Пр.13!$C151:$C594,705,Пр.13!H151:H594)</f>
        <v>0</v>
      </c>
      <c r="E76" s="66">
        <f>SUMIF(Пр.13!$C151:$C594,705,Пр.13!I151:I594)</f>
        <v>0</v>
      </c>
      <c r="F76" s="66">
        <f>SUMIF(Пр.13!$C151:$C594,705,Пр.13!J151:J594)</f>
        <v>0</v>
      </c>
      <c r="G76" s="66">
        <f>SUMIF(Пр.13!$C151:$C594,705,Пр.13!K151:K594)</f>
        <v>0</v>
      </c>
      <c r="H76" s="66">
        <f>SUMIF(Пр.13!$C151:$C594,705,Пр.13!L151:L594)</f>
        <v>0</v>
      </c>
    </row>
    <row r="77" spans="1:8" ht="32.25" hidden="1" thickBot="1">
      <c r="A77" s="71">
        <v>706</v>
      </c>
      <c r="B77" s="72" t="s">
        <v>246</v>
      </c>
      <c r="C77" s="66">
        <f>SUMIF(Пр.13!$C15:$C557,706,Пр.13!F15:F557)</f>
        <v>0</v>
      </c>
      <c r="D77" s="66">
        <f>SUMIF(Пр.13!$C15:$C557,706,Пр.13!G15:G557)</f>
        <v>0</v>
      </c>
      <c r="E77" s="66">
        <f>SUMIF(Пр.13!$C15:$C557,706,Пр.13!H15:H557)</f>
        <v>0</v>
      </c>
      <c r="F77" s="66">
        <f>SUMIF(Пр.13!$C15:$C557,706,Пр.13!I15:I557)</f>
        <v>0</v>
      </c>
      <c r="G77" s="66">
        <f>SUMIF(Пр.13!$C15:$C557,706,Пр.13!J15:J557)</f>
        <v>0</v>
      </c>
      <c r="H77" s="66">
        <f>SUMIF(Пр.13!$C15:$C557,706,Пр.13!K15:K557)</f>
        <v>0</v>
      </c>
    </row>
    <row r="78" spans="1:8" ht="16.5" thickBot="1">
      <c r="A78" s="64">
        <v>707</v>
      </c>
      <c r="B78" s="342" t="s">
        <v>1226</v>
      </c>
      <c r="C78" s="66">
        <f>SUMIF(Пр.13!$C10:$C596,707,Пр.13!G10:G596)</f>
        <v>12534321</v>
      </c>
      <c r="D78" s="66">
        <f>SUMIF(Пр.13!$C10:$C596,707,Пр.13!H10:H596)</f>
        <v>-367331</v>
      </c>
      <c r="E78" s="66">
        <f>SUMIF(Пр.13!$C10:$C596,707,Пр.13!I10:I596)</f>
        <v>12166990</v>
      </c>
      <c r="F78" s="66">
        <f>SUMIF(Пр.13!$C10:$C596,707,Пр.13!J10:J596)</f>
        <v>8534321</v>
      </c>
      <c r="G78" s="66">
        <f>SUMIF(Пр.13!$C10:$C596,707,Пр.13!K10:K596)</f>
        <v>-367331</v>
      </c>
      <c r="H78" s="66">
        <f>SUMIF(Пр.13!$C10:$C596,707,Пр.13!L10:L596)</f>
        <v>8166990</v>
      </c>
    </row>
    <row r="79" spans="1:8" ht="32.25" hidden="1" thickBot="1">
      <c r="A79" s="64">
        <v>708</v>
      </c>
      <c r="B79" s="67" t="s">
        <v>247</v>
      </c>
      <c r="C79" s="66">
        <f>SUMIF(Пр.13!$C17:$C559,7081,Пр.13!F17:F559)</f>
        <v>0</v>
      </c>
      <c r="D79" s="66">
        <f>SUMIF(Пр.13!$C17:$C559,7081,Пр.13!G17:G559)</f>
        <v>0</v>
      </c>
      <c r="E79" s="66">
        <f>SUMIF(Пр.13!$C17:$C559,7081,Пр.13!H17:H559)</f>
        <v>0</v>
      </c>
      <c r="F79" s="66">
        <f>SUMIF(Пр.13!$C17:$C559,7081,Пр.13!I17:I559)</f>
        <v>0</v>
      </c>
      <c r="G79" s="66">
        <f>SUMIF(Пр.13!$C17:$C559,7081,Пр.13!J17:J559)</f>
        <v>0</v>
      </c>
      <c r="H79" s="66">
        <f>SUMIF(Пр.13!$C17:$C559,7081,Пр.13!K17:K559)</f>
        <v>0</v>
      </c>
    </row>
    <row r="80" spans="1:8" ht="16.5" thickBot="1">
      <c r="A80" s="64">
        <v>709</v>
      </c>
      <c r="B80" s="67" t="s">
        <v>248</v>
      </c>
      <c r="C80" s="66">
        <f>SUMIF(Пр.13!$C10:$C598,709,Пр.13!G10:G598)</f>
        <v>32513212</v>
      </c>
      <c r="D80" s="66">
        <f>SUMIF(Пр.13!$C10:$C598,709,Пр.13!H10:H598)</f>
        <v>0</v>
      </c>
      <c r="E80" s="66">
        <f>SUMIF(Пр.13!$C10:$C598,709,Пр.13!I10:I598)</f>
        <v>32513212</v>
      </c>
      <c r="F80" s="66">
        <f>SUMIF(Пр.13!$C10:$C598,709,Пр.13!J10:J598)</f>
        <v>20013212</v>
      </c>
      <c r="G80" s="66">
        <f>SUMIF(Пр.13!$C10:$C598,709,Пр.13!K10:K598)</f>
        <v>0</v>
      </c>
      <c r="H80" s="66">
        <f>SUMIF(Пр.13!$C10:$C598,709,Пр.13!L10:L598)</f>
        <v>20013212</v>
      </c>
    </row>
    <row r="81" spans="1:8" ht="16.5" thickBot="1">
      <c r="A81" s="61">
        <v>800</v>
      </c>
      <c r="B81" s="70" t="s">
        <v>249</v>
      </c>
      <c r="C81" s="63">
        <f>SUM(C82:C85)</f>
        <v>96404133</v>
      </c>
      <c r="D81" s="63">
        <f t="shared" ref="D81:E81" si="22">SUM(D82:D85)</f>
        <v>1300000</v>
      </c>
      <c r="E81" s="63">
        <f t="shared" si="22"/>
        <v>97704133</v>
      </c>
      <c r="F81" s="63">
        <f t="shared" ref="F81:H81" si="23">SUM(F82:F85)</f>
        <v>53404133</v>
      </c>
      <c r="G81" s="63">
        <f t="shared" si="23"/>
        <v>1300000</v>
      </c>
      <c r="H81" s="63">
        <f t="shared" si="23"/>
        <v>54704133</v>
      </c>
    </row>
    <row r="82" spans="1:8" ht="16.5" thickBot="1">
      <c r="A82" s="64">
        <v>801</v>
      </c>
      <c r="B82" s="67" t="s">
        <v>250</v>
      </c>
      <c r="C82" s="66">
        <f>SUMIF(Пр.13!$C10:$C550,801,Пр.13!G10:G550)</f>
        <v>72223555</v>
      </c>
      <c r="D82" s="66">
        <f>SUMIF(Пр.13!$C10:$C550,801,Пр.13!H10:H550)</f>
        <v>1300000</v>
      </c>
      <c r="E82" s="66">
        <f>SUMIF(Пр.13!$C10:$C550,801,Пр.13!I10:I550)</f>
        <v>73523555</v>
      </c>
      <c r="F82" s="66">
        <f>SUMIF(Пр.13!$C10:$C550,801,Пр.13!J10:J550)</f>
        <v>42223555</v>
      </c>
      <c r="G82" s="66">
        <f>SUMIF(Пр.13!$C10:$C550,801,Пр.13!K10:K550)</f>
        <v>1300000</v>
      </c>
      <c r="H82" s="66">
        <f>SUMIF(Пр.13!$C10:$C550,801,Пр.13!L10:L550)</f>
        <v>43523555</v>
      </c>
    </row>
    <row r="83" spans="1:8" ht="16.5" hidden="1" thickBot="1">
      <c r="A83" s="64">
        <v>802</v>
      </c>
      <c r="B83" s="67" t="s">
        <v>251</v>
      </c>
      <c r="C83" s="66">
        <f>SUMIF(Пр.13!$C11:$C550,802,Пр.13!G11:G550)</f>
        <v>0</v>
      </c>
      <c r="D83" s="66">
        <f>SUMIF(Пр.13!$C11:$C550,802,Пр.13!H11:H550)</f>
        <v>0</v>
      </c>
      <c r="E83" s="66">
        <f>SUMIF(Пр.13!$C11:$C550,802,Пр.13!I11:I550)</f>
        <v>0</v>
      </c>
      <c r="F83" s="66">
        <f>SUMIF(Пр.13!$C11:$C550,802,Пр.13!J11:J550)</f>
        <v>0</v>
      </c>
      <c r="G83" s="66">
        <f>SUMIF(Пр.13!$C11:$C550,802,Пр.13!K11:K550)</f>
        <v>0</v>
      </c>
      <c r="H83" s="66">
        <f>SUMIF(Пр.13!$C11:$C550,802,Пр.13!L11:L550)</f>
        <v>0</v>
      </c>
    </row>
    <row r="84" spans="1:8" ht="32.25" hidden="1" thickBot="1">
      <c r="A84" s="64">
        <v>803</v>
      </c>
      <c r="B84" s="67" t="s">
        <v>252</v>
      </c>
      <c r="C84" s="66">
        <f>SUMIF(Пр.13!$C12:$C554,803,Пр.13!G12:G554)</f>
        <v>0</v>
      </c>
      <c r="D84" s="66">
        <f>SUMIF(Пр.13!$C12:$C554,803,Пр.13!H12:H554)</f>
        <v>0</v>
      </c>
      <c r="E84" s="66">
        <f>SUMIF(Пр.13!$C12:$C554,803,Пр.13!I12:I554)</f>
        <v>0</v>
      </c>
      <c r="F84" s="66">
        <f>SUMIF(Пр.13!$C12:$C554,803,Пр.13!J12:J554)</f>
        <v>0</v>
      </c>
      <c r="G84" s="66">
        <f>SUMIF(Пр.13!$C12:$C554,803,Пр.13!K12:K554)</f>
        <v>0</v>
      </c>
      <c r="H84" s="66">
        <f>SUMIF(Пр.13!$C12:$C554,803,Пр.13!L12:L554)</f>
        <v>0</v>
      </c>
    </row>
    <row r="85" spans="1:8" ht="32.25" thickBot="1">
      <c r="A85" s="64">
        <v>804</v>
      </c>
      <c r="B85" s="67" t="s">
        <v>253</v>
      </c>
      <c r="C85" s="66">
        <f>SUMIF(Пр.13!$C14:$C555,804,Пр.13!G14:G555)</f>
        <v>24180578</v>
      </c>
      <c r="D85" s="66">
        <f>SUMIF(Пр.13!$C14:$C555,804,Пр.13!H14:H555)</f>
        <v>0</v>
      </c>
      <c r="E85" s="66">
        <f>SUMIF(Пр.13!$C14:$C555,804,Пр.13!I14:I555)</f>
        <v>24180578</v>
      </c>
      <c r="F85" s="66">
        <f>SUMIF(Пр.13!$C14:$C555,804,Пр.13!J14:J555)</f>
        <v>11180578</v>
      </c>
      <c r="G85" s="66">
        <f>SUMIF(Пр.13!$C14:$C555,804,Пр.13!K14:K555)</f>
        <v>0</v>
      </c>
      <c r="H85" s="66">
        <f>SUMIF(Пр.13!$C14:$C555,804,Пр.13!L14:L555)</f>
        <v>11180578</v>
      </c>
    </row>
    <row r="86" spans="1:8" ht="16.5" hidden="1" thickBot="1">
      <c r="A86" s="61">
        <v>900</v>
      </c>
      <c r="B86" s="70" t="s">
        <v>254</v>
      </c>
      <c r="C86" s="63">
        <f>SUM(C87:C95)</f>
        <v>0</v>
      </c>
      <c r="D86" s="63">
        <f t="shared" ref="D86:E86" si="24">SUM(D87:D95)</f>
        <v>0</v>
      </c>
      <c r="E86" s="63">
        <f t="shared" si="24"/>
        <v>0</v>
      </c>
      <c r="F86" s="63">
        <f t="shared" ref="F86:H86" si="25">SUM(F87:F95)</f>
        <v>0</v>
      </c>
      <c r="G86" s="63">
        <f t="shared" si="25"/>
        <v>0</v>
      </c>
      <c r="H86" s="63">
        <f t="shared" si="25"/>
        <v>0</v>
      </c>
    </row>
    <row r="87" spans="1:8" ht="16.5" hidden="1" thickBot="1">
      <c r="A87" s="64">
        <v>901</v>
      </c>
      <c r="B87" s="67" t="s">
        <v>255</v>
      </c>
      <c r="C87" s="66">
        <f>SUMIF(Пр.13!$C10:$C550,901,Пр.13!G10:G550)</f>
        <v>0</v>
      </c>
      <c r="D87" s="66">
        <f>SUMIF(Пр.13!$C10:$C550,901,Пр.13!H10:H550)</f>
        <v>0</v>
      </c>
      <c r="E87" s="66">
        <f>SUMIF(Пр.13!$C10:$C550,901,Пр.13!I10:I550)</f>
        <v>0</v>
      </c>
      <c r="F87" s="66">
        <f>SUMIF(Пр.13!$C10:$C550,901,Пр.13!J10:J550)</f>
        <v>0</v>
      </c>
      <c r="G87" s="66">
        <f>SUMIF(Пр.13!$C10:$C550,901,Пр.13!K10:K550)</f>
        <v>0</v>
      </c>
      <c r="H87" s="66">
        <f>SUMIF(Пр.13!$C10:$C550,901,Пр.13!L10:L550)</f>
        <v>0</v>
      </c>
    </row>
    <row r="88" spans="1:8" ht="16.5" hidden="1" thickBot="1">
      <c r="A88" s="64">
        <v>902</v>
      </c>
      <c r="B88" s="67" t="s">
        <v>256</v>
      </c>
      <c r="C88" s="66">
        <f>SUMIF(Пр.13!$C11:$C550,902,Пр.13!G11:G550)</f>
        <v>0</v>
      </c>
      <c r="D88" s="66">
        <f>SUMIF(Пр.13!$C11:$C550,902,Пр.13!H11:H550)</f>
        <v>0</v>
      </c>
      <c r="E88" s="66">
        <f>SUMIF(Пр.13!$C11:$C550,902,Пр.13!I11:I550)</f>
        <v>0</v>
      </c>
      <c r="F88" s="66">
        <f>SUMIF(Пр.13!$C11:$C550,902,Пр.13!J11:J550)</f>
        <v>0</v>
      </c>
      <c r="G88" s="66">
        <f>SUMIF(Пр.13!$C11:$C550,902,Пр.13!K11:K550)</f>
        <v>0</v>
      </c>
      <c r="H88" s="66">
        <f>SUMIF(Пр.13!$C11:$C550,902,Пр.13!L11:L550)</f>
        <v>0</v>
      </c>
    </row>
    <row r="89" spans="1:8" ht="32.25" hidden="1" thickBot="1">
      <c r="A89" s="64">
        <v>903</v>
      </c>
      <c r="B89" s="67" t="s">
        <v>257</v>
      </c>
      <c r="C89" s="66">
        <f>SUMIF(Пр.13!$C12:$C554,903,Пр.13!G12:G554)</f>
        <v>0</v>
      </c>
      <c r="D89" s="66">
        <f>SUMIF(Пр.13!$C12:$C554,903,Пр.13!H12:H554)</f>
        <v>0</v>
      </c>
      <c r="E89" s="66">
        <f>SUMIF(Пр.13!$C12:$C554,903,Пр.13!I12:I554)</f>
        <v>0</v>
      </c>
      <c r="F89" s="66">
        <f>SUMIF(Пр.13!$C12:$C554,903,Пр.13!J12:J554)</f>
        <v>0</v>
      </c>
      <c r="G89" s="66">
        <f>SUMIF(Пр.13!$C12:$C554,903,Пр.13!K12:K554)</f>
        <v>0</v>
      </c>
      <c r="H89" s="66">
        <f>SUMIF(Пр.13!$C12:$C554,903,Пр.13!L12:L554)</f>
        <v>0</v>
      </c>
    </row>
    <row r="90" spans="1:8" ht="16.5" hidden="1" thickBot="1">
      <c r="A90" s="64">
        <v>904</v>
      </c>
      <c r="B90" s="67" t="s">
        <v>258</v>
      </c>
      <c r="C90" s="66">
        <f>SUMIF(Пр.13!$C14:$C555,904,Пр.13!G14:G555)</f>
        <v>0</v>
      </c>
      <c r="D90" s="66">
        <f>SUMIF(Пр.13!$C14:$C555,904,Пр.13!H14:H555)</f>
        <v>0</v>
      </c>
      <c r="E90" s="66">
        <f>SUMIF(Пр.13!$C14:$C555,904,Пр.13!I14:I555)</f>
        <v>0</v>
      </c>
      <c r="F90" s="66">
        <f>SUMIF(Пр.13!$C14:$C555,904,Пр.13!J14:J555)</f>
        <v>0</v>
      </c>
      <c r="G90" s="66">
        <f>SUMIF(Пр.13!$C14:$C555,904,Пр.13!K14:K555)</f>
        <v>0</v>
      </c>
      <c r="H90" s="66">
        <f>SUMIF(Пр.13!$C14:$C555,904,Пр.13!L14:L555)</f>
        <v>0</v>
      </c>
    </row>
    <row r="91" spans="1:8" ht="16.5" hidden="1" thickBot="1">
      <c r="A91" s="64">
        <v>905</v>
      </c>
      <c r="B91" s="73" t="s">
        <v>259</v>
      </c>
      <c r="C91" s="66">
        <f>SUMIF(Пр.13!$C15:$C556,905,Пр.13!G15:G556)</f>
        <v>0</v>
      </c>
      <c r="D91" s="66">
        <f>SUMIF(Пр.13!$C15:$C556,905,Пр.13!H15:H556)</f>
        <v>0</v>
      </c>
      <c r="E91" s="66">
        <f>SUMIF(Пр.13!$C15:$C556,905,Пр.13!I15:I556)</f>
        <v>0</v>
      </c>
      <c r="F91" s="66">
        <f>SUMIF(Пр.13!$C15:$C556,905,Пр.13!J15:J556)</f>
        <v>0</v>
      </c>
      <c r="G91" s="66">
        <f>SUMIF(Пр.13!$C15:$C556,905,Пр.13!K15:K556)</f>
        <v>0</v>
      </c>
      <c r="H91" s="66">
        <f>SUMIF(Пр.13!$C15:$C556,905,Пр.13!L15:L556)</f>
        <v>0</v>
      </c>
    </row>
    <row r="92" spans="1:8" ht="32.25" hidden="1" thickBot="1">
      <c r="A92" s="64">
        <v>906</v>
      </c>
      <c r="B92" s="73" t="s">
        <v>260</v>
      </c>
      <c r="C92" s="66">
        <f>SUMIF(Пр.13!$C15:$C557,906,Пр.13!F15:F557)</f>
        <v>0</v>
      </c>
      <c r="D92" s="66">
        <f>SUMIF(Пр.13!$C15:$C557,906,Пр.13!G15:G557)</f>
        <v>0</v>
      </c>
      <c r="E92" s="66">
        <f>SUMIF(Пр.13!$C15:$C557,906,Пр.13!H15:H557)</f>
        <v>0</v>
      </c>
      <c r="F92" s="66">
        <f>SUMIF(Пр.13!$C15:$C557,906,Пр.13!I15:I557)</f>
        <v>0</v>
      </c>
      <c r="G92" s="66">
        <f>SUMIF(Пр.13!$C15:$C557,906,Пр.13!J15:J557)</f>
        <v>0</v>
      </c>
      <c r="H92" s="66">
        <f>SUMIF(Пр.13!$C15:$C557,906,Пр.13!K15:K557)</f>
        <v>0</v>
      </c>
    </row>
    <row r="93" spans="1:8" ht="16.5" hidden="1" thickBot="1">
      <c r="A93" s="64">
        <v>907</v>
      </c>
      <c r="B93" s="67" t="s">
        <v>261</v>
      </c>
      <c r="C93" s="66">
        <f>SUMIF(Пр.13!$C16:$C558,907,Пр.13!F16:F558)</f>
        <v>0</v>
      </c>
      <c r="D93" s="66">
        <f>SUMIF(Пр.13!$C16:$C558,907,Пр.13!G16:G558)</f>
        <v>0</v>
      </c>
      <c r="E93" s="66">
        <f>SUMIF(Пр.13!$C16:$C558,907,Пр.13!H16:H558)</f>
        <v>0</v>
      </c>
      <c r="F93" s="66">
        <f>SUMIF(Пр.13!$C16:$C558,907,Пр.13!I16:I558)</f>
        <v>0</v>
      </c>
      <c r="G93" s="66">
        <f>SUMIF(Пр.13!$C16:$C558,907,Пр.13!J16:J558)</f>
        <v>0</v>
      </c>
      <c r="H93" s="66">
        <f>SUMIF(Пр.13!$C16:$C558,907,Пр.13!K16:K558)</f>
        <v>0</v>
      </c>
    </row>
    <row r="94" spans="1:8" ht="32.25" hidden="1" thickBot="1">
      <c r="A94" s="64">
        <v>908</v>
      </c>
      <c r="B94" s="65" t="s">
        <v>262</v>
      </c>
      <c r="C94" s="66">
        <f>SUMIF(Пр.13!$C17:$C559,908,Пр.13!F17:F559)</f>
        <v>0</v>
      </c>
      <c r="D94" s="66">
        <f>SUMIF(Пр.13!$C17:$C559,908,Пр.13!G17:G559)</f>
        <v>0</v>
      </c>
      <c r="E94" s="66">
        <f>SUMIF(Пр.13!$C17:$C559,908,Пр.13!H17:H559)</f>
        <v>0</v>
      </c>
      <c r="F94" s="66">
        <f>SUMIF(Пр.13!$C17:$C559,908,Пр.13!I17:I559)</f>
        <v>0</v>
      </c>
      <c r="G94" s="66">
        <f>SUMIF(Пр.13!$C17:$C559,908,Пр.13!J17:J559)</f>
        <v>0</v>
      </c>
      <c r="H94" s="66">
        <f>SUMIF(Пр.13!$C17:$C559,908,Пр.13!K17:K559)</f>
        <v>0</v>
      </c>
    </row>
    <row r="95" spans="1:8" ht="16.5" hidden="1" thickBot="1">
      <c r="A95" s="64">
        <v>909</v>
      </c>
      <c r="B95" s="67" t="s">
        <v>263</v>
      </c>
      <c r="C95" s="66">
        <f>SUMIF(Пр.13!$C18:$C560,909,Пр.13!F18:F560)</f>
        <v>0</v>
      </c>
      <c r="D95" s="66">
        <f>SUMIF(Пр.13!$C18:$C560,909,Пр.13!G18:G560)</f>
        <v>0</v>
      </c>
      <c r="E95" s="66">
        <f>SUMIF(Пр.13!$C18:$C560,909,Пр.13!H18:H560)</f>
        <v>0</v>
      </c>
      <c r="F95" s="66">
        <f>SUMIF(Пр.13!$C18:$C560,909,Пр.13!I18:I560)</f>
        <v>0</v>
      </c>
      <c r="G95" s="66">
        <f>SUMIF(Пр.13!$C18:$C560,909,Пр.13!J18:J560)</f>
        <v>0</v>
      </c>
      <c r="H95" s="66">
        <f>SUMIF(Пр.13!$C18:$C560,909,Пр.13!K18:K560)</f>
        <v>0</v>
      </c>
    </row>
    <row r="96" spans="1:8" ht="16.5" thickBot="1">
      <c r="A96" s="61">
        <v>1000</v>
      </c>
      <c r="B96" s="70" t="s">
        <v>264</v>
      </c>
      <c r="C96" s="63">
        <f>SUM(C97:C102)</f>
        <v>462163291</v>
      </c>
      <c r="D96" s="63">
        <f t="shared" ref="D96:E96" si="26">SUM(D97:D102)</f>
        <v>1098131</v>
      </c>
      <c r="E96" s="63">
        <f t="shared" si="26"/>
        <v>463261422</v>
      </c>
      <c r="F96" s="63">
        <f t="shared" ref="F96:H96" si="27">SUM(F97:F102)</f>
        <v>464813391</v>
      </c>
      <c r="G96" s="63">
        <f t="shared" si="27"/>
        <v>1098131</v>
      </c>
      <c r="H96" s="63">
        <f t="shared" si="27"/>
        <v>465911522</v>
      </c>
    </row>
    <row r="97" spans="1:8" ht="16.5" hidden="1" thickBot="1">
      <c r="A97" s="64">
        <v>1001</v>
      </c>
      <c r="B97" s="67" t="s">
        <v>265</v>
      </c>
      <c r="C97" s="66">
        <f>SUMIF(Пр.13!$C10:$C550,1001,Пр.13!G10:G550)</f>
        <v>0</v>
      </c>
      <c r="D97" s="66">
        <f>SUMIF(Пр.13!$C10:$C550,1001,Пр.13!H10:H550)</f>
        <v>730800</v>
      </c>
      <c r="E97" s="66">
        <f>SUMIF(Пр.13!$C10:$C550,1001,Пр.13!I10:I550)</f>
        <v>730800</v>
      </c>
      <c r="F97" s="66">
        <f>SUMIF(Пр.13!$C10:$C550,1001,Пр.13!J10:J550)</f>
        <v>0</v>
      </c>
      <c r="G97" s="66">
        <f>SUMIF(Пр.13!$C10:$C550,1001,Пр.13!K10:K550)</f>
        <v>730800</v>
      </c>
      <c r="H97" s="66">
        <f>SUMIF(Пр.13!$C10:$C550,1001,Пр.13!L10:L550)</f>
        <v>730800</v>
      </c>
    </row>
    <row r="98" spans="1:8" ht="16.5" thickBot="1">
      <c r="A98" s="64">
        <v>1002</v>
      </c>
      <c r="B98" s="67" t="s">
        <v>266</v>
      </c>
      <c r="C98" s="66">
        <f>SUMIF(Пр.13!$C11:$C550,1002,Пр.13!G11:G550)</f>
        <v>79748040</v>
      </c>
      <c r="D98" s="66">
        <f>SUMIF(Пр.13!$C11:$C550,1002,Пр.13!H11:H550)</f>
        <v>0</v>
      </c>
      <c r="E98" s="66">
        <f>SUMIF(Пр.13!$C11:$C550,1002,Пр.13!I11:I550)</f>
        <v>79748040</v>
      </c>
      <c r="F98" s="66">
        <f>SUMIF(Пр.13!$C11:$C550,1002,Пр.13!J11:J550)</f>
        <v>79748040</v>
      </c>
      <c r="G98" s="66">
        <f>SUMIF(Пр.13!$C11:$C550,1002,Пр.13!K11:K550)</f>
        <v>0</v>
      </c>
      <c r="H98" s="66">
        <f>SUMIF(Пр.13!$C11:$C550,1002,Пр.13!L11:L550)</f>
        <v>79748040</v>
      </c>
    </row>
    <row r="99" spans="1:8" ht="16.5" thickBot="1">
      <c r="A99" s="64">
        <v>1003</v>
      </c>
      <c r="B99" s="67" t="s">
        <v>267</v>
      </c>
      <c r="C99" s="66">
        <f>SUMIF(Пр.13!$C12:$C554,1003,Пр.13!G12:G554)</f>
        <v>246035992</v>
      </c>
      <c r="D99" s="66">
        <f>SUMIF(Пр.13!$C12:$C554,1003,Пр.13!H12:H554)</f>
        <v>-37934669</v>
      </c>
      <c r="E99" s="66">
        <f>SUMIF(Пр.13!$C12:$C554,1003,Пр.13!I12:I554)</f>
        <v>208101323</v>
      </c>
      <c r="F99" s="66">
        <f>SUMIF(Пр.13!$C12:$C554,1003,Пр.13!J12:J554)</f>
        <v>246184992</v>
      </c>
      <c r="G99" s="66">
        <f>SUMIF(Пр.13!$C12:$C554,1003,Пр.13!K12:K554)</f>
        <v>-37934669</v>
      </c>
      <c r="H99" s="66">
        <f>SUMIF(Пр.13!$C12:$C554,1003,Пр.13!L12:L554)</f>
        <v>208250323</v>
      </c>
    </row>
    <row r="100" spans="1:8" ht="16.5" thickBot="1">
      <c r="A100" s="64">
        <v>1004</v>
      </c>
      <c r="B100" s="65" t="s">
        <v>268</v>
      </c>
      <c r="C100" s="66">
        <f>SUMIF(Пр.13!$C14:$C555,1004,Пр.13!G14:G555)</f>
        <v>121407260</v>
      </c>
      <c r="D100" s="66">
        <f>SUMIF(Пр.13!$C14:$C555,1004,Пр.13!H14:H555)</f>
        <v>38302000</v>
      </c>
      <c r="E100" s="66">
        <f>SUMIF(Пр.13!$C14:$C555,1004,Пр.13!I14:I555)</f>
        <v>159709260</v>
      </c>
      <c r="F100" s="66">
        <f>SUMIF(Пр.13!$C14:$C555,1004,Пр.13!J14:J555)</f>
        <v>123908360</v>
      </c>
      <c r="G100" s="66">
        <f>SUMIF(Пр.13!$C14:$C555,1004,Пр.13!K14:K555)</f>
        <v>38302000</v>
      </c>
      <c r="H100" s="66">
        <f>SUMIF(Пр.13!$C14:$C555,1004,Пр.13!L14:L555)</f>
        <v>162210360</v>
      </c>
    </row>
    <row r="101" spans="1:8" ht="32.25" hidden="1" thickBot="1">
      <c r="A101" s="64">
        <v>1005</v>
      </c>
      <c r="B101" s="67" t="s">
        <v>269</v>
      </c>
      <c r="C101" s="66">
        <f>SUMIF(Пр.13!$C15:$C556,1005,Пр.13!G15:G556)</f>
        <v>0</v>
      </c>
      <c r="D101" s="66">
        <f>SUMIF(Пр.13!$C15:$C556,1005,Пр.13!H15:H556)</f>
        <v>0</v>
      </c>
      <c r="E101" s="66">
        <f>SUMIF(Пр.13!$C15:$C556,1005,Пр.13!I15:I556)</f>
        <v>0</v>
      </c>
      <c r="F101" s="66">
        <f>SUMIF(Пр.13!$C15:$C556,1005,Пр.13!J15:J556)</f>
        <v>0</v>
      </c>
      <c r="G101" s="66">
        <f>SUMIF(Пр.13!$C15:$C556,1005,Пр.13!K15:K556)</f>
        <v>0</v>
      </c>
      <c r="H101" s="66">
        <f>SUMIF(Пр.13!$C15:$C556,1005,Пр.13!L15:L556)</f>
        <v>0</v>
      </c>
    </row>
    <row r="102" spans="1:8" ht="16.5" thickBot="1">
      <c r="A102" s="64">
        <v>1006</v>
      </c>
      <c r="B102" s="67" t="s">
        <v>270</v>
      </c>
      <c r="C102" s="66">
        <f>SUMIF(Пр.13!$C16:$C557,1006,Пр.13!G16:G557)</f>
        <v>14971999</v>
      </c>
      <c r="D102" s="66">
        <f>SUMIF(Пр.13!$C16:$C557,1006,Пр.13!H16:H557)</f>
        <v>0</v>
      </c>
      <c r="E102" s="66">
        <f>SUMIF(Пр.13!$C16:$C557,1006,Пр.13!I16:I557)</f>
        <v>14971999</v>
      </c>
      <c r="F102" s="66">
        <f>SUMIF(Пр.13!$C16:$C557,1006,Пр.13!J16:J557)</f>
        <v>14971999</v>
      </c>
      <c r="G102" s="66">
        <f>SUMIF(Пр.13!$C16:$C557,1006,Пр.13!K16:K557)</f>
        <v>0</v>
      </c>
      <c r="H102" s="66">
        <f>SUMIF(Пр.13!$C16:$C557,1006,Пр.13!L16:L557)</f>
        <v>14971999</v>
      </c>
    </row>
    <row r="103" spans="1:8" ht="16.5" thickBot="1">
      <c r="A103" s="61">
        <v>1100</v>
      </c>
      <c r="B103" s="70" t="s">
        <v>271</v>
      </c>
      <c r="C103" s="63">
        <f>SUM(C104:C108)</f>
        <v>34000000</v>
      </c>
      <c r="D103" s="63">
        <f t="shared" ref="D103:E103" si="28">SUM(D104:D108)</f>
        <v>0</v>
      </c>
      <c r="E103" s="63">
        <f t="shared" si="28"/>
        <v>34000000</v>
      </c>
      <c r="F103" s="63">
        <f t="shared" ref="F103" si="29">SUM(F104:F108)</f>
        <v>17000000</v>
      </c>
      <c r="G103" s="63">
        <f t="shared" ref="G103" si="30">SUM(G104:G108)</f>
        <v>0</v>
      </c>
      <c r="H103" s="63">
        <f t="shared" ref="H103" si="31">SUM(H104:H108)</f>
        <v>17000000</v>
      </c>
    </row>
    <row r="104" spans="1:8" ht="16.5" hidden="1" thickBot="1">
      <c r="A104" s="64">
        <v>1101</v>
      </c>
      <c r="B104" s="67" t="s">
        <v>272</v>
      </c>
      <c r="C104" s="66">
        <f>SUMIF(Пр.13!$C10:$C550,1101,Пр.13!G10:G550)</f>
        <v>0</v>
      </c>
      <c r="D104" s="66">
        <f>SUMIF(Пр.13!$C10:$C550,1101,Пр.13!H10:H550)</f>
        <v>0</v>
      </c>
      <c r="E104" s="66">
        <f>SUMIF(Пр.13!$C10:$C550,1101,Пр.13!I10:I550)</f>
        <v>0</v>
      </c>
      <c r="F104" s="66">
        <f>SUMIF(Пр.13!$C10:$C550,1101,Пр.13!J10:J550)</f>
        <v>0</v>
      </c>
      <c r="G104" s="66">
        <f>SUMIF(Пр.13!$C10:$C550,1101,Пр.13!K10:K550)</f>
        <v>0</v>
      </c>
      <c r="H104" s="66">
        <f>SUMIF(Пр.13!$C10:$C550,1101,Пр.13!L10:L550)</f>
        <v>0</v>
      </c>
    </row>
    <row r="105" spans="1:8" ht="16.5" thickBot="1">
      <c r="A105" s="64">
        <v>1102</v>
      </c>
      <c r="B105" s="73" t="s">
        <v>273</v>
      </c>
      <c r="C105" s="66">
        <f>SUMIF(Пр.13!$C11:$C550,1102,Пр.13!G11:G550)</f>
        <v>34000000</v>
      </c>
      <c r="D105" s="66">
        <f>SUMIF(Пр.13!$C11:$C550,1102,Пр.13!H11:H550)</f>
        <v>0</v>
      </c>
      <c r="E105" s="66">
        <f>SUMIF(Пр.13!$C11:$C550,1102,Пр.13!I11:I550)</f>
        <v>34000000</v>
      </c>
      <c r="F105" s="66">
        <f>SUMIF(Пр.13!$C11:$C550,1102,Пр.13!J11:J550)</f>
        <v>17000000</v>
      </c>
      <c r="G105" s="66">
        <f>SUMIF(Пр.13!$C11:$C550,1102,Пр.13!K11:K550)</f>
        <v>0</v>
      </c>
      <c r="H105" s="66">
        <f>SUMIF(Пр.13!$C11:$C550,1102,Пр.13!L11:L550)</f>
        <v>17000000</v>
      </c>
    </row>
    <row r="106" spans="1:8" ht="16.5" hidden="1" thickBot="1">
      <c r="A106" s="64">
        <v>1103</v>
      </c>
      <c r="B106" s="67" t="s">
        <v>274</v>
      </c>
      <c r="C106" s="66">
        <f>SUMIF(Пр.13!$C12:$C554,1103,Пр.13!G12:G554)</f>
        <v>0</v>
      </c>
      <c r="D106" s="66">
        <f>SUMIF(Пр.13!$C12:$C554,1103,Пр.13!H12:H554)</f>
        <v>0</v>
      </c>
      <c r="E106" s="66">
        <f>SUMIF(Пр.13!$C12:$C554,1103,Пр.13!I12:I554)</f>
        <v>0</v>
      </c>
      <c r="F106" s="66">
        <f>SUMIF(Пр.13!$C12:$C554,1103,Пр.13!J12:J554)</f>
        <v>0</v>
      </c>
      <c r="G106" s="66">
        <f>SUMIF(Пр.13!$C12:$C554,1103,Пр.13!K12:K554)</f>
        <v>0</v>
      </c>
      <c r="H106" s="66">
        <f>SUMIF(Пр.13!$C12:$C554,1103,Пр.13!L12:L554)</f>
        <v>0</v>
      </c>
    </row>
    <row r="107" spans="1:8" ht="32.25" hidden="1" thickBot="1">
      <c r="A107" s="64">
        <v>1104</v>
      </c>
      <c r="B107" s="67" t="s">
        <v>275</v>
      </c>
      <c r="C107" s="66">
        <f>SUMIF(Пр.13!$C14:$C555,1104,Пр.13!G14:G555)</f>
        <v>0</v>
      </c>
      <c r="D107" s="66">
        <f>SUMIF(Пр.13!$C14:$C555,1104,Пр.13!H14:H555)</f>
        <v>0</v>
      </c>
      <c r="E107" s="66">
        <f>SUMIF(Пр.13!$C14:$C555,1104,Пр.13!I14:I555)</f>
        <v>0</v>
      </c>
      <c r="F107" s="66">
        <f>SUMIF(Пр.13!$C14:$C555,1104,Пр.13!J14:J555)</f>
        <v>0</v>
      </c>
      <c r="G107" s="66">
        <f>SUMIF(Пр.13!$C14:$C555,1104,Пр.13!K14:K555)</f>
        <v>0</v>
      </c>
      <c r="H107" s="66">
        <f>SUMIF(Пр.13!$C14:$C555,1104,Пр.13!L14:L555)</f>
        <v>0</v>
      </c>
    </row>
    <row r="108" spans="1:8" ht="32.25" hidden="1" thickBot="1">
      <c r="A108" s="64">
        <v>1105</v>
      </c>
      <c r="B108" s="67" t="s">
        <v>276</v>
      </c>
      <c r="C108" s="66">
        <f>SUMIF(Пр.13!$C15:$C556,1105,Пр.13!G15:G556)</f>
        <v>0</v>
      </c>
      <c r="D108" s="66">
        <f>SUMIF(Пр.13!$C15:$C556,1105,Пр.13!H15:H556)</f>
        <v>0</v>
      </c>
      <c r="E108" s="66">
        <f>SUMIF(Пр.13!$C15:$C556,1105,Пр.13!I15:I556)</f>
        <v>0</v>
      </c>
      <c r="F108" s="66">
        <f>SUMIF(Пр.13!$C15:$C556,1105,Пр.13!J15:J556)</f>
        <v>0</v>
      </c>
      <c r="G108" s="66">
        <f>SUMIF(Пр.13!$C15:$C556,1105,Пр.13!K15:K556)</f>
        <v>0</v>
      </c>
      <c r="H108" s="66">
        <f>SUMIF(Пр.13!$C15:$C556,1105,Пр.13!L15:L556)</f>
        <v>0</v>
      </c>
    </row>
    <row r="109" spans="1:8" ht="16.5" thickBot="1">
      <c r="A109" s="61">
        <v>1200</v>
      </c>
      <c r="B109" s="70" t="s">
        <v>277</v>
      </c>
      <c r="C109" s="63">
        <f>SUM(C110:C113)</f>
        <v>2000000</v>
      </c>
      <c r="D109" s="63">
        <f t="shared" ref="D109:E109" si="32">SUM(D110:D113)</f>
        <v>0</v>
      </c>
      <c r="E109" s="63">
        <f t="shared" si="32"/>
        <v>2000000</v>
      </c>
      <c r="F109" s="63">
        <f t="shared" ref="F109:H109" si="33">SUM(F110:F113)</f>
        <v>1000000</v>
      </c>
      <c r="G109" s="63">
        <f t="shared" si="33"/>
        <v>0</v>
      </c>
      <c r="H109" s="63">
        <f t="shared" si="33"/>
        <v>1000000</v>
      </c>
    </row>
    <row r="110" spans="1:8" ht="16.5" hidden="1" thickBot="1">
      <c r="A110" s="64">
        <v>1201</v>
      </c>
      <c r="B110" s="67" t="s">
        <v>278</v>
      </c>
      <c r="C110" s="66">
        <f>SUMIF(Пр.13!$C10:$C550,1201,Пр.13!G10:G550)</f>
        <v>0</v>
      </c>
      <c r="D110" s="66">
        <f>SUMIF(Пр.13!$C10:$C550,1201,Пр.13!H10:H550)</f>
        <v>0</v>
      </c>
      <c r="E110" s="66">
        <f>SUMIF(Пр.13!$C10:$C550,1201,Пр.13!I10:I550)</f>
        <v>0</v>
      </c>
      <c r="F110" s="66">
        <f>SUMIF(Пр.13!$C10:$C550,1201,Пр.13!J10:J550)</f>
        <v>0</v>
      </c>
      <c r="G110" s="66">
        <f>SUMIF(Пр.13!$C10:$C550,1201,Пр.13!K10:K550)</f>
        <v>0</v>
      </c>
      <c r="H110" s="66">
        <f>SUMIF(Пр.13!$C10:$C550,1201,Пр.13!L10:L550)</f>
        <v>0</v>
      </c>
    </row>
    <row r="111" spans="1:8" ht="16.5" thickBot="1">
      <c r="A111" s="64">
        <v>1202</v>
      </c>
      <c r="B111" s="67" t="s">
        <v>279</v>
      </c>
      <c r="C111" s="66">
        <f>SUMIF(Пр.13!$C11:$C550,1202,Пр.13!G11:G550)</f>
        <v>2000000</v>
      </c>
      <c r="D111" s="66">
        <f>SUMIF(Пр.13!$C11:$C550,1202,Пр.13!H11:H550)</f>
        <v>0</v>
      </c>
      <c r="E111" s="66">
        <f>SUMIF(Пр.13!$C11:$C550,1202,Пр.13!I11:I550)</f>
        <v>2000000</v>
      </c>
      <c r="F111" s="66">
        <f>SUMIF(Пр.13!$C11:$C550,1202,Пр.13!J11:J550)</f>
        <v>1000000</v>
      </c>
      <c r="G111" s="66">
        <f>SUMIF(Пр.13!$C11:$C550,1202,Пр.13!K11:K550)</f>
        <v>0</v>
      </c>
      <c r="H111" s="66">
        <f>SUMIF(Пр.13!$C11:$C550,1202,Пр.13!L11:L550)</f>
        <v>1000000</v>
      </c>
    </row>
    <row r="112" spans="1:8" ht="32.25" hidden="1" thickBot="1">
      <c r="A112" s="64">
        <v>1203</v>
      </c>
      <c r="B112" s="67" t="s">
        <v>280</v>
      </c>
      <c r="C112" s="66">
        <f>SUMIF(Пр.13!$C12:$C554,1203,Пр.13!G12:G554)</f>
        <v>0</v>
      </c>
      <c r="D112" s="66">
        <f>SUMIF(Пр.13!$C12:$C554,1203,Пр.13!H12:H554)</f>
        <v>0</v>
      </c>
      <c r="E112" s="66">
        <f>SUMIF(Пр.13!$C12:$C554,1203,Пр.13!I12:I554)</f>
        <v>0</v>
      </c>
      <c r="F112" s="66">
        <f>SUMIF(Пр.13!$C12:$C554,1203,Пр.13!J12:J554)</f>
        <v>0</v>
      </c>
      <c r="G112" s="66">
        <f>SUMIF(Пр.13!$C12:$C554,1203,Пр.13!K12:K554)</f>
        <v>0</v>
      </c>
      <c r="H112" s="66">
        <f>SUMIF(Пр.13!$C12:$C554,1203,Пр.13!L12:L554)</f>
        <v>0</v>
      </c>
    </row>
    <row r="113" spans="1:8" ht="32.25" hidden="1" thickBot="1">
      <c r="A113" s="64">
        <v>1204</v>
      </c>
      <c r="B113" s="67" t="s">
        <v>281</v>
      </c>
      <c r="C113" s="66">
        <f>SUMIF(Пр.13!$C14:$C555,1204,Пр.13!G14:G555)</f>
        <v>0</v>
      </c>
      <c r="D113" s="66">
        <f>SUMIF(Пр.13!$C14:$C555,1204,Пр.13!H14:H555)</f>
        <v>0</v>
      </c>
      <c r="E113" s="66">
        <f>SUMIF(Пр.13!$C14:$C555,1204,Пр.13!I14:I555)</f>
        <v>0</v>
      </c>
      <c r="F113" s="66">
        <f>SUMIF(Пр.13!$C14:$C555,1204,Пр.13!J14:J555)</f>
        <v>0</v>
      </c>
      <c r="G113" s="66">
        <f>SUMIF(Пр.13!$C14:$C555,1204,Пр.13!K14:K555)</f>
        <v>0</v>
      </c>
      <c r="H113" s="66">
        <f>SUMIF(Пр.13!$C14:$C555,1204,Пр.13!L14:L555)</f>
        <v>0</v>
      </c>
    </row>
    <row r="114" spans="1:8" ht="32.25" thickBot="1">
      <c r="A114" s="61">
        <v>1300</v>
      </c>
      <c r="B114" s="70" t="s">
        <v>282</v>
      </c>
      <c r="C114" s="63">
        <f>SUM(C115:C116)</f>
        <v>200000</v>
      </c>
      <c r="D114" s="63">
        <f t="shared" ref="D114:E114" si="34">SUM(D115:D116)</f>
        <v>0</v>
      </c>
      <c r="E114" s="63">
        <f t="shared" si="34"/>
        <v>200000</v>
      </c>
      <c r="F114" s="63">
        <f t="shared" ref="F114:H114" si="35">SUM(F115:F116)</f>
        <v>200000</v>
      </c>
      <c r="G114" s="63">
        <f t="shared" si="35"/>
        <v>0</v>
      </c>
      <c r="H114" s="63">
        <f t="shared" si="35"/>
        <v>200000</v>
      </c>
    </row>
    <row r="115" spans="1:8" ht="32.25" thickBot="1">
      <c r="A115" s="64">
        <v>1301</v>
      </c>
      <c r="B115" s="67" t="s">
        <v>283</v>
      </c>
      <c r="C115" s="66">
        <f>SUMIF(Пр.13!$C10:$C550,1301,Пр.13!G10:G550)</f>
        <v>200000</v>
      </c>
      <c r="D115" s="66">
        <f>SUMIF(Пр.13!$C10:$C550,1301,Пр.13!H10:H550)</f>
        <v>0</v>
      </c>
      <c r="E115" s="66">
        <f>SUMIF(Пр.13!$C10:$C550,1301,Пр.13!I10:I550)</f>
        <v>200000</v>
      </c>
      <c r="F115" s="66">
        <f>SUMIF(Пр.13!$C10:$C550,1301,Пр.13!J10:J550)</f>
        <v>200000</v>
      </c>
      <c r="G115" s="66">
        <f>SUMIF(Пр.13!$C10:$C550,1301,Пр.13!K10:K550)</f>
        <v>0</v>
      </c>
      <c r="H115" s="66">
        <f>SUMIF(Пр.13!$C10:$C550,1301,Пр.13!L10:L550)</f>
        <v>200000</v>
      </c>
    </row>
    <row r="116" spans="1:8" ht="16.5" hidden="1" thickBot="1">
      <c r="A116" s="64">
        <v>1302</v>
      </c>
      <c r="B116" s="67" t="s">
        <v>284</v>
      </c>
      <c r="C116" s="66">
        <f>SUMIF(Пр.13!$C11:$C550,1302,Пр.13!G11:G550)</f>
        <v>0</v>
      </c>
      <c r="D116" s="66">
        <f>SUMIF(Пр.13!$C11:$C550,1302,Пр.13!H11:H550)</f>
        <v>0</v>
      </c>
      <c r="E116" s="66">
        <f>SUMIF(Пр.13!$C11:$C550,1302,Пр.13!I11:I550)</f>
        <v>0</v>
      </c>
      <c r="F116" s="66">
        <f>SUMIF(Пр.13!$C11:$C550,1302,Пр.13!J11:J550)</f>
        <v>0</v>
      </c>
      <c r="G116" s="66">
        <f>SUMIF(Пр.13!$C11:$C550,1302,Пр.13!K11:K550)</f>
        <v>0</v>
      </c>
      <c r="H116" s="66">
        <f>SUMIF(Пр.13!$C11:$C550,1302,Пр.13!L11:L550)</f>
        <v>0</v>
      </c>
    </row>
    <row r="117" spans="1:8" ht="63.75" thickBot="1">
      <c r="A117" s="61">
        <v>1400</v>
      </c>
      <c r="B117" s="70" t="s">
        <v>285</v>
      </c>
      <c r="C117" s="63">
        <f>SUM(C118:C120)</f>
        <v>2865000</v>
      </c>
      <c r="D117" s="63">
        <f t="shared" ref="D117:E117" si="36">SUM(D118:D120)</f>
        <v>-2665000</v>
      </c>
      <c r="E117" s="63">
        <f t="shared" si="36"/>
        <v>200000</v>
      </c>
      <c r="F117" s="63">
        <f t="shared" ref="F117:H117" si="37">SUM(F118:F120)</f>
        <v>0</v>
      </c>
      <c r="G117" s="63">
        <f t="shared" si="37"/>
        <v>0</v>
      </c>
      <c r="H117" s="63">
        <f t="shared" si="37"/>
        <v>0</v>
      </c>
    </row>
    <row r="118" spans="1:8" ht="48" thickBot="1">
      <c r="A118" s="64">
        <v>1401</v>
      </c>
      <c r="B118" s="67" t="s">
        <v>286</v>
      </c>
      <c r="C118" s="66">
        <f>SUMIF(Пр.13!$C10:$C550,1401,Пр.13!G10:G550)</f>
        <v>2865000</v>
      </c>
      <c r="D118" s="66">
        <f>SUMIF(Пр.13!$C10:$C550,1401,Пр.13!H10:H550)</f>
        <v>-2665000</v>
      </c>
      <c r="E118" s="66">
        <f>SUMIF(Пр.13!$C10:$C550,1401,Пр.13!I10:I550)</f>
        <v>200000</v>
      </c>
      <c r="F118" s="66">
        <f>SUMIF(Пр.13!$C10:$C550,1401,Пр.13!J10:J550)</f>
        <v>0</v>
      </c>
      <c r="G118" s="66">
        <f>SUMIF(Пр.13!$C10:$C550,1401,Пр.13!K10:K550)</f>
        <v>0</v>
      </c>
      <c r="H118" s="66">
        <f>SUMIF(Пр.13!$C10:$C550,1401,Пр.13!L10:L550)</f>
        <v>0</v>
      </c>
    </row>
    <row r="119" spans="1:8" ht="16.5" hidden="1" thickBot="1">
      <c r="A119" s="64">
        <v>1402</v>
      </c>
      <c r="B119" s="67" t="s">
        <v>287</v>
      </c>
      <c r="C119" s="66">
        <f>SUMIF(Пр.13!$C11:$C550,1402,Пр.13!G11:G550)</f>
        <v>0</v>
      </c>
      <c r="D119" s="66">
        <f>SUMIF(Пр.13!$C11:$C550,1402,Пр.13!H11:H550)</f>
        <v>0</v>
      </c>
      <c r="E119" s="66">
        <f>SUMIF(Пр.13!$C11:$C550,1402,Пр.13!I11:I550)</f>
        <v>0</v>
      </c>
      <c r="F119" s="66">
        <f>SUMIF(Пр.13!$C11:$C550,1402,Пр.13!J11:J550)</f>
        <v>0</v>
      </c>
      <c r="G119" s="66">
        <f>SUMIF(Пр.13!$C11:$C550,1402,Пр.13!K11:K550)</f>
        <v>0</v>
      </c>
      <c r="H119" s="66">
        <f>SUMIF(Пр.13!$C11:$C550,1402,Пр.13!L11:L550)</f>
        <v>0</v>
      </c>
    </row>
    <row r="120" spans="1:8" ht="48" hidden="1" thickBot="1">
      <c r="A120" s="64">
        <v>1403</v>
      </c>
      <c r="B120" s="67" t="s">
        <v>288</v>
      </c>
      <c r="C120" s="66">
        <f>SUMIF(Пр.13!$C12:$C554,1403,Пр.13!G12:G554)</f>
        <v>0</v>
      </c>
      <c r="D120" s="66">
        <f>SUMIF(Пр.13!$C12:$C554,1403,Пр.13!H12:H554)</f>
        <v>0</v>
      </c>
      <c r="E120" s="66">
        <f>SUMIF(Пр.13!$C12:$C554,1403,Пр.13!I12:I554)</f>
        <v>0</v>
      </c>
      <c r="F120" s="66">
        <f>SUMIF(Пр.13!$C12:$C554,1403,Пр.13!J12:J554)</f>
        <v>0</v>
      </c>
      <c r="G120" s="66">
        <f>SUMIF(Пр.13!$C12:$C554,1403,Пр.13!K12:K554)</f>
        <v>0</v>
      </c>
      <c r="H120" s="66">
        <f>SUMIF(Пр.13!$C12:$C554,1403,Пр.13!L12:L554)</f>
        <v>0</v>
      </c>
    </row>
    <row r="121" spans="1:8" ht="16.5" thickBot="1">
      <c r="A121" s="692" t="s">
        <v>165</v>
      </c>
      <c r="B121" s="692"/>
      <c r="C121" s="63">
        <f ca="1">C9+C23+C33+C46+C59+C65+C71+C81+C86+C96+C103+C109+C114+C117</f>
        <v>1712698136</v>
      </c>
      <c r="D121" s="63">
        <f t="shared" ref="D121:H121" ca="1" si="38">D9+D23+D33+D46+D59+D65+D71+D81+D86+D96+D103+D109+D114+D117</f>
        <v>111940198</v>
      </c>
      <c r="E121" s="63">
        <f t="shared" ca="1" si="38"/>
        <v>1824638334</v>
      </c>
      <c r="F121" s="63">
        <f t="shared" ca="1" si="38"/>
        <v>1490964325</v>
      </c>
      <c r="G121" s="63">
        <f t="shared" ca="1" si="38"/>
        <v>113808137</v>
      </c>
      <c r="H121" s="63">
        <f t="shared" ca="1" si="38"/>
        <v>1604772462</v>
      </c>
    </row>
    <row r="122" spans="1:8" ht="16.5" thickBot="1">
      <c r="A122" s="692" t="s">
        <v>291</v>
      </c>
      <c r="B122" s="692"/>
      <c r="C122" s="74">
        <v>13991900</v>
      </c>
      <c r="D122" s="74"/>
      <c r="E122" s="74">
        <f>C122+D122</f>
        <v>13991900</v>
      </c>
      <c r="F122" s="74">
        <v>17463400</v>
      </c>
      <c r="G122" s="74"/>
      <c r="H122" s="74">
        <f>F122+G122</f>
        <v>17463400</v>
      </c>
    </row>
    <row r="123" spans="1:8" ht="16.5" thickBot="1">
      <c r="A123" s="692" t="s">
        <v>289</v>
      </c>
      <c r="B123" s="692"/>
      <c r="C123" s="63">
        <f ca="1">Пр2!J123-C121-C122</f>
        <v>0</v>
      </c>
      <c r="D123" s="63"/>
      <c r="E123" s="63">
        <f ca="1">Пр2!L123-Пр4!E121-Пр4!E122</f>
        <v>0</v>
      </c>
      <c r="F123" s="63">
        <f ca="1">Пр2!M123-F121-F122</f>
        <v>0</v>
      </c>
      <c r="G123" s="63"/>
      <c r="H123" s="63">
        <f ca="1">Пр2!O123-H121-H122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view="pageBreakPreview" zoomScaleSheetLayoutView="100" workbookViewId="0">
      <selection activeCell="B18" sqref="B18"/>
    </sheetView>
  </sheetViews>
  <sheetFormatPr defaultRowHeight="12.75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>
      <c r="A1" s="682" t="s">
        <v>175</v>
      </c>
      <c r="B1" s="682"/>
      <c r="C1" s="682"/>
      <c r="D1" s="682"/>
      <c r="E1" s="682"/>
    </row>
    <row r="2" spans="1:5" ht="15.75">
      <c r="A2" s="682" t="s">
        <v>1</v>
      </c>
      <c r="B2" s="682"/>
      <c r="C2" s="682"/>
      <c r="D2" s="682"/>
      <c r="E2" s="682"/>
    </row>
    <row r="3" spans="1:5" ht="15.75">
      <c r="A3" s="682" t="s">
        <v>2</v>
      </c>
      <c r="B3" s="682"/>
      <c r="C3" s="682"/>
      <c r="D3" s="682"/>
      <c r="E3" s="682"/>
    </row>
    <row r="4" spans="1:5" ht="15.75">
      <c r="A4" s="682" t="s">
        <v>1820</v>
      </c>
      <c r="B4" s="682"/>
      <c r="C4" s="682"/>
      <c r="D4" s="682"/>
      <c r="E4" s="682"/>
    </row>
    <row r="6" spans="1:5" ht="15.75">
      <c r="A6" s="75"/>
      <c r="B6" s="1"/>
    </row>
    <row r="7" spans="1:5" ht="33" customHeight="1">
      <c r="A7" s="683" t="s">
        <v>1416</v>
      </c>
      <c r="B7" s="683"/>
      <c r="C7" s="683"/>
      <c r="D7" s="683"/>
      <c r="E7" s="683"/>
    </row>
    <row r="8" spans="1:5" ht="19.5" thickBot="1">
      <c r="A8" s="8"/>
      <c r="B8" s="1"/>
    </row>
    <row r="9" spans="1:5" ht="32.25" thickBot="1">
      <c r="A9" s="76" t="s">
        <v>176</v>
      </c>
      <c r="B9" s="76" t="s">
        <v>293</v>
      </c>
      <c r="C9" s="76" t="s">
        <v>178</v>
      </c>
      <c r="D9" s="76" t="s">
        <v>1787</v>
      </c>
      <c r="E9" s="76" t="s">
        <v>178</v>
      </c>
    </row>
    <row r="10" spans="1:5" ht="32.25" thickBot="1">
      <c r="A10" s="77" t="s">
        <v>294</v>
      </c>
      <c r="B10" s="62" t="s">
        <v>295</v>
      </c>
      <c r="C10" s="78">
        <f>C11+C13</f>
        <v>1250000</v>
      </c>
      <c r="D10" s="78">
        <f t="shared" ref="D10" si="0">D11+D13</f>
        <v>0</v>
      </c>
      <c r="E10" s="78">
        <f>SUM(C10:D10)</f>
        <v>1250000</v>
      </c>
    </row>
    <row r="11" spans="1:5" ht="32.25" thickBot="1">
      <c r="A11" s="79" t="s">
        <v>296</v>
      </c>
      <c r="B11" s="65" t="s">
        <v>297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</row>
    <row r="12" spans="1:5" ht="48" thickBot="1">
      <c r="A12" s="79" t="s">
        <v>298</v>
      </c>
      <c r="B12" s="65" t="s">
        <v>299</v>
      </c>
      <c r="C12" s="80">
        <v>1250000</v>
      </c>
      <c r="D12" s="80"/>
      <c r="E12" s="80">
        <f t="shared" ref="E12:E26" si="2">SUM(C12:D12)</f>
        <v>1250000</v>
      </c>
    </row>
    <row r="13" spans="1:5" ht="48" hidden="1" thickBot="1">
      <c r="A13" s="79" t="s">
        <v>300</v>
      </c>
      <c r="B13" s="65" t="s">
        <v>301</v>
      </c>
      <c r="C13" s="80">
        <f>C14</f>
        <v>0</v>
      </c>
      <c r="D13" s="80">
        <f t="shared" ref="D13" si="3">D14</f>
        <v>0</v>
      </c>
      <c r="E13" s="80">
        <f t="shared" si="2"/>
        <v>0</v>
      </c>
    </row>
    <row r="14" spans="1:5" ht="48" hidden="1" thickBot="1">
      <c r="A14" s="79" t="s">
        <v>302</v>
      </c>
      <c r="B14" s="65" t="s">
        <v>303</v>
      </c>
      <c r="C14" s="80">
        <v>0</v>
      </c>
      <c r="D14" s="80"/>
      <c r="E14" s="80">
        <f t="shared" si="2"/>
        <v>0</v>
      </c>
    </row>
    <row r="15" spans="1:5" ht="32.25" thickBot="1">
      <c r="A15" s="77" t="s">
        <v>304</v>
      </c>
      <c r="B15" s="62" t="s">
        <v>305</v>
      </c>
      <c r="C15" s="78">
        <f>-C18+C16</f>
        <v>-1250000</v>
      </c>
      <c r="D15" s="78">
        <f t="shared" ref="D15" si="4">D18+D16</f>
        <v>0</v>
      </c>
      <c r="E15" s="78">
        <f t="shared" si="2"/>
        <v>-1250000</v>
      </c>
    </row>
    <row r="16" spans="1:5" ht="63.75" hidden="1" thickBot="1">
      <c r="A16" s="81" t="s">
        <v>306</v>
      </c>
      <c r="B16" s="65" t="s">
        <v>307</v>
      </c>
      <c r="C16" s="80">
        <f>C17</f>
        <v>0</v>
      </c>
      <c r="D16" s="80">
        <f t="shared" ref="D16" si="5">D17</f>
        <v>0</v>
      </c>
      <c r="E16" s="80">
        <f t="shared" si="2"/>
        <v>0</v>
      </c>
    </row>
    <row r="17" spans="1:5" ht="63.75" hidden="1" thickBot="1">
      <c r="A17" s="81" t="s">
        <v>308</v>
      </c>
      <c r="B17" s="65" t="s">
        <v>309</v>
      </c>
      <c r="C17" s="80">
        <v>0</v>
      </c>
      <c r="D17" s="80"/>
      <c r="E17" s="80">
        <f t="shared" si="2"/>
        <v>0</v>
      </c>
    </row>
    <row r="18" spans="1:5" ht="63.75" thickBot="1">
      <c r="A18" s="79" t="s">
        <v>310</v>
      </c>
      <c r="B18" s="65" t="s">
        <v>311</v>
      </c>
      <c r="C18" s="80">
        <f>C19</f>
        <v>1250000</v>
      </c>
      <c r="D18" s="80">
        <f t="shared" ref="D18" si="6">D19</f>
        <v>0</v>
      </c>
      <c r="E18" s="80">
        <f t="shared" si="2"/>
        <v>1250000</v>
      </c>
    </row>
    <row r="19" spans="1:5" ht="63.75" thickBot="1">
      <c r="A19" s="79" t="s">
        <v>312</v>
      </c>
      <c r="B19" s="65" t="s">
        <v>313</v>
      </c>
      <c r="C19" s="80">
        <v>1250000</v>
      </c>
      <c r="D19" s="80"/>
      <c r="E19" s="80">
        <f t="shared" si="2"/>
        <v>1250000</v>
      </c>
    </row>
    <row r="20" spans="1:5" ht="32.25" thickBot="1">
      <c r="A20" s="77" t="s">
        <v>314</v>
      </c>
      <c r="B20" s="62" t="s">
        <v>315</v>
      </c>
      <c r="C20" s="78">
        <f>C22-C21</f>
        <v>0</v>
      </c>
      <c r="D20" s="78">
        <f>D22-D21</f>
        <v>2200000</v>
      </c>
      <c r="E20" s="78">
        <f t="shared" si="2"/>
        <v>2200000</v>
      </c>
    </row>
    <row r="21" spans="1:5" ht="32.25" thickBot="1">
      <c r="A21" s="79" t="s">
        <v>316</v>
      </c>
      <c r="B21" s="65" t="s">
        <v>317</v>
      </c>
      <c r="C21" s="80">
        <f>(Пр1!J137+C12+C25)</f>
        <v>2126702745</v>
      </c>
      <c r="D21" s="80">
        <f>(Пр1!K137+D12+D25)</f>
        <v>26116985</v>
      </c>
      <c r="E21" s="80">
        <f t="shared" si="2"/>
        <v>2152819730</v>
      </c>
    </row>
    <row r="22" spans="1:5" ht="32.25" thickBot="1">
      <c r="A22" s="79" t="s">
        <v>318</v>
      </c>
      <c r="B22" s="65" t="s">
        <v>319</v>
      </c>
      <c r="C22" s="80">
        <f>Пр_3!C121+C19</f>
        <v>2126702745</v>
      </c>
      <c r="D22" s="80">
        <f>Пр_3!D121</f>
        <v>28316985</v>
      </c>
      <c r="E22" s="80">
        <f t="shared" si="2"/>
        <v>2155019730</v>
      </c>
    </row>
    <row r="23" spans="1:5" ht="48" hidden="1" thickBot="1">
      <c r="A23" s="77" t="s">
        <v>320</v>
      </c>
      <c r="B23" s="62" t="s">
        <v>321</v>
      </c>
      <c r="C23" s="78">
        <f>C24</f>
        <v>0</v>
      </c>
      <c r="D23" s="78">
        <f t="shared" ref="D23:D24" si="7">D24</f>
        <v>0</v>
      </c>
      <c r="E23" s="80">
        <f t="shared" si="2"/>
        <v>0</v>
      </c>
    </row>
    <row r="24" spans="1:5" ht="48" hidden="1" thickBot="1">
      <c r="A24" s="79" t="s">
        <v>322</v>
      </c>
      <c r="B24" s="65" t="s">
        <v>323</v>
      </c>
      <c r="C24" s="80">
        <f>C25</f>
        <v>0</v>
      </c>
      <c r="D24" s="80">
        <f t="shared" si="7"/>
        <v>0</v>
      </c>
      <c r="E24" s="80">
        <f t="shared" si="2"/>
        <v>0</v>
      </c>
    </row>
    <row r="25" spans="1:5" ht="63.75" hidden="1" thickBot="1">
      <c r="A25" s="79" t="s">
        <v>324</v>
      </c>
      <c r="B25" s="65" t="s">
        <v>325</v>
      </c>
      <c r="C25" s="80"/>
      <c r="D25" s="80"/>
      <c r="E25" s="80">
        <f t="shared" si="2"/>
        <v>0</v>
      </c>
    </row>
    <row r="26" spans="1:5" ht="16.5" thickBot="1">
      <c r="A26" s="695" t="s">
        <v>326</v>
      </c>
      <c r="B26" s="695"/>
      <c r="C26" s="82">
        <f>C20+C10+C23+C15</f>
        <v>0</v>
      </c>
      <c r="D26" s="82">
        <f t="shared" ref="D26" si="8">D20+D10+D23+D15</f>
        <v>2200000</v>
      </c>
      <c r="E26" s="78">
        <f t="shared" si="2"/>
        <v>2200000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view="pageBreakPreview" zoomScaleSheetLayoutView="100" workbookViewId="0">
      <selection activeCell="B13" sqref="B13"/>
    </sheetView>
  </sheetViews>
  <sheetFormatPr defaultColWidth="9.140625" defaultRowHeight="12.75"/>
  <cols>
    <col min="1" max="1" width="25" style="43" customWidth="1"/>
    <col min="2" max="2" width="33.42578125" style="43" customWidth="1"/>
    <col min="3" max="3" width="16.140625" style="43" hidden="1" customWidth="1"/>
    <col min="4" max="4" width="16" style="43" hidden="1" customWidth="1"/>
    <col min="5" max="5" width="15.140625" style="43" customWidth="1"/>
    <col min="6" max="6" width="16.140625" style="43" hidden="1" customWidth="1"/>
    <col min="7" max="7" width="13.28515625" style="43" hidden="1" customWidth="1"/>
    <col min="8" max="8" width="16" style="43" customWidth="1"/>
    <col min="9" max="16384" width="9.140625" style="43"/>
  </cols>
  <sheetData>
    <row r="1" spans="1:8" ht="15.75">
      <c r="A1" s="682" t="s">
        <v>327</v>
      </c>
      <c r="B1" s="682"/>
      <c r="C1" s="682"/>
      <c r="D1" s="682"/>
      <c r="E1" s="682"/>
      <c r="F1" s="682"/>
      <c r="G1" s="682"/>
      <c r="H1" s="682"/>
    </row>
    <row r="2" spans="1:8" ht="15.75">
      <c r="A2" s="682" t="s">
        <v>1</v>
      </c>
      <c r="B2" s="682"/>
      <c r="C2" s="682"/>
      <c r="D2" s="682"/>
      <c r="E2" s="682"/>
      <c r="F2" s="682"/>
      <c r="G2" s="682"/>
      <c r="H2" s="682"/>
    </row>
    <row r="3" spans="1:8" ht="15.75">
      <c r="A3" s="682" t="s">
        <v>2</v>
      </c>
      <c r="B3" s="682"/>
      <c r="C3" s="682"/>
      <c r="D3" s="682"/>
      <c r="E3" s="682"/>
      <c r="F3" s="682"/>
      <c r="G3" s="682"/>
      <c r="H3" s="682"/>
    </row>
    <row r="4" spans="1:8" ht="15" customHeight="1">
      <c r="A4" s="682" t="s">
        <v>1828</v>
      </c>
      <c r="B4" s="682"/>
      <c r="C4" s="682"/>
      <c r="D4" s="682"/>
      <c r="E4" s="682"/>
      <c r="F4" s="682"/>
      <c r="G4" s="682"/>
      <c r="H4" s="682"/>
    </row>
    <row r="5" spans="1:8" hidden="1">
      <c r="C5" s="84"/>
      <c r="D5" s="50"/>
    </row>
    <row r="6" spans="1:8" ht="15" customHeight="1">
      <c r="A6" s="697" t="s">
        <v>1417</v>
      </c>
      <c r="B6" s="697"/>
      <c r="C6" s="697"/>
      <c r="D6" s="697"/>
      <c r="E6" s="697"/>
      <c r="F6" s="697"/>
      <c r="G6" s="697"/>
      <c r="H6" s="697"/>
    </row>
    <row r="7" spans="1:8" ht="58.5" customHeight="1">
      <c r="A7" s="697"/>
      <c r="B7" s="697"/>
      <c r="C7" s="697"/>
      <c r="D7" s="697"/>
      <c r="E7" s="697"/>
      <c r="F7" s="697"/>
      <c r="G7" s="697"/>
      <c r="H7" s="697"/>
    </row>
    <row r="8" spans="1:8" ht="19.5" thickBot="1">
      <c r="A8" s="8"/>
      <c r="B8" s="1"/>
      <c r="C8" s="84"/>
      <c r="D8" s="698"/>
      <c r="E8" s="698"/>
      <c r="F8" s="698"/>
      <c r="G8" s="698"/>
      <c r="H8" s="698"/>
    </row>
    <row r="9" spans="1:8" ht="32.25" thickBot="1">
      <c r="A9" s="76" t="s">
        <v>176</v>
      </c>
      <c r="B9" s="76" t="s">
        <v>293</v>
      </c>
      <c r="C9" s="76" t="s">
        <v>1606</v>
      </c>
      <c r="D9" s="76" t="s">
        <v>843</v>
      </c>
      <c r="E9" s="76" t="s">
        <v>1606</v>
      </c>
      <c r="F9" s="76" t="s">
        <v>1607</v>
      </c>
      <c r="G9" s="76" t="s">
        <v>843</v>
      </c>
      <c r="H9" s="76" t="s">
        <v>1607</v>
      </c>
    </row>
    <row r="10" spans="1:8" ht="48" thickBot="1">
      <c r="A10" s="85" t="s">
        <v>328</v>
      </c>
      <c r="B10" s="86" t="s">
        <v>295</v>
      </c>
      <c r="C10" s="78">
        <f>C11-C13</f>
        <v>0</v>
      </c>
      <c r="D10" s="78">
        <f t="shared" ref="D10:H10" si="0">D11-D13</f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</row>
    <row r="11" spans="1:8" ht="48" thickBot="1">
      <c r="A11" s="85" t="s">
        <v>296</v>
      </c>
      <c r="B11" s="87" t="s">
        <v>297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  <c r="F11" s="80">
        <f>F12</f>
        <v>1250000</v>
      </c>
      <c r="G11" s="80">
        <f t="shared" ref="G11" si="2">G12</f>
        <v>0</v>
      </c>
      <c r="H11" s="80">
        <f t="shared" ref="H11:H24" si="3">SUM(F11:G11)</f>
        <v>1250000</v>
      </c>
    </row>
    <row r="12" spans="1:8" ht="79.5" thickBot="1">
      <c r="A12" s="85" t="s">
        <v>298</v>
      </c>
      <c r="B12" s="87" t="s">
        <v>329</v>
      </c>
      <c r="C12" s="80">
        <v>1250000</v>
      </c>
      <c r="D12" s="80"/>
      <c r="E12" s="80">
        <f t="shared" ref="E12:E24" si="4">SUM(C12:D12)</f>
        <v>1250000</v>
      </c>
      <c r="F12" s="88">
        <v>1250000</v>
      </c>
      <c r="G12" s="88"/>
      <c r="H12" s="80">
        <f t="shared" si="3"/>
        <v>1250000</v>
      </c>
    </row>
    <row r="13" spans="1:8" ht="63.75" thickBot="1">
      <c r="A13" s="85" t="s">
        <v>300</v>
      </c>
      <c r="B13" s="87" t="s">
        <v>301</v>
      </c>
      <c r="C13" s="80">
        <f>C14</f>
        <v>1250000</v>
      </c>
      <c r="D13" s="80">
        <f t="shared" ref="D13" si="5">D14</f>
        <v>0</v>
      </c>
      <c r="E13" s="80">
        <f t="shared" si="4"/>
        <v>1250000</v>
      </c>
      <c r="F13" s="80">
        <f>F14</f>
        <v>1250000</v>
      </c>
      <c r="G13" s="80">
        <f t="shared" ref="G13" si="6">G14</f>
        <v>0</v>
      </c>
      <c r="H13" s="80">
        <f t="shared" si="3"/>
        <v>1250000</v>
      </c>
    </row>
    <row r="14" spans="1:8" ht="79.5" thickBot="1">
      <c r="A14" s="85" t="s">
        <v>302</v>
      </c>
      <c r="B14" s="87" t="s">
        <v>330</v>
      </c>
      <c r="C14" s="80">
        <v>1250000</v>
      </c>
      <c r="D14" s="80"/>
      <c r="E14" s="80">
        <f t="shared" si="4"/>
        <v>1250000</v>
      </c>
      <c r="F14" s="88">
        <v>1250000</v>
      </c>
      <c r="G14" s="88"/>
      <c r="H14" s="80">
        <f t="shared" si="3"/>
        <v>1250000</v>
      </c>
    </row>
    <row r="15" spans="1:8" ht="63.75" hidden="1" thickBot="1">
      <c r="A15" s="85" t="s">
        <v>331</v>
      </c>
      <c r="B15" s="86" t="s">
        <v>305</v>
      </c>
      <c r="C15" s="78">
        <f>C16</f>
        <v>0</v>
      </c>
      <c r="D15" s="78">
        <f t="shared" ref="D15:D16" si="7">D16</f>
        <v>0</v>
      </c>
      <c r="E15" s="78">
        <f t="shared" si="4"/>
        <v>0</v>
      </c>
      <c r="F15" s="78">
        <f>F16</f>
        <v>0</v>
      </c>
      <c r="G15" s="78">
        <f t="shared" ref="G15:G16" si="8">G16</f>
        <v>0</v>
      </c>
      <c r="H15" s="78">
        <f t="shared" si="3"/>
        <v>0</v>
      </c>
    </row>
    <row r="16" spans="1:8" ht="79.5" hidden="1" thickBot="1">
      <c r="A16" s="85" t="s">
        <v>310</v>
      </c>
      <c r="B16" s="87" t="s">
        <v>311</v>
      </c>
      <c r="C16" s="80"/>
      <c r="D16" s="80">
        <f t="shared" si="7"/>
        <v>0</v>
      </c>
      <c r="E16" s="80">
        <f t="shared" si="4"/>
        <v>0</v>
      </c>
      <c r="F16" s="88">
        <f>F17</f>
        <v>0</v>
      </c>
      <c r="G16" s="88">
        <f t="shared" si="8"/>
        <v>0</v>
      </c>
      <c r="H16" s="80">
        <f t="shared" si="3"/>
        <v>0</v>
      </c>
    </row>
    <row r="17" spans="1:8" ht="95.25" hidden="1" thickBot="1">
      <c r="A17" s="85" t="s">
        <v>312</v>
      </c>
      <c r="B17" s="87" t="s">
        <v>332</v>
      </c>
      <c r="C17" s="80"/>
      <c r="D17" s="80"/>
      <c r="E17" s="80">
        <f t="shared" si="4"/>
        <v>0</v>
      </c>
      <c r="F17" s="88"/>
      <c r="G17" s="88"/>
      <c r="H17" s="80">
        <f t="shared" si="3"/>
        <v>0</v>
      </c>
    </row>
    <row r="18" spans="1:8" ht="48" thickBot="1">
      <c r="A18" s="85" t="s">
        <v>333</v>
      </c>
      <c r="B18" s="86" t="s">
        <v>315</v>
      </c>
      <c r="C18" s="78">
        <f ca="1">C19-C20</f>
        <v>0</v>
      </c>
      <c r="D18" s="78">
        <f ca="1">D19-D20</f>
        <v>0</v>
      </c>
      <c r="E18" s="78">
        <f t="shared" ca="1" si="4"/>
        <v>0</v>
      </c>
      <c r="F18" s="78">
        <f ca="1">F19-F20</f>
        <v>0</v>
      </c>
      <c r="G18" s="78">
        <f ca="1">G19-G20</f>
        <v>0</v>
      </c>
      <c r="H18" s="78">
        <f t="shared" ca="1" si="3"/>
        <v>0</v>
      </c>
    </row>
    <row r="19" spans="1:8" ht="48" thickBot="1">
      <c r="A19" s="85" t="s">
        <v>316</v>
      </c>
      <c r="B19" s="87" t="s">
        <v>334</v>
      </c>
      <c r="C19" s="80">
        <f>Пр2!J123+C12</f>
        <v>1727940036</v>
      </c>
      <c r="D19" s="80">
        <f>Пр2!K123-D12-D23</f>
        <v>111940198</v>
      </c>
      <c r="E19" s="80">
        <f t="shared" si="4"/>
        <v>1839880234</v>
      </c>
      <c r="F19" s="80">
        <f>Пр2!M123+F12</f>
        <v>1509677725</v>
      </c>
      <c r="G19" s="80">
        <f>Пр2!N123-G12-G23</f>
        <v>113808137</v>
      </c>
      <c r="H19" s="80">
        <f t="shared" si="3"/>
        <v>1623485862</v>
      </c>
    </row>
    <row r="20" spans="1:8" ht="51" customHeight="1" thickBot="1">
      <c r="A20" s="85" t="s">
        <v>318</v>
      </c>
      <c r="B20" s="73" t="s">
        <v>335</v>
      </c>
      <c r="C20" s="80">
        <f ca="1">Пр4!C121+Пр4!C122+Пр6!C14</f>
        <v>1727940036</v>
      </c>
      <c r="D20" s="80">
        <f ca="1">Пр4!D121+Пр4!D122-D14-D17</f>
        <v>111940198</v>
      </c>
      <c r="E20" s="80">
        <f t="shared" ca="1" si="4"/>
        <v>1839880234</v>
      </c>
      <c r="F20" s="80">
        <f ca="1">Пр4!F121+Пр4!F122+F14</f>
        <v>1509677725</v>
      </c>
      <c r="G20" s="80">
        <f ca="1">Пр4!G121+Пр4!G122-G14-G17</f>
        <v>113808137</v>
      </c>
      <c r="H20" s="80">
        <f t="shared" ca="1" si="3"/>
        <v>1623485862</v>
      </c>
    </row>
    <row r="21" spans="1:8" ht="63.75" hidden="1" thickBot="1">
      <c r="A21" s="85" t="s">
        <v>336</v>
      </c>
      <c r="B21" s="86" t="s">
        <v>321</v>
      </c>
      <c r="C21" s="78">
        <f>C22</f>
        <v>0</v>
      </c>
      <c r="D21" s="78">
        <f t="shared" ref="D21:D22" si="9">D22</f>
        <v>0</v>
      </c>
      <c r="E21" s="80">
        <f t="shared" si="4"/>
        <v>0</v>
      </c>
      <c r="F21" s="89">
        <f>F22</f>
        <v>0</v>
      </c>
      <c r="G21" s="89">
        <f t="shared" ref="G21:G22" si="10">G22</f>
        <v>0</v>
      </c>
      <c r="H21" s="80">
        <f t="shared" si="3"/>
        <v>0</v>
      </c>
    </row>
    <row r="22" spans="1:8" ht="63.75" hidden="1" thickBot="1">
      <c r="A22" s="85" t="s">
        <v>322</v>
      </c>
      <c r="B22" s="87" t="s">
        <v>323</v>
      </c>
      <c r="C22" s="80">
        <f>C23</f>
        <v>0</v>
      </c>
      <c r="D22" s="80">
        <f t="shared" si="9"/>
        <v>0</v>
      </c>
      <c r="E22" s="80">
        <f t="shared" si="4"/>
        <v>0</v>
      </c>
      <c r="F22" s="80">
        <f>F23</f>
        <v>0</v>
      </c>
      <c r="G22" s="80">
        <f t="shared" si="10"/>
        <v>0</v>
      </c>
      <c r="H22" s="80">
        <f t="shared" si="3"/>
        <v>0</v>
      </c>
    </row>
    <row r="23" spans="1:8" ht="79.5" hidden="1" thickBot="1">
      <c r="A23" s="85" t="s">
        <v>324</v>
      </c>
      <c r="B23" s="87" t="s">
        <v>325</v>
      </c>
      <c r="C23" s="80"/>
      <c r="D23" s="80"/>
      <c r="E23" s="80">
        <f t="shared" si="4"/>
        <v>0</v>
      </c>
      <c r="F23" s="88"/>
      <c r="G23" s="88"/>
      <c r="H23" s="80">
        <f t="shared" si="3"/>
        <v>0</v>
      </c>
    </row>
    <row r="24" spans="1:8" ht="16.5" thickBot="1">
      <c r="A24" s="696" t="s">
        <v>326</v>
      </c>
      <c r="B24" s="696"/>
      <c r="C24" s="82">
        <f ca="1">C21+C18+C15+C10</f>
        <v>0</v>
      </c>
      <c r="D24" s="82">
        <f t="shared" ref="D24" ca="1" si="11">D21+D18+D15+D10</f>
        <v>0</v>
      </c>
      <c r="E24" s="80">
        <f t="shared" ca="1" si="4"/>
        <v>0</v>
      </c>
      <c r="F24" s="78">
        <f ca="1">F10+F15+F18+F21</f>
        <v>0</v>
      </c>
      <c r="G24" s="78">
        <f t="shared" ref="G24" ca="1" si="12">G10+G15+G18+G21</f>
        <v>0</v>
      </c>
      <c r="H24" s="78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showGridLines="0" view="pageBreakPreview" topLeftCell="A28" zoomScaleSheetLayoutView="100" workbookViewId="0">
      <selection activeCell="B31" sqref="B31:E31"/>
    </sheetView>
  </sheetViews>
  <sheetFormatPr defaultRowHeight="12.75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>
      <c r="A1" s="682" t="s">
        <v>337</v>
      </c>
      <c r="B1" s="682"/>
      <c r="C1" s="682"/>
      <c r="D1" s="733"/>
      <c r="E1" s="733"/>
    </row>
    <row r="2" spans="1:5" ht="16.5" customHeight="1">
      <c r="A2" s="682" t="s">
        <v>1</v>
      </c>
      <c r="B2" s="682"/>
      <c r="C2" s="682"/>
      <c r="D2" s="733"/>
      <c r="E2" s="733"/>
    </row>
    <row r="3" spans="1:5" ht="16.5" customHeight="1">
      <c r="A3" s="682" t="s">
        <v>2</v>
      </c>
      <c r="B3" s="682"/>
      <c r="C3" s="682"/>
      <c r="D3" s="733"/>
      <c r="E3" s="733"/>
    </row>
    <row r="4" spans="1:5" ht="16.5" customHeight="1">
      <c r="A4" s="682" t="s">
        <v>1418</v>
      </c>
      <c r="B4" s="682"/>
      <c r="C4" s="682"/>
      <c r="D4" s="682"/>
      <c r="E4" s="682"/>
    </row>
    <row r="5" spans="1:5" ht="12.75" customHeight="1">
      <c r="A5" s="682"/>
      <c r="B5" s="733"/>
      <c r="C5" s="733"/>
      <c r="D5" s="733"/>
      <c r="E5" s="733"/>
    </row>
    <row r="6" spans="1:5" ht="15.75" hidden="1">
      <c r="A6" s="739"/>
      <c r="B6" s="732"/>
      <c r="C6" s="732"/>
      <c r="D6" s="732"/>
      <c r="E6" s="732"/>
    </row>
    <row r="7" spans="1:5" ht="30" customHeight="1">
      <c r="A7" s="740" t="s">
        <v>1419</v>
      </c>
      <c r="B7" s="741"/>
      <c r="C7" s="741"/>
      <c r="D7" s="741"/>
      <c r="E7" s="741"/>
    </row>
    <row r="8" spans="1:5" ht="14.25" customHeight="1">
      <c r="A8" s="5"/>
      <c r="B8" s="1"/>
      <c r="C8" s="1"/>
      <c r="D8" s="1"/>
      <c r="E8" s="1"/>
    </row>
    <row r="9" spans="1:5" ht="15.75" hidden="1">
      <c r="A9" s="731"/>
      <c r="B9" s="732"/>
      <c r="C9" s="732"/>
      <c r="D9" s="732"/>
      <c r="E9" s="732"/>
    </row>
    <row r="10" spans="1:5" ht="33.75" customHeight="1">
      <c r="A10" s="742" t="s">
        <v>1420</v>
      </c>
      <c r="B10" s="741"/>
      <c r="C10" s="741"/>
      <c r="D10" s="741"/>
      <c r="E10" s="741"/>
    </row>
    <row r="11" spans="1:5" ht="12" customHeight="1" thickBot="1">
      <c r="A11" s="743" t="s">
        <v>338</v>
      </c>
      <c r="B11" s="744"/>
      <c r="C11" s="744"/>
      <c r="D11" s="744"/>
      <c r="E11" s="744"/>
    </row>
    <row r="12" spans="1:5" ht="33" customHeight="1">
      <c r="A12" s="90" t="s">
        <v>339</v>
      </c>
      <c r="B12" s="707" t="s">
        <v>437</v>
      </c>
      <c r="C12" s="708"/>
      <c r="D12" s="708"/>
      <c r="E12" s="709"/>
    </row>
    <row r="13" spans="1:5" ht="15.75">
      <c r="A13" s="92">
        <v>1</v>
      </c>
      <c r="B13" s="707">
        <v>2</v>
      </c>
      <c r="C13" s="735"/>
      <c r="D13" s="735"/>
      <c r="E13" s="736"/>
    </row>
    <row r="14" spans="1:5" ht="31.5">
      <c r="A14" s="93" t="s">
        <v>340</v>
      </c>
      <c r="B14" s="738">
        <f>B15-B16</f>
        <v>1250000</v>
      </c>
      <c r="C14" s="728"/>
      <c r="D14" s="728"/>
      <c r="E14" s="729"/>
    </row>
    <row r="15" spans="1:5" ht="20.25" customHeight="1">
      <c r="A15" s="94" t="s">
        <v>341</v>
      </c>
      <c r="B15" s="737">
        <f>Пр5!C12</f>
        <v>1250000</v>
      </c>
      <c r="C15" s="728"/>
      <c r="D15" s="728"/>
      <c r="E15" s="729"/>
    </row>
    <row r="16" spans="1:5" ht="18.75" customHeight="1">
      <c r="A16" s="94" t="s">
        <v>342</v>
      </c>
      <c r="B16" s="727"/>
      <c r="C16" s="728"/>
      <c r="D16" s="728"/>
      <c r="E16" s="729"/>
    </row>
    <row r="17" spans="1:5" ht="15.75">
      <c r="A17" s="93" t="s">
        <v>343</v>
      </c>
      <c r="B17" s="730">
        <f>B18-B19</f>
        <v>-1250000</v>
      </c>
      <c r="C17" s="728"/>
      <c r="D17" s="728"/>
      <c r="E17" s="729"/>
    </row>
    <row r="18" spans="1:5" ht="18" customHeight="1">
      <c r="A18" s="95" t="s">
        <v>344</v>
      </c>
      <c r="B18" s="727"/>
      <c r="C18" s="728"/>
      <c r="D18" s="728"/>
      <c r="E18" s="729"/>
    </row>
    <row r="19" spans="1:5" ht="15.75">
      <c r="A19" s="95" t="s">
        <v>342</v>
      </c>
      <c r="B19" s="727">
        <f>Пр5!C18</f>
        <v>1250000</v>
      </c>
      <c r="C19" s="728"/>
      <c r="D19" s="728"/>
      <c r="E19" s="729"/>
    </row>
    <row r="20" spans="1:5" ht="15.75">
      <c r="A20" s="96" t="s">
        <v>345</v>
      </c>
      <c r="B20" s="730">
        <f>B21-B22</f>
        <v>0</v>
      </c>
      <c r="C20" s="728"/>
      <c r="D20" s="728"/>
      <c r="E20" s="729"/>
    </row>
    <row r="21" spans="1:5" ht="15.75">
      <c r="A21" s="97" t="s">
        <v>346</v>
      </c>
      <c r="B21" s="737">
        <f>B15+B18</f>
        <v>1250000</v>
      </c>
      <c r="C21" s="728"/>
      <c r="D21" s="728"/>
      <c r="E21" s="729"/>
    </row>
    <row r="22" spans="1:5" ht="15.75">
      <c r="A22" s="97" t="s">
        <v>347</v>
      </c>
      <c r="B22" s="727">
        <f>B16+B19</f>
        <v>1250000</v>
      </c>
      <c r="C22" s="728"/>
      <c r="D22" s="728"/>
      <c r="E22" s="729"/>
    </row>
    <row r="23" spans="1:5" ht="63">
      <c r="A23" s="98" t="s">
        <v>348</v>
      </c>
      <c r="B23" s="730">
        <f>B20</f>
        <v>0</v>
      </c>
      <c r="C23" s="728"/>
      <c r="D23" s="728"/>
      <c r="E23" s="729"/>
    </row>
    <row r="24" spans="1:5" ht="29.25" customHeight="1">
      <c r="A24" s="731" t="s">
        <v>1421</v>
      </c>
      <c r="B24" s="732"/>
      <c r="C24" s="732"/>
      <c r="D24" s="732"/>
      <c r="E24" s="732"/>
    </row>
    <row r="25" spans="1:5" ht="15.75">
      <c r="A25" s="682" t="s">
        <v>349</v>
      </c>
      <c r="B25" s="733"/>
      <c r="C25" s="733"/>
      <c r="D25" s="733"/>
      <c r="E25" s="733"/>
    </row>
    <row r="26" spans="1:5" ht="15.75">
      <c r="A26" s="99" t="s">
        <v>350</v>
      </c>
      <c r="B26" s="734" t="s">
        <v>1233</v>
      </c>
      <c r="C26" s="735"/>
      <c r="D26" s="735"/>
      <c r="E26" s="736"/>
    </row>
    <row r="27" spans="1:5" ht="15.75">
      <c r="A27" s="100">
        <v>1</v>
      </c>
      <c r="B27" s="707">
        <v>2</v>
      </c>
      <c r="C27" s="714"/>
      <c r="D27" s="714"/>
      <c r="E27" s="715"/>
    </row>
    <row r="28" spans="1:5" ht="31.5">
      <c r="A28" s="101" t="s">
        <v>351</v>
      </c>
      <c r="B28" s="716">
        <f>B41+B21-B22</f>
        <v>1250000</v>
      </c>
      <c r="C28" s="717"/>
      <c r="D28" s="717"/>
      <c r="E28" s="718"/>
    </row>
    <row r="29" spans="1:5" ht="51.75" customHeight="1">
      <c r="A29" s="102" t="s">
        <v>352</v>
      </c>
      <c r="B29" s="719">
        <v>0</v>
      </c>
      <c r="C29" s="720"/>
      <c r="D29" s="720"/>
      <c r="E29" s="721"/>
    </row>
    <row r="30" spans="1:5" ht="18.75" customHeight="1">
      <c r="A30" s="103"/>
      <c r="B30" s="722" t="s">
        <v>1422</v>
      </c>
      <c r="C30" s="723"/>
      <c r="D30" s="723"/>
      <c r="E30" s="724"/>
    </row>
    <row r="31" spans="1:5" ht="31.5">
      <c r="A31" s="104" t="s">
        <v>353</v>
      </c>
      <c r="B31" s="725">
        <v>70000000</v>
      </c>
      <c r="C31" s="726"/>
      <c r="D31" s="726"/>
      <c r="E31" s="726"/>
    </row>
    <row r="32" spans="1:5" ht="47.25">
      <c r="A32" s="104" t="s">
        <v>354</v>
      </c>
      <c r="B32" s="699">
        <v>400000</v>
      </c>
      <c r="C32" s="700"/>
      <c r="D32" s="700"/>
      <c r="E32" s="700"/>
    </row>
    <row r="33" spans="1:5" ht="57" customHeight="1" thickBot="1">
      <c r="A33" s="104" t="s">
        <v>355</v>
      </c>
      <c r="B33" s="699">
        <f>B21</f>
        <v>1250000</v>
      </c>
      <c r="C33" s="700"/>
      <c r="D33" s="700"/>
      <c r="E33" s="700"/>
    </row>
    <row r="34" spans="1:5" ht="42.75" customHeight="1" thickBot="1">
      <c r="A34" s="701" t="s">
        <v>356</v>
      </c>
      <c r="B34" s="701"/>
      <c r="C34" s="701"/>
      <c r="D34" s="701"/>
      <c r="E34" s="701"/>
    </row>
    <row r="35" spans="1:5" ht="16.5" thickBot="1">
      <c r="A35" s="704" t="s">
        <v>357</v>
      </c>
      <c r="B35" s="707" t="s">
        <v>358</v>
      </c>
      <c r="C35" s="708"/>
      <c r="D35" s="708"/>
      <c r="E35" s="709"/>
    </row>
    <row r="36" spans="1:5" ht="12.75" customHeight="1">
      <c r="A36" s="705"/>
      <c r="B36" s="710" t="s">
        <v>1788</v>
      </c>
      <c r="C36" s="711"/>
      <c r="D36" s="710" t="s">
        <v>1602</v>
      </c>
      <c r="E36" s="711"/>
    </row>
    <row r="37" spans="1:5" ht="13.5" thickBot="1">
      <c r="A37" s="705"/>
      <c r="B37" s="712"/>
      <c r="C37" s="713"/>
      <c r="D37" s="712"/>
      <c r="E37" s="713"/>
    </row>
    <row r="38" spans="1:5" ht="16.5" thickBot="1">
      <c r="A38" s="706"/>
      <c r="B38" s="105" t="s">
        <v>359</v>
      </c>
      <c r="C38" s="91" t="s">
        <v>360</v>
      </c>
      <c r="D38" s="105" t="s">
        <v>359</v>
      </c>
      <c r="E38" s="105" t="s">
        <v>360</v>
      </c>
    </row>
    <row r="39" spans="1:5" ht="15.75">
      <c r="A39" s="92">
        <v>1</v>
      </c>
      <c r="B39" s="105">
        <v>2</v>
      </c>
      <c r="C39" s="105">
        <v>3</v>
      </c>
      <c r="D39" s="105">
        <v>4</v>
      </c>
      <c r="E39" s="105">
        <v>5</v>
      </c>
    </row>
    <row r="40" spans="1:5" ht="31.5">
      <c r="A40" s="106" t="s">
        <v>361</v>
      </c>
      <c r="B40" s="107"/>
      <c r="C40" s="108">
        <f>B40/B$43</f>
        <v>0</v>
      </c>
      <c r="D40" s="109">
        <f>B14</f>
        <v>1250000</v>
      </c>
      <c r="E40" s="108">
        <f>D40/D$43</f>
        <v>1</v>
      </c>
    </row>
    <row r="41" spans="1:5" ht="15.75">
      <c r="A41" s="106" t="s">
        <v>362</v>
      </c>
      <c r="B41" s="107">
        <v>1250000</v>
      </c>
      <c r="C41" s="108">
        <f>B41/B$43</f>
        <v>1</v>
      </c>
      <c r="D41" s="107">
        <f>B41-B19</f>
        <v>0</v>
      </c>
      <c r="E41" s="108">
        <f>D41/D$43</f>
        <v>0</v>
      </c>
    </row>
    <row r="42" spans="1:5" ht="31.5">
      <c r="A42" s="106" t="s">
        <v>363</v>
      </c>
      <c r="B42" s="107">
        <v>0</v>
      </c>
      <c r="C42" s="108">
        <f>B42/B$43</f>
        <v>0</v>
      </c>
      <c r="D42" s="107">
        <v>0</v>
      </c>
      <c r="E42" s="108">
        <f>D42/D$43</f>
        <v>0</v>
      </c>
    </row>
    <row r="43" spans="1:5" ht="31.5">
      <c r="A43" s="106" t="s">
        <v>364</v>
      </c>
      <c r="B43" s="109">
        <f>B40+B41+B42</f>
        <v>1250000</v>
      </c>
      <c r="C43" s="108">
        <f>B43/B$43</f>
        <v>1</v>
      </c>
      <c r="D43" s="109">
        <f>D40+D41+D42</f>
        <v>1250000</v>
      </c>
      <c r="E43" s="108">
        <f>D43/D$43</f>
        <v>1</v>
      </c>
    </row>
    <row r="44" spans="1:5" ht="30" customHeight="1">
      <c r="A44" s="702"/>
      <c r="B44" s="703"/>
      <c r="C44" s="703"/>
      <c r="D44" s="703"/>
      <c r="E44" s="703"/>
    </row>
    <row r="45" spans="1:5">
      <c r="A45" s="110"/>
    </row>
    <row r="46" spans="1:5" ht="15.75">
      <c r="A46" s="5"/>
    </row>
  </sheetData>
  <mergeCells count="38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4:E24"/>
    <mergeCell ref="A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44:E44"/>
    <mergeCell ref="A35:A38"/>
    <mergeCell ref="B35:E35"/>
    <mergeCell ref="B36:C37"/>
    <mergeCell ref="D36:E37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8"/>
  <sheetViews>
    <sheetView showGridLines="0" view="pageBreakPreview" zoomScale="85" zoomScaleSheetLayoutView="85" workbookViewId="0">
      <selection activeCell="D26" sqref="D26:E26"/>
    </sheetView>
  </sheetViews>
  <sheetFormatPr defaultColWidth="9.140625" defaultRowHeight="12.75"/>
  <cols>
    <col min="1" max="1" width="30.42578125" style="43" customWidth="1"/>
    <col min="2" max="2" width="17.140625" style="43" customWidth="1"/>
    <col min="3" max="3" width="14.85546875" style="43" customWidth="1"/>
    <col min="4" max="4" width="22.42578125" style="43" customWidth="1"/>
    <col min="5" max="5" width="11" style="43" customWidth="1"/>
    <col min="6" max="7" width="9.140625" style="43"/>
    <col min="8" max="8" width="43.42578125" style="43" customWidth="1"/>
    <col min="9" max="16384" width="9.140625" style="43"/>
  </cols>
  <sheetData>
    <row r="1" spans="1:5" ht="15.75">
      <c r="A1" s="682" t="s">
        <v>435</v>
      </c>
      <c r="B1" s="682"/>
      <c r="C1" s="682"/>
      <c r="D1" s="733"/>
      <c r="E1" s="733"/>
    </row>
    <row r="2" spans="1:5" ht="15.75">
      <c r="A2" s="682" t="s">
        <v>1</v>
      </c>
      <c r="B2" s="682"/>
      <c r="C2" s="682"/>
      <c r="D2" s="733"/>
      <c r="E2" s="733"/>
    </row>
    <row r="3" spans="1:5" ht="15.75">
      <c r="A3" s="682" t="s">
        <v>2</v>
      </c>
      <c r="B3" s="682"/>
      <c r="C3" s="682"/>
      <c r="D3" s="733"/>
      <c r="E3" s="733"/>
    </row>
    <row r="4" spans="1:5" ht="15.75">
      <c r="A4" s="682" t="s">
        <v>1423</v>
      </c>
      <c r="B4" s="682"/>
      <c r="C4" s="682"/>
      <c r="D4" s="733"/>
      <c r="E4" s="733"/>
    </row>
    <row r="5" spans="1:5" ht="15.75">
      <c r="A5" s="682"/>
      <c r="B5" s="733"/>
      <c r="C5" s="733"/>
      <c r="D5" s="733"/>
      <c r="E5" s="733"/>
    </row>
    <row r="6" spans="1:5" ht="15.75">
      <c r="A6" s="739" t="s">
        <v>436</v>
      </c>
      <c r="B6" s="732"/>
      <c r="C6" s="732"/>
      <c r="D6" s="732"/>
      <c r="E6" s="732"/>
    </row>
    <row r="7" spans="1:5" ht="34.5" customHeight="1">
      <c r="A7" s="740" t="s">
        <v>1424</v>
      </c>
      <c r="B7" s="741"/>
      <c r="C7" s="741"/>
      <c r="D7" s="741"/>
      <c r="E7" s="741"/>
    </row>
    <row r="8" spans="1:5" ht="15.75">
      <c r="A8" s="5"/>
      <c r="B8" s="1"/>
      <c r="C8" s="1"/>
      <c r="D8" s="1"/>
      <c r="E8" s="1"/>
    </row>
    <row r="9" spans="1:5" ht="36" customHeight="1">
      <c r="A9" s="742" t="s">
        <v>1426</v>
      </c>
      <c r="B9" s="741"/>
      <c r="C9" s="741"/>
      <c r="D9" s="741"/>
      <c r="E9" s="741"/>
    </row>
    <row r="10" spans="1:5" ht="15.75">
      <c r="A10" s="743" t="s">
        <v>338</v>
      </c>
      <c r="B10" s="744"/>
      <c r="C10" s="744"/>
      <c r="D10" s="744"/>
      <c r="E10" s="744"/>
    </row>
    <row r="11" spans="1:5" ht="50.25" customHeight="1">
      <c r="A11" s="90" t="s">
        <v>339</v>
      </c>
      <c r="B11" s="764" t="s">
        <v>1337</v>
      </c>
      <c r="C11" s="757"/>
      <c r="D11" s="764" t="s">
        <v>1425</v>
      </c>
      <c r="E11" s="757"/>
    </row>
    <row r="12" spans="1:5" s="116" customFormat="1" ht="15.75">
      <c r="A12" s="92">
        <v>1</v>
      </c>
      <c r="B12" s="758">
        <v>2</v>
      </c>
      <c r="C12" s="759"/>
      <c r="D12" s="759">
        <v>3</v>
      </c>
      <c r="E12" s="759"/>
    </row>
    <row r="13" spans="1:5" ht="31.5">
      <c r="A13" s="93" t="s">
        <v>340</v>
      </c>
      <c r="B13" s="763">
        <f>B14-B15</f>
        <v>0</v>
      </c>
      <c r="C13" s="761"/>
      <c r="D13" s="763">
        <f>D14-D15</f>
        <v>0</v>
      </c>
      <c r="E13" s="761"/>
    </row>
    <row r="14" spans="1:5" ht="15.75">
      <c r="A14" s="94" t="s">
        <v>341</v>
      </c>
      <c r="B14" s="745">
        <f>Пр6!C11</f>
        <v>1250000</v>
      </c>
      <c r="C14" s="761"/>
      <c r="D14" s="745">
        <f>Пр6!F12</f>
        <v>1250000</v>
      </c>
      <c r="E14" s="761"/>
    </row>
    <row r="15" spans="1:5" ht="15.75">
      <c r="A15" s="94" t="s">
        <v>342</v>
      </c>
      <c r="B15" s="760">
        <f>Пр6!C13</f>
        <v>1250000</v>
      </c>
      <c r="C15" s="761"/>
      <c r="D15" s="760">
        <f>Пр6!F14</f>
        <v>1250000</v>
      </c>
      <c r="E15" s="761"/>
    </row>
    <row r="16" spans="1:5" ht="15.75">
      <c r="A16" s="93" t="s">
        <v>343</v>
      </c>
      <c r="B16" s="762">
        <f>B17-B18</f>
        <v>0</v>
      </c>
      <c r="C16" s="761"/>
      <c r="D16" s="762">
        <f>D17-D18</f>
        <v>0</v>
      </c>
      <c r="E16" s="761"/>
    </row>
    <row r="17" spans="1:5" ht="15.75">
      <c r="A17" s="94" t="s">
        <v>341</v>
      </c>
      <c r="B17" s="760"/>
      <c r="C17" s="761"/>
      <c r="D17" s="761"/>
      <c r="E17" s="761"/>
    </row>
    <row r="18" spans="1:5" ht="15.75">
      <c r="A18" s="94" t="s">
        <v>342</v>
      </c>
      <c r="B18" s="760">
        <f>-Пр6!C16</f>
        <v>0</v>
      </c>
      <c r="C18" s="761"/>
      <c r="D18" s="761">
        <f>-Пр6!F16</f>
        <v>0</v>
      </c>
      <c r="E18" s="761"/>
    </row>
    <row r="19" spans="1:5" ht="15.75">
      <c r="A19" s="96" t="s">
        <v>345</v>
      </c>
      <c r="B19" s="762">
        <f>B20-B21</f>
        <v>0</v>
      </c>
      <c r="C19" s="761"/>
      <c r="D19" s="762">
        <f>D20-D21</f>
        <v>0</v>
      </c>
      <c r="E19" s="761"/>
    </row>
    <row r="20" spans="1:5" ht="15.75">
      <c r="A20" s="97" t="s">
        <v>346</v>
      </c>
      <c r="B20" s="745">
        <f>B14+B17</f>
        <v>1250000</v>
      </c>
      <c r="C20" s="761"/>
      <c r="D20" s="745">
        <f>D14+D17</f>
        <v>1250000</v>
      </c>
      <c r="E20" s="761"/>
    </row>
    <row r="21" spans="1:5" ht="15.75">
      <c r="A21" s="97" t="s">
        <v>347</v>
      </c>
      <c r="B21" s="760">
        <f>B15+B18</f>
        <v>1250000</v>
      </c>
      <c r="C21" s="761"/>
      <c r="D21" s="760">
        <f>D15+D18</f>
        <v>1250000</v>
      </c>
      <c r="E21" s="761"/>
    </row>
    <row r="22" spans="1:5" ht="63">
      <c r="A22" s="98" t="s">
        <v>348</v>
      </c>
      <c r="B22" s="762">
        <f>B19</f>
        <v>0</v>
      </c>
      <c r="C22" s="761"/>
      <c r="D22" s="762">
        <f>D19</f>
        <v>0</v>
      </c>
      <c r="E22" s="761"/>
    </row>
    <row r="23" spans="1:5" ht="36" customHeight="1">
      <c r="A23" s="731" t="s">
        <v>1427</v>
      </c>
      <c r="B23" s="732"/>
      <c r="C23" s="732"/>
      <c r="D23" s="732"/>
      <c r="E23" s="732"/>
    </row>
    <row r="24" spans="1:5" ht="15.75">
      <c r="A24" s="682" t="s">
        <v>349</v>
      </c>
      <c r="B24" s="733"/>
      <c r="C24" s="733"/>
      <c r="D24" s="733"/>
      <c r="E24" s="733"/>
    </row>
    <row r="25" spans="1:5" ht="15.75">
      <c r="A25" s="99" t="s">
        <v>350</v>
      </c>
      <c r="B25" s="755" t="s">
        <v>1357</v>
      </c>
      <c r="C25" s="756"/>
      <c r="D25" s="757" t="s">
        <v>1604</v>
      </c>
      <c r="E25" s="757"/>
    </row>
    <row r="26" spans="1:5" s="116" customFormat="1" ht="15.75">
      <c r="A26" s="100">
        <v>1</v>
      </c>
      <c r="B26" s="758">
        <v>2</v>
      </c>
      <c r="C26" s="759"/>
      <c r="D26" s="759">
        <v>3</v>
      </c>
      <c r="E26" s="759"/>
    </row>
    <row r="27" spans="1:5" ht="31.5">
      <c r="A27" s="117" t="s">
        <v>351</v>
      </c>
      <c r="B27" s="745">
        <f>Пр7!B28+B20-B21</f>
        <v>1250000</v>
      </c>
      <c r="C27" s="746"/>
      <c r="D27" s="745">
        <f>B27+D20-D21</f>
        <v>1250000</v>
      </c>
      <c r="E27" s="746"/>
    </row>
    <row r="28" spans="1:5" ht="47.25">
      <c r="A28" s="118" t="s">
        <v>352</v>
      </c>
      <c r="B28" s="751">
        <v>0</v>
      </c>
      <c r="C28" s="752"/>
      <c r="D28" s="751">
        <v>0</v>
      </c>
      <c r="E28" s="752"/>
    </row>
    <row r="29" spans="1:5" ht="15.75">
      <c r="A29" s="113"/>
      <c r="B29" s="753" t="s">
        <v>1358</v>
      </c>
      <c r="C29" s="754"/>
      <c r="D29" s="753" t="s">
        <v>1428</v>
      </c>
      <c r="E29" s="754"/>
    </row>
    <row r="30" spans="1:5" ht="31.5">
      <c r="A30" s="117" t="s">
        <v>353</v>
      </c>
      <c r="B30" s="749">
        <v>65000000</v>
      </c>
      <c r="C30" s="750"/>
      <c r="D30" s="749">
        <v>60000000</v>
      </c>
      <c r="E30" s="750"/>
    </row>
    <row r="31" spans="1:5" ht="47.25">
      <c r="A31" s="119" t="s">
        <v>354</v>
      </c>
      <c r="B31" s="745">
        <v>200000</v>
      </c>
      <c r="C31" s="746"/>
      <c r="D31" s="745">
        <v>200000</v>
      </c>
      <c r="E31" s="746"/>
    </row>
    <row r="32" spans="1:5" ht="47.25">
      <c r="A32" s="119" t="s">
        <v>355</v>
      </c>
      <c r="B32" s="745">
        <f>B20</f>
        <v>1250000</v>
      </c>
      <c r="C32" s="746"/>
      <c r="D32" s="745">
        <f>D20</f>
        <v>1250000</v>
      </c>
      <c r="E32" s="746"/>
    </row>
    <row r="33" spans="1:5" ht="47.25" hidden="1">
      <c r="A33" s="119" t="s">
        <v>438</v>
      </c>
      <c r="B33" s="745">
        <v>0</v>
      </c>
      <c r="C33" s="746"/>
      <c r="D33" s="745">
        <v>0</v>
      </c>
      <c r="E33" s="746"/>
    </row>
    <row r="34" spans="1:5" ht="15.75">
      <c r="A34" s="5"/>
      <c r="B34" s="1"/>
      <c r="C34" s="1"/>
      <c r="D34" s="1"/>
      <c r="E34" s="1"/>
    </row>
    <row r="35" spans="1:5" ht="15.75">
      <c r="A35" s="731"/>
      <c r="B35" s="732"/>
      <c r="C35" s="732"/>
      <c r="D35" s="732"/>
      <c r="E35" s="732"/>
    </row>
    <row r="36" spans="1:5" ht="36" customHeight="1">
      <c r="A36" s="747" t="s">
        <v>356</v>
      </c>
      <c r="B36" s="748"/>
      <c r="C36" s="748"/>
      <c r="D36" s="748"/>
      <c r="E36" s="748"/>
    </row>
    <row r="37" spans="1:5" ht="15.75">
      <c r="A37" s="704" t="s">
        <v>357</v>
      </c>
      <c r="B37" s="707" t="s">
        <v>358</v>
      </c>
      <c r="C37" s="708"/>
      <c r="D37" s="708"/>
      <c r="E37" s="709"/>
    </row>
    <row r="38" spans="1:5">
      <c r="A38" s="705"/>
      <c r="B38" s="710" t="s">
        <v>1429</v>
      </c>
      <c r="C38" s="711"/>
      <c r="D38" s="710" t="s">
        <v>1430</v>
      </c>
      <c r="E38" s="711"/>
    </row>
    <row r="39" spans="1:5" ht="0.75" customHeight="1">
      <c r="A39" s="705"/>
      <c r="B39" s="712"/>
      <c r="C39" s="713"/>
      <c r="D39" s="712"/>
      <c r="E39" s="713"/>
    </row>
    <row r="40" spans="1:5" ht="15.75">
      <c r="A40" s="706"/>
      <c r="B40" s="105" t="s">
        <v>359</v>
      </c>
      <c r="C40" s="91" t="s">
        <v>360</v>
      </c>
      <c r="D40" s="105" t="s">
        <v>359</v>
      </c>
      <c r="E40" s="105" t="s">
        <v>360</v>
      </c>
    </row>
    <row r="41" spans="1:5" ht="15.75">
      <c r="A41" s="92">
        <v>1</v>
      </c>
      <c r="B41" s="105">
        <v>2</v>
      </c>
      <c r="C41" s="105">
        <v>3</v>
      </c>
      <c r="D41" s="105">
        <v>4</v>
      </c>
      <c r="E41" s="105">
        <v>5</v>
      </c>
    </row>
    <row r="42" spans="1:5" ht="31.5">
      <c r="A42" s="106" t="s">
        <v>361</v>
      </c>
      <c r="B42" s="107">
        <f>B45-B43</f>
        <v>1250000</v>
      </c>
      <c r="C42" s="108">
        <f>B42/B$45</f>
        <v>1</v>
      </c>
      <c r="D42" s="109">
        <f>B42+D13</f>
        <v>1250000</v>
      </c>
      <c r="E42" s="108">
        <f>D42/D$45</f>
        <v>1</v>
      </c>
    </row>
    <row r="43" spans="1:5" ht="15.75">
      <c r="A43" s="106" t="s">
        <v>362</v>
      </c>
      <c r="B43" s="107">
        <f>Пр7!D41-B18</f>
        <v>0</v>
      </c>
      <c r="C43" s="108">
        <f>B43/B$45</f>
        <v>0</v>
      </c>
      <c r="D43" s="107">
        <f>B43-D18</f>
        <v>0</v>
      </c>
      <c r="E43" s="108">
        <f>D43/D$45</f>
        <v>0</v>
      </c>
    </row>
    <row r="44" spans="1:5" ht="15.75">
      <c r="A44" s="106" t="s">
        <v>363</v>
      </c>
      <c r="B44" s="107">
        <v>0</v>
      </c>
      <c r="C44" s="108">
        <f>B44/B$45</f>
        <v>0</v>
      </c>
      <c r="D44" s="107">
        <v>0</v>
      </c>
      <c r="E44" s="108">
        <f>D44/D$45</f>
        <v>0</v>
      </c>
    </row>
    <row r="45" spans="1:5" ht="31.5">
      <c r="A45" s="106" t="s">
        <v>364</v>
      </c>
      <c r="B45" s="109">
        <f>B27</f>
        <v>1250000</v>
      </c>
      <c r="C45" s="108">
        <f>B45/B$45</f>
        <v>1</v>
      </c>
      <c r="D45" s="109">
        <f>D42+D43+D44</f>
        <v>1250000</v>
      </c>
      <c r="E45" s="108">
        <f>D45/D$45</f>
        <v>1</v>
      </c>
    </row>
    <row r="46" spans="1:5" ht="15.75">
      <c r="A46" s="702"/>
      <c r="B46" s="703"/>
      <c r="C46" s="703"/>
      <c r="D46" s="703"/>
      <c r="E46" s="703"/>
    </row>
    <row r="47" spans="1:5">
      <c r="A47" s="110"/>
    </row>
    <row r="48" spans="1:5" ht="15.75">
      <c r="A48" s="5"/>
    </row>
  </sheetData>
  <mergeCells count="60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B11:C11"/>
    <mergeCell ref="D11:E11"/>
    <mergeCell ref="B12:C12"/>
    <mergeCell ref="D12:E12"/>
    <mergeCell ref="D13:E13"/>
    <mergeCell ref="B13:C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D21:E21"/>
    <mergeCell ref="B21:C21"/>
    <mergeCell ref="D22:E22"/>
    <mergeCell ref="B22:C22"/>
    <mergeCell ref="A23:E23"/>
    <mergeCell ref="A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79"/>
  <sheetViews>
    <sheetView showGridLines="0" view="pageBreakPreview" zoomScaleSheetLayoutView="100" workbookViewId="0">
      <selection activeCell="C179" sqref="C179"/>
    </sheetView>
  </sheetViews>
  <sheetFormatPr defaultColWidth="9.140625" defaultRowHeight="12.75"/>
  <cols>
    <col min="1" max="1" width="5.140625" style="120" bestFit="1" customWidth="1"/>
    <col min="2" max="2" width="24.42578125" style="120" customWidth="1"/>
    <col min="3" max="3" width="59.140625" style="120" customWidth="1"/>
    <col min="4" max="16384" width="9.140625" style="120"/>
  </cols>
  <sheetData>
    <row r="1" spans="1:3" ht="15.75" customHeight="1">
      <c r="A1" s="682" t="s">
        <v>365</v>
      </c>
      <c r="B1" s="682"/>
      <c r="C1" s="682"/>
    </row>
    <row r="2" spans="1:3" ht="15.75">
      <c r="A2" s="682" t="s">
        <v>1</v>
      </c>
      <c r="B2" s="682"/>
      <c r="C2" s="682"/>
    </row>
    <row r="3" spans="1:3" ht="15.75">
      <c r="A3" s="682" t="s">
        <v>2</v>
      </c>
      <c r="B3" s="682"/>
      <c r="C3" s="682"/>
    </row>
    <row r="4" spans="1:3" ht="15.75">
      <c r="A4" s="682" t="s">
        <v>1431</v>
      </c>
      <c r="B4" s="682"/>
      <c r="C4" s="682"/>
    </row>
    <row r="5" spans="1:3" ht="15.75">
      <c r="A5" s="37"/>
      <c r="B5" s="1"/>
      <c r="C5" s="1"/>
    </row>
    <row r="6" spans="1:3" ht="68.25" customHeight="1">
      <c r="A6" s="683" t="s">
        <v>1600</v>
      </c>
      <c r="B6" s="683"/>
      <c r="C6" s="683"/>
    </row>
    <row r="7" spans="1:3" ht="15.75" hidden="1">
      <c r="A7" s="5"/>
    </row>
    <row r="8" spans="1:3" ht="15.75">
      <c r="A8" s="753" t="s">
        <v>366</v>
      </c>
      <c r="B8" s="768"/>
      <c r="C8" s="769"/>
    </row>
    <row r="9" spans="1:3" ht="47.25">
      <c r="A9" s="495">
        <v>950</v>
      </c>
      <c r="B9" s="496" t="s">
        <v>367</v>
      </c>
      <c r="C9" s="493" t="s">
        <v>64</v>
      </c>
    </row>
    <row r="10" spans="1:3" ht="31.5">
      <c r="A10" s="495">
        <v>950</v>
      </c>
      <c r="B10" s="496" t="s">
        <v>368</v>
      </c>
      <c r="C10" s="493" t="s">
        <v>369</v>
      </c>
    </row>
    <row r="11" spans="1:3" ht="32.25" thickBot="1">
      <c r="A11" s="497">
        <v>950</v>
      </c>
      <c r="B11" s="498" t="s">
        <v>1457</v>
      </c>
      <c r="C11" s="494" t="s">
        <v>456</v>
      </c>
    </row>
    <row r="12" spans="1:3" ht="78.75">
      <c r="A12" s="499">
        <v>950</v>
      </c>
      <c r="B12" s="495" t="s">
        <v>370</v>
      </c>
      <c r="C12" s="493" t="s">
        <v>371</v>
      </c>
    </row>
    <row r="13" spans="1:3" ht="111" thickBot="1">
      <c r="A13" s="497">
        <v>950</v>
      </c>
      <c r="B13" s="498" t="s">
        <v>416</v>
      </c>
      <c r="C13" s="494" t="s">
        <v>417</v>
      </c>
    </row>
    <row r="14" spans="1:3" ht="111" thickBot="1">
      <c r="A14" s="497">
        <v>950</v>
      </c>
      <c r="B14" s="498" t="s">
        <v>1458</v>
      </c>
      <c r="C14" s="494" t="s">
        <v>1459</v>
      </c>
    </row>
    <row r="15" spans="1:3" ht="47.25">
      <c r="A15" s="499">
        <v>950</v>
      </c>
      <c r="B15" s="495" t="s">
        <v>372</v>
      </c>
      <c r="C15" s="493" t="s">
        <v>373</v>
      </c>
    </row>
    <row r="16" spans="1:3" ht="48" thickBot="1">
      <c r="A16" s="497">
        <v>950</v>
      </c>
      <c r="B16" s="500" t="s">
        <v>1460</v>
      </c>
      <c r="C16" s="494" t="s">
        <v>1461</v>
      </c>
    </row>
    <row r="17" spans="1:3" ht="31.5">
      <c r="A17" s="499">
        <v>950</v>
      </c>
      <c r="B17" s="496" t="s">
        <v>374</v>
      </c>
      <c r="C17" s="493" t="s">
        <v>375</v>
      </c>
    </row>
    <row r="18" spans="1:3" ht="31.5">
      <c r="A18" s="499">
        <v>950</v>
      </c>
      <c r="B18" s="495" t="s">
        <v>376</v>
      </c>
      <c r="C18" s="493" t="s">
        <v>377</v>
      </c>
    </row>
    <row r="19" spans="1:3" ht="32.25" thickBot="1">
      <c r="A19" s="497">
        <v>950</v>
      </c>
      <c r="B19" s="498" t="s">
        <v>1462</v>
      </c>
      <c r="C19" s="494" t="s">
        <v>468</v>
      </c>
    </row>
    <row r="20" spans="1:3" ht="66" customHeight="1">
      <c r="A20" s="499">
        <v>950</v>
      </c>
      <c r="B20" s="495" t="s">
        <v>1539</v>
      </c>
      <c r="C20" s="493" t="s">
        <v>1343</v>
      </c>
    </row>
    <row r="21" spans="1:3" ht="66" customHeight="1" thickBot="1">
      <c r="A21" s="497">
        <v>950</v>
      </c>
      <c r="B21" s="498" t="s">
        <v>1463</v>
      </c>
      <c r="C21" s="494" t="s">
        <v>1464</v>
      </c>
    </row>
    <row r="22" spans="1:3" ht="63.75" thickBot="1">
      <c r="A22" s="497">
        <v>950</v>
      </c>
      <c r="B22" s="498" t="s">
        <v>1465</v>
      </c>
      <c r="C22" s="494" t="s">
        <v>1466</v>
      </c>
    </row>
    <row r="23" spans="1:3" ht="63.75" thickBot="1">
      <c r="A23" s="497">
        <v>950</v>
      </c>
      <c r="B23" s="498" t="s">
        <v>1467</v>
      </c>
      <c r="C23" s="494" t="s">
        <v>1468</v>
      </c>
    </row>
    <row r="24" spans="1:3" ht="126">
      <c r="A24" s="499">
        <v>950</v>
      </c>
      <c r="B24" s="495" t="s">
        <v>1538</v>
      </c>
      <c r="C24" s="493" t="s">
        <v>1340</v>
      </c>
    </row>
    <row r="25" spans="1:3" ht="84" customHeight="1" thickBot="1">
      <c r="A25" s="497">
        <v>950</v>
      </c>
      <c r="B25" s="498" t="s">
        <v>1469</v>
      </c>
      <c r="C25" s="494" t="s">
        <v>1470</v>
      </c>
    </row>
    <row r="26" spans="1:3" ht="94.5">
      <c r="A26" s="499">
        <v>950</v>
      </c>
      <c r="B26" s="495" t="s">
        <v>1616</v>
      </c>
      <c r="C26" s="493" t="s">
        <v>1341</v>
      </c>
    </row>
    <row r="27" spans="1:3" ht="95.25" thickBot="1">
      <c r="A27" s="497">
        <v>950</v>
      </c>
      <c r="B27" s="498" t="s">
        <v>1471</v>
      </c>
      <c r="C27" s="494" t="s">
        <v>1472</v>
      </c>
    </row>
    <row r="28" spans="1:3" ht="59.25" customHeight="1">
      <c r="A28" s="501">
        <v>950</v>
      </c>
      <c r="B28" s="502" t="s">
        <v>1473</v>
      </c>
      <c r="C28" s="503" t="s">
        <v>1474</v>
      </c>
    </row>
    <row r="29" spans="1:3" ht="52.5" customHeight="1">
      <c r="A29" s="495">
        <v>950</v>
      </c>
      <c r="B29" s="495" t="s">
        <v>1614</v>
      </c>
      <c r="C29" s="579" t="s">
        <v>1615</v>
      </c>
    </row>
    <row r="30" spans="1:3" ht="63">
      <c r="A30" s="499">
        <v>950</v>
      </c>
      <c r="B30" s="495" t="s">
        <v>1617</v>
      </c>
      <c r="C30" s="493" t="s">
        <v>1342</v>
      </c>
    </row>
    <row r="31" spans="1:3" ht="48" thickBot="1">
      <c r="A31" s="497">
        <v>950</v>
      </c>
      <c r="B31" s="498" t="s">
        <v>1475</v>
      </c>
      <c r="C31" s="494" t="s">
        <v>1476</v>
      </c>
    </row>
    <row r="32" spans="1:3" ht="48" thickBot="1">
      <c r="A32" s="497">
        <v>950</v>
      </c>
      <c r="B32" s="498" t="s">
        <v>1477</v>
      </c>
      <c r="C32" s="494" t="s">
        <v>1478</v>
      </c>
    </row>
    <row r="33" spans="1:3" ht="48" thickBot="1">
      <c r="A33" s="497">
        <v>950</v>
      </c>
      <c r="B33" s="498" t="s">
        <v>1479</v>
      </c>
      <c r="C33" s="494" t="s">
        <v>1480</v>
      </c>
    </row>
    <row r="34" spans="1:3" ht="15.75">
      <c r="A34" s="499">
        <v>950</v>
      </c>
      <c r="B34" s="495" t="s">
        <v>1522</v>
      </c>
      <c r="C34" s="493" t="s">
        <v>380</v>
      </c>
    </row>
    <row r="35" spans="1:3" ht="16.5" thickBot="1">
      <c r="A35" s="497">
        <v>950</v>
      </c>
      <c r="B35" s="498" t="s">
        <v>1481</v>
      </c>
      <c r="C35" s="494" t="s">
        <v>1482</v>
      </c>
    </row>
    <row r="36" spans="1:3" ht="47.25">
      <c r="A36" s="499">
        <v>950</v>
      </c>
      <c r="B36" s="495" t="s">
        <v>1537</v>
      </c>
      <c r="C36" s="493" t="s">
        <v>381</v>
      </c>
    </row>
    <row r="37" spans="1:3" ht="71.25" customHeight="1">
      <c r="A37" s="499">
        <v>950</v>
      </c>
      <c r="B37" s="495" t="s">
        <v>1536</v>
      </c>
      <c r="C37" s="493" t="s">
        <v>1283</v>
      </c>
    </row>
    <row r="38" spans="1:3" ht="47.25">
      <c r="A38" s="499">
        <v>950</v>
      </c>
      <c r="B38" s="495" t="s">
        <v>1535</v>
      </c>
      <c r="C38" s="493" t="s">
        <v>1282</v>
      </c>
    </row>
    <row r="39" spans="1:3" ht="78.75">
      <c r="A39" s="496">
        <v>950</v>
      </c>
      <c r="B39" s="496" t="s">
        <v>1523</v>
      </c>
      <c r="C39" s="493" t="s">
        <v>382</v>
      </c>
    </row>
    <row r="40" spans="1:3" ht="31.5">
      <c r="A40" s="496">
        <v>950</v>
      </c>
      <c r="B40" s="496" t="s">
        <v>1534</v>
      </c>
      <c r="C40" s="493" t="s">
        <v>383</v>
      </c>
    </row>
    <row r="41" spans="1:3" ht="32.25" thickBot="1">
      <c r="A41" s="497">
        <v>950</v>
      </c>
      <c r="B41" s="498" t="s">
        <v>1483</v>
      </c>
      <c r="C41" s="494" t="s">
        <v>1484</v>
      </c>
    </row>
    <row r="42" spans="1:3" ht="32.25" thickBot="1">
      <c r="A42" s="497">
        <v>950</v>
      </c>
      <c r="B42" s="498" t="s">
        <v>1485</v>
      </c>
      <c r="C42" s="494" t="s">
        <v>1486</v>
      </c>
    </row>
    <row r="43" spans="1:3" ht="48" thickBot="1">
      <c r="A43" s="497">
        <v>950</v>
      </c>
      <c r="B43" s="498" t="s">
        <v>1487</v>
      </c>
      <c r="C43" s="494" t="s">
        <v>1488</v>
      </c>
    </row>
    <row r="44" spans="1:3" ht="31.5">
      <c r="A44" s="499">
        <v>950</v>
      </c>
      <c r="B44" s="495" t="s">
        <v>1524</v>
      </c>
      <c r="C44" s="493" t="s">
        <v>379</v>
      </c>
    </row>
    <row r="45" spans="1:3" ht="32.25" thickBot="1">
      <c r="A45" s="497">
        <v>950</v>
      </c>
      <c r="B45" s="498" t="s">
        <v>1489</v>
      </c>
      <c r="C45" s="494" t="s">
        <v>1490</v>
      </c>
    </row>
    <row r="46" spans="1:3" ht="72" customHeight="1">
      <c r="A46" s="499">
        <v>950</v>
      </c>
      <c r="B46" s="495" t="s">
        <v>1540</v>
      </c>
      <c r="C46" s="493" t="s">
        <v>1344</v>
      </c>
    </row>
    <row r="47" spans="1:3" ht="63">
      <c r="A47" s="499">
        <v>950</v>
      </c>
      <c r="B47" s="495" t="s">
        <v>1541</v>
      </c>
      <c r="C47" s="493" t="s">
        <v>1345</v>
      </c>
    </row>
    <row r="48" spans="1:3" ht="63.75" thickBot="1">
      <c r="A48" s="497">
        <v>950</v>
      </c>
      <c r="B48" s="498" t="s">
        <v>1491</v>
      </c>
      <c r="C48" s="494" t="s">
        <v>1492</v>
      </c>
    </row>
    <row r="49" spans="1:3" ht="79.5" thickBot="1">
      <c r="A49" s="497">
        <v>950</v>
      </c>
      <c r="B49" s="498" t="s">
        <v>1493</v>
      </c>
      <c r="C49" s="494" t="s">
        <v>1494</v>
      </c>
    </row>
    <row r="50" spans="1:3" ht="63.75" thickBot="1">
      <c r="A50" s="497">
        <v>950</v>
      </c>
      <c r="B50" s="498" t="s">
        <v>1495</v>
      </c>
      <c r="C50" s="494" t="s">
        <v>1496</v>
      </c>
    </row>
    <row r="51" spans="1:3" ht="63">
      <c r="A51" s="499">
        <v>950</v>
      </c>
      <c r="B51" s="495" t="s">
        <v>1542</v>
      </c>
      <c r="C51" s="493" t="s">
        <v>1284</v>
      </c>
    </row>
    <row r="52" spans="1:3" ht="68.25" customHeight="1">
      <c r="A52" s="499">
        <v>950</v>
      </c>
      <c r="B52" s="495" t="s">
        <v>1533</v>
      </c>
      <c r="C52" s="493" t="s">
        <v>1290</v>
      </c>
    </row>
    <row r="53" spans="1:3" ht="65.25" customHeight="1">
      <c r="A53" s="499">
        <v>950</v>
      </c>
      <c r="B53" s="495" t="s">
        <v>1532</v>
      </c>
      <c r="C53" s="493" t="s">
        <v>1285</v>
      </c>
    </row>
    <row r="54" spans="1:3" ht="63.75" customHeight="1">
      <c r="A54" s="499">
        <v>950</v>
      </c>
      <c r="B54" s="495" t="s">
        <v>1531</v>
      </c>
      <c r="C54" s="493" t="s">
        <v>1286</v>
      </c>
    </row>
    <row r="55" spans="1:3" ht="63.75" customHeight="1" thickBot="1">
      <c r="A55" s="497">
        <v>950</v>
      </c>
      <c r="B55" s="498" t="s">
        <v>1497</v>
      </c>
      <c r="C55" s="494" t="s">
        <v>1498</v>
      </c>
    </row>
    <row r="56" spans="1:3" ht="63.75" customHeight="1">
      <c r="A56" s="501">
        <v>950</v>
      </c>
      <c r="B56" s="502" t="s">
        <v>1499</v>
      </c>
      <c r="C56" s="503" t="s">
        <v>1500</v>
      </c>
    </row>
    <row r="57" spans="1:3" ht="63.75" customHeight="1">
      <c r="A57" s="495">
        <v>950</v>
      </c>
      <c r="B57" s="495" t="s">
        <v>1501</v>
      </c>
      <c r="C57" s="493" t="s">
        <v>1502</v>
      </c>
    </row>
    <row r="58" spans="1:3" ht="63.75" customHeight="1" thickBot="1">
      <c r="A58" s="497">
        <v>950</v>
      </c>
      <c r="B58" s="498" t="s">
        <v>1503</v>
      </c>
      <c r="C58" s="494" t="s">
        <v>1504</v>
      </c>
    </row>
    <row r="59" spans="1:3" ht="37.5" customHeight="1" thickBot="1">
      <c r="A59" s="497">
        <v>950</v>
      </c>
      <c r="B59" s="498" t="s">
        <v>1505</v>
      </c>
      <c r="C59" s="494" t="s">
        <v>1506</v>
      </c>
    </row>
    <row r="60" spans="1:3" ht="70.5" customHeight="1">
      <c r="A60" s="499">
        <v>950</v>
      </c>
      <c r="B60" s="495" t="s">
        <v>1525</v>
      </c>
      <c r="C60" s="493" t="s">
        <v>1287</v>
      </c>
    </row>
    <row r="61" spans="1:3" ht="65.25" customHeight="1" thickBot="1">
      <c r="A61" s="497">
        <v>950</v>
      </c>
      <c r="B61" s="498" t="s">
        <v>1507</v>
      </c>
      <c r="C61" s="494" t="s">
        <v>1508</v>
      </c>
    </row>
    <row r="62" spans="1:3" ht="36" customHeight="1">
      <c r="A62" s="765" t="s">
        <v>384</v>
      </c>
      <c r="B62" s="766"/>
      <c r="C62" s="767"/>
    </row>
    <row r="63" spans="1:3" ht="63.75" thickBot="1">
      <c r="A63" s="507">
        <v>952</v>
      </c>
      <c r="B63" s="508" t="s">
        <v>385</v>
      </c>
      <c r="C63" s="508" t="s">
        <v>386</v>
      </c>
    </row>
    <row r="64" spans="1:3" ht="111" thickBot="1">
      <c r="A64" s="507">
        <v>952</v>
      </c>
      <c r="B64" s="508" t="s">
        <v>1346</v>
      </c>
      <c r="C64" s="508" t="s">
        <v>1349</v>
      </c>
    </row>
    <row r="65" spans="1:3" ht="99.75" customHeight="1">
      <c r="A65" s="509">
        <v>952</v>
      </c>
      <c r="B65" s="509" t="s">
        <v>1509</v>
      </c>
      <c r="C65" s="510" t="s">
        <v>1528</v>
      </c>
    </row>
    <row r="66" spans="1:3" ht="94.5">
      <c r="A66" s="511">
        <v>952</v>
      </c>
      <c r="B66" s="511" t="s">
        <v>387</v>
      </c>
      <c r="C66" s="511" t="s">
        <v>388</v>
      </c>
    </row>
    <row r="67" spans="1:3" ht="79.5" thickBot="1">
      <c r="A67" s="507">
        <v>952</v>
      </c>
      <c r="B67" s="508" t="s">
        <v>1510</v>
      </c>
      <c r="C67" s="508" t="s">
        <v>1511</v>
      </c>
    </row>
    <row r="68" spans="1:3" ht="48" thickBot="1">
      <c r="A68" s="507">
        <v>952</v>
      </c>
      <c r="B68" s="508" t="s">
        <v>389</v>
      </c>
      <c r="C68" s="508" t="s">
        <v>390</v>
      </c>
    </row>
    <row r="69" spans="1:3" ht="48" thickBot="1">
      <c r="A69" s="507">
        <v>952</v>
      </c>
      <c r="B69" s="508" t="s">
        <v>1512</v>
      </c>
      <c r="C69" s="508" t="s">
        <v>1513</v>
      </c>
    </row>
    <row r="70" spans="1:3" ht="63.75" thickBot="1">
      <c r="A70" s="507">
        <v>952</v>
      </c>
      <c r="B70" s="508" t="s">
        <v>391</v>
      </c>
      <c r="C70" s="508" t="s">
        <v>392</v>
      </c>
    </row>
    <row r="71" spans="1:3" ht="95.25" thickBot="1">
      <c r="A71" s="507">
        <v>952</v>
      </c>
      <c r="B71" s="508" t="s">
        <v>393</v>
      </c>
      <c r="C71" s="508" t="s">
        <v>1514</v>
      </c>
    </row>
    <row r="72" spans="1:3" ht="95.25" thickBot="1">
      <c r="A72" s="507">
        <v>952</v>
      </c>
      <c r="B72" s="508" t="s">
        <v>1515</v>
      </c>
      <c r="C72" s="508" t="s">
        <v>1516</v>
      </c>
    </row>
    <row r="73" spans="1:3" ht="30.75" customHeight="1" thickBot="1">
      <c r="A73" s="507">
        <v>952</v>
      </c>
      <c r="B73" s="508" t="s">
        <v>439</v>
      </c>
      <c r="C73" s="508" t="s">
        <v>369</v>
      </c>
    </row>
    <row r="74" spans="1:3" ht="111" thickBot="1">
      <c r="A74" s="507">
        <v>952</v>
      </c>
      <c r="B74" s="508" t="s">
        <v>394</v>
      </c>
      <c r="C74" s="508" t="s">
        <v>395</v>
      </c>
    </row>
    <row r="75" spans="1:3" ht="95.25" thickBot="1">
      <c r="A75" s="507">
        <v>952</v>
      </c>
      <c r="B75" s="508" t="s">
        <v>1517</v>
      </c>
      <c r="C75" s="508" t="s">
        <v>1518</v>
      </c>
    </row>
    <row r="76" spans="1:3" ht="111" thickBot="1">
      <c r="A76" s="507">
        <v>952</v>
      </c>
      <c r="B76" s="508" t="s">
        <v>396</v>
      </c>
      <c r="C76" s="508" t="s">
        <v>397</v>
      </c>
    </row>
    <row r="77" spans="1:3" ht="63.75" customHeight="1" thickBot="1">
      <c r="A77" s="507">
        <v>952</v>
      </c>
      <c r="B77" s="508" t="s">
        <v>1347</v>
      </c>
      <c r="C77" s="508" t="s">
        <v>1350</v>
      </c>
    </row>
    <row r="78" spans="1:3" ht="63.75" customHeight="1">
      <c r="A78" s="509">
        <v>952</v>
      </c>
      <c r="B78" s="509" t="s">
        <v>1519</v>
      </c>
      <c r="C78" s="510" t="s">
        <v>1529</v>
      </c>
    </row>
    <row r="79" spans="1:3" ht="63">
      <c r="A79" s="511">
        <v>952</v>
      </c>
      <c r="B79" s="511" t="s">
        <v>398</v>
      </c>
      <c r="C79" s="511" t="s">
        <v>75</v>
      </c>
    </row>
    <row r="80" spans="1:3" ht="63.75" thickBot="1">
      <c r="A80" s="507">
        <v>952</v>
      </c>
      <c r="B80" s="508" t="s">
        <v>1520</v>
      </c>
      <c r="C80" s="508" t="s">
        <v>1521</v>
      </c>
    </row>
    <row r="81" spans="1:3" ht="48" thickBot="1">
      <c r="A81" s="507">
        <v>952</v>
      </c>
      <c r="B81" s="508" t="s">
        <v>372</v>
      </c>
      <c r="C81" s="508" t="s">
        <v>373</v>
      </c>
    </row>
    <row r="82" spans="1:3" ht="32.25" thickBot="1">
      <c r="A82" s="507">
        <v>952</v>
      </c>
      <c r="B82" s="512" t="s">
        <v>374</v>
      </c>
      <c r="C82" s="508" t="s">
        <v>375</v>
      </c>
    </row>
    <row r="83" spans="1:3" ht="32.25" thickBot="1">
      <c r="A83" s="507">
        <v>952</v>
      </c>
      <c r="B83" s="508" t="s">
        <v>376</v>
      </c>
      <c r="C83" s="508" t="s">
        <v>377</v>
      </c>
    </row>
    <row r="84" spans="1:3" ht="32.25" thickBot="1">
      <c r="A84" s="513">
        <v>952</v>
      </c>
      <c r="B84" s="507" t="s">
        <v>1462</v>
      </c>
      <c r="C84" s="508" t="s">
        <v>468</v>
      </c>
    </row>
    <row r="85" spans="1:3" ht="16.5" thickBot="1">
      <c r="A85" s="513">
        <v>952</v>
      </c>
      <c r="B85" s="507" t="s">
        <v>1522</v>
      </c>
      <c r="C85" s="508" t="s">
        <v>380</v>
      </c>
    </row>
    <row r="86" spans="1:3" ht="79.5" thickBot="1">
      <c r="A86" s="513">
        <v>952</v>
      </c>
      <c r="B86" s="507" t="s">
        <v>1523</v>
      </c>
      <c r="C86" s="508" t="s">
        <v>382</v>
      </c>
    </row>
    <row r="87" spans="1:3" ht="36.75" customHeight="1" thickBot="1">
      <c r="A87" s="507">
        <v>952</v>
      </c>
      <c r="B87" s="508" t="s">
        <v>1524</v>
      </c>
      <c r="C87" s="508" t="s">
        <v>379</v>
      </c>
    </row>
    <row r="88" spans="1:3" ht="63" customHeight="1">
      <c r="A88" s="509">
        <v>952</v>
      </c>
      <c r="B88" s="509" t="s">
        <v>1525</v>
      </c>
      <c r="C88" s="510" t="s">
        <v>1287</v>
      </c>
    </row>
    <row r="89" spans="1:3" ht="15.75">
      <c r="A89" s="765" t="s">
        <v>399</v>
      </c>
      <c r="B89" s="766"/>
      <c r="C89" s="767"/>
    </row>
    <row r="90" spans="1:3" ht="47.25">
      <c r="A90" s="514">
        <v>953</v>
      </c>
      <c r="B90" s="515" t="s">
        <v>367</v>
      </c>
      <c r="C90" s="516" t="s">
        <v>64</v>
      </c>
    </row>
    <row r="91" spans="1:3" ht="31.5">
      <c r="A91" s="517">
        <v>953</v>
      </c>
      <c r="B91" s="515" t="s">
        <v>368</v>
      </c>
      <c r="C91" s="516" t="s">
        <v>369</v>
      </c>
    </row>
    <row r="92" spans="1:3" ht="78.75">
      <c r="A92" s="518">
        <v>953</v>
      </c>
      <c r="B92" s="516" t="s">
        <v>370</v>
      </c>
      <c r="C92" s="516" t="s">
        <v>371</v>
      </c>
    </row>
    <row r="93" spans="1:3" ht="47.25">
      <c r="A93" s="518">
        <v>953</v>
      </c>
      <c r="B93" s="516" t="s">
        <v>372</v>
      </c>
      <c r="C93" s="516" t="s">
        <v>373</v>
      </c>
    </row>
    <row r="94" spans="1:3" ht="31.5">
      <c r="A94" s="518">
        <v>953</v>
      </c>
      <c r="B94" s="515" t="s">
        <v>374</v>
      </c>
      <c r="C94" s="516" t="s">
        <v>375</v>
      </c>
    </row>
    <row r="95" spans="1:3" ht="31.5">
      <c r="A95" s="518">
        <v>953</v>
      </c>
      <c r="B95" s="516" t="s">
        <v>376</v>
      </c>
      <c r="C95" s="516" t="s">
        <v>377</v>
      </c>
    </row>
    <row r="96" spans="1:3" ht="63">
      <c r="A96" s="518">
        <v>953</v>
      </c>
      <c r="B96" s="516" t="s">
        <v>1530</v>
      </c>
      <c r="C96" s="516" t="s">
        <v>1351</v>
      </c>
    </row>
    <row r="97" spans="1:3" ht="47.25">
      <c r="A97" s="518">
        <v>953</v>
      </c>
      <c r="B97" s="516" t="s">
        <v>1477</v>
      </c>
      <c r="C97" s="516" t="s">
        <v>1478</v>
      </c>
    </row>
    <row r="98" spans="1:3" ht="15.75">
      <c r="A98" s="518">
        <v>953</v>
      </c>
      <c r="B98" s="516" t="s">
        <v>1522</v>
      </c>
      <c r="C98" s="516" t="s">
        <v>380</v>
      </c>
    </row>
    <row r="99" spans="1:3" ht="47.25">
      <c r="A99" s="518">
        <v>953</v>
      </c>
      <c r="B99" s="516" t="s">
        <v>1537</v>
      </c>
      <c r="C99" s="516" t="s">
        <v>381</v>
      </c>
    </row>
    <row r="100" spans="1:3" ht="56.25" customHeight="1">
      <c r="A100" s="518">
        <v>953</v>
      </c>
      <c r="B100" s="516" t="s">
        <v>1545</v>
      </c>
      <c r="C100" s="516" t="s">
        <v>400</v>
      </c>
    </row>
    <row r="101" spans="1:3" ht="78.75">
      <c r="A101" s="518">
        <v>953</v>
      </c>
      <c r="B101" s="516" t="s">
        <v>1523</v>
      </c>
      <c r="C101" s="516" t="s">
        <v>382</v>
      </c>
    </row>
    <row r="102" spans="1:3" ht="31.5">
      <c r="A102" s="515">
        <v>953</v>
      </c>
      <c r="B102" s="515" t="s">
        <v>1546</v>
      </c>
      <c r="C102" s="516" t="s">
        <v>383</v>
      </c>
    </row>
    <row r="103" spans="1:3" ht="47.25">
      <c r="A103" s="518">
        <v>953</v>
      </c>
      <c r="B103" s="516" t="s">
        <v>1487</v>
      </c>
      <c r="C103" s="516" t="s">
        <v>378</v>
      </c>
    </row>
    <row r="104" spans="1:3" ht="48" thickBot="1">
      <c r="A104" s="519">
        <v>953</v>
      </c>
      <c r="B104" s="520" t="s">
        <v>1497</v>
      </c>
      <c r="C104" s="520" t="s">
        <v>1498</v>
      </c>
    </row>
    <row r="105" spans="1:3" ht="63.75" thickBot="1">
      <c r="A105" s="519">
        <v>953</v>
      </c>
      <c r="B105" s="520" t="s">
        <v>1543</v>
      </c>
      <c r="C105" s="520" t="s">
        <v>1544</v>
      </c>
    </row>
    <row r="106" spans="1:3" ht="63">
      <c r="A106" s="518">
        <v>953</v>
      </c>
      <c r="B106" s="516" t="s">
        <v>1525</v>
      </c>
      <c r="C106" s="516" t="s">
        <v>1288</v>
      </c>
    </row>
    <row r="107" spans="1:3" ht="33.75" customHeight="1">
      <c r="A107" s="770" t="s">
        <v>401</v>
      </c>
      <c r="B107" s="771"/>
      <c r="C107" s="772"/>
    </row>
    <row r="108" spans="1:3" ht="36" customHeight="1">
      <c r="A108" s="518">
        <v>954</v>
      </c>
      <c r="B108" s="515" t="s">
        <v>367</v>
      </c>
      <c r="C108" s="516" t="s">
        <v>64</v>
      </c>
    </row>
    <row r="109" spans="1:3" ht="31.5">
      <c r="A109" s="518">
        <v>954</v>
      </c>
      <c r="B109" s="515" t="s">
        <v>368</v>
      </c>
      <c r="C109" s="516" t="s">
        <v>369</v>
      </c>
    </row>
    <row r="110" spans="1:3" ht="78.75">
      <c r="A110" s="518">
        <v>954</v>
      </c>
      <c r="B110" s="516" t="s">
        <v>370</v>
      </c>
      <c r="C110" s="516" t="s">
        <v>371</v>
      </c>
    </row>
    <row r="111" spans="1:3" ht="47.25">
      <c r="A111" s="518">
        <v>954</v>
      </c>
      <c r="B111" s="516" t="s">
        <v>372</v>
      </c>
      <c r="C111" s="516" t="s">
        <v>373</v>
      </c>
    </row>
    <row r="112" spans="1:3" ht="31.5">
      <c r="A112" s="518">
        <v>954</v>
      </c>
      <c r="B112" s="515" t="s">
        <v>374</v>
      </c>
      <c r="C112" s="516" t="s">
        <v>375</v>
      </c>
    </row>
    <row r="113" spans="1:3" ht="31.5">
      <c r="A113" s="518">
        <v>954</v>
      </c>
      <c r="B113" s="516" t="s">
        <v>376</v>
      </c>
      <c r="C113" s="516" t="s">
        <v>377</v>
      </c>
    </row>
    <row r="114" spans="1:3" ht="63">
      <c r="A114" s="518">
        <v>954</v>
      </c>
      <c r="B114" s="516" t="s">
        <v>1547</v>
      </c>
      <c r="C114" s="516" t="s">
        <v>440</v>
      </c>
    </row>
    <row r="115" spans="1:3" ht="48" thickBot="1">
      <c r="A115" s="519">
        <v>954</v>
      </c>
      <c r="B115" s="524" t="s">
        <v>1477</v>
      </c>
      <c r="C115" s="528" t="s">
        <v>1478</v>
      </c>
    </row>
    <row r="116" spans="1:3" ht="15.75">
      <c r="A116" s="518">
        <v>954</v>
      </c>
      <c r="B116" s="516" t="s">
        <v>1522</v>
      </c>
      <c r="C116" s="516" t="s">
        <v>380</v>
      </c>
    </row>
    <row r="117" spans="1:3" ht="48" thickBot="1">
      <c r="A117" s="519">
        <v>954</v>
      </c>
      <c r="B117" s="524" t="s">
        <v>1548</v>
      </c>
      <c r="C117" s="528" t="s">
        <v>1549</v>
      </c>
    </row>
    <row r="118" spans="1:3" ht="47.25">
      <c r="A118" s="518">
        <v>954</v>
      </c>
      <c r="B118" s="516" t="s">
        <v>1537</v>
      </c>
      <c r="C118" s="516" t="s">
        <v>381</v>
      </c>
    </row>
    <row r="119" spans="1:3" ht="78.75">
      <c r="A119" s="518">
        <v>954</v>
      </c>
      <c r="B119" s="516" t="s">
        <v>1550</v>
      </c>
      <c r="C119" s="516" t="s">
        <v>405</v>
      </c>
    </row>
    <row r="120" spans="1:3" ht="78.75">
      <c r="A120" s="518">
        <v>954</v>
      </c>
      <c r="B120" s="516" t="s">
        <v>1551</v>
      </c>
      <c r="C120" s="516" t="s">
        <v>441</v>
      </c>
    </row>
    <row r="121" spans="1:3" ht="84" customHeight="1">
      <c r="A121" s="518">
        <v>954</v>
      </c>
      <c r="B121" s="516" t="s">
        <v>1553</v>
      </c>
      <c r="C121" s="516" t="s">
        <v>1552</v>
      </c>
    </row>
    <row r="122" spans="1:3" ht="72" customHeight="1">
      <c r="A122" s="518">
        <v>954</v>
      </c>
      <c r="B122" s="516" t="s">
        <v>1555</v>
      </c>
      <c r="C122" s="529" t="s">
        <v>1554</v>
      </c>
    </row>
    <row r="123" spans="1:3" ht="47.25">
      <c r="A123" s="518">
        <v>954</v>
      </c>
      <c r="B123" s="516" t="s">
        <v>1556</v>
      </c>
      <c r="C123" s="516" t="s">
        <v>402</v>
      </c>
    </row>
    <row r="124" spans="1:3" ht="94.5">
      <c r="A124" s="518">
        <v>954</v>
      </c>
      <c r="B124" s="516" t="s">
        <v>1557</v>
      </c>
      <c r="C124" s="516" t="s">
        <v>404</v>
      </c>
    </row>
    <row r="125" spans="1:3" ht="115.5" customHeight="1">
      <c r="A125" s="518">
        <v>954</v>
      </c>
      <c r="B125" s="516" t="s">
        <v>1558</v>
      </c>
      <c r="C125" s="516" t="s">
        <v>403</v>
      </c>
    </row>
    <row r="126" spans="1:3" ht="66.75" customHeight="1">
      <c r="A126" s="518">
        <v>954</v>
      </c>
      <c r="B126" s="516" t="s">
        <v>1559</v>
      </c>
      <c r="C126" s="516" t="s">
        <v>1295</v>
      </c>
    </row>
    <row r="127" spans="1:3" ht="31.5">
      <c r="A127" s="518">
        <v>954</v>
      </c>
      <c r="B127" s="515" t="s">
        <v>1546</v>
      </c>
      <c r="C127" s="516" t="s">
        <v>383</v>
      </c>
    </row>
    <row r="128" spans="1:3" ht="63.75" thickBot="1">
      <c r="A128" s="530">
        <v>954</v>
      </c>
      <c r="B128" s="525" t="s">
        <v>1560</v>
      </c>
      <c r="C128" s="528" t="s">
        <v>1561</v>
      </c>
    </row>
    <row r="129" spans="1:3" ht="63.75" thickBot="1">
      <c r="A129" s="530">
        <v>954</v>
      </c>
      <c r="B129" s="525" t="s">
        <v>1562</v>
      </c>
      <c r="C129" s="528" t="s">
        <v>1563</v>
      </c>
    </row>
    <row r="130" spans="1:3" ht="32.25" thickBot="1">
      <c r="A130" s="530">
        <v>954</v>
      </c>
      <c r="B130" s="526" t="s">
        <v>1546</v>
      </c>
      <c r="C130" s="528" t="s">
        <v>383</v>
      </c>
    </row>
    <row r="131" spans="1:3" ht="47.25">
      <c r="A131" s="518">
        <v>954</v>
      </c>
      <c r="B131" s="516" t="s">
        <v>1487</v>
      </c>
      <c r="C131" s="516" t="s">
        <v>378</v>
      </c>
    </row>
    <row r="132" spans="1:3" ht="70.5" customHeight="1">
      <c r="A132" s="518">
        <v>954</v>
      </c>
      <c r="B132" s="516" t="s">
        <v>1564</v>
      </c>
      <c r="C132" s="516" t="s">
        <v>1289</v>
      </c>
    </row>
    <row r="133" spans="1:3" ht="48" customHeight="1">
      <c r="A133" s="531">
        <v>954</v>
      </c>
      <c r="B133" s="527" t="s">
        <v>1565</v>
      </c>
      <c r="C133" s="522" t="s">
        <v>1498</v>
      </c>
    </row>
    <row r="134" spans="1:3" ht="81" customHeight="1" thickBot="1">
      <c r="A134" s="530">
        <v>954</v>
      </c>
      <c r="B134" s="520" t="s">
        <v>1566</v>
      </c>
      <c r="C134" s="528" t="s">
        <v>1567</v>
      </c>
    </row>
    <row r="135" spans="1:3" ht="83.25" customHeight="1">
      <c r="A135" s="531">
        <v>954</v>
      </c>
      <c r="B135" s="527" t="s">
        <v>1568</v>
      </c>
      <c r="C135" s="522" t="s">
        <v>1569</v>
      </c>
    </row>
    <row r="136" spans="1:3" ht="114" customHeight="1">
      <c r="A136" s="516">
        <v>954</v>
      </c>
      <c r="B136" s="523" t="s">
        <v>1570</v>
      </c>
      <c r="C136" s="521" t="s">
        <v>1571</v>
      </c>
    </row>
    <row r="137" spans="1:3" ht="53.25" customHeight="1">
      <c r="A137" s="516">
        <v>954</v>
      </c>
      <c r="B137" s="523" t="s">
        <v>1572</v>
      </c>
      <c r="C137" s="516" t="s">
        <v>1573</v>
      </c>
    </row>
    <row r="138" spans="1:3" ht="135" customHeight="1">
      <c r="A138" s="516">
        <v>954</v>
      </c>
      <c r="B138" s="523" t="s">
        <v>1574</v>
      </c>
      <c r="C138" s="521" t="s">
        <v>1575</v>
      </c>
    </row>
    <row r="139" spans="1:3" ht="161.25" customHeight="1">
      <c r="A139" s="516">
        <v>954</v>
      </c>
      <c r="B139" s="523" t="s">
        <v>1576</v>
      </c>
      <c r="C139" s="521" t="s">
        <v>1577</v>
      </c>
    </row>
    <row r="140" spans="1:3" ht="70.5" customHeight="1">
      <c r="A140" s="516">
        <v>954</v>
      </c>
      <c r="B140" s="523" t="s">
        <v>1578</v>
      </c>
      <c r="C140" s="516" t="s">
        <v>1579</v>
      </c>
    </row>
    <row r="141" spans="1:3" ht="70.5" customHeight="1">
      <c r="A141" s="532">
        <v>954</v>
      </c>
      <c r="B141" s="523" t="s">
        <v>1581</v>
      </c>
      <c r="C141" s="516" t="s">
        <v>1580</v>
      </c>
    </row>
    <row r="142" spans="1:3" ht="63">
      <c r="A142" s="518">
        <v>954</v>
      </c>
      <c r="B142" s="516" t="s">
        <v>1525</v>
      </c>
      <c r="C142" s="516" t="s">
        <v>1288</v>
      </c>
    </row>
    <row r="143" spans="1:3" ht="15.75">
      <c r="A143" s="765" t="s">
        <v>406</v>
      </c>
      <c r="B143" s="766"/>
      <c r="C143" s="767"/>
    </row>
    <row r="144" spans="1:3" ht="31.5">
      <c r="A144" s="516">
        <v>955</v>
      </c>
      <c r="B144" s="515" t="s">
        <v>368</v>
      </c>
      <c r="C144" s="516" t="s">
        <v>369</v>
      </c>
    </row>
    <row r="145" spans="1:3" ht="47.25">
      <c r="A145" s="516">
        <v>955</v>
      </c>
      <c r="B145" s="515" t="s">
        <v>407</v>
      </c>
      <c r="C145" s="516" t="s">
        <v>408</v>
      </c>
    </row>
    <row r="146" spans="1:3" ht="63">
      <c r="A146" s="516">
        <v>955</v>
      </c>
      <c r="B146" s="516" t="s">
        <v>409</v>
      </c>
      <c r="C146" s="516" t="s">
        <v>410</v>
      </c>
    </row>
    <row r="147" spans="1:3" ht="47.25">
      <c r="A147" s="518">
        <v>955</v>
      </c>
      <c r="B147" s="516" t="s">
        <v>372</v>
      </c>
      <c r="C147" s="516" t="s">
        <v>373</v>
      </c>
    </row>
    <row r="148" spans="1:3" ht="31.5">
      <c r="A148" s="516">
        <v>955</v>
      </c>
      <c r="B148" s="515" t="s">
        <v>374</v>
      </c>
      <c r="C148" s="516" t="s">
        <v>375</v>
      </c>
    </row>
    <row r="149" spans="1:3" ht="31.5">
      <c r="A149" s="518">
        <v>955</v>
      </c>
      <c r="B149" s="516" t="s">
        <v>376</v>
      </c>
      <c r="C149" s="516" t="s">
        <v>377</v>
      </c>
    </row>
    <row r="150" spans="1:3" ht="31.5">
      <c r="A150" s="516">
        <v>955</v>
      </c>
      <c r="B150" s="516" t="s">
        <v>1582</v>
      </c>
      <c r="C150" s="516" t="s">
        <v>1335</v>
      </c>
    </row>
    <row r="151" spans="1:3" ht="33.75" customHeight="1">
      <c r="A151" s="516">
        <v>955</v>
      </c>
      <c r="B151" s="516" t="s">
        <v>1583</v>
      </c>
      <c r="C151" s="516" t="s">
        <v>411</v>
      </c>
    </row>
    <row r="152" spans="1:3" ht="24" customHeight="1">
      <c r="A152" s="516">
        <v>955</v>
      </c>
      <c r="B152" s="516" t="s">
        <v>1584</v>
      </c>
      <c r="C152" s="516" t="s">
        <v>443</v>
      </c>
    </row>
    <row r="153" spans="1:3" ht="15.75">
      <c r="A153" s="516">
        <v>955</v>
      </c>
      <c r="B153" s="516" t="s">
        <v>1522</v>
      </c>
      <c r="C153" s="516" t="s">
        <v>380</v>
      </c>
    </row>
    <row r="154" spans="1:3" ht="47.25">
      <c r="A154" s="516">
        <v>955</v>
      </c>
      <c r="B154" s="516" t="s">
        <v>1537</v>
      </c>
      <c r="C154" s="516" t="s">
        <v>413</v>
      </c>
    </row>
    <row r="155" spans="1:3" ht="52.5" customHeight="1">
      <c r="A155" s="516">
        <v>955</v>
      </c>
      <c r="B155" s="516" t="s">
        <v>1585</v>
      </c>
      <c r="C155" s="516" t="s">
        <v>412</v>
      </c>
    </row>
    <row r="156" spans="1:3" ht="78.75">
      <c r="A156" s="516">
        <v>955</v>
      </c>
      <c r="B156" s="516" t="s">
        <v>1523</v>
      </c>
      <c r="C156" s="516" t="s">
        <v>382</v>
      </c>
    </row>
    <row r="157" spans="1:3" ht="63.75" thickBot="1">
      <c r="A157" s="530">
        <v>955</v>
      </c>
      <c r="B157" s="580" t="s">
        <v>1587</v>
      </c>
      <c r="C157" s="520" t="s">
        <v>143</v>
      </c>
    </row>
    <row r="158" spans="1:3" ht="31.5">
      <c r="A158" s="516">
        <v>955</v>
      </c>
      <c r="B158" s="516" t="s">
        <v>1546</v>
      </c>
      <c r="C158" s="516" t="s">
        <v>383</v>
      </c>
    </row>
    <row r="159" spans="1:3" ht="110.25">
      <c r="A159" s="516">
        <v>955</v>
      </c>
      <c r="B159" s="516" t="s">
        <v>1586</v>
      </c>
      <c r="C159" s="516" t="s">
        <v>414</v>
      </c>
    </row>
    <row r="160" spans="1:3" ht="63.75" thickBot="1">
      <c r="A160" s="530">
        <v>955</v>
      </c>
      <c r="B160" s="520" t="s">
        <v>1588</v>
      </c>
      <c r="C160" s="520" t="s">
        <v>1589</v>
      </c>
    </row>
    <row r="161" spans="1:3" ht="79.5" thickBot="1">
      <c r="A161" s="530">
        <v>955</v>
      </c>
      <c r="B161" s="524" t="s">
        <v>1590</v>
      </c>
      <c r="C161" s="520" t="s">
        <v>1591</v>
      </c>
    </row>
    <row r="162" spans="1:3" ht="63">
      <c r="A162" s="516">
        <v>955</v>
      </c>
      <c r="B162" s="516" t="s">
        <v>1542</v>
      </c>
      <c r="C162" s="516" t="s">
        <v>1284</v>
      </c>
    </row>
    <row r="163" spans="1:3" ht="63.75" thickBot="1">
      <c r="A163" s="530">
        <v>955</v>
      </c>
      <c r="B163" s="520" t="s">
        <v>1594</v>
      </c>
      <c r="C163" s="520" t="s">
        <v>1595</v>
      </c>
    </row>
    <row r="164" spans="1:3" ht="79.5" thickBot="1">
      <c r="A164" s="530">
        <v>955</v>
      </c>
      <c r="B164" s="524" t="s">
        <v>1592</v>
      </c>
      <c r="C164" s="524" t="s">
        <v>1593</v>
      </c>
    </row>
    <row r="165" spans="1:3" ht="63">
      <c r="A165" s="516">
        <v>955</v>
      </c>
      <c r="B165" s="516" t="s">
        <v>1525</v>
      </c>
      <c r="C165" s="516" t="s">
        <v>1288</v>
      </c>
    </row>
    <row r="166" spans="1:3" ht="33" customHeight="1">
      <c r="A166" s="765" t="s">
        <v>415</v>
      </c>
      <c r="B166" s="766"/>
      <c r="C166" s="767"/>
    </row>
    <row r="167" spans="1:3" ht="47.25">
      <c r="A167" s="533">
        <v>956</v>
      </c>
      <c r="B167" s="515" t="s">
        <v>367</v>
      </c>
      <c r="C167" s="516" t="s">
        <v>64</v>
      </c>
    </row>
    <row r="168" spans="1:3" ht="31.5">
      <c r="A168" s="533">
        <v>956</v>
      </c>
      <c r="B168" s="515" t="s">
        <v>368</v>
      </c>
      <c r="C168" s="516" t="s">
        <v>369</v>
      </c>
    </row>
    <row r="169" spans="1:3" ht="78.75">
      <c r="A169" s="518">
        <v>956</v>
      </c>
      <c r="B169" s="516" t="s">
        <v>370</v>
      </c>
      <c r="C169" s="516" t="s">
        <v>371</v>
      </c>
    </row>
    <row r="170" spans="1:3" ht="47.25">
      <c r="A170" s="518">
        <v>956</v>
      </c>
      <c r="B170" s="516" t="s">
        <v>372</v>
      </c>
      <c r="C170" s="516" t="s">
        <v>373</v>
      </c>
    </row>
    <row r="171" spans="1:3" ht="31.5">
      <c r="A171" s="518">
        <v>956</v>
      </c>
      <c r="B171" s="515" t="s">
        <v>374</v>
      </c>
      <c r="C171" s="516" t="s">
        <v>375</v>
      </c>
    </row>
    <row r="172" spans="1:3" ht="31.5">
      <c r="A172" s="518">
        <v>956</v>
      </c>
      <c r="B172" s="516" t="s">
        <v>376</v>
      </c>
      <c r="C172" s="516" t="s">
        <v>377</v>
      </c>
    </row>
    <row r="173" spans="1:3" ht="31.5">
      <c r="A173" s="518">
        <v>956</v>
      </c>
      <c r="B173" s="516" t="s">
        <v>1618</v>
      </c>
      <c r="C173" s="516" t="s">
        <v>1348</v>
      </c>
    </row>
    <row r="174" spans="1:3" ht="15.75" customHeight="1">
      <c r="A174" s="516">
        <v>956</v>
      </c>
      <c r="B174" s="516" t="s">
        <v>1522</v>
      </c>
      <c r="C174" s="516" t="s">
        <v>380</v>
      </c>
    </row>
    <row r="175" spans="1:3" ht="78.75">
      <c r="A175" s="516">
        <v>956</v>
      </c>
      <c r="B175" s="516" t="s">
        <v>1523</v>
      </c>
      <c r="C175" s="516" t="s">
        <v>382</v>
      </c>
    </row>
    <row r="176" spans="1:3" ht="31.5">
      <c r="A176" s="515">
        <v>956</v>
      </c>
      <c r="B176" s="516" t="s">
        <v>1546</v>
      </c>
      <c r="C176" s="516" t="s">
        <v>383</v>
      </c>
    </row>
    <row r="177" spans="1:3" ht="47.25">
      <c r="A177" s="518">
        <v>956</v>
      </c>
      <c r="B177" s="516" t="s">
        <v>1487</v>
      </c>
      <c r="C177" s="516" t="s">
        <v>378</v>
      </c>
    </row>
    <row r="178" spans="1:3" ht="63">
      <c r="A178" s="518">
        <v>956</v>
      </c>
      <c r="B178" s="516" t="s">
        <v>1542</v>
      </c>
      <c r="C178" s="516" t="s">
        <v>1284</v>
      </c>
    </row>
    <row r="179" spans="1:3" ht="63">
      <c r="A179" s="518">
        <v>956</v>
      </c>
      <c r="B179" s="516" t="s">
        <v>1525</v>
      </c>
      <c r="C179" s="516" t="s">
        <v>1288</v>
      </c>
    </row>
  </sheetData>
  <mergeCells count="11">
    <mergeCell ref="A1:C1"/>
    <mergeCell ref="A2:C2"/>
    <mergeCell ref="A3:C3"/>
    <mergeCell ref="A4:C4"/>
    <mergeCell ref="A6:C6"/>
    <mergeCell ref="A166:C166"/>
    <mergeCell ref="A8:C8"/>
    <mergeCell ref="A62:C62"/>
    <mergeCell ref="A89:C89"/>
    <mergeCell ref="A107:C107"/>
    <mergeCell ref="A143:C143"/>
  </mergeCells>
  <hyperlinks>
    <hyperlink ref="C136" r:id="rId1" display="garantf1://12013020.0/"/>
    <hyperlink ref="C138" r:id="rId2" display="garantf1://10001162.0/"/>
    <hyperlink ref="C139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55</vt:i4>
      </vt:variant>
    </vt:vector>
  </HeadingPairs>
  <TitlesOfParts>
    <vt:vector size="88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Лист4</vt:lpstr>
      <vt:lpstr>Лист5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Пр1!Область_печати</vt:lpstr>
      <vt:lpstr>Пр12!Область_печати</vt:lpstr>
      <vt:lpstr>Пр15!Область_печати</vt:lpstr>
      <vt:lpstr>Пр16!Область_печати</vt:lpstr>
      <vt:lpstr>Пр17!Область_печати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2019-04-15T11:59:08Z</cp:lastPrinted>
  <dcterms:created xsi:type="dcterms:W3CDTF">2016-11-11T16:27:02Z</dcterms:created>
  <dcterms:modified xsi:type="dcterms:W3CDTF">2019-04-29T09:38:33Z</dcterms:modified>
</cp:coreProperties>
</file>