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bookViews>
    <workbookView xWindow="555" yWindow="-15" windowWidth="14160" windowHeight="12210" tabRatio="730" activeTab="57"/>
  </bookViews>
  <sheets>
    <sheet name="Пр1" sheetId="1" r:id="rId1"/>
    <sheet name="Пр2" sheetId="2" state="hidden" r:id="rId2"/>
    <sheet name="Пр_3" sheetId="3" r:id="rId3"/>
    <sheet name="Пр4" sheetId="4" state="hidden" r:id="rId4"/>
    <sheet name="Пр5" sheetId="5" r:id="rId5"/>
    <sheet name="Пр6" sheetId="6" state="hidden" r:id="rId6"/>
    <sheet name="Пр7" sheetId="7" r:id="rId7"/>
    <sheet name="Пр_9" sheetId="8" state="hidden" r:id="rId8"/>
    <sheet name="Пр_10" sheetId="9" state="hidden" r:id="rId9"/>
    <sheet name="Пр8" sheetId="10" state="hidden" r:id="rId10"/>
    <sheet name="Пр9" sheetId="11" state="hidden" r:id="rId11"/>
    <sheet name="Пр10" sheetId="12" state="hidden" r:id="rId12"/>
    <sheet name="Пр11" sheetId="13" state="hidden" r:id="rId13"/>
    <sheet name="Пр12" sheetId="14" r:id="rId14"/>
    <sheet name="Пр.13" sheetId="15" state="hidden" r:id="rId15"/>
    <sheet name="Пр12_" sheetId="17" state="hidden" r:id="rId16"/>
    <sheet name="Пр3" sheetId="20" state="hidden" r:id="rId17"/>
    <sheet name="Пр13" sheetId="22" state="hidden" r:id="rId18"/>
    <sheet name="Пр_18" sheetId="23" state="hidden" r:id="rId19"/>
    <sheet name="Пр_19" sheetId="24" state="hidden" r:id="rId20"/>
    <sheet name="Пр20" sheetId="25" state="hidden" r:id="rId21"/>
    <sheet name="Пр_20" sheetId="26" state="hidden" r:id="rId22"/>
    <sheet name="Пр_21" sheetId="27" state="hidden" r:id="rId23"/>
    <sheet name="Пр_22" sheetId="28" state="hidden" r:id="rId24"/>
    <sheet name="Пр_23" sheetId="29" state="hidden" r:id="rId25"/>
    <sheet name="Пр 10." sheetId="30" state="hidden" r:id="rId26"/>
    <sheet name="КВСР" sheetId="31" state="hidden" r:id="rId27"/>
    <sheet name="КЦСР" sheetId="32" state="hidden" r:id="rId28"/>
    <sheet name="КВР" sheetId="33" state="hidden" r:id="rId29"/>
    <sheet name="20" sheetId="34" state="hidden" r:id="rId30"/>
    <sheet name="21" sheetId="35" state="hidden" r:id="rId31"/>
    <sheet name="22" sheetId="36" state="hidden" r:id="rId32"/>
    <sheet name="Лист1" sheetId="37" state="hidden" r:id="rId33"/>
    <sheet name="Лист2" sheetId="38" state="hidden" r:id="rId34"/>
    <sheet name="Пр13-" sheetId="39" state="hidden" r:id="rId35"/>
    <sheet name="Пр14-" sheetId="40" state="hidden" r:id="rId36"/>
    <sheet name="Лист3" sheetId="41" state="hidden" r:id="rId37"/>
    <sheet name="Лист4" sheetId="42" state="hidden" r:id="rId38"/>
    <sheet name="Лист5" sheetId="43" state="hidden" r:id="rId39"/>
    <sheet name="LOG" sheetId="44" state="hidden" r:id="rId40"/>
    <sheet name="Пр17" sheetId="46" state="hidden" r:id="rId41"/>
    <sheet name="Пр.14" sheetId="16" r:id="rId42"/>
    <sheet name="Пр.18" sheetId="47" state="hidden" r:id="rId43"/>
    <sheet name="Пр19" sheetId="48" state="hidden" r:id="rId44"/>
    <sheet name="Пр.21" sheetId="50" state="hidden" r:id="rId45"/>
    <sheet name="Пр.20" sheetId="55" state="hidden" r:id="rId46"/>
    <sheet name="Пр21" sheetId="56" state="hidden" r:id="rId47"/>
    <sheet name="КФСР" sheetId="51" state="hidden" r:id="rId48"/>
    <sheet name="Пр15" sheetId="21" state="hidden" r:id="rId49"/>
    <sheet name="Пр16" sheetId="45" state="hidden" r:id="rId50"/>
    <sheet name="Пр.17" sheetId="62" r:id="rId51"/>
    <sheet name="Пр.-18" sheetId="60" r:id="rId52"/>
    <sheet name="Пр.19" sheetId="49" r:id="rId53"/>
    <sheet name="Пр.-21" sheetId="61" r:id="rId54"/>
    <sheet name="Пр. 22" sheetId="64" state="hidden" r:id="rId55"/>
    <sheet name="Направление" sheetId="52" state="hidden" r:id="rId56"/>
    <sheet name="Лист6" sheetId="65" state="hidden" r:id="rId57"/>
    <sheet name="Лист7" sheetId="66" r:id="rId58"/>
    <sheet name="Программа" sheetId="53" state="hidden" r:id="rId59"/>
  </sheets>
  <definedNames>
    <definedName name="_GoBack" localSheetId="6">Пр7!$A$45</definedName>
    <definedName name="_xlnm._FilterDatabase" localSheetId="26">КВСР!$A$2:$B$1166</definedName>
    <definedName name="_xlnm._FilterDatabase" localSheetId="47">КФСР!$A$1400:$B$1478</definedName>
    <definedName name="_xlnm._FilterDatabase" localSheetId="27">КЦСР!$A$2036:$B$3271</definedName>
    <definedName name="_xlnm._FilterDatabase" localSheetId="14" hidden="1">Пр.13!$A$8:$L$473</definedName>
    <definedName name="_xlnm._FilterDatabase" localSheetId="41">Пр.14!$C$1:$D$219</definedName>
    <definedName name="_xlnm._FilterDatabase" localSheetId="0" hidden="1">Пр1!$A$9:$L$169</definedName>
    <definedName name="_xlnm._FilterDatabase" localSheetId="13" hidden="1">Пр12!$A$8:$I$1222</definedName>
    <definedName name="_xlnm._FilterDatabase" localSheetId="1" hidden="1">Пр2!$A$9:$O$97</definedName>
    <definedName name="_xlnm._FilterDatabase" localSheetId="4" hidden="1">Пр5!$A$9:$E$26</definedName>
    <definedName name="Z_66DBF0AC_E9A0_482F_9E41_1928B6CA83DC_.wvu.Cols" localSheetId="2">Пр_3!#REF!</definedName>
    <definedName name="Z_66DBF0AC_E9A0_482F_9E41_1928B6CA83DC_.wvu.Cols" localSheetId="4">Пр5!#REF!</definedName>
    <definedName name="Z_66DBF0AC_E9A0_482F_9E41_1928B6CA83DC_.wvu.FilterData" localSheetId="13">Пр12!$A$9:$F$1175</definedName>
    <definedName name="Z_66DBF0AC_E9A0_482F_9E41_1928B6CA83DC_.wvu.Rows" localSheetId="4">Пр5!#REF!,Пр5!#REF!</definedName>
    <definedName name="Z_91923F83_3A6B_4204_9891_178562AB34F1_.wvu.Cols" localSheetId="2">Пр_3!#REF!</definedName>
    <definedName name="Z_91923F83_3A6B_4204_9891_178562AB34F1_.wvu.Cols" localSheetId="4">Пр5!#REF!</definedName>
    <definedName name="Z_91923F83_3A6B_4204_9891_178562AB34F1_.wvu.FilterData" localSheetId="13">Пр12!$A$9:$F$1175</definedName>
    <definedName name="Z_91923F83_3A6B_4204_9891_178562AB34F1_.wvu.PrintArea" localSheetId="2">Пр_3!$A$1:$B$120</definedName>
    <definedName name="Z_91923F83_3A6B_4204_9891_178562AB34F1_.wvu.PrintArea" localSheetId="0">Пр1!$A$1:$I$169</definedName>
    <definedName name="Z_91923F83_3A6B_4204_9891_178562AB34F1_.wvu.PrintArea" localSheetId="13">Пр12!$A$1:$F$1175</definedName>
    <definedName name="Z_91923F83_3A6B_4204_9891_178562AB34F1_.wvu.Rows" localSheetId="2">Пр_3!$23:$23</definedName>
    <definedName name="Z_91923F83_3A6B_4204_9891_178562AB34F1_.wvu.Rows" localSheetId="4">Пр5!#REF!,Пр5!#REF!</definedName>
    <definedName name="Z_A5E41FC9_89B1_40D2_B587_57BC4C5E4715_.wvu.Cols" localSheetId="2">Пр_3!#REF!</definedName>
    <definedName name="Z_A5E41FC9_89B1_40D2_B587_57BC4C5E4715_.wvu.Cols" localSheetId="4">Пр5!#REF!</definedName>
    <definedName name="Z_A5E41FC9_89B1_40D2_B587_57BC4C5E4715_.wvu.FilterData" localSheetId="13">Пр12!$A$9:$F$1175</definedName>
    <definedName name="Z_A5E41FC9_89B1_40D2_B587_57BC4C5E4715_.wvu.PrintArea" localSheetId="2">Пр_3!$A$1:$B$120</definedName>
    <definedName name="Z_A5E41FC9_89B1_40D2_B587_57BC4C5E4715_.wvu.PrintArea" localSheetId="0">Пр1!$A$1:$I$169</definedName>
    <definedName name="Z_A5E41FC9_89B1_40D2_B587_57BC4C5E4715_.wvu.PrintArea" localSheetId="13">Пр12!$A$1:$F$1175</definedName>
    <definedName name="Z_A5E41FC9_89B1_40D2_B587_57BC4C5E4715_.wvu.Rows" localSheetId="2">Пр_3!$23:$23</definedName>
    <definedName name="Z_A5E41FC9_89B1_40D2_B587_57BC4C5E4715_.wvu.Rows" localSheetId="4">Пр5!#REF!,Пр5!#REF!</definedName>
    <definedName name="Z_B3311466_F005_49F1_A579_3E6CECE305A8_.wvu.Cols" localSheetId="2">Пр_3!#REF!</definedName>
    <definedName name="Z_B3311466_F005_49F1_A579_3E6CECE305A8_.wvu.Cols" localSheetId="4">Пр5!#REF!</definedName>
    <definedName name="Z_B3311466_F005_49F1_A579_3E6CECE305A8_.wvu.FilterData" localSheetId="13">Пр12!$A$9:$F$1175</definedName>
    <definedName name="Z_B3311466_F005_49F1_A579_3E6CECE305A8_.wvu.PrintArea" localSheetId="2">Пр_3!$A$1:$B$120</definedName>
    <definedName name="Z_B3311466_F005_49F1_A579_3E6CECE305A8_.wvu.PrintArea" localSheetId="0">Пр1!$A$1:$I$169</definedName>
    <definedName name="Z_B3311466_F005_49F1_A579_3E6CECE305A8_.wvu.PrintArea" localSheetId="13">Пр12!$A$1:$F$1175</definedName>
    <definedName name="Z_B3311466_F005_49F1_A579_3E6CECE305A8_.wvu.Rows" localSheetId="2">Пр_3!$23:$23</definedName>
    <definedName name="Z_B3311466_F005_49F1_A579_3E6CECE305A8_.wvu.Rows" localSheetId="4">Пр5!#REF!,Пр5!#REF!</definedName>
    <definedName name="Z_E51CBA0A_8A1C_44BF_813B_86B1F7C678D3_.wvu.FilterData" localSheetId="13">Пр12!$A$9:$F$1175</definedName>
    <definedName name="Z_E5662E33_D4B0_43EA_9B06_C8DA9DFDBEF6_.wvu.Cols" localSheetId="2">Пр_3!#REF!</definedName>
    <definedName name="Z_E5662E33_D4B0_43EA_9B06_C8DA9DFDBEF6_.wvu.Cols" localSheetId="4">Пр5!#REF!</definedName>
    <definedName name="Z_E5662E33_D4B0_43EA_9B06_C8DA9DFDBEF6_.wvu.FilterData" localSheetId="13">Пр12!$A$9:$F$1175</definedName>
    <definedName name="Z_E5662E33_D4B0_43EA_9B06_C8DA9DFDBEF6_.wvu.PrintArea" localSheetId="2">Пр_3!$A$1:$B$120</definedName>
    <definedName name="Z_E5662E33_D4B0_43EA_9B06_C8DA9DFDBEF6_.wvu.PrintArea" localSheetId="0">Пр1!$A$1:$I$169</definedName>
    <definedName name="Z_E5662E33_D4B0_43EA_9B06_C8DA9DFDBEF6_.wvu.PrintArea" localSheetId="13">Пр12!$A$1:$F$1175</definedName>
    <definedName name="Z_E5662E33_D4B0_43EA_9B06_C8DA9DFDBEF6_.wvu.PrintArea" localSheetId="4">Пр5!$A$1:$B$23</definedName>
    <definedName name="Z_E5662E33_D4B0_43EA_9B06_C8DA9DFDBEF6_.wvu.Rows" localSheetId="2">Пр_3!$23:$23</definedName>
    <definedName name="Z_E5662E33_D4B0_43EA_9B06_C8DA9DFDBEF6_.wvu.Rows" localSheetId="4">Пр5!#REF!,Пр5!#REF!</definedName>
    <definedName name="Z_F3607253_7816_4CF7_9CFD_2ADFFAD916F8_.wvu.Cols" localSheetId="2">Пр_3!#REF!</definedName>
    <definedName name="Z_F3607253_7816_4CF7_9CFD_2ADFFAD916F8_.wvu.Cols" localSheetId="4">Пр5!#REF!</definedName>
    <definedName name="Z_F3607253_7816_4CF7_9CFD_2ADFFAD916F8_.wvu.FilterData" localSheetId="13">Пр12!$A$9:$F$1175</definedName>
    <definedName name="Z_F3607253_7816_4CF7_9CFD_2ADFFAD916F8_.wvu.PrintArea" localSheetId="2">Пр_3!$A$1:$B$120</definedName>
    <definedName name="Z_F3607253_7816_4CF7_9CFD_2ADFFAD916F8_.wvu.PrintArea" localSheetId="0">Пр1!$A$1:$I$169</definedName>
    <definedName name="Z_F3607253_7816_4CF7_9CFD_2ADFFAD916F8_.wvu.PrintArea" localSheetId="13">Пр12!$A$1:$F$1175</definedName>
    <definedName name="Z_F3607253_7816_4CF7_9CFD_2ADFFAD916F8_.wvu.Rows" localSheetId="2">Пр_3!$23:$23</definedName>
    <definedName name="Z_F3607253_7816_4CF7_9CFD_2ADFFAD916F8_.wvu.Rows" localSheetId="4">Пр5!#REF!,Пр5!#REF!</definedName>
    <definedName name="_xlnm.Print_Titles" localSheetId="14">Пр.13!$8:$9</definedName>
    <definedName name="_xlnm.Print_Titles" localSheetId="13">Пр12!$8:$9</definedName>
    <definedName name="_xlnm.Print_Area" localSheetId="28">КВР!$A$1820:$B$1930</definedName>
    <definedName name="_xlnm.Print_Area" localSheetId="26">КВСР!$A$1000:$B$1167</definedName>
    <definedName name="_xlnm.Print_Area" localSheetId="47">КФСР!$A$1:$B$1501</definedName>
    <definedName name="_xlnm.Print_Area" localSheetId="27">КЦСР!$A$2036:$B$3485</definedName>
    <definedName name="_xlnm.Print_Area" localSheetId="54">'Пр. 22'!$A$1:$D$18</definedName>
    <definedName name="_xlnm.Print_Area" localSheetId="14">Пр.13!$A$1:$L$473</definedName>
    <definedName name="_xlnm.Print_Area" localSheetId="41">Пр.14!$A$1:$F$148</definedName>
    <definedName name="_xlnm.Print_Area" localSheetId="42">Пр.18!$A$1:$E$51</definedName>
    <definedName name="_xlnm.Print_Area" localSheetId="53">'Пр.-21'!$A$1:$F$25</definedName>
    <definedName name="_xlnm.Print_Area" localSheetId="18">Пр_18!$A$1:$D$31</definedName>
    <definedName name="_xlnm.Print_Area" localSheetId="21">Пр_20!$A$1:$E$24</definedName>
    <definedName name="_xlnm.Print_Area" localSheetId="24">Пр_23!$A$1:$D$17</definedName>
    <definedName name="_xlnm.Print_Area" localSheetId="2">Пр_3!$A$1:$E$122</definedName>
    <definedName name="_xlnm.Print_Area" localSheetId="7">Пр_9!$A$1:$C$171</definedName>
    <definedName name="_xlnm.Print_Area" localSheetId="0">Пр1!$A$1:$L$169</definedName>
    <definedName name="_xlnm.Print_Area" localSheetId="13">Пр12!$A$1:$I$1222</definedName>
    <definedName name="_xlnm.Print_Area" localSheetId="15">Пр12_!$A$1:$I$52</definedName>
    <definedName name="_xlnm.Print_Area" localSheetId="48">Пр15!$B$1:$I$141</definedName>
    <definedName name="_xlnm.Print_Area" localSheetId="43">Пр19!$A$1:$H$17</definedName>
    <definedName name="_xlnm.Print_Area" localSheetId="1">Пр2!$A$1:$O$97</definedName>
    <definedName name="_xlnm.Print_Area" localSheetId="46">Пр21!$A$1:$D$31</definedName>
    <definedName name="_xlnm.Print_Area" localSheetId="3">Пр4!$A$1:$H$123</definedName>
    <definedName name="_xlnm.Print_Area" localSheetId="4">Пр5!$A$1:$E$26</definedName>
    <definedName name="_xlnm.Print_Area" localSheetId="5">Пр6!$A$1:$H$24</definedName>
    <definedName name="_xlnm.Print_Area" localSheetId="6">Пр7!$A$1:$E$42</definedName>
    <definedName name="_xlnm.Print_Area" localSheetId="9">Пр8!$A$1:$E$45</definedName>
    <definedName name="_xlnm.Print_Area" localSheetId="10">Пр9!$A$1:$C$164</definedName>
  </definedNames>
  <calcPr calcId="145621"/>
</workbook>
</file>

<file path=xl/calcChain.xml><?xml version="1.0" encoding="utf-8"?>
<calcChain xmlns="http://schemas.openxmlformats.org/spreadsheetml/2006/main">
  <c r="C8" i="66" l="1"/>
  <c r="E12" i="5"/>
  <c r="E10" i="60"/>
  <c r="E27" i="60"/>
  <c r="B24" i="62" l="1"/>
  <c r="L139" i="1"/>
  <c r="L67" i="1"/>
  <c r="L65" i="1"/>
  <c r="L64" i="1"/>
  <c r="K38" i="1"/>
  <c r="K30" i="1" l="1"/>
  <c r="H179" i="14"/>
  <c r="H569" i="14"/>
  <c r="F22" i="61" l="1"/>
  <c r="E52" i="60"/>
  <c r="A1152" i="14"/>
  <c r="I1152" i="14"/>
  <c r="H1151" i="14"/>
  <c r="A570" i="14"/>
  <c r="H560" i="14"/>
  <c r="I561" i="14"/>
  <c r="A561" i="14"/>
  <c r="I233" i="14"/>
  <c r="I941" i="14"/>
  <c r="I940" i="14" s="1"/>
  <c r="H940" i="14"/>
  <c r="G940" i="14"/>
  <c r="A940" i="14"/>
  <c r="A941" i="14"/>
  <c r="I934" i="14"/>
  <c r="I933" i="14" s="1"/>
  <c r="H933" i="14"/>
  <c r="G933" i="14"/>
  <c r="A933" i="14"/>
  <c r="A934" i="14"/>
  <c r="I646" i="14"/>
  <c r="I647" i="14"/>
  <c r="A645" i="14"/>
  <c r="A646" i="14"/>
  <c r="A647" i="14"/>
  <c r="G645" i="14"/>
  <c r="G641" i="14" s="1"/>
  <c r="I645" i="14" l="1"/>
  <c r="H645" i="14"/>
  <c r="I64" i="14" l="1"/>
  <c r="H63" i="14"/>
  <c r="A64" i="14"/>
  <c r="H51" i="14"/>
  <c r="H50" i="14" s="1"/>
  <c r="J67" i="15" l="1"/>
  <c r="J66" i="15" s="1"/>
  <c r="J65" i="15" s="1"/>
  <c r="K67" i="15"/>
  <c r="K66" i="15" s="1"/>
  <c r="K65" i="15" s="1"/>
  <c r="H67" i="15"/>
  <c r="H66" i="15" s="1"/>
  <c r="H65" i="15" s="1"/>
  <c r="L68" i="15"/>
  <c r="L67" i="15" s="1"/>
  <c r="L66" i="15" s="1"/>
  <c r="L65" i="15" s="1"/>
  <c r="I68" i="15"/>
  <c r="I67" i="15" s="1"/>
  <c r="I66" i="15" s="1"/>
  <c r="I65" i="15" s="1"/>
  <c r="A65" i="15"/>
  <c r="A66" i="15"/>
  <c r="A67" i="15"/>
  <c r="A68" i="15"/>
  <c r="A61" i="15"/>
  <c r="A62" i="15"/>
  <c r="L62" i="15"/>
  <c r="L61" i="15" s="1"/>
  <c r="J61" i="15"/>
  <c r="K61" i="15"/>
  <c r="K60" i="15" s="1"/>
  <c r="K59" i="15" s="1"/>
  <c r="H61" i="15"/>
  <c r="J57" i="15"/>
  <c r="K57" i="15"/>
  <c r="K54" i="15" s="1"/>
  <c r="K53" i="15" s="1"/>
  <c r="H57" i="15"/>
  <c r="H54" i="15" s="1"/>
  <c r="H53" i="15" s="1"/>
  <c r="L58" i="15"/>
  <c r="L57" i="15" s="1"/>
  <c r="I58" i="15"/>
  <c r="I57" i="15" s="1"/>
  <c r="A57" i="15"/>
  <c r="A58" i="15"/>
  <c r="L81" i="15"/>
  <c r="L80" i="15" s="1"/>
  <c r="L77" i="15"/>
  <c r="L76" i="15" s="1"/>
  <c r="L79" i="15"/>
  <c r="L78" i="15" s="1"/>
  <c r="I79" i="15"/>
  <c r="I78" i="15" s="1"/>
  <c r="I77" i="15"/>
  <c r="I76" i="15" s="1"/>
  <c r="J76" i="15"/>
  <c r="K76" i="15"/>
  <c r="H76" i="15"/>
  <c r="J78" i="15"/>
  <c r="K78" i="15"/>
  <c r="H78" i="15"/>
  <c r="J80" i="15"/>
  <c r="K80" i="15"/>
  <c r="H80" i="15"/>
  <c r="I81" i="15"/>
  <c r="I80" i="15" s="1"/>
  <c r="A72" i="15"/>
  <c r="A73" i="15"/>
  <c r="A74" i="15"/>
  <c r="A75" i="15"/>
  <c r="A76" i="15"/>
  <c r="A77" i="15"/>
  <c r="A78" i="15"/>
  <c r="A79" i="15"/>
  <c r="A80" i="15"/>
  <c r="A81" i="15"/>
  <c r="K52" i="15" l="1"/>
  <c r="K75" i="15"/>
  <c r="K74" i="15" s="1"/>
  <c r="K73" i="15" s="1"/>
  <c r="K72" i="15" s="1"/>
  <c r="J75" i="15"/>
  <c r="J74" i="15" s="1"/>
  <c r="J73" i="15" s="1"/>
  <c r="J72" i="15" s="1"/>
  <c r="I62" i="15"/>
  <c r="I61" i="15" s="1"/>
  <c r="H75" i="15"/>
  <c r="H74" i="15" s="1"/>
  <c r="H73" i="15" s="1"/>
  <c r="H72" i="15" s="1"/>
  <c r="I75" i="15"/>
  <c r="I74" i="15" s="1"/>
  <c r="I73" i="15" s="1"/>
  <c r="I72" i="15" s="1"/>
  <c r="L75" i="15"/>
  <c r="L74" i="15" s="1"/>
  <c r="L73" i="15" s="1"/>
  <c r="L72" i="15" s="1"/>
  <c r="D15" i="64"/>
  <c r="D16" i="64"/>
  <c r="D17" i="64"/>
  <c r="D14" i="64"/>
  <c r="H232" i="14" l="1"/>
  <c r="A191" i="14"/>
  <c r="A192" i="14"/>
  <c r="H191" i="14"/>
  <c r="G191" i="14"/>
  <c r="I192" i="14"/>
  <c r="I191" i="14" s="1"/>
  <c r="K33" i="1"/>
  <c r="L35" i="1"/>
  <c r="L165" i="1" l="1"/>
  <c r="B18" i="64"/>
  <c r="C18" i="64"/>
  <c r="C49" i="60"/>
  <c r="I636" i="14" l="1"/>
  <c r="I635" i="14" s="1"/>
  <c r="I634" i="14" s="1"/>
  <c r="H635" i="14"/>
  <c r="H634" i="14" s="1"/>
  <c r="A634" i="14"/>
  <c r="A635" i="14"/>
  <c r="A636" i="14"/>
  <c r="I463" i="14"/>
  <c r="I462" i="14" s="1"/>
  <c r="I461" i="14" s="1"/>
  <c r="H462" i="14"/>
  <c r="H461" i="14" s="1"/>
  <c r="A462" i="14"/>
  <c r="A461" i="14"/>
  <c r="A463" i="14"/>
  <c r="H63" i="15"/>
  <c r="I1150" i="14"/>
  <c r="I1153" i="14"/>
  <c r="I1151" i="14" s="1"/>
  <c r="A1151" i="14"/>
  <c r="A1153" i="14"/>
  <c r="H935" i="14"/>
  <c r="I936" i="14"/>
  <c r="I935" i="14" s="1"/>
  <c r="A935" i="14"/>
  <c r="A936" i="14"/>
  <c r="H948" i="14"/>
  <c r="A948" i="14"/>
  <c r="A949" i="14"/>
  <c r="H60" i="15" l="1"/>
  <c r="H59" i="15" s="1"/>
  <c r="H52" i="15" s="1"/>
  <c r="I948" i="14"/>
  <c r="I949" i="14"/>
  <c r="J230" i="15"/>
  <c r="L246" i="15"/>
  <c r="L247" i="15"/>
  <c r="L249" i="15"/>
  <c r="L250" i="15"/>
  <c r="L252" i="15"/>
  <c r="L253" i="15"/>
  <c r="L255" i="15"/>
  <c r="L256" i="15"/>
  <c r="L258" i="15"/>
  <c r="L259" i="15"/>
  <c r="L261" i="15"/>
  <c r="L262" i="15"/>
  <c r="L264" i="15"/>
  <c r="L265" i="15"/>
  <c r="L267" i="15"/>
  <c r="L268" i="15"/>
  <c r="L270" i="15"/>
  <c r="L271" i="15"/>
  <c r="L273" i="15"/>
  <c r="L274" i="15"/>
  <c r="L276" i="15"/>
  <c r="L278" i="15"/>
  <c r="L279" i="15"/>
  <c r="L280" i="15"/>
  <c r="L283" i="15"/>
  <c r="L284" i="15"/>
  <c r="L286" i="15"/>
  <c r="L287" i="15"/>
  <c r="L289" i="15"/>
  <c r="L290" i="15"/>
  <c r="I246" i="15"/>
  <c r="I247" i="15"/>
  <c r="I249" i="15"/>
  <c r="I250" i="15"/>
  <c r="I252" i="15"/>
  <c r="I253" i="15"/>
  <c r="I255" i="15"/>
  <c r="I256" i="15"/>
  <c r="I258" i="15"/>
  <c r="I259" i="15"/>
  <c r="I261" i="15"/>
  <c r="I262" i="15"/>
  <c r="I264" i="15"/>
  <c r="I265" i="15"/>
  <c r="I267" i="15"/>
  <c r="I268" i="15"/>
  <c r="I270" i="15"/>
  <c r="I271" i="15"/>
  <c r="I273" i="15"/>
  <c r="I274" i="15"/>
  <c r="I276" i="15"/>
  <c r="I278" i="15"/>
  <c r="I279" i="15"/>
  <c r="I280" i="15"/>
  <c r="I283" i="15"/>
  <c r="I284" i="15"/>
  <c r="I286" i="15"/>
  <c r="I287" i="15"/>
  <c r="I289" i="15"/>
  <c r="I290" i="15"/>
  <c r="H1212" i="14" l="1"/>
  <c r="I1215" i="14"/>
  <c r="A1215" i="14"/>
  <c r="A365" i="14"/>
  <c r="A366" i="14"/>
  <c r="H365" i="14"/>
  <c r="I366" i="14"/>
  <c r="I365" i="14" s="1"/>
  <c r="I96" i="14"/>
  <c r="A96" i="14"/>
  <c r="H60" i="14"/>
  <c r="A61" i="14"/>
  <c r="I61" i="14"/>
  <c r="H95" i="14" l="1"/>
  <c r="H70" i="15"/>
  <c r="H69" i="15" s="1"/>
  <c r="H51" i="15" s="1"/>
  <c r="J70" i="15"/>
  <c r="J69" i="15" s="1"/>
  <c r="K70" i="15"/>
  <c r="K69" i="15" s="1"/>
  <c r="K51" i="15" s="1"/>
  <c r="L59" i="15"/>
  <c r="L60" i="15"/>
  <c r="L63" i="15"/>
  <c r="L64" i="15"/>
  <c r="L71" i="15"/>
  <c r="L70" i="15" s="1"/>
  <c r="L69" i="15" s="1"/>
  <c r="L56" i="15"/>
  <c r="I71" i="15"/>
  <c r="I70" i="15" s="1"/>
  <c r="I69" i="15" s="1"/>
  <c r="A69" i="15"/>
  <c r="A70" i="15"/>
  <c r="A71" i="15"/>
  <c r="D13" i="64" l="1"/>
  <c r="D18" i="64" s="1"/>
  <c r="H204" i="14" l="1"/>
  <c r="I204" i="14" s="1"/>
  <c r="I205" i="14"/>
  <c r="A204" i="14"/>
  <c r="A205" i="14"/>
  <c r="K74" i="1" l="1"/>
  <c r="L57" i="1" l="1"/>
  <c r="L149" i="1"/>
  <c r="A584" i="14" l="1"/>
  <c r="H584" i="14"/>
  <c r="I584" i="14" s="1"/>
  <c r="A585" i="14"/>
  <c r="I585" i="14"/>
  <c r="A586" i="14"/>
  <c r="H586" i="14"/>
  <c r="I586" i="14" s="1"/>
  <c r="A587" i="14"/>
  <c r="I587" i="14"/>
  <c r="C21" i="5" l="1"/>
  <c r="E21" i="5" s="1"/>
  <c r="C19" i="5"/>
  <c r="H904" i="14" l="1"/>
  <c r="I919" i="14"/>
  <c r="H918" i="14"/>
  <c r="A916" i="14"/>
  <c r="A917" i="14"/>
  <c r="A918" i="14"/>
  <c r="A919" i="14"/>
  <c r="I905" i="14"/>
  <c r="A904" i="14"/>
  <c r="A905" i="14"/>
  <c r="H841" i="14"/>
  <c r="I904" i="14" l="1"/>
  <c r="I918" i="14"/>
  <c r="H917" i="14"/>
  <c r="H916" i="14" s="1"/>
  <c r="I916" i="14" s="1"/>
  <c r="H784" i="14"/>
  <c r="I787" i="14"/>
  <c r="I788" i="14"/>
  <c r="A787" i="14"/>
  <c r="I435" i="14"/>
  <c r="H434" i="14"/>
  <c r="H433" i="14" s="1"/>
  <c r="A433" i="14"/>
  <c r="A434" i="14"/>
  <c r="A435" i="14"/>
  <c r="I917" i="14" l="1"/>
  <c r="I433" i="14"/>
  <c r="I434" i="14"/>
  <c r="A611" i="14"/>
  <c r="A612" i="14"/>
  <c r="I612" i="14"/>
  <c r="H611" i="14"/>
  <c r="I623" i="14"/>
  <c r="H622" i="14"/>
  <c r="A622" i="14"/>
  <c r="A623" i="14"/>
  <c r="I502" i="14"/>
  <c r="H501" i="14"/>
  <c r="I501" i="14" s="1"/>
  <c r="A501" i="14"/>
  <c r="A502" i="14"/>
  <c r="I430" i="14"/>
  <c r="H429" i="14"/>
  <c r="A429" i="14"/>
  <c r="A430" i="14"/>
  <c r="A400" i="14"/>
  <c r="A401" i="14"/>
  <c r="I401" i="14"/>
  <c r="H400" i="14"/>
  <c r="I400" i="14" l="1"/>
  <c r="I622" i="14"/>
  <c r="I611" i="14"/>
  <c r="I429" i="14"/>
  <c r="I335" i="14"/>
  <c r="H334" i="14"/>
  <c r="I334" i="14" s="1"/>
  <c r="A335" i="14"/>
  <c r="A333" i="14"/>
  <c r="A334" i="14"/>
  <c r="A325" i="14"/>
  <c r="A326" i="14"/>
  <c r="H325" i="14"/>
  <c r="I326" i="14"/>
  <c r="I325" i="14" s="1"/>
  <c r="A315" i="14"/>
  <c r="H333" i="14" l="1"/>
  <c r="I333" i="14" s="1"/>
  <c r="L63" i="1"/>
  <c r="L60" i="1"/>
  <c r="L58" i="1"/>
  <c r="E53" i="60" l="1"/>
  <c r="D53" i="60"/>
  <c r="C53" i="60"/>
  <c r="E49" i="60"/>
  <c r="D49" i="60"/>
  <c r="E23" i="61"/>
  <c r="C23" i="61"/>
  <c r="F23" i="61"/>
  <c r="D23" i="61"/>
  <c r="C15" i="62"/>
  <c r="B15" i="62"/>
  <c r="B27" i="62" l="1"/>
  <c r="E14" i="61"/>
  <c r="C14" i="61"/>
  <c r="F12" i="61"/>
  <c r="D14" i="61"/>
  <c r="F14" i="61" l="1"/>
  <c r="F25" i="61" s="1"/>
  <c r="D43" i="60"/>
  <c r="C43" i="60"/>
  <c r="E43" i="60"/>
  <c r="D38" i="60"/>
  <c r="C38" i="60"/>
  <c r="E37" i="60"/>
  <c r="E38" i="60" s="1"/>
  <c r="D33" i="60"/>
  <c r="C33" i="60"/>
  <c r="E32" i="60"/>
  <c r="E33" i="60" s="1"/>
  <c r="D28" i="60"/>
  <c r="C28" i="60"/>
  <c r="E28" i="60"/>
  <c r="D24" i="60"/>
  <c r="C24" i="60"/>
  <c r="E24" i="60"/>
  <c r="E19" i="60"/>
  <c r="D19" i="60"/>
  <c r="C19" i="60"/>
  <c r="D14" i="60"/>
  <c r="E12" i="60"/>
  <c r="E11" i="60"/>
  <c r="E9" i="60"/>
  <c r="D55" i="60" l="1"/>
  <c r="E14" i="60"/>
  <c r="E55" i="60" s="1"/>
  <c r="A1133" i="14"/>
  <c r="A1134" i="14"/>
  <c r="H1133" i="14"/>
  <c r="I1134" i="14"/>
  <c r="I1133" i="14" s="1"/>
  <c r="A831" i="14"/>
  <c r="A829" i="14"/>
  <c r="A830" i="14"/>
  <c r="A832" i="14"/>
  <c r="H831" i="14"/>
  <c r="H830" i="14" s="1"/>
  <c r="H829" i="14" s="1"/>
  <c r="D119" i="3" s="1"/>
  <c r="I832" i="14"/>
  <c r="I831" i="14" s="1"/>
  <c r="I830" i="14" s="1"/>
  <c r="I829" i="14" s="1"/>
  <c r="E119" i="3" s="1"/>
  <c r="H270" i="14"/>
  <c r="I271" i="14"/>
  <c r="I270" i="14" s="1"/>
  <c r="A270" i="14"/>
  <c r="A271" i="14"/>
  <c r="A287" i="14"/>
  <c r="A288" i="14"/>
  <c r="H287" i="14"/>
  <c r="I288" i="14"/>
  <c r="I287" i="14" s="1"/>
  <c r="A278" i="14"/>
  <c r="A279" i="14"/>
  <c r="A280" i="14"/>
  <c r="A281" i="14"/>
  <c r="H278" i="14"/>
  <c r="I279" i="14"/>
  <c r="I278" i="14" s="1"/>
  <c r="H280" i="14"/>
  <c r="I281" i="14"/>
  <c r="I280" i="14" s="1"/>
  <c r="H254" i="14"/>
  <c r="I255" i="14"/>
  <c r="I254" i="14" s="1"/>
  <c r="A254" i="14"/>
  <c r="A255" i="14"/>
  <c r="H206" i="14"/>
  <c r="I207" i="14"/>
  <c r="I206" i="14" s="1"/>
  <c r="A206" i="14"/>
  <c r="A207" i="14"/>
  <c r="A197" i="14"/>
  <c r="A198" i="14"/>
  <c r="H197" i="14"/>
  <c r="I198" i="14"/>
  <c r="I197" i="14" s="1"/>
  <c r="H1090" i="14" l="1"/>
  <c r="A1091" i="14"/>
  <c r="I1091" i="14"/>
  <c r="H1122" i="14"/>
  <c r="I1124" i="14"/>
  <c r="A1124" i="14"/>
  <c r="A1121" i="14"/>
  <c r="H1108" i="14"/>
  <c r="H1111" i="14"/>
  <c r="H1119" i="14"/>
  <c r="I1121" i="14"/>
  <c r="A1110" i="14"/>
  <c r="I1110" i="14"/>
  <c r="A284" i="14"/>
  <c r="A285" i="14"/>
  <c r="A286" i="14"/>
  <c r="H285" i="14"/>
  <c r="H284" i="14" s="1"/>
  <c r="I284" i="14" s="1"/>
  <c r="I286" i="14"/>
  <c r="I285" i="14" s="1"/>
  <c r="A189" i="14"/>
  <c r="H188" i="14"/>
  <c r="I189" i="14"/>
  <c r="H181" i="14"/>
  <c r="A182" i="14"/>
  <c r="I182" i="14"/>
  <c r="I842" i="14" l="1"/>
  <c r="A842" i="14"/>
  <c r="I475" i="14"/>
  <c r="I474" i="14" s="1"/>
  <c r="I473" i="14" s="1"/>
  <c r="I472" i="14" s="1"/>
  <c r="I471" i="14" s="1"/>
  <c r="H474" i="14"/>
  <c r="H473" i="14" s="1"/>
  <c r="H472" i="14" s="1"/>
  <c r="H471" i="14" s="1"/>
  <c r="A471" i="14"/>
  <c r="A472" i="14"/>
  <c r="A473" i="14"/>
  <c r="A474" i="14"/>
  <c r="A475" i="14"/>
  <c r="A858" i="14" l="1"/>
  <c r="A859" i="14"/>
  <c r="D45" i="47"/>
  <c r="C45" i="47"/>
  <c r="E44" i="47"/>
  <c r="E45" i="47" s="1"/>
  <c r="D68" i="16"/>
  <c r="I316" i="14"/>
  <c r="H315" i="14"/>
  <c r="I315" i="14" s="1"/>
  <c r="A316" i="14"/>
  <c r="I308" i="14"/>
  <c r="H307" i="14"/>
  <c r="I307" i="14" s="1"/>
  <c r="A307" i="14"/>
  <c r="A308" i="14"/>
  <c r="H305" i="14"/>
  <c r="I306" i="14"/>
  <c r="A305" i="14"/>
  <c r="A306" i="14"/>
  <c r="H860" i="14"/>
  <c r="H859" i="14" s="1"/>
  <c r="H858" i="14" s="1"/>
  <c r="H857" i="14" s="1"/>
  <c r="I861" i="14"/>
  <c r="I860" i="14" s="1"/>
  <c r="I857" i="14" s="1"/>
  <c r="A857" i="14"/>
  <c r="A860" i="14"/>
  <c r="A861" i="14"/>
  <c r="I859" i="14" l="1"/>
  <c r="I858" i="14" s="1"/>
  <c r="I305" i="14"/>
  <c r="H891" i="14"/>
  <c r="H893" i="14"/>
  <c r="I892" i="14"/>
  <c r="I891" i="14" s="1"/>
  <c r="I894" i="14"/>
  <c r="I893" i="14" s="1"/>
  <c r="A893" i="14"/>
  <c r="A894" i="14"/>
  <c r="A891" i="14"/>
  <c r="A892" i="14"/>
  <c r="H760" i="14"/>
  <c r="I762" i="14"/>
  <c r="I763" i="14"/>
  <c r="A762" i="14"/>
  <c r="H382" i="14"/>
  <c r="I383" i="14"/>
  <c r="A379" i="14"/>
  <c r="A380" i="14"/>
  <c r="A381" i="14"/>
  <c r="A382" i="14"/>
  <c r="A383" i="14"/>
  <c r="A117" i="14"/>
  <c r="A118" i="14"/>
  <c r="I118" i="14"/>
  <c r="H117" i="14"/>
  <c r="L66" i="1"/>
  <c r="A76" i="14"/>
  <c r="A77" i="14"/>
  <c r="I77" i="14"/>
  <c r="H76" i="14"/>
  <c r="I76" i="14" s="1"/>
  <c r="H58" i="14"/>
  <c r="I59" i="14"/>
  <c r="I58" i="14" s="1"/>
  <c r="A58" i="14"/>
  <c r="A59" i="14"/>
  <c r="L161" i="1"/>
  <c r="L141" i="1"/>
  <c r="K51" i="1"/>
  <c r="L73" i="1"/>
  <c r="L61" i="1"/>
  <c r="L164" i="1"/>
  <c r="L163" i="1"/>
  <c r="L162" i="1"/>
  <c r="L157" i="1"/>
  <c r="L70" i="1"/>
  <c r="L69" i="1"/>
  <c r="L68" i="1"/>
  <c r="L59" i="1"/>
  <c r="L56" i="1"/>
  <c r="L55" i="1"/>
  <c r="D40" i="47"/>
  <c r="C40" i="47"/>
  <c r="E39" i="47"/>
  <c r="E40" i="47" s="1"/>
  <c r="D35" i="47"/>
  <c r="C35" i="47"/>
  <c r="E34" i="47"/>
  <c r="E35" i="47" s="1"/>
  <c r="H1078" i="14"/>
  <c r="H1077" i="14" s="1"/>
  <c r="I1079" i="14"/>
  <c r="I1078" i="14" s="1"/>
  <c r="I1077" i="14" s="1"/>
  <c r="A1077" i="14"/>
  <c r="A1078" i="14"/>
  <c r="A1079" i="14"/>
  <c r="H855" i="14"/>
  <c r="I856" i="14"/>
  <c r="I855" i="14" s="1"/>
  <c r="A855" i="14"/>
  <c r="A856" i="14"/>
  <c r="H840" i="14"/>
  <c r="H839" i="14" s="1"/>
  <c r="I841" i="14"/>
  <c r="I840" i="14" s="1"/>
  <c r="I839" i="14" s="1"/>
  <c r="A839" i="14"/>
  <c r="A840" i="14"/>
  <c r="A841" i="14"/>
  <c r="H331" i="14"/>
  <c r="I332" i="14"/>
  <c r="I331" i="14" s="1"/>
  <c r="A331" i="14"/>
  <c r="A332" i="14"/>
  <c r="I330" i="14"/>
  <c r="A330" i="14"/>
  <c r="H329" i="14"/>
  <c r="I329" i="14" s="1"/>
  <c r="A329" i="14"/>
  <c r="A328" i="14"/>
  <c r="A327" i="14"/>
  <c r="I269" i="14"/>
  <c r="H268" i="14"/>
  <c r="I268" i="14" s="1"/>
  <c r="H272" i="14"/>
  <c r="I273" i="14"/>
  <c r="I272" i="14" s="1"/>
  <c r="H266" i="14"/>
  <c r="I267" i="14"/>
  <c r="I266" i="14" s="1"/>
  <c r="A266" i="14"/>
  <c r="A267" i="14"/>
  <c r="A268" i="14"/>
  <c r="A269" i="14"/>
  <c r="A272" i="14"/>
  <c r="A273" i="14"/>
  <c r="H264" i="14"/>
  <c r="I265" i="14"/>
  <c r="I264" i="14" s="1"/>
  <c r="A264" i="14"/>
  <c r="A265" i="14"/>
  <c r="A230" i="14"/>
  <c r="A231" i="14"/>
  <c r="I231" i="14"/>
  <c r="H230" i="14"/>
  <c r="I230" i="14" s="1"/>
  <c r="H242" i="14"/>
  <c r="H241" i="14" s="1"/>
  <c r="H240" i="14" s="1"/>
  <c r="I243" i="14"/>
  <c r="I242" i="14" s="1"/>
  <c r="I241" i="14" s="1"/>
  <c r="I240" i="14" s="1"/>
  <c r="A240" i="14"/>
  <c r="A241" i="14"/>
  <c r="A242" i="14"/>
  <c r="A243" i="14"/>
  <c r="I382" i="14" l="1"/>
  <c r="H381" i="14"/>
  <c r="I117" i="14"/>
  <c r="H328" i="14"/>
  <c r="H327" i="14" s="1"/>
  <c r="H237" i="14"/>
  <c r="H236" i="14" s="1"/>
  <c r="I1057" i="14"/>
  <c r="H1056" i="14"/>
  <c r="I1056" i="14" s="1"/>
  <c r="A1056" i="14"/>
  <c r="A1057" i="14"/>
  <c r="I203" i="14"/>
  <c r="H202" i="14"/>
  <c r="H201" i="14" s="1"/>
  <c r="I201" i="14" s="1"/>
  <c r="A201" i="14"/>
  <c r="A202" i="14"/>
  <c r="A203" i="14"/>
  <c r="I187" i="14"/>
  <c r="H186" i="14"/>
  <c r="I186" i="14" s="1"/>
  <c r="A186" i="14"/>
  <c r="A187" i="14"/>
  <c r="I179" i="14"/>
  <c r="I180" i="14"/>
  <c r="A179" i="14"/>
  <c r="A180" i="14"/>
  <c r="I202" i="14" l="1"/>
  <c r="H380" i="14"/>
  <c r="I381" i="14"/>
  <c r="I328" i="14"/>
  <c r="I327" i="14"/>
  <c r="B28" i="56"/>
  <c r="H250" i="14"/>
  <c r="I380" i="14" l="1"/>
  <c r="H379" i="14"/>
  <c r="H728" i="14"/>
  <c r="I729" i="14"/>
  <c r="A728" i="14"/>
  <c r="A729" i="14"/>
  <c r="I379" i="14" l="1"/>
  <c r="I728" i="14"/>
  <c r="H624" i="14"/>
  <c r="I625" i="14"/>
  <c r="I624" i="14" s="1"/>
  <c r="A624" i="14"/>
  <c r="A625" i="14"/>
  <c r="H431" i="14"/>
  <c r="I432" i="14"/>
  <c r="I431" i="14" s="1"/>
  <c r="A431" i="14"/>
  <c r="A432" i="14"/>
  <c r="H21" i="14"/>
  <c r="I24" i="14"/>
  <c r="A24" i="14"/>
  <c r="I403" i="14"/>
  <c r="H402" i="14"/>
  <c r="I402" i="14" s="1"/>
  <c r="A402" i="14"/>
  <c r="A403" i="14"/>
  <c r="H810" i="14"/>
  <c r="I810" i="14" s="1"/>
  <c r="I814" i="14" l="1"/>
  <c r="I813" i="14"/>
  <c r="H812" i="14"/>
  <c r="H809" i="14" s="1"/>
  <c r="A812" i="14"/>
  <c r="A813" i="14"/>
  <c r="A814" i="14"/>
  <c r="C28" i="56"/>
  <c r="D27" i="56"/>
  <c r="D26" i="56"/>
  <c r="D25" i="56"/>
  <c r="D24" i="56"/>
  <c r="D23" i="56"/>
  <c r="H722" i="14"/>
  <c r="H721" i="14" s="1"/>
  <c r="I723" i="14"/>
  <c r="I722" i="14" s="1"/>
  <c r="I721" i="14" s="1"/>
  <c r="A721" i="14"/>
  <c r="A722" i="14"/>
  <c r="A723" i="14"/>
  <c r="I812" i="14" l="1"/>
  <c r="I809" i="14" s="1"/>
  <c r="D28" i="56"/>
  <c r="H112" i="14"/>
  <c r="I113" i="14"/>
  <c r="I112" i="14" s="1"/>
  <c r="A112" i="14"/>
  <c r="A113" i="14"/>
  <c r="I116" i="14"/>
  <c r="H115" i="14"/>
  <c r="H114" i="14" s="1"/>
  <c r="A114" i="14"/>
  <c r="A115" i="14"/>
  <c r="A116" i="14"/>
  <c r="A317" i="14"/>
  <c r="H317" i="14"/>
  <c r="I318" i="14"/>
  <c r="A311" i="14"/>
  <c r="A312" i="14"/>
  <c r="A313" i="14"/>
  <c r="A314" i="14"/>
  <c r="A318" i="14"/>
  <c r="H314" i="14" l="1"/>
  <c r="H313" i="14" s="1"/>
  <c r="H312" i="14" s="1"/>
  <c r="H311" i="14" s="1"/>
  <c r="I317" i="14"/>
  <c r="I314" i="14" s="1"/>
  <c r="I313" i="14" s="1"/>
  <c r="I312" i="14" s="1"/>
  <c r="I311" i="14" s="1"/>
  <c r="I114" i="14"/>
  <c r="I115" i="14"/>
  <c r="H87" i="14" l="1"/>
  <c r="A90" i="14"/>
  <c r="I90" i="14"/>
  <c r="H1095" i="14" l="1"/>
  <c r="L160" i="1"/>
  <c r="L154" i="1"/>
  <c r="L153" i="1"/>
  <c r="L148" i="1"/>
  <c r="L119" i="1"/>
  <c r="L145" i="1"/>
  <c r="K115" i="1"/>
  <c r="L166" i="1"/>
  <c r="L159" i="1"/>
  <c r="I200" i="14"/>
  <c r="H199" i="14"/>
  <c r="I199" i="14" s="1"/>
  <c r="A199" i="14"/>
  <c r="A200" i="14"/>
  <c r="H213" i="14"/>
  <c r="I213" i="14" s="1"/>
  <c r="I214" i="14"/>
  <c r="A213" i="14"/>
  <c r="A214" i="14"/>
  <c r="I176" i="14"/>
  <c r="H175" i="14"/>
  <c r="A175" i="14"/>
  <c r="A176" i="14"/>
  <c r="I190" i="14"/>
  <c r="I188" i="14"/>
  <c r="A188" i="14"/>
  <c r="A190" i="14"/>
  <c r="I1055" i="14"/>
  <c r="H1054" i="14"/>
  <c r="I1054" i="14" s="1"/>
  <c r="A1054" i="14"/>
  <c r="A1055" i="14"/>
  <c r="I175" i="14" l="1"/>
  <c r="A851" i="14"/>
  <c r="D30" i="47"/>
  <c r="C30" i="47"/>
  <c r="E29" i="47"/>
  <c r="E30" i="47" s="1"/>
  <c r="A1027" i="14"/>
  <c r="A1028" i="14"/>
  <c r="H1027" i="14"/>
  <c r="I1027" i="14" s="1"/>
  <c r="I1028" i="14"/>
  <c r="A1025" i="14"/>
  <c r="A1026" i="14"/>
  <c r="H1025" i="14"/>
  <c r="I1025" i="14" s="1"/>
  <c r="I1026" i="14"/>
  <c r="H1114" i="14"/>
  <c r="I1114" i="14" s="1"/>
  <c r="I1115" i="14"/>
  <c r="A1114" i="14"/>
  <c r="A1115" i="14"/>
  <c r="H1086" i="14"/>
  <c r="I1086" i="14" s="1"/>
  <c r="I1087" i="14"/>
  <c r="A1086" i="14"/>
  <c r="A1087" i="14"/>
  <c r="H853" i="14"/>
  <c r="I854" i="14"/>
  <c r="A852" i="14"/>
  <c r="A853" i="14"/>
  <c r="A854" i="14"/>
  <c r="A289" i="14"/>
  <c r="A290" i="14"/>
  <c r="A291" i="14"/>
  <c r="H290" i="14"/>
  <c r="I290" i="14" s="1"/>
  <c r="I291" i="14"/>
  <c r="H282" i="14"/>
  <c r="I282" i="14" s="1"/>
  <c r="I283" i="14"/>
  <c r="A282" i="14"/>
  <c r="A283" i="14"/>
  <c r="C18" i="56"/>
  <c r="C30" i="56" s="1"/>
  <c r="B18" i="56"/>
  <c r="B30" i="56" s="1"/>
  <c r="C26" i="47"/>
  <c r="I14" i="14"/>
  <c r="I19" i="14"/>
  <c r="I22" i="14"/>
  <c r="I23" i="14"/>
  <c r="I25" i="14"/>
  <c r="I27" i="14"/>
  <c r="I29" i="14"/>
  <c r="I30" i="14"/>
  <c r="I34" i="14"/>
  <c r="I38" i="14"/>
  <c r="I44" i="14"/>
  <c r="I48" i="14"/>
  <c r="I50" i="14"/>
  <c r="I51" i="14"/>
  <c r="I52" i="14"/>
  <c r="I55" i="14"/>
  <c r="I62" i="14"/>
  <c r="I65" i="14"/>
  <c r="I63" i="14" s="1"/>
  <c r="I68" i="14"/>
  <c r="I72" i="14"/>
  <c r="I73" i="14"/>
  <c r="I79" i="14"/>
  <c r="I83" i="14"/>
  <c r="I86" i="14"/>
  <c r="I88" i="14"/>
  <c r="I89" i="14"/>
  <c r="I91" i="14"/>
  <c r="I92" i="14"/>
  <c r="I94" i="14"/>
  <c r="I97" i="14"/>
  <c r="I99" i="14"/>
  <c r="I100" i="14"/>
  <c r="I102" i="14"/>
  <c r="I104" i="14"/>
  <c r="I105" i="14"/>
  <c r="I107" i="14"/>
  <c r="I108" i="14"/>
  <c r="I110" i="14"/>
  <c r="I111" i="14"/>
  <c r="I122" i="14"/>
  <c r="I124" i="14"/>
  <c r="I125" i="14"/>
  <c r="I128" i="14"/>
  <c r="I132" i="14"/>
  <c r="I138" i="14"/>
  <c r="I140" i="14"/>
  <c r="I142" i="14"/>
  <c r="I144" i="14"/>
  <c r="I147" i="14"/>
  <c r="I150" i="14"/>
  <c r="I152" i="14"/>
  <c r="I156" i="14"/>
  <c r="I162" i="14"/>
  <c r="I164" i="14"/>
  <c r="I166" i="14"/>
  <c r="I170" i="14"/>
  <c r="I172" i="14"/>
  <c r="I174" i="14"/>
  <c r="I178" i="14"/>
  <c r="I183" i="14"/>
  <c r="I185" i="14"/>
  <c r="I196" i="14"/>
  <c r="I210" i="14"/>
  <c r="I212" i="14"/>
  <c r="I216" i="14"/>
  <c r="I222" i="14"/>
  <c r="I225" i="14"/>
  <c r="I227" i="14"/>
  <c r="I232" i="14"/>
  <c r="I235" i="14"/>
  <c r="I236" i="14"/>
  <c r="I237" i="14"/>
  <c r="I238" i="14"/>
  <c r="I239" i="14"/>
  <c r="I249" i="14"/>
  <c r="I251" i="14"/>
  <c r="I257" i="14"/>
  <c r="I259" i="14"/>
  <c r="I261" i="14"/>
  <c r="I263" i="14"/>
  <c r="I277" i="14"/>
  <c r="I296" i="14"/>
  <c r="I300" i="14"/>
  <c r="I310" i="14"/>
  <c r="I324" i="14"/>
  <c r="I341" i="14"/>
  <c r="I345" i="14"/>
  <c r="I348" i="14"/>
  <c r="I351" i="14"/>
  <c r="I352" i="14"/>
  <c r="I353" i="14"/>
  <c r="I355" i="14"/>
  <c r="I357" i="14"/>
  <c r="I359" i="14"/>
  <c r="I361" i="14"/>
  <c r="I362" i="14"/>
  <c r="I364" i="14"/>
  <c r="I370" i="14"/>
  <c r="I372" i="14"/>
  <c r="I376" i="14"/>
  <c r="I388" i="14"/>
  <c r="I389" i="14"/>
  <c r="I390" i="14"/>
  <c r="I392" i="14"/>
  <c r="I394" i="14"/>
  <c r="I396" i="14"/>
  <c r="I398" i="14"/>
  <c r="I399" i="14"/>
  <c r="I408" i="14"/>
  <c r="I411" i="14"/>
  <c r="I414" i="14"/>
  <c r="I420" i="14"/>
  <c r="I422" i="14"/>
  <c r="I424" i="14"/>
  <c r="I426" i="14"/>
  <c r="I428" i="14"/>
  <c r="I439" i="14"/>
  <c r="I444" i="14"/>
  <c r="I447" i="14"/>
  <c r="I453" i="14"/>
  <c r="I455" i="14"/>
  <c r="I460" i="14"/>
  <c r="I469" i="14"/>
  <c r="I480" i="14"/>
  <c r="I482" i="14"/>
  <c r="I484" i="14"/>
  <c r="I486" i="14"/>
  <c r="I488" i="14"/>
  <c r="I489" i="14"/>
  <c r="I491" i="14"/>
  <c r="I494" i="14"/>
  <c r="I500" i="14"/>
  <c r="I506" i="14"/>
  <c r="I508" i="14"/>
  <c r="I513" i="14"/>
  <c r="I514" i="14"/>
  <c r="I515" i="14"/>
  <c r="I516" i="14"/>
  <c r="I519" i="14"/>
  <c r="I521" i="14"/>
  <c r="I524" i="14"/>
  <c r="I525" i="14"/>
  <c r="I528" i="14"/>
  <c r="I529" i="14"/>
  <c r="I530" i="14"/>
  <c r="I533" i="14"/>
  <c r="I534" i="14"/>
  <c r="I535" i="14"/>
  <c r="I537" i="14"/>
  <c r="I539" i="14"/>
  <c r="I540" i="14"/>
  <c r="I541" i="14"/>
  <c r="I542" i="14"/>
  <c r="I544" i="14"/>
  <c r="I545" i="14"/>
  <c r="I547" i="14"/>
  <c r="I548" i="14"/>
  <c r="I549" i="14"/>
  <c r="I553" i="14"/>
  <c r="I558" i="14"/>
  <c r="I562" i="14"/>
  <c r="I566" i="14"/>
  <c r="I569" i="14"/>
  <c r="I573" i="14"/>
  <c r="I579" i="14"/>
  <c r="I589" i="14"/>
  <c r="I591" i="14"/>
  <c r="I592" i="14"/>
  <c r="I594" i="14"/>
  <c r="I595" i="14"/>
  <c r="I597" i="14"/>
  <c r="I598" i="14"/>
  <c r="I599" i="14"/>
  <c r="I600" i="14"/>
  <c r="I603" i="14"/>
  <c r="I604" i="14"/>
  <c r="I610" i="14"/>
  <c r="I616" i="14"/>
  <c r="I621" i="14"/>
  <c r="I628" i="14"/>
  <c r="I633" i="14"/>
  <c r="I643" i="14"/>
  <c r="I644" i="14"/>
  <c r="I653" i="14"/>
  <c r="I659" i="14"/>
  <c r="I660" i="14"/>
  <c r="I662" i="14"/>
  <c r="I663" i="14"/>
  <c r="I665" i="14"/>
  <c r="I667" i="14"/>
  <c r="I668" i="14"/>
  <c r="I670" i="14"/>
  <c r="I672" i="14"/>
  <c r="I674" i="14"/>
  <c r="I675" i="14"/>
  <c r="I677" i="14"/>
  <c r="I678" i="14"/>
  <c r="I680" i="14"/>
  <c r="I681" i="14"/>
  <c r="I683" i="14"/>
  <c r="I684" i="14"/>
  <c r="I686" i="14"/>
  <c r="I687" i="14"/>
  <c r="I689" i="14"/>
  <c r="I690" i="14"/>
  <c r="I692" i="14"/>
  <c r="I693" i="14"/>
  <c r="I695" i="14"/>
  <c r="I696" i="14"/>
  <c r="I698" i="14"/>
  <c r="I699" i="14"/>
  <c r="I701" i="14"/>
  <c r="I702" i="14"/>
  <c r="I704" i="14"/>
  <c r="I705" i="14"/>
  <c r="I707" i="14"/>
  <c r="I709" i="14"/>
  <c r="I711" i="14"/>
  <c r="I714" i="14"/>
  <c r="I716" i="14"/>
  <c r="I717" i="14"/>
  <c r="I719" i="14"/>
  <c r="I720" i="14"/>
  <c r="I731" i="14"/>
  <c r="I733" i="14"/>
  <c r="I735" i="14"/>
  <c r="I737" i="14"/>
  <c r="I739" i="14"/>
  <c r="I740" i="14"/>
  <c r="I742" i="14"/>
  <c r="I744" i="14"/>
  <c r="I745" i="14"/>
  <c r="I748" i="14"/>
  <c r="I750" i="14"/>
  <c r="I756" i="14"/>
  <c r="I761" i="14"/>
  <c r="I765" i="14"/>
  <c r="I767" i="14"/>
  <c r="I768" i="14"/>
  <c r="I769" i="14"/>
  <c r="I772" i="14"/>
  <c r="I776" i="14"/>
  <c r="I780" i="14"/>
  <c r="I785" i="14"/>
  <c r="I786" i="14"/>
  <c r="I790" i="14"/>
  <c r="I791" i="14"/>
  <c r="I797" i="14"/>
  <c r="I801" i="14"/>
  <c r="I805" i="14"/>
  <c r="I808" i="14"/>
  <c r="I811" i="14"/>
  <c r="I818" i="14"/>
  <c r="I822" i="14"/>
  <c r="I826" i="14"/>
  <c r="I828" i="14"/>
  <c r="I838" i="14"/>
  <c r="I848" i="14"/>
  <c r="I850" i="14"/>
  <c r="I867" i="14"/>
  <c r="I869" i="14"/>
  <c r="I871" i="14"/>
  <c r="I876" i="14"/>
  <c r="I882" i="14"/>
  <c r="I884" i="14"/>
  <c r="I886" i="14"/>
  <c r="I888" i="14"/>
  <c r="I890" i="14"/>
  <c r="I897" i="14"/>
  <c r="I899" i="14"/>
  <c r="I903" i="14"/>
  <c r="I909" i="14"/>
  <c r="I913" i="14"/>
  <c r="I923" i="14"/>
  <c r="I925" i="14"/>
  <c r="I926" i="14"/>
  <c r="I928" i="14"/>
  <c r="I930" i="14"/>
  <c r="I932" i="14"/>
  <c r="I939" i="14"/>
  <c r="I943" i="14"/>
  <c r="I945" i="14"/>
  <c r="I947" i="14"/>
  <c r="I954" i="14"/>
  <c r="I957" i="14"/>
  <c r="I961" i="14"/>
  <c r="I967" i="14"/>
  <c r="I971" i="14"/>
  <c r="I975" i="14"/>
  <c r="I976" i="14"/>
  <c r="I977" i="14"/>
  <c r="I979" i="14"/>
  <c r="I980" i="14"/>
  <c r="I981" i="14"/>
  <c r="I983" i="14"/>
  <c r="I984" i="14"/>
  <c r="I986" i="14"/>
  <c r="I987" i="14"/>
  <c r="I992" i="14"/>
  <c r="I997" i="14"/>
  <c r="I1001" i="14"/>
  <c r="I1005" i="14"/>
  <c r="I1009" i="14"/>
  <c r="I1013" i="14"/>
  <c r="I1020" i="14"/>
  <c r="I1024" i="14"/>
  <c r="I1032" i="14"/>
  <c r="I1037" i="14"/>
  <c r="I1039" i="14"/>
  <c r="I1044" i="14"/>
  <c r="I1046" i="14"/>
  <c r="I1049" i="14"/>
  <c r="I1053" i="14"/>
  <c r="I1063" i="14"/>
  <c r="I1067" i="14"/>
  <c r="I1070" i="14"/>
  <c r="I1073" i="14"/>
  <c r="I1076" i="14"/>
  <c r="I1085" i="14"/>
  <c r="I1092" i="14"/>
  <c r="I1094" i="14"/>
  <c r="I1096" i="14"/>
  <c r="I1098" i="14"/>
  <c r="I1102" i="14"/>
  <c r="I1103" i="14"/>
  <c r="I1105" i="14"/>
  <c r="I1109" i="14"/>
  <c r="I1112" i="14"/>
  <c r="I1113" i="14"/>
  <c r="I1118" i="14"/>
  <c r="I1120" i="14"/>
  <c r="I1123" i="14"/>
  <c r="I1127" i="14"/>
  <c r="I1131" i="14"/>
  <c r="I1136" i="14"/>
  <c r="I1141" i="14"/>
  <c r="I1145" i="14"/>
  <c r="I1148" i="14"/>
  <c r="I1149" i="14"/>
  <c r="I1155" i="14"/>
  <c r="I1156" i="14"/>
  <c r="I1157" i="14"/>
  <c r="I1159" i="14"/>
  <c r="I1165" i="14"/>
  <c r="I1169" i="14"/>
  <c r="I1175" i="14"/>
  <c r="I1181" i="14"/>
  <c r="I1187" i="14"/>
  <c r="I1189" i="14"/>
  <c r="I1194" i="14"/>
  <c r="I1199" i="14"/>
  <c r="I1202" i="14"/>
  <c r="I1208" i="14"/>
  <c r="I1213" i="14"/>
  <c r="I1214" i="14"/>
  <c r="I1216" i="14"/>
  <c r="I1218" i="14"/>
  <c r="I1220" i="14"/>
  <c r="I1221" i="14"/>
  <c r="I853" i="14" l="1"/>
  <c r="H852" i="14"/>
  <c r="H289" i="14"/>
  <c r="I87" i="14"/>
  <c r="D44" i="3"/>
  <c r="D43" i="3"/>
  <c r="D42" i="3"/>
  <c r="I289" i="14" l="1"/>
  <c r="I852" i="14"/>
  <c r="I851" i="14" s="1"/>
  <c r="H851" i="14"/>
  <c r="H985" i="14"/>
  <c r="I985" i="14" s="1"/>
  <c r="A985" i="14"/>
  <c r="A986" i="14"/>
  <c r="A987" i="14"/>
  <c r="H946" i="14"/>
  <c r="A946" i="14"/>
  <c r="A947" i="14"/>
  <c r="H944" i="14"/>
  <c r="I944" i="14" s="1"/>
  <c r="A944" i="14"/>
  <c r="A945" i="14"/>
  <c r="H924" i="14"/>
  <c r="A925" i="14"/>
  <c r="H837" i="14"/>
  <c r="A834" i="14"/>
  <c r="A835" i="14"/>
  <c r="A836" i="14"/>
  <c r="A837" i="14"/>
  <c r="A838" i="14"/>
  <c r="H299" i="14"/>
  <c r="A297" i="14"/>
  <c r="A298" i="14"/>
  <c r="A299" i="14"/>
  <c r="A300" i="14"/>
  <c r="H479" i="14"/>
  <c r="I479" i="14" s="1"/>
  <c r="A479" i="14"/>
  <c r="A480" i="14"/>
  <c r="A454" i="14"/>
  <c r="A455" i="14"/>
  <c r="H454" i="14"/>
  <c r="I454" i="14" s="1"/>
  <c r="A1052" i="14"/>
  <c r="A1051" i="14"/>
  <c r="A1050" i="14"/>
  <c r="A1049" i="14"/>
  <c r="A1048" i="14"/>
  <c r="A1047" i="14"/>
  <c r="A1046" i="14"/>
  <c r="H1052" i="14"/>
  <c r="H1051" i="14" s="1"/>
  <c r="H1050" i="14" s="1"/>
  <c r="A320" i="14"/>
  <c r="A193" i="14"/>
  <c r="B111" i="16"/>
  <c r="D111" i="16"/>
  <c r="I924" i="14" l="1"/>
  <c r="I946" i="14"/>
  <c r="H836" i="14"/>
  <c r="I837" i="14"/>
  <c r="I1052" i="14"/>
  <c r="H298" i="14"/>
  <c r="I299" i="14"/>
  <c r="H397" i="14"/>
  <c r="I397" i="14" s="1"/>
  <c r="A248" i="14"/>
  <c r="A249" i="14"/>
  <c r="A221" i="14"/>
  <c r="A219" i="14"/>
  <c r="A220" i="14"/>
  <c r="H221" i="14"/>
  <c r="A222" i="14"/>
  <c r="D26" i="47"/>
  <c r="E25" i="47"/>
  <c r="E26" i="47" s="1"/>
  <c r="H297" i="14" l="1"/>
  <c r="I297" i="14" s="1"/>
  <c r="I298" i="14"/>
  <c r="H835" i="14"/>
  <c r="I836" i="14"/>
  <c r="H220" i="14"/>
  <c r="I220" i="14" s="1"/>
  <c r="I221" i="14"/>
  <c r="I1050" i="14"/>
  <c r="I1051" i="14"/>
  <c r="E15" i="47"/>
  <c r="E14" i="47"/>
  <c r="E13" i="47"/>
  <c r="E11" i="47"/>
  <c r="E12" i="47"/>
  <c r="H215" i="14"/>
  <c r="I215" i="14" s="1"/>
  <c r="A216" i="14"/>
  <c r="A215" i="14"/>
  <c r="H211" i="14"/>
  <c r="I211" i="14" s="1"/>
  <c r="A211" i="14"/>
  <c r="A212" i="14"/>
  <c r="H209" i="14"/>
  <c r="A209" i="14"/>
  <c r="A144" i="14"/>
  <c r="A145" i="14"/>
  <c r="A146" i="14"/>
  <c r="A147" i="14"/>
  <c r="A148" i="14"/>
  <c r="A149" i="14"/>
  <c r="A150" i="14"/>
  <c r="A151" i="14"/>
  <c r="A152" i="14"/>
  <c r="A153" i="14"/>
  <c r="A154" i="14"/>
  <c r="A155" i="14"/>
  <c r="A156" i="14"/>
  <c r="A157" i="14"/>
  <c r="A158" i="14"/>
  <c r="A159" i="14"/>
  <c r="A160" i="14"/>
  <c r="A161" i="14"/>
  <c r="A162" i="14"/>
  <c r="A163" i="14"/>
  <c r="A164" i="14"/>
  <c r="A165" i="14"/>
  <c r="A166" i="14"/>
  <c r="A167" i="14"/>
  <c r="A168" i="14"/>
  <c r="A169" i="14"/>
  <c r="A170" i="14"/>
  <c r="A171" i="14"/>
  <c r="A172" i="14"/>
  <c r="A173" i="14"/>
  <c r="A174" i="14"/>
  <c r="A177" i="14"/>
  <c r="A178" i="14"/>
  <c r="A181" i="14"/>
  <c r="A183" i="14"/>
  <c r="A184" i="14"/>
  <c r="A185" i="14"/>
  <c r="A194" i="14"/>
  <c r="A195" i="14"/>
  <c r="A196" i="14"/>
  <c r="A208" i="14"/>
  <c r="A210" i="14"/>
  <c r="I209" i="14" l="1"/>
  <c r="H208" i="14"/>
  <c r="I208" i="14" s="1"/>
  <c r="H834" i="14"/>
  <c r="I835" i="14"/>
  <c r="E16" i="47"/>
  <c r="H195" i="14"/>
  <c r="H194" i="14" s="1"/>
  <c r="I181" i="14"/>
  <c r="H184" i="14"/>
  <c r="I184" i="14" s="1"/>
  <c r="H165" i="14"/>
  <c r="I165" i="14" s="1"/>
  <c r="H173" i="14"/>
  <c r="I173" i="14" s="1"/>
  <c r="H163" i="14"/>
  <c r="I163" i="14" s="1"/>
  <c r="H171" i="14"/>
  <c r="H226" i="14"/>
  <c r="I226" i="14" s="1"/>
  <c r="I195" i="14" l="1"/>
  <c r="I171" i="14"/>
  <c r="D45" i="3"/>
  <c r="I834" i="14"/>
  <c r="E45" i="3" s="1"/>
  <c r="I194" i="14"/>
  <c r="A226" i="14"/>
  <c r="A227" i="14"/>
  <c r="H1048" i="14"/>
  <c r="I1048" i="14" s="1"/>
  <c r="H1045" i="14"/>
  <c r="I1045" i="14" s="1"/>
  <c r="A1045" i="14"/>
  <c r="H155" i="14"/>
  <c r="I155" i="14" s="1"/>
  <c r="H193" i="14" l="1"/>
  <c r="I193" i="14" s="1"/>
  <c r="H1047" i="14"/>
  <c r="I1047" i="14" s="1"/>
  <c r="H154" i="14"/>
  <c r="I154" i="14" s="1"/>
  <c r="F111" i="16" l="1"/>
  <c r="E111" i="16"/>
  <c r="H153" i="14"/>
  <c r="I153" i="14" s="1"/>
  <c r="D119" i="16" l="1"/>
  <c r="B119" i="16"/>
  <c r="H358" i="14"/>
  <c r="I358" i="14" s="1"/>
  <c r="A358" i="14"/>
  <c r="A359" i="14"/>
  <c r="H371" i="14"/>
  <c r="I371" i="14" s="1"/>
  <c r="A371" i="14"/>
  <c r="A372" i="14"/>
  <c r="L75" i="1"/>
  <c r="K46" i="1"/>
  <c r="L50" i="1"/>
  <c r="H131" i="14"/>
  <c r="A129" i="14"/>
  <c r="A130" i="14"/>
  <c r="A131" i="14"/>
  <c r="A132" i="14"/>
  <c r="H121" i="14"/>
  <c r="I121" i="14" s="1"/>
  <c r="A121" i="14"/>
  <c r="A122" i="14"/>
  <c r="H93" i="14"/>
  <c r="I93" i="14" s="1"/>
  <c r="A93" i="14"/>
  <c r="A94" i="14"/>
  <c r="I95" i="14"/>
  <c r="A95" i="14"/>
  <c r="A97" i="14"/>
  <c r="H18" i="14"/>
  <c r="A16" i="14"/>
  <c r="A17" i="14"/>
  <c r="A18" i="14"/>
  <c r="A19" i="14"/>
  <c r="H130" i="14" l="1"/>
  <c r="I131" i="14"/>
  <c r="H17" i="14"/>
  <c r="I18" i="14"/>
  <c r="L50" i="15"/>
  <c r="I50" i="15"/>
  <c r="K49" i="15"/>
  <c r="L49" i="15" s="1"/>
  <c r="H49" i="15"/>
  <c r="I49" i="15" s="1"/>
  <c r="A49" i="15"/>
  <c r="A50" i="15"/>
  <c r="K407" i="15"/>
  <c r="H407" i="15"/>
  <c r="A407" i="15"/>
  <c r="A408" i="15"/>
  <c r="A1128" i="14"/>
  <c r="A1129" i="14"/>
  <c r="A1130" i="14"/>
  <c r="A1131" i="14"/>
  <c r="A1132" i="14"/>
  <c r="A1135" i="14"/>
  <c r="A1136" i="14"/>
  <c r="H1130" i="14"/>
  <c r="I1130" i="14" s="1"/>
  <c r="H1135" i="14"/>
  <c r="H1104" i="14"/>
  <c r="I1104" i="14" s="1"/>
  <c r="A1104" i="14"/>
  <c r="A1105" i="14"/>
  <c r="I1095" i="14"/>
  <c r="H1097" i="14"/>
  <c r="I1097" i="14" s="1"/>
  <c r="A1096" i="14"/>
  <c r="A1097" i="14"/>
  <c r="A1093" i="14"/>
  <c r="A1094" i="14"/>
  <c r="A1095" i="14"/>
  <c r="A1098" i="14"/>
  <c r="H1093" i="14"/>
  <c r="I1093" i="14" s="1"/>
  <c r="A1113" i="14"/>
  <c r="I1111" i="14"/>
  <c r="D15" i="56"/>
  <c r="D16" i="56"/>
  <c r="D17" i="56"/>
  <c r="D14" i="56"/>
  <c r="I1135" i="14" l="1"/>
  <c r="H1132" i="14"/>
  <c r="I1132" i="14" s="1"/>
  <c r="H129" i="14"/>
  <c r="I130" i="14"/>
  <c r="H16" i="14"/>
  <c r="I16" i="14" s="1"/>
  <c r="I17" i="14"/>
  <c r="D18" i="56"/>
  <c r="D30" i="56" s="1"/>
  <c r="H1129" i="14"/>
  <c r="I1129" i="14" s="1"/>
  <c r="H1066" i="14"/>
  <c r="H1069" i="14"/>
  <c r="I1069" i="14" s="1"/>
  <c r="H1072" i="14"/>
  <c r="H1075" i="14"/>
  <c r="I1075" i="14" s="1"/>
  <c r="A1064" i="14"/>
  <c r="A1065" i="14"/>
  <c r="A1066" i="14"/>
  <c r="A1067" i="14"/>
  <c r="A1068" i="14"/>
  <c r="A1069" i="14"/>
  <c r="A1070" i="14"/>
  <c r="A1071" i="14"/>
  <c r="A1072" i="14"/>
  <c r="A1073" i="14"/>
  <c r="A1074" i="14"/>
  <c r="A1075" i="14"/>
  <c r="A1076" i="14"/>
  <c r="A1058" i="14"/>
  <c r="A1059" i="14"/>
  <c r="A1060" i="14"/>
  <c r="A1061" i="14"/>
  <c r="A1062" i="14"/>
  <c r="A1063" i="14"/>
  <c r="H1062" i="14"/>
  <c r="I1062" i="14" s="1"/>
  <c r="H847" i="14"/>
  <c r="I847" i="14" s="1"/>
  <c r="H849" i="14"/>
  <c r="I849" i="14" s="1"/>
  <c r="A844" i="14"/>
  <c r="A845" i="14"/>
  <c r="A846" i="14"/>
  <c r="A847" i="14"/>
  <c r="A848" i="14"/>
  <c r="A849" i="14"/>
  <c r="A850" i="14"/>
  <c r="A274" i="14"/>
  <c r="A275" i="14"/>
  <c r="A276" i="14"/>
  <c r="A277" i="14"/>
  <c r="H276" i="14"/>
  <c r="H275" i="14" s="1"/>
  <c r="A252" i="14"/>
  <c r="A253" i="14"/>
  <c r="A256" i="14"/>
  <c r="A257" i="14"/>
  <c r="A258" i="14"/>
  <c r="A259" i="14"/>
  <c r="A260" i="14"/>
  <c r="A261" i="14"/>
  <c r="A262" i="14"/>
  <c r="A263" i="14"/>
  <c r="H256" i="14"/>
  <c r="H258" i="14"/>
  <c r="I258" i="14" s="1"/>
  <c r="H260" i="14"/>
  <c r="I260" i="14" s="1"/>
  <c r="H262" i="14"/>
  <c r="I262" i="14" s="1"/>
  <c r="H248" i="14"/>
  <c r="I248" i="14" s="1"/>
  <c r="I250" i="14"/>
  <c r="A244" i="14"/>
  <c r="A245" i="14"/>
  <c r="A246" i="14"/>
  <c r="A247" i="14"/>
  <c r="A250" i="14"/>
  <c r="A251" i="14"/>
  <c r="K288" i="15"/>
  <c r="L288" i="15" s="1"/>
  <c r="H288" i="15"/>
  <c r="I288" i="15" s="1"/>
  <c r="A288" i="15"/>
  <c r="A289" i="15"/>
  <c r="A290" i="15"/>
  <c r="K277" i="15"/>
  <c r="L277" i="15" s="1"/>
  <c r="H277" i="15"/>
  <c r="I277" i="15" s="1"/>
  <c r="K275" i="15"/>
  <c r="L275" i="15" s="1"/>
  <c r="H275" i="15"/>
  <c r="I275" i="15" s="1"/>
  <c r="A277" i="15"/>
  <c r="A278" i="15"/>
  <c r="K272" i="15"/>
  <c r="L272" i="15" s="1"/>
  <c r="H272" i="15"/>
  <c r="I272" i="15" s="1"/>
  <c r="A272" i="15"/>
  <c r="A273" i="15"/>
  <c r="A274" i="15"/>
  <c r="H266" i="15"/>
  <c r="I266" i="15" s="1"/>
  <c r="K266" i="15"/>
  <c r="L266" i="15" s="1"/>
  <c r="A263" i="15"/>
  <c r="A264" i="15"/>
  <c r="A265" i="15"/>
  <c r="A266" i="15"/>
  <c r="A267" i="15"/>
  <c r="A268" i="15"/>
  <c r="K257" i="15"/>
  <c r="L257" i="15" s="1"/>
  <c r="H257" i="15"/>
  <c r="I257" i="15" s="1"/>
  <c r="A257" i="15"/>
  <c r="A258" i="15"/>
  <c r="A259" i="15"/>
  <c r="K251" i="15"/>
  <c r="L251" i="15" s="1"/>
  <c r="H251" i="15"/>
  <c r="I251" i="15" s="1"/>
  <c r="A251" i="15"/>
  <c r="A252" i="15"/>
  <c r="A253" i="15"/>
  <c r="K245" i="15"/>
  <c r="L245" i="15" s="1"/>
  <c r="H245" i="15"/>
  <c r="I245" i="15" s="1"/>
  <c r="K242" i="15"/>
  <c r="A245" i="15"/>
  <c r="A246" i="15"/>
  <c r="A247" i="15"/>
  <c r="A139" i="14"/>
  <c r="A140" i="14"/>
  <c r="H139" i="14"/>
  <c r="I139" i="14" s="1"/>
  <c r="H1031" i="14"/>
  <c r="A1031" i="14"/>
  <c r="A1032" i="14"/>
  <c r="H143" i="14"/>
  <c r="I143" i="14" s="1"/>
  <c r="A143" i="14"/>
  <c r="H710" i="14"/>
  <c r="I710" i="14" s="1"/>
  <c r="A710" i="14"/>
  <c r="A711" i="14"/>
  <c r="H718" i="14"/>
  <c r="I718" i="14" s="1"/>
  <c r="A718" i="14"/>
  <c r="A719" i="14"/>
  <c r="A720" i="14"/>
  <c r="H703" i="14"/>
  <c r="I703" i="14" s="1"/>
  <c r="A703" i="14"/>
  <c r="A704" i="14"/>
  <c r="A705" i="14"/>
  <c r="H676" i="14"/>
  <c r="I676" i="14" s="1"/>
  <c r="H682" i="14"/>
  <c r="I682" i="14" s="1"/>
  <c r="H688" i="14"/>
  <c r="I688" i="14" s="1"/>
  <c r="H694" i="14"/>
  <c r="I694" i="14" s="1"/>
  <c r="A694" i="14"/>
  <c r="A695" i="14"/>
  <c r="A696" i="14"/>
  <c r="A688" i="14"/>
  <c r="A689" i="14"/>
  <c r="A690" i="14"/>
  <c r="A682" i="14"/>
  <c r="A683" i="14"/>
  <c r="A684" i="14"/>
  <c r="A676" i="14"/>
  <c r="A675" i="14"/>
  <c r="A677" i="14"/>
  <c r="A678" i="14"/>
  <c r="A321" i="14"/>
  <c r="A322" i="14"/>
  <c r="A323" i="14"/>
  <c r="A324" i="14"/>
  <c r="H323" i="14"/>
  <c r="A319" i="14"/>
  <c r="A235" i="14"/>
  <c r="A234" i="14"/>
  <c r="H234" i="14"/>
  <c r="H229" i="14" s="1"/>
  <c r="L152" i="1"/>
  <c r="L158" i="1"/>
  <c r="L143" i="1"/>
  <c r="L142" i="1"/>
  <c r="L131" i="1"/>
  <c r="L72" i="1"/>
  <c r="L113" i="1"/>
  <c r="L71" i="1"/>
  <c r="L156" i="1"/>
  <c r="L155" i="1"/>
  <c r="L151" i="1"/>
  <c r="L150" i="1"/>
  <c r="L147" i="1"/>
  <c r="L146" i="1"/>
  <c r="L144" i="1"/>
  <c r="L124" i="1"/>
  <c r="L53" i="1"/>
  <c r="H110" i="15"/>
  <c r="K110" i="15"/>
  <c r="L112" i="15"/>
  <c r="I112" i="15"/>
  <c r="A112" i="15"/>
  <c r="A399" i="14"/>
  <c r="K103" i="15"/>
  <c r="A105" i="15"/>
  <c r="L105" i="15"/>
  <c r="H103" i="15"/>
  <c r="I105" i="15"/>
  <c r="I323" i="14" l="1"/>
  <c r="H322" i="14"/>
  <c r="I322" i="14" s="1"/>
  <c r="I1031" i="14"/>
  <c r="H1030" i="14"/>
  <c r="H253" i="14"/>
  <c r="I253" i="14" s="1"/>
  <c r="H274" i="14"/>
  <c r="I256" i="14"/>
  <c r="I234" i="14"/>
  <c r="I276" i="14"/>
  <c r="D41" i="3"/>
  <c r="I129" i="14"/>
  <c r="E41" i="3" s="1"/>
  <c r="H1071" i="14"/>
  <c r="I1071" i="14" s="1"/>
  <c r="I1072" i="14"/>
  <c r="H1065" i="14"/>
  <c r="I1065" i="14" s="1"/>
  <c r="I1066" i="14"/>
  <c r="H846" i="14"/>
  <c r="I846" i="14" s="1"/>
  <c r="H1128" i="14"/>
  <c r="I1128" i="14" s="1"/>
  <c r="H1061" i="14"/>
  <c r="I1061" i="14" s="1"/>
  <c r="H1074" i="14"/>
  <c r="I1074" i="14" s="1"/>
  <c r="H1068" i="14"/>
  <c r="I1068" i="14" s="1"/>
  <c r="H247" i="14"/>
  <c r="I247" i="14" s="1"/>
  <c r="I229" i="14"/>
  <c r="H387" i="14"/>
  <c r="A389" i="14"/>
  <c r="A390" i="14"/>
  <c r="M34" i="2"/>
  <c r="J34" i="2"/>
  <c r="I275" i="14" l="1"/>
  <c r="I387" i="14"/>
  <c r="H1060" i="14"/>
  <c r="I1060" i="14" s="1"/>
  <c r="H845" i="14"/>
  <c r="F119" i="16"/>
  <c r="E119" i="16"/>
  <c r="I274" i="14"/>
  <c r="F139" i="16" s="1"/>
  <c r="H1064" i="14"/>
  <c r="I1064" i="14" s="1"/>
  <c r="H252" i="14"/>
  <c r="I252" i="14" s="1"/>
  <c r="H246" i="14"/>
  <c r="H321" i="14"/>
  <c r="H149" i="14"/>
  <c r="L138" i="15"/>
  <c r="L137" i="15" s="1"/>
  <c r="L136" i="15" s="1"/>
  <c r="L135" i="15" s="1"/>
  <c r="L134" i="15" s="1"/>
  <c r="L133" i="15" s="1"/>
  <c r="H76" i="4" s="1"/>
  <c r="I138" i="15"/>
  <c r="I137" i="15" s="1"/>
  <c r="I136" i="15" s="1"/>
  <c r="I135" i="15" s="1"/>
  <c r="I134" i="15" s="1"/>
  <c r="I133" i="15" s="1"/>
  <c r="E76" i="4" s="1"/>
  <c r="H137" i="15"/>
  <c r="H136" i="15" s="1"/>
  <c r="H135" i="15" s="1"/>
  <c r="H134" i="15" s="1"/>
  <c r="H133" i="15" s="1"/>
  <c r="D76" i="4" s="1"/>
  <c r="F76" i="4"/>
  <c r="K137" i="15"/>
  <c r="K136" i="15" s="1"/>
  <c r="K135" i="15" s="1"/>
  <c r="K134" i="15" s="1"/>
  <c r="K133" i="15" s="1"/>
  <c r="G76" i="4" s="1"/>
  <c r="A138" i="15"/>
  <c r="A133" i="15"/>
  <c r="A134" i="15"/>
  <c r="A135" i="15"/>
  <c r="A136" i="15"/>
  <c r="A137" i="15"/>
  <c r="E75" i="3"/>
  <c r="H468" i="14"/>
  <c r="A464" i="14"/>
  <c r="A465" i="14"/>
  <c r="A466" i="14"/>
  <c r="A467" i="14"/>
  <c r="A468" i="14"/>
  <c r="A469" i="14"/>
  <c r="C12" i="6"/>
  <c r="I149" i="14" l="1"/>
  <c r="I246" i="14"/>
  <c r="H245" i="14"/>
  <c r="H244" i="14" s="1"/>
  <c r="I321" i="14"/>
  <c r="H320" i="14"/>
  <c r="H319" i="14" s="1"/>
  <c r="I319" i="14" s="1"/>
  <c r="I845" i="14"/>
  <c r="H844" i="14"/>
  <c r="H467" i="14"/>
  <c r="I468" i="14"/>
  <c r="H1059" i="14"/>
  <c r="H1058" i="14" s="1"/>
  <c r="C76" i="4"/>
  <c r="K55" i="2"/>
  <c r="M55" i="2"/>
  <c r="N55" i="2"/>
  <c r="J55" i="2"/>
  <c r="O94" i="2"/>
  <c r="L94" i="2"/>
  <c r="H387" i="15"/>
  <c r="K387" i="15"/>
  <c r="L389" i="15"/>
  <c r="L390" i="15"/>
  <c r="I389" i="15"/>
  <c r="I390" i="15"/>
  <c r="A389" i="15"/>
  <c r="A390" i="15"/>
  <c r="L385" i="15"/>
  <c r="L386" i="15"/>
  <c r="I385" i="15"/>
  <c r="I386" i="15"/>
  <c r="H383" i="15"/>
  <c r="K383" i="15"/>
  <c r="A385" i="15"/>
  <c r="A386" i="15"/>
  <c r="H462" i="15"/>
  <c r="K462" i="15"/>
  <c r="L465" i="15"/>
  <c r="I465" i="15"/>
  <c r="A465" i="15"/>
  <c r="L464" i="15"/>
  <c r="I464" i="15"/>
  <c r="A464" i="15"/>
  <c r="J49" i="2"/>
  <c r="O59" i="2"/>
  <c r="O60" i="2"/>
  <c r="O61" i="2"/>
  <c r="O62" i="2"/>
  <c r="L59" i="2"/>
  <c r="L60" i="2"/>
  <c r="L61" i="2"/>
  <c r="L62" i="2"/>
  <c r="L63" i="2"/>
  <c r="L64" i="2"/>
  <c r="H335" i="15"/>
  <c r="H334" i="15" s="1"/>
  <c r="H333" i="15" s="1"/>
  <c r="H332" i="15" s="1"/>
  <c r="K335" i="15"/>
  <c r="K334" i="15" s="1"/>
  <c r="K333" i="15" s="1"/>
  <c r="K332" i="15" s="1"/>
  <c r="L336" i="15"/>
  <c r="L335" i="15" s="1"/>
  <c r="L334" i="15" s="1"/>
  <c r="L333" i="15" s="1"/>
  <c r="L332" i="15" s="1"/>
  <c r="I336" i="15"/>
  <c r="I335" i="15" s="1"/>
  <c r="I334" i="15" s="1"/>
  <c r="I333" i="15" s="1"/>
  <c r="I332" i="15" s="1"/>
  <c r="L87" i="15"/>
  <c r="I844" i="14" l="1"/>
  <c r="H843" i="14"/>
  <c r="I843" i="14" s="1"/>
  <c r="I320" i="14"/>
  <c r="I245" i="14"/>
  <c r="H466" i="14"/>
  <c r="I467" i="14"/>
  <c r="I1058" i="14"/>
  <c r="I1059" i="14"/>
  <c r="I244" i="14"/>
  <c r="A335" i="15"/>
  <c r="A332" i="15"/>
  <c r="A333" i="15"/>
  <c r="A334" i="15"/>
  <c r="A336" i="15"/>
  <c r="H325" i="15"/>
  <c r="H324" i="15" s="1"/>
  <c r="H323" i="15" s="1"/>
  <c r="K325" i="15"/>
  <c r="K324" i="15" s="1"/>
  <c r="K323" i="15" s="1"/>
  <c r="L327" i="15"/>
  <c r="L328" i="15"/>
  <c r="I327" i="15"/>
  <c r="I328" i="15"/>
  <c r="A327" i="15"/>
  <c r="A328" i="15"/>
  <c r="H301" i="15"/>
  <c r="K301" i="15"/>
  <c r="L302" i="15"/>
  <c r="L301" i="15" s="1"/>
  <c r="I302" i="15"/>
  <c r="I301" i="15" s="1"/>
  <c r="A301" i="15"/>
  <c r="A302" i="15"/>
  <c r="L186" i="15"/>
  <c r="L185" i="15" s="1"/>
  <c r="L184" i="15" s="1"/>
  <c r="L183" i="15" s="1"/>
  <c r="L182" i="15" s="1"/>
  <c r="L181" i="15" s="1"/>
  <c r="I186" i="15"/>
  <c r="I185" i="15" s="1"/>
  <c r="I184" i="15" s="1"/>
  <c r="I183" i="15" s="1"/>
  <c r="I182" i="15" s="1"/>
  <c r="I181" i="15" s="1"/>
  <c r="H185" i="15"/>
  <c r="H184" i="15" s="1"/>
  <c r="H183" i="15" s="1"/>
  <c r="H182" i="15" s="1"/>
  <c r="H181" i="15" s="1"/>
  <c r="K185" i="15"/>
  <c r="K184" i="15" s="1"/>
  <c r="K183" i="15" s="1"/>
  <c r="K182" i="15" s="1"/>
  <c r="K181" i="15" s="1"/>
  <c r="A181" i="15"/>
  <c r="A182" i="15"/>
  <c r="A183" i="15"/>
  <c r="A184" i="15"/>
  <c r="A185" i="15"/>
  <c r="A186" i="15"/>
  <c r="L109" i="15"/>
  <c r="I109" i="15"/>
  <c r="H108" i="15"/>
  <c r="K108" i="15"/>
  <c r="A108" i="15"/>
  <c r="A109" i="15"/>
  <c r="L94" i="15"/>
  <c r="H166" i="15"/>
  <c r="H165" i="15" s="1"/>
  <c r="K166" i="15"/>
  <c r="K165" i="15" s="1"/>
  <c r="L167" i="15"/>
  <c r="L166" i="15" s="1"/>
  <c r="L165" i="15" s="1"/>
  <c r="I167" i="15"/>
  <c r="I166" i="15" s="1"/>
  <c r="I165" i="15" s="1"/>
  <c r="A165" i="15"/>
  <c r="A166" i="15"/>
  <c r="A167" i="15"/>
  <c r="H173" i="15"/>
  <c r="K173" i="15"/>
  <c r="L175" i="15"/>
  <c r="L176" i="15"/>
  <c r="I175" i="15"/>
  <c r="I176" i="15"/>
  <c r="A175" i="15"/>
  <c r="A176" i="15"/>
  <c r="L172" i="15"/>
  <c r="H169" i="15"/>
  <c r="K169" i="15"/>
  <c r="I172" i="15"/>
  <c r="A172" i="15"/>
  <c r="L171" i="15"/>
  <c r="I171" i="15"/>
  <c r="A171" i="15"/>
  <c r="L91" i="15"/>
  <c r="L92" i="15"/>
  <c r="H86" i="15"/>
  <c r="H85" i="15" s="1"/>
  <c r="H84" i="15" s="1"/>
  <c r="K86" i="15"/>
  <c r="K85" i="15" s="1"/>
  <c r="K84" i="15" s="1"/>
  <c r="L86" i="15"/>
  <c r="L85" i="15" s="1"/>
  <c r="L84" i="15" s="1"/>
  <c r="I87" i="15"/>
  <c r="I86" i="15" s="1"/>
  <c r="I85" i="15" s="1"/>
  <c r="I84" i="15" s="1"/>
  <c r="A84" i="15"/>
  <c r="A85" i="15"/>
  <c r="A86" i="15"/>
  <c r="A87" i="15"/>
  <c r="H89" i="15"/>
  <c r="K89" i="15"/>
  <c r="I91" i="15"/>
  <c r="I92" i="15"/>
  <c r="A92" i="15"/>
  <c r="I94" i="15"/>
  <c r="I93" i="15" s="1"/>
  <c r="H93" i="15"/>
  <c r="K93" i="15"/>
  <c r="A93" i="15"/>
  <c r="A94" i="15"/>
  <c r="A91" i="15"/>
  <c r="H34" i="15"/>
  <c r="K34" i="15"/>
  <c r="L32" i="15"/>
  <c r="L33" i="15"/>
  <c r="L35" i="15"/>
  <c r="L36" i="15"/>
  <c r="I35" i="15"/>
  <c r="I36" i="15"/>
  <c r="A34" i="15"/>
  <c r="A35" i="15"/>
  <c r="A36" i="15"/>
  <c r="L48" i="15"/>
  <c r="I48" i="15"/>
  <c r="L38" i="15"/>
  <c r="L39" i="15"/>
  <c r="I38" i="15"/>
  <c r="I39" i="15"/>
  <c r="H27" i="15"/>
  <c r="K27" i="15"/>
  <c r="I33" i="15"/>
  <c r="I32" i="15" s="1"/>
  <c r="H32" i="15"/>
  <c r="A32" i="15"/>
  <c r="A33" i="15"/>
  <c r="L24" i="15"/>
  <c r="I24" i="15"/>
  <c r="L31" i="15"/>
  <c r="A31" i="15"/>
  <c r="I31" i="15"/>
  <c r="L28" i="15"/>
  <c r="L29" i="15"/>
  <c r="L30" i="15"/>
  <c r="I28" i="15"/>
  <c r="I29" i="15"/>
  <c r="I30" i="15"/>
  <c r="A30" i="15"/>
  <c r="L19" i="15"/>
  <c r="L20" i="15"/>
  <c r="I19" i="15"/>
  <c r="I20" i="15"/>
  <c r="H17" i="15"/>
  <c r="H16" i="15" s="1"/>
  <c r="K17" i="15"/>
  <c r="K16" i="15" s="1"/>
  <c r="A20" i="15"/>
  <c r="H465" i="14" l="1"/>
  <c r="I466" i="14"/>
  <c r="L93" i="15"/>
  <c r="I108" i="15"/>
  <c r="L108" i="15"/>
  <c r="I27" i="15"/>
  <c r="L27" i="15"/>
  <c r="I34" i="15"/>
  <c r="L34" i="15"/>
  <c r="H151" i="14"/>
  <c r="L439" i="15"/>
  <c r="L440" i="15"/>
  <c r="I151" i="14" l="1"/>
  <c r="H148" i="14"/>
  <c r="H464" i="14"/>
  <c r="I465" i="14"/>
  <c r="A439" i="15"/>
  <c r="A440" i="15"/>
  <c r="I439" i="15"/>
  <c r="I440" i="15"/>
  <c r="H137" i="14"/>
  <c r="H141" i="14"/>
  <c r="I141" i="14" s="1"/>
  <c r="A137" i="14"/>
  <c r="A138" i="14"/>
  <c r="A141" i="14"/>
  <c r="A142" i="14"/>
  <c r="I464" i="14" l="1"/>
  <c r="E76" i="3" s="1"/>
  <c r="D76" i="3"/>
  <c r="I137" i="14"/>
  <c r="H136" i="14"/>
  <c r="H775" i="14"/>
  <c r="A773" i="14"/>
  <c r="A774" i="14"/>
  <c r="A775" i="14"/>
  <c r="A776" i="14"/>
  <c r="H779" i="14"/>
  <c r="A779" i="14"/>
  <c r="A780" i="14"/>
  <c r="A777" i="14"/>
  <c r="A778" i="14"/>
  <c r="H78" i="14"/>
  <c r="H75" i="14" s="1"/>
  <c r="A74" i="14"/>
  <c r="A75" i="14"/>
  <c r="A78" i="14"/>
  <c r="A79" i="14"/>
  <c r="H127" i="14"/>
  <c r="A126" i="14"/>
  <c r="A127" i="14"/>
  <c r="A128" i="14"/>
  <c r="H590" i="14"/>
  <c r="I590" i="14" s="1"/>
  <c r="A591" i="14"/>
  <c r="H578" i="14"/>
  <c r="A574" i="14"/>
  <c r="A575" i="14"/>
  <c r="A576" i="14"/>
  <c r="A577" i="14"/>
  <c r="A578" i="14"/>
  <c r="A579" i="14"/>
  <c r="H395" i="14"/>
  <c r="I395" i="14" s="1"/>
  <c r="A395" i="14"/>
  <c r="A396" i="14"/>
  <c r="H741" i="14"/>
  <c r="I741" i="14" s="1"/>
  <c r="A741" i="14"/>
  <c r="A742" i="14"/>
  <c r="H577" i="14" l="1"/>
  <c r="I578" i="14"/>
  <c r="H778" i="14"/>
  <c r="I779" i="14"/>
  <c r="I78" i="14"/>
  <c r="H774" i="14"/>
  <c r="I775" i="14"/>
  <c r="H126" i="14"/>
  <c r="I126" i="14" s="1"/>
  <c r="I127" i="14"/>
  <c r="A51" i="15"/>
  <c r="A52" i="15"/>
  <c r="A53" i="15"/>
  <c r="A54" i="15"/>
  <c r="A55" i="15"/>
  <c r="A56" i="15"/>
  <c r="A59" i="15"/>
  <c r="A60" i="15"/>
  <c r="A63" i="15"/>
  <c r="A64" i="15"/>
  <c r="I55" i="15"/>
  <c r="I64" i="15"/>
  <c r="I56" i="15"/>
  <c r="I54" i="15" l="1"/>
  <c r="H74" i="14"/>
  <c r="I74" i="14" s="1"/>
  <c r="I75" i="14"/>
  <c r="H576" i="14"/>
  <c r="I577" i="14"/>
  <c r="H773" i="14"/>
  <c r="I773" i="14" s="1"/>
  <c r="I774" i="14"/>
  <c r="H777" i="14"/>
  <c r="I777" i="14" s="1"/>
  <c r="I778" i="14"/>
  <c r="L55" i="15"/>
  <c r="I60" i="15"/>
  <c r="I59" i="15"/>
  <c r="L54" i="15"/>
  <c r="I63" i="15"/>
  <c r="A302" i="14"/>
  <c r="B143" i="16"/>
  <c r="B144" i="16"/>
  <c r="B139" i="16"/>
  <c r="B140" i="16"/>
  <c r="B141" i="16"/>
  <c r="B142" i="16"/>
  <c r="B135" i="16"/>
  <c r="B136" i="16"/>
  <c r="B137" i="16"/>
  <c r="B138" i="16"/>
  <c r="H632" i="14"/>
  <c r="A629" i="14"/>
  <c r="A630" i="14"/>
  <c r="A631" i="14"/>
  <c r="A632" i="14"/>
  <c r="A633" i="14"/>
  <c r="A559" i="14"/>
  <c r="A560" i="14"/>
  <c r="A562" i="14"/>
  <c r="A556" i="14"/>
  <c r="H459" i="14"/>
  <c r="A456" i="14"/>
  <c r="A457" i="14"/>
  <c r="A458" i="14"/>
  <c r="A459" i="14"/>
  <c r="A460" i="14"/>
  <c r="H391" i="14"/>
  <c r="I391" i="14" s="1"/>
  <c r="A391" i="14"/>
  <c r="A392" i="14"/>
  <c r="A809" i="14"/>
  <c r="A810" i="14"/>
  <c r="A811" i="14"/>
  <c r="H559" i="14" l="1"/>
  <c r="I559" i="14" s="1"/>
  <c r="I560" i="14"/>
  <c r="H458" i="14"/>
  <c r="H457" i="14" s="1"/>
  <c r="I459" i="14"/>
  <c r="H575" i="14"/>
  <c r="I576" i="14"/>
  <c r="H631" i="14"/>
  <c r="H630" i="14" s="1"/>
  <c r="H629" i="14" s="1"/>
  <c r="I632" i="14"/>
  <c r="I52" i="15"/>
  <c r="I53" i="15"/>
  <c r="L53" i="15"/>
  <c r="L52" i="15" s="1"/>
  <c r="L51" i="15" s="1"/>
  <c r="D135" i="16"/>
  <c r="E135" i="16"/>
  <c r="F135" i="16"/>
  <c r="D136" i="16"/>
  <c r="E136" i="16"/>
  <c r="F136" i="16"/>
  <c r="D137" i="16"/>
  <c r="E137" i="16"/>
  <c r="F137" i="16"/>
  <c r="D138" i="16"/>
  <c r="E138" i="16"/>
  <c r="F138" i="16"/>
  <c r="D139" i="16"/>
  <c r="E139" i="16"/>
  <c r="D140" i="16"/>
  <c r="E140" i="16"/>
  <c r="F140" i="16"/>
  <c r="D141" i="16"/>
  <c r="E141" i="16"/>
  <c r="F141" i="16"/>
  <c r="D142" i="16"/>
  <c r="E142" i="16"/>
  <c r="F142" i="16"/>
  <c r="H574" i="14" l="1"/>
  <c r="I574" i="14" s="1"/>
  <c r="I575" i="14"/>
  <c r="I631" i="14"/>
  <c r="I458" i="14"/>
  <c r="I51" i="15"/>
  <c r="A279" i="15"/>
  <c r="A280" i="15"/>
  <c r="H706" i="14"/>
  <c r="I706" i="14" s="1"/>
  <c r="H708" i="14"/>
  <c r="I708" i="14" s="1"/>
  <c r="A275" i="15"/>
  <c r="A276" i="15"/>
  <c r="A708" i="14"/>
  <c r="A709" i="14"/>
  <c r="A706" i="14"/>
  <c r="A707" i="14"/>
  <c r="A700" i="14"/>
  <c r="A702" i="14"/>
  <c r="H456" i="14" l="1"/>
  <c r="I456" i="14" s="1"/>
  <c r="I457" i="14"/>
  <c r="I629" i="14"/>
  <c r="I630" i="14"/>
  <c r="O89" i="2"/>
  <c r="L89" i="2"/>
  <c r="O86" i="2"/>
  <c r="L86" i="2"/>
  <c r="O83" i="2"/>
  <c r="L83" i="2"/>
  <c r="O82" i="2"/>
  <c r="L82" i="2"/>
  <c r="O84" i="2"/>
  <c r="L84" i="2"/>
  <c r="O81" i="2"/>
  <c r="L81" i="2"/>
  <c r="O80" i="2"/>
  <c r="L80" i="2"/>
  <c r="O75" i="2"/>
  <c r="L75" i="2"/>
  <c r="O70" i="2"/>
  <c r="L70" i="2"/>
  <c r="O69" i="2"/>
  <c r="L69" i="2"/>
  <c r="O68" i="2"/>
  <c r="L68" i="2"/>
  <c r="O67" i="2"/>
  <c r="L67" i="2"/>
  <c r="O66" i="2"/>
  <c r="L66" i="2"/>
  <c r="O65" i="2"/>
  <c r="L65" i="2"/>
  <c r="O58" i="2" l="1"/>
  <c r="L58" i="2"/>
  <c r="O57" i="2"/>
  <c r="L57" i="2"/>
  <c r="L76" i="1"/>
  <c r="L104" i="1"/>
  <c r="L114" i="1"/>
  <c r="L101" i="1"/>
  <c r="L100" i="1"/>
  <c r="L74" i="1" l="1"/>
  <c r="L102" i="1"/>
  <c r="H101" i="14" l="1"/>
  <c r="I101" i="14" s="1"/>
  <c r="A101" i="14" l="1"/>
  <c r="A102" i="14"/>
  <c r="H309" i="14"/>
  <c r="H304" i="14" s="1"/>
  <c r="A304" i="14"/>
  <c r="A309" i="14"/>
  <c r="I309" i="14" l="1"/>
  <c r="A91" i="14"/>
  <c r="H123" i="14"/>
  <c r="I123" i="14" s="1"/>
  <c r="H303" i="14" l="1"/>
  <c r="I304" i="14"/>
  <c r="H120" i="14"/>
  <c r="H119" i="14" l="1"/>
  <c r="I120" i="14"/>
  <c r="H302" i="14"/>
  <c r="I302" i="14" s="1"/>
  <c r="I303" i="14"/>
  <c r="H295" i="14"/>
  <c r="I295" i="14" s="1"/>
  <c r="D40" i="3" l="1"/>
  <c r="I119" i="14"/>
  <c r="A301" i="14"/>
  <c r="A303" i="14"/>
  <c r="A310" i="14"/>
  <c r="A233" i="14"/>
  <c r="H1147" i="14" l="1"/>
  <c r="A1150" i="14"/>
  <c r="I1147" i="14" l="1"/>
  <c r="A236" i="14"/>
  <c r="A237" i="14"/>
  <c r="A238" i="14"/>
  <c r="H177" i="14" l="1"/>
  <c r="H169" i="14"/>
  <c r="H161" i="14"/>
  <c r="I161" i="14" s="1"/>
  <c r="H168" i="14" l="1"/>
  <c r="I169" i="14"/>
  <c r="I177" i="14"/>
  <c r="H160" i="14"/>
  <c r="M27" i="2"/>
  <c r="A63" i="14"/>
  <c r="A65" i="14"/>
  <c r="A125" i="14"/>
  <c r="A123" i="14"/>
  <c r="A124" i="14"/>
  <c r="A119" i="14"/>
  <c r="A120" i="14"/>
  <c r="A50" i="14"/>
  <c r="A51" i="14"/>
  <c r="A52" i="14"/>
  <c r="H159" i="14" l="1"/>
  <c r="I159" i="14" s="1"/>
  <c r="I160" i="14"/>
  <c r="H167" i="14"/>
  <c r="I167" i="14" s="1"/>
  <c r="I168" i="14"/>
  <c r="H713" i="14"/>
  <c r="A713" i="14"/>
  <c r="A714" i="14"/>
  <c r="F21" i="4"/>
  <c r="G21" i="4"/>
  <c r="H14" i="4"/>
  <c r="H16" i="4"/>
  <c r="H17" i="4"/>
  <c r="H18" i="4"/>
  <c r="H19" i="4"/>
  <c r="H21" i="4"/>
  <c r="F14" i="4"/>
  <c r="F16" i="4"/>
  <c r="F17" i="4"/>
  <c r="F18" i="4"/>
  <c r="F19" i="4"/>
  <c r="E14" i="4"/>
  <c r="E16" i="4"/>
  <c r="E17" i="4"/>
  <c r="E18" i="4"/>
  <c r="E19" i="4"/>
  <c r="G14" i="4"/>
  <c r="G16" i="4"/>
  <c r="G17" i="4"/>
  <c r="G18" i="4"/>
  <c r="G19" i="4"/>
  <c r="H158" i="14" l="1"/>
  <c r="H157" i="14" s="1"/>
  <c r="I157" i="14" s="1"/>
  <c r="I713" i="14"/>
  <c r="E40" i="3"/>
  <c r="A66" i="14"/>
  <c r="A1190" i="14"/>
  <c r="A1191" i="14"/>
  <c r="A1192" i="14"/>
  <c r="A1193" i="14"/>
  <c r="A1194" i="14"/>
  <c r="H1193" i="14"/>
  <c r="H67" i="14"/>
  <c r="A67" i="14"/>
  <c r="A68" i="14"/>
  <c r="I158" i="14" l="1"/>
  <c r="H66" i="14"/>
  <c r="I66" i="14" s="1"/>
  <c r="I67" i="14"/>
  <c r="H1192" i="14"/>
  <c r="I1193" i="14"/>
  <c r="F10" i="4"/>
  <c r="G10" i="4"/>
  <c r="H10" i="4"/>
  <c r="F12" i="4"/>
  <c r="F24" i="4"/>
  <c r="G24" i="4"/>
  <c r="H24" i="4"/>
  <c r="F25" i="4"/>
  <c r="G25" i="4"/>
  <c r="H25" i="4"/>
  <c r="F27" i="4"/>
  <c r="G27" i="4"/>
  <c r="H27" i="4"/>
  <c r="F28" i="4"/>
  <c r="G28" i="4"/>
  <c r="H28" i="4"/>
  <c r="F29" i="4"/>
  <c r="G29" i="4"/>
  <c r="H29" i="4"/>
  <c r="F30" i="4"/>
  <c r="G30" i="4"/>
  <c r="H30" i="4"/>
  <c r="F31" i="4"/>
  <c r="G31" i="4"/>
  <c r="H31" i="4"/>
  <c r="F32" i="4"/>
  <c r="G32" i="4"/>
  <c r="H32" i="4"/>
  <c r="F34" i="4"/>
  <c r="G34" i="4"/>
  <c r="H34" i="4"/>
  <c r="F35" i="4"/>
  <c r="G35" i="4"/>
  <c r="H35" i="4"/>
  <c r="F36" i="4"/>
  <c r="G36" i="4"/>
  <c r="H36" i="4"/>
  <c r="F37" i="4"/>
  <c r="G37" i="4"/>
  <c r="H37" i="4"/>
  <c r="F38" i="4"/>
  <c r="G38" i="4"/>
  <c r="H38" i="4"/>
  <c r="F39" i="4"/>
  <c r="G39" i="4"/>
  <c r="H39" i="4"/>
  <c r="F40" i="4"/>
  <c r="G40" i="4"/>
  <c r="H40" i="4"/>
  <c r="F41" i="4"/>
  <c r="G41" i="4"/>
  <c r="H41" i="4"/>
  <c r="F42" i="4"/>
  <c r="G42" i="4"/>
  <c r="H42" i="4"/>
  <c r="F43" i="4"/>
  <c r="G43" i="4"/>
  <c r="H43" i="4"/>
  <c r="F44" i="4"/>
  <c r="G44" i="4"/>
  <c r="H44" i="4"/>
  <c r="F45" i="4"/>
  <c r="G45" i="4"/>
  <c r="H45" i="4"/>
  <c r="F47" i="4"/>
  <c r="G47" i="4"/>
  <c r="H47" i="4"/>
  <c r="F48" i="4"/>
  <c r="G48" i="4"/>
  <c r="H48" i="4"/>
  <c r="F49" i="4"/>
  <c r="G49" i="4"/>
  <c r="H49" i="4"/>
  <c r="F50" i="4"/>
  <c r="G50" i="4"/>
  <c r="H50" i="4"/>
  <c r="F52" i="4"/>
  <c r="G52" i="4"/>
  <c r="H52" i="4"/>
  <c r="F53" i="4"/>
  <c r="G53" i="4"/>
  <c r="H53" i="4"/>
  <c r="F56" i="4"/>
  <c r="G56" i="4"/>
  <c r="H56" i="4"/>
  <c r="F57" i="4"/>
  <c r="G57" i="4"/>
  <c r="H57" i="4"/>
  <c r="F58" i="4"/>
  <c r="G58" i="4"/>
  <c r="H58" i="4"/>
  <c r="F60" i="4"/>
  <c r="G60" i="4"/>
  <c r="H60" i="4"/>
  <c r="F62" i="4"/>
  <c r="G62" i="4"/>
  <c r="H62" i="4"/>
  <c r="F63" i="4"/>
  <c r="G63" i="4"/>
  <c r="H63" i="4"/>
  <c r="F66" i="4"/>
  <c r="G66" i="4"/>
  <c r="H66" i="4"/>
  <c r="F67" i="4"/>
  <c r="G67" i="4"/>
  <c r="H67" i="4"/>
  <c r="F68" i="4"/>
  <c r="G68" i="4"/>
  <c r="H68" i="4"/>
  <c r="F69" i="4"/>
  <c r="G69" i="4"/>
  <c r="H69" i="4"/>
  <c r="F70" i="4"/>
  <c r="G70" i="4"/>
  <c r="H70" i="4"/>
  <c r="F75" i="4"/>
  <c r="G75" i="4"/>
  <c r="H75" i="4"/>
  <c r="F77" i="4"/>
  <c r="G77" i="4"/>
  <c r="H77" i="4"/>
  <c r="F79" i="4"/>
  <c r="G79" i="4"/>
  <c r="H79" i="4"/>
  <c r="F83" i="4"/>
  <c r="G83" i="4"/>
  <c r="H83" i="4"/>
  <c r="F84" i="4"/>
  <c r="G84" i="4"/>
  <c r="H84" i="4"/>
  <c r="F87" i="4"/>
  <c r="G87" i="4"/>
  <c r="H87" i="4"/>
  <c r="F88" i="4"/>
  <c r="G88" i="4"/>
  <c r="H88" i="4"/>
  <c r="F89" i="4"/>
  <c r="G89" i="4"/>
  <c r="H89" i="4"/>
  <c r="F90" i="4"/>
  <c r="G90" i="4"/>
  <c r="H90" i="4"/>
  <c r="F91" i="4"/>
  <c r="G91" i="4"/>
  <c r="H91" i="4"/>
  <c r="F92" i="4"/>
  <c r="G92" i="4"/>
  <c r="H92" i="4"/>
  <c r="F93" i="4"/>
  <c r="G93" i="4"/>
  <c r="H93" i="4"/>
  <c r="F94" i="4"/>
  <c r="G94" i="4"/>
  <c r="H94" i="4"/>
  <c r="F95" i="4"/>
  <c r="G95" i="4"/>
  <c r="H95" i="4"/>
  <c r="F101" i="4"/>
  <c r="G101" i="4"/>
  <c r="H101" i="4"/>
  <c r="F104" i="4"/>
  <c r="G104" i="4"/>
  <c r="H104" i="4"/>
  <c r="F106" i="4"/>
  <c r="G106" i="4"/>
  <c r="H106" i="4"/>
  <c r="F107" i="4"/>
  <c r="G107" i="4"/>
  <c r="H107" i="4"/>
  <c r="F108" i="4"/>
  <c r="G108" i="4"/>
  <c r="H108" i="4"/>
  <c r="F110" i="4"/>
  <c r="G110" i="4"/>
  <c r="H110" i="4"/>
  <c r="F112" i="4"/>
  <c r="G112" i="4"/>
  <c r="H112" i="4"/>
  <c r="F113" i="4"/>
  <c r="G113" i="4"/>
  <c r="H113" i="4"/>
  <c r="F116" i="4"/>
  <c r="G116" i="4"/>
  <c r="H116" i="4"/>
  <c r="F119" i="4"/>
  <c r="G119" i="4"/>
  <c r="H119" i="4"/>
  <c r="F120" i="4"/>
  <c r="G120" i="4"/>
  <c r="H120" i="4"/>
  <c r="C21" i="4"/>
  <c r="C19" i="4"/>
  <c r="C18" i="4"/>
  <c r="C17" i="4"/>
  <c r="C16" i="4"/>
  <c r="C14" i="4"/>
  <c r="C12" i="4"/>
  <c r="C10" i="4"/>
  <c r="E21" i="4"/>
  <c r="E12" i="4"/>
  <c r="E10" i="4"/>
  <c r="D10" i="4"/>
  <c r="D21" i="4"/>
  <c r="D19" i="4"/>
  <c r="D18" i="4"/>
  <c r="D17" i="4"/>
  <c r="D16" i="4"/>
  <c r="D14" i="4"/>
  <c r="D12" i="4"/>
  <c r="D120" i="4"/>
  <c r="E120" i="4"/>
  <c r="D119" i="4"/>
  <c r="E119" i="4"/>
  <c r="D116" i="4"/>
  <c r="E116" i="4"/>
  <c r="D113" i="4"/>
  <c r="E113" i="4"/>
  <c r="D112" i="4"/>
  <c r="E112" i="4"/>
  <c r="D110" i="4"/>
  <c r="E110" i="4"/>
  <c r="D108" i="4"/>
  <c r="E108" i="4"/>
  <c r="D107" i="4"/>
  <c r="E107" i="4"/>
  <c r="D106" i="4"/>
  <c r="E106" i="4"/>
  <c r="D104" i="4"/>
  <c r="E104" i="4"/>
  <c r="D101" i="4"/>
  <c r="E101" i="4"/>
  <c r="D95" i="4"/>
  <c r="E95" i="4"/>
  <c r="D94" i="4"/>
  <c r="E94" i="4"/>
  <c r="D93" i="4"/>
  <c r="E93" i="4"/>
  <c r="D92" i="4"/>
  <c r="E92" i="4"/>
  <c r="D91" i="4"/>
  <c r="E91" i="4"/>
  <c r="D90" i="4"/>
  <c r="E90" i="4"/>
  <c r="D89" i="4"/>
  <c r="E89" i="4"/>
  <c r="D88" i="4"/>
  <c r="E88" i="4"/>
  <c r="D87" i="4"/>
  <c r="E87" i="4"/>
  <c r="D84" i="4"/>
  <c r="E84" i="4"/>
  <c r="D83" i="4"/>
  <c r="E83" i="4"/>
  <c r="D79" i="4"/>
  <c r="E79" i="4"/>
  <c r="D77" i="4"/>
  <c r="E77" i="4"/>
  <c r="D75" i="4"/>
  <c r="E75" i="4"/>
  <c r="D70" i="4"/>
  <c r="E70" i="4"/>
  <c r="D69" i="4"/>
  <c r="E69" i="4"/>
  <c r="D68" i="4"/>
  <c r="E68" i="4"/>
  <c r="D67" i="4"/>
  <c r="E67" i="4"/>
  <c r="D66" i="4"/>
  <c r="E66" i="4"/>
  <c r="D63" i="4"/>
  <c r="E63" i="4"/>
  <c r="D62" i="4"/>
  <c r="E62" i="4"/>
  <c r="D60" i="4"/>
  <c r="E60" i="4"/>
  <c r="D58" i="4"/>
  <c r="E58" i="4"/>
  <c r="D57" i="4"/>
  <c r="E57" i="4"/>
  <c r="D56" i="4"/>
  <c r="E56" i="4"/>
  <c r="D53" i="4"/>
  <c r="E53" i="4"/>
  <c r="D52" i="4"/>
  <c r="E52" i="4"/>
  <c r="D50" i="4"/>
  <c r="E50" i="4"/>
  <c r="D49" i="4"/>
  <c r="E49" i="4"/>
  <c r="D48" i="4"/>
  <c r="E48" i="4"/>
  <c r="D47" i="4"/>
  <c r="E47" i="4"/>
  <c r="D45" i="4"/>
  <c r="E45" i="4"/>
  <c r="D44" i="4"/>
  <c r="E44" i="4"/>
  <c r="D43" i="4"/>
  <c r="E43" i="4"/>
  <c r="D42" i="4"/>
  <c r="E42" i="4"/>
  <c r="D41" i="4"/>
  <c r="E41" i="4"/>
  <c r="D40" i="4"/>
  <c r="E40" i="4"/>
  <c r="D39" i="4"/>
  <c r="E39" i="4"/>
  <c r="D38" i="4"/>
  <c r="E38" i="4"/>
  <c r="D37" i="4"/>
  <c r="E37" i="4"/>
  <c r="D36" i="4"/>
  <c r="E36" i="4"/>
  <c r="D35" i="4"/>
  <c r="E35" i="4"/>
  <c r="D34" i="4"/>
  <c r="E34" i="4"/>
  <c r="D32" i="4"/>
  <c r="E32" i="4"/>
  <c r="D31" i="4"/>
  <c r="E31" i="4"/>
  <c r="D30" i="4"/>
  <c r="E30" i="4"/>
  <c r="D29" i="4"/>
  <c r="E29" i="4"/>
  <c r="D28" i="4"/>
  <c r="E28" i="4"/>
  <c r="D27" i="4"/>
  <c r="E27" i="4"/>
  <c r="D25" i="4"/>
  <c r="E25" i="4"/>
  <c r="D24" i="4"/>
  <c r="E24" i="4"/>
  <c r="L103" i="1"/>
  <c r="H1191" i="14" l="1"/>
  <c r="I1192" i="14"/>
  <c r="D86" i="4"/>
  <c r="D65" i="4"/>
  <c r="F86" i="4"/>
  <c r="G86" i="4"/>
  <c r="G65" i="4"/>
  <c r="H86" i="4"/>
  <c r="H65" i="4"/>
  <c r="F65" i="4"/>
  <c r="H33" i="4"/>
  <c r="G33" i="4"/>
  <c r="F33" i="4"/>
  <c r="D33" i="4"/>
  <c r="E65" i="4"/>
  <c r="D16" i="48"/>
  <c r="G16" i="48"/>
  <c r="E21" i="47"/>
  <c r="E47" i="47" s="1"/>
  <c r="D21" i="47"/>
  <c r="D16" i="47"/>
  <c r="I13" i="21"/>
  <c r="I14" i="21"/>
  <c r="I15" i="21"/>
  <c r="I23" i="21"/>
  <c r="I24" i="21"/>
  <c r="I30" i="21"/>
  <c r="I33" i="21"/>
  <c r="I34" i="21"/>
  <c r="I37" i="21"/>
  <c r="I43" i="21"/>
  <c r="I50" i="21"/>
  <c r="I51" i="21"/>
  <c r="I52" i="21"/>
  <c r="I53" i="21"/>
  <c r="I55" i="21"/>
  <c r="I56" i="21"/>
  <c r="I57" i="21"/>
  <c r="I63" i="21"/>
  <c r="I64" i="21"/>
  <c r="I65" i="21"/>
  <c r="I66" i="21"/>
  <c r="I67" i="21"/>
  <c r="I68" i="21"/>
  <c r="I69" i="21"/>
  <c r="I75" i="21"/>
  <c r="I76" i="21"/>
  <c r="I77" i="21"/>
  <c r="I78" i="21"/>
  <c r="I79" i="21"/>
  <c r="I80" i="21"/>
  <c r="I81" i="21"/>
  <c r="I82" i="21"/>
  <c r="I83" i="21"/>
  <c r="I85" i="21"/>
  <c r="I86" i="21"/>
  <c r="I87" i="21"/>
  <c r="I88" i="21"/>
  <c r="I89" i="21"/>
  <c r="I92" i="21"/>
  <c r="I93" i="21"/>
  <c r="I94" i="21"/>
  <c r="I95" i="21"/>
  <c r="I96" i="21"/>
  <c r="I97" i="21"/>
  <c r="I98" i="21"/>
  <c r="I99" i="21"/>
  <c r="I100" i="21"/>
  <c r="I101" i="21"/>
  <c r="I102" i="21"/>
  <c r="I103" i="21"/>
  <c r="I104" i="21"/>
  <c r="I105" i="21"/>
  <c r="I106" i="21"/>
  <c r="I107" i="21"/>
  <c r="I108" i="21"/>
  <c r="I109" i="21"/>
  <c r="I110" i="21"/>
  <c r="I115" i="21"/>
  <c r="I116" i="21"/>
  <c r="I117" i="21"/>
  <c r="I118" i="21"/>
  <c r="I119" i="21"/>
  <c r="I120" i="21"/>
  <c r="I121" i="21"/>
  <c r="I122" i="21"/>
  <c r="I123" i="21"/>
  <c r="I124" i="21"/>
  <c r="I125" i="21"/>
  <c r="I126" i="21"/>
  <c r="I127" i="21"/>
  <c r="I128" i="21"/>
  <c r="I129" i="21"/>
  <c r="I130" i="21"/>
  <c r="I131" i="21"/>
  <c r="I132" i="21"/>
  <c r="I133" i="21"/>
  <c r="I134" i="21"/>
  <c r="I135" i="21"/>
  <c r="H13" i="21"/>
  <c r="H14" i="21"/>
  <c r="H15" i="21"/>
  <c r="H23" i="21"/>
  <c r="H24" i="21"/>
  <c r="H30" i="21"/>
  <c r="H33" i="21"/>
  <c r="H34" i="21"/>
  <c r="H37" i="21"/>
  <c r="H43" i="21"/>
  <c r="H50" i="21"/>
  <c r="H51" i="21"/>
  <c r="H52" i="21"/>
  <c r="H53" i="21"/>
  <c r="H55" i="21"/>
  <c r="H56" i="21"/>
  <c r="H57" i="21"/>
  <c r="H63" i="21"/>
  <c r="H64" i="21"/>
  <c r="H65" i="21"/>
  <c r="H66" i="21"/>
  <c r="H67" i="21"/>
  <c r="H68" i="21"/>
  <c r="H69" i="21"/>
  <c r="H75" i="21"/>
  <c r="H76" i="21"/>
  <c r="H77" i="21"/>
  <c r="H78" i="21"/>
  <c r="H79" i="21"/>
  <c r="H80" i="21"/>
  <c r="H81" i="21"/>
  <c r="H82" i="21"/>
  <c r="H83" i="21"/>
  <c r="H85" i="21"/>
  <c r="H86" i="21"/>
  <c r="H87" i="21"/>
  <c r="H88" i="21"/>
  <c r="H89" i="21"/>
  <c r="H92" i="21"/>
  <c r="H93" i="21"/>
  <c r="H94" i="21"/>
  <c r="H95" i="21"/>
  <c r="H96" i="21"/>
  <c r="H97" i="21"/>
  <c r="H98" i="21"/>
  <c r="H99" i="21"/>
  <c r="H100" i="21"/>
  <c r="H101" i="21"/>
  <c r="H102" i="21"/>
  <c r="H103" i="21"/>
  <c r="H104" i="21"/>
  <c r="H105" i="21"/>
  <c r="H106" i="21"/>
  <c r="H107" i="21"/>
  <c r="H108" i="21"/>
  <c r="H109" i="21"/>
  <c r="H110" i="21"/>
  <c r="H115" i="21"/>
  <c r="H116" i="21"/>
  <c r="H117" i="21"/>
  <c r="H118" i="21"/>
  <c r="H119" i="21"/>
  <c r="H120" i="21"/>
  <c r="H121" i="21"/>
  <c r="H122" i="21"/>
  <c r="H123" i="21"/>
  <c r="H124" i="21"/>
  <c r="H125" i="21"/>
  <c r="H126" i="21"/>
  <c r="H127" i="21"/>
  <c r="H128" i="21"/>
  <c r="H129" i="21"/>
  <c r="H130" i="21"/>
  <c r="H131" i="21"/>
  <c r="H132" i="21"/>
  <c r="H133" i="21"/>
  <c r="H134" i="21"/>
  <c r="H135" i="21"/>
  <c r="G13" i="21"/>
  <c r="G14" i="21"/>
  <c r="G15" i="21"/>
  <c r="G23" i="21"/>
  <c r="G24" i="21"/>
  <c r="G30" i="21"/>
  <c r="G33" i="21"/>
  <c r="G34" i="21"/>
  <c r="G37" i="21"/>
  <c r="G43" i="21"/>
  <c r="G50" i="21"/>
  <c r="G51" i="21"/>
  <c r="G52" i="21"/>
  <c r="G53" i="21"/>
  <c r="G55" i="21"/>
  <c r="G56" i="21"/>
  <c r="G57" i="21"/>
  <c r="G63" i="21"/>
  <c r="G64" i="21"/>
  <c r="G65" i="21"/>
  <c r="G66" i="21"/>
  <c r="G67" i="21"/>
  <c r="G68" i="21"/>
  <c r="G69" i="21"/>
  <c r="G75" i="21"/>
  <c r="G76" i="21"/>
  <c r="G77" i="21"/>
  <c r="G78" i="21"/>
  <c r="G79" i="21"/>
  <c r="G80" i="21"/>
  <c r="G81" i="21"/>
  <c r="G82" i="21"/>
  <c r="G83" i="21"/>
  <c r="G85" i="21"/>
  <c r="G86" i="21"/>
  <c r="G87" i="21"/>
  <c r="G88" i="21"/>
  <c r="G89" i="21"/>
  <c r="G92" i="21"/>
  <c r="G93" i="21"/>
  <c r="G94" i="21"/>
  <c r="G95" i="21"/>
  <c r="G96" i="21"/>
  <c r="G97" i="21"/>
  <c r="G98" i="21"/>
  <c r="G99" i="21"/>
  <c r="G100" i="21"/>
  <c r="G101" i="21"/>
  <c r="G102" i="21"/>
  <c r="G103" i="21"/>
  <c r="G104" i="21"/>
  <c r="G105" i="21"/>
  <c r="G106" i="21"/>
  <c r="G107" i="21"/>
  <c r="G108" i="21"/>
  <c r="G109" i="21"/>
  <c r="G110" i="21"/>
  <c r="G115" i="21"/>
  <c r="G116" i="21"/>
  <c r="G117" i="21"/>
  <c r="G118" i="21"/>
  <c r="G119" i="21"/>
  <c r="G120" i="21"/>
  <c r="G121" i="21"/>
  <c r="G122" i="21"/>
  <c r="G123" i="21"/>
  <c r="G124" i="21"/>
  <c r="G125" i="21"/>
  <c r="G126" i="21"/>
  <c r="G127" i="21"/>
  <c r="G128" i="21"/>
  <c r="G129" i="21"/>
  <c r="G130" i="21"/>
  <c r="G131" i="21"/>
  <c r="G132" i="21"/>
  <c r="G133" i="21"/>
  <c r="G134" i="21"/>
  <c r="G135" i="21"/>
  <c r="F13" i="21"/>
  <c r="F14" i="21"/>
  <c r="F15" i="21"/>
  <c r="F23" i="21"/>
  <c r="F24" i="21"/>
  <c r="F30" i="21"/>
  <c r="F33" i="21"/>
  <c r="F34" i="21"/>
  <c r="F37" i="21"/>
  <c r="F43" i="21"/>
  <c r="F50" i="21"/>
  <c r="F51" i="21"/>
  <c r="F52" i="21"/>
  <c r="F53" i="21"/>
  <c r="F55" i="21"/>
  <c r="F56" i="21"/>
  <c r="F57" i="21"/>
  <c r="F63" i="21"/>
  <c r="F64" i="21"/>
  <c r="F65" i="21"/>
  <c r="F66" i="21"/>
  <c r="F67" i="21"/>
  <c r="F68" i="21"/>
  <c r="F69" i="21"/>
  <c r="F75" i="21"/>
  <c r="F76" i="21"/>
  <c r="F77" i="21"/>
  <c r="F78" i="21"/>
  <c r="F79" i="21"/>
  <c r="F80" i="21"/>
  <c r="F81" i="21"/>
  <c r="F82" i="21"/>
  <c r="F83" i="21"/>
  <c r="F85" i="21"/>
  <c r="F86" i="21"/>
  <c r="F87" i="21"/>
  <c r="F88" i="21"/>
  <c r="F89" i="21"/>
  <c r="F92" i="21"/>
  <c r="F93" i="21"/>
  <c r="F94" i="21"/>
  <c r="F95" i="21"/>
  <c r="F96" i="21"/>
  <c r="F97" i="21"/>
  <c r="F98" i="21"/>
  <c r="F99" i="21"/>
  <c r="F100" i="21"/>
  <c r="F101" i="21"/>
  <c r="F102" i="21"/>
  <c r="F103" i="21"/>
  <c r="F104" i="21"/>
  <c r="F105" i="21"/>
  <c r="F106" i="21"/>
  <c r="F107" i="21"/>
  <c r="F108" i="21"/>
  <c r="F109" i="21"/>
  <c r="F110" i="21"/>
  <c r="F115" i="21"/>
  <c r="F116" i="21"/>
  <c r="F117" i="21"/>
  <c r="F118" i="21"/>
  <c r="F119" i="21"/>
  <c r="F120" i="21"/>
  <c r="F121" i="21"/>
  <c r="F122" i="21"/>
  <c r="F123" i="21"/>
  <c r="F124" i="21"/>
  <c r="F125" i="21"/>
  <c r="F126" i="21"/>
  <c r="F127" i="21"/>
  <c r="F128" i="21"/>
  <c r="F129" i="21"/>
  <c r="F130" i="21"/>
  <c r="F131" i="21"/>
  <c r="F132" i="21"/>
  <c r="F133" i="21"/>
  <c r="F134" i="21"/>
  <c r="F135" i="21"/>
  <c r="E61" i="16"/>
  <c r="E73" i="16"/>
  <c r="E74" i="16"/>
  <c r="E75" i="16"/>
  <c r="E76" i="16"/>
  <c r="E77" i="16"/>
  <c r="E78" i="16"/>
  <c r="E79" i="16"/>
  <c r="E80" i="16"/>
  <c r="E81" i="16"/>
  <c r="E104" i="16"/>
  <c r="E112" i="16"/>
  <c r="E113" i="16"/>
  <c r="E114" i="16"/>
  <c r="E115" i="16"/>
  <c r="E116" i="16"/>
  <c r="E117" i="16"/>
  <c r="E118" i="16"/>
  <c r="E121" i="16"/>
  <c r="E122" i="16"/>
  <c r="E123" i="16"/>
  <c r="E124" i="16"/>
  <c r="E125" i="16"/>
  <c r="E126" i="16"/>
  <c r="E127" i="16"/>
  <c r="E128" i="16"/>
  <c r="E23" i="16"/>
  <c r="E24" i="16"/>
  <c r="F23" i="16"/>
  <c r="F24" i="16"/>
  <c r="F61" i="16"/>
  <c r="F73" i="16"/>
  <c r="F74" i="16"/>
  <c r="F75" i="16"/>
  <c r="F76" i="16"/>
  <c r="F77" i="16"/>
  <c r="F78" i="16"/>
  <c r="F79" i="16"/>
  <c r="F80" i="16"/>
  <c r="F81" i="16"/>
  <c r="F104" i="16"/>
  <c r="F112" i="16"/>
  <c r="F113" i="16"/>
  <c r="F114" i="16"/>
  <c r="F115" i="16"/>
  <c r="F116" i="16"/>
  <c r="F117" i="16"/>
  <c r="F118" i="16"/>
  <c r="F121" i="16"/>
  <c r="F122" i="16"/>
  <c r="F123" i="16"/>
  <c r="F124" i="16"/>
  <c r="F125" i="16"/>
  <c r="F126" i="16"/>
  <c r="F127" i="16"/>
  <c r="F128" i="16"/>
  <c r="L18" i="15"/>
  <c r="L17" i="15" s="1"/>
  <c r="L41" i="15"/>
  <c r="L42" i="15"/>
  <c r="L90" i="15"/>
  <c r="L89" i="15" s="1"/>
  <c r="L96" i="15"/>
  <c r="L97" i="15"/>
  <c r="L104" i="15"/>
  <c r="L103" i="15" s="1"/>
  <c r="L107" i="15"/>
  <c r="L111" i="15"/>
  <c r="L110" i="15" s="1"/>
  <c r="L118" i="15"/>
  <c r="L120" i="15"/>
  <c r="L122" i="15"/>
  <c r="L124" i="15"/>
  <c r="L126" i="15"/>
  <c r="L132" i="15"/>
  <c r="L144" i="15"/>
  <c r="L146" i="15"/>
  <c r="L147" i="15"/>
  <c r="L149" i="15"/>
  <c r="L152" i="15"/>
  <c r="L158" i="15"/>
  <c r="L163" i="15"/>
  <c r="L164" i="15"/>
  <c r="L170" i="15"/>
  <c r="L169" i="15" s="1"/>
  <c r="L174" i="15"/>
  <c r="L173" i="15" s="1"/>
  <c r="L178" i="15"/>
  <c r="L179" i="15"/>
  <c r="L180" i="15"/>
  <c r="L192" i="15"/>
  <c r="L194" i="15"/>
  <c r="L196" i="15"/>
  <c r="L199" i="15"/>
  <c r="L200" i="15"/>
  <c r="L201" i="15"/>
  <c r="L202" i="15"/>
  <c r="L205" i="15"/>
  <c r="L206" i="15"/>
  <c r="L212" i="15"/>
  <c r="L219" i="15"/>
  <c r="L220" i="15"/>
  <c r="L226" i="15"/>
  <c r="L232" i="15"/>
  <c r="L233" i="15"/>
  <c r="L235" i="15"/>
  <c r="L236" i="15"/>
  <c r="L238" i="15"/>
  <c r="L239" i="15"/>
  <c r="L241" i="15"/>
  <c r="L243" i="15"/>
  <c r="L244" i="15"/>
  <c r="L296" i="15"/>
  <c r="L298" i="15"/>
  <c r="L300" i="15"/>
  <c r="L304" i="15"/>
  <c r="L305" i="15"/>
  <c r="L308" i="15"/>
  <c r="L314" i="15"/>
  <c r="L316" i="15"/>
  <c r="L318" i="15"/>
  <c r="L321" i="15"/>
  <c r="L330" i="15"/>
  <c r="L331" i="15"/>
  <c r="L340" i="15"/>
  <c r="L344" i="15"/>
  <c r="L348" i="15"/>
  <c r="L350" i="15"/>
  <c r="L352" i="15"/>
  <c r="L359" i="15"/>
  <c r="L365" i="15"/>
  <c r="L367" i="15"/>
  <c r="L369" i="15"/>
  <c r="L375" i="15"/>
  <c r="L378" i="15"/>
  <c r="L388" i="15"/>
  <c r="L387" i="15" s="1"/>
  <c r="L392" i="15"/>
  <c r="L393" i="15"/>
  <c r="L397" i="15"/>
  <c r="L402" i="15"/>
  <c r="L406" i="15"/>
  <c r="L413" i="15"/>
  <c r="L419" i="15"/>
  <c r="L423" i="15"/>
  <c r="L425" i="15"/>
  <c r="L428" i="15"/>
  <c r="L434" i="15"/>
  <c r="L438" i="15"/>
  <c r="L442" i="15"/>
  <c r="L443" i="15"/>
  <c r="L444" i="15"/>
  <c r="L450" i="15"/>
  <c r="L455" i="15"/>
  <c r="L458" i="15"/>
  <c r="L463" i="15"/>
  <c r="L462" i="15" s="1"/>
  <c r="L467" i="15"/>
  <c r="L469" i="15"/>
  <c r="L470" i="15"/>
  <c r="L472" i="15"/>
  <c r="L14" i="15"/>
  <c r="I41" i="15"/>
  <c r="I42" i="15"/>
  <c r="I90" i="15"/>
  <c r="I89" i="15" s="1"/>
  <c r="I96" i="15"/>
  <c r="I97" i="15"/>
  <c r="I104" i="15"/>
  <c r="I103" i="15" s="1"/>
  <c r="I107" i="15"/>
  <c r="I111" i="15"/>
  <c r="I110" i="15" s="1"/>
  <c r="I118" i="15"/>
  <c r="I120" i="15"/>
  <c r="I122" i="15"/>
  <c r="I124" i="15"/>
  <c r="I126" i="15"/>
  <c r="I132" i="15"/>
  <c r="I144" i="15"/>
  <c r="I146" i="15"/>
  <c r="I147" i="15"/>
  <c r="I149" i="15"/>
  <c r="I152" i="15"/>
  <c r="I158" i="15"/>
  <c r="I163" i="15"/>
  <c r="I164" i="15"/>
  <c r="I170" i="15"/>
  <c r="I169" i="15" s="1"/>
  <c r="I174" i="15"/>
  <c r="I173" i="15" s="1"/>
  <c r="I179" i="15"/>
  <c r="I180" i="15"/>
  <c r="I192" i="15"/>
  <c r="I194" i="15"/>
  <c r="I196" i="15"/>
  <c r="I199" i="15"/>
  <c r="I200" i="15"/>
  <c r="I202" i="15"/>
  <c r="I205" i="15"/>
  <c r="I206" i="15"/>
  <c r="I212" i="15"/>
  <c r="I219" i="15"/>
  <c r="I220" i="15"/>
  <c r="I226" i="15"/>
  <c r="I232" i="15"/>
  <c r="I233" i="15"/>
  <c r="I235" i="15"/>
  <c r="I236" i="15"/>
  <c r="I238" i="15"/>
  <c r="I239" i="15"/>
  <c r="I241" i="15"/>
  <c r="I243" i="15"/>
  <c r="I244" i="15"/>
  <c r="I296" i="15"/>
  <c r="I298" i="15"/>
  <c r="I300" i="15"/>
  <c r="I304" i="15"/>
  <c r="I305" i="15"/>
  <c r="I308" i="15"/>
  <c r="I314" i="15"/>
  <c r="I316" i="15"/>
  <c r="I318" i="15"/>
  <c r="I321" i="15"/>
  <c r="I330" i="15"/>
  <c r="I331" i="15"/>
  <c r="I340" i="15"/>
  <c r="I344" i="15"/>
  <c r="I348" i="15"/>
  <c r="I350" i="15"/>
  <c r="I352" i="15"/>
  <c r="I359" i="15"/>
  <c r="I365" i="15"/>
  <c r="I367" i="15"/>
  <c r="I369" i="15"/>
  <c r="I375" i="15"/>
  <c r="I378" i="15"/>
  <c r="I392" i="15"/>
  <c r="I393" i="15"/>
  <c r="I397" i="15"/>
  <c r="I402" i="15"/>
  <c r="I406" i="15"/>
  <c r="I413" i="15"/>
  <c r="I419" i="15"/>
  <c r="I423" i="15"/>
  <c r="I425" i="15"/>
  <c r="I428" i="15"/>
  <c r="I434" i="15"/>
  <c r="I438" i="15"/>
  <c r="I442" i="15"/>
  <c r="I443" i="15"/>
  <c r="I444" i="15"/>
  <c r="I450" i="15"/>
  <c r="I455" i="15"/>
  <c r="I458" i="15"/>
  <c r="I463" i="15"/>
  <c r="I462" i="15" s="1"/>
  <c r="I467" i="15"/>
  <c r="I469" i="15"/>
  <c r="I470" i="15"/>
  <c r="I472" i="15"/>
  <c r="I14" i="15"/>
  <c r="K13" i="15"/>
  <c r="K12" i="15" s="1"/>
  <c r="K11" i="15" s="1"/>
  <c r="K23" i="15"/>
  <c r="K22" i="15" s="1"/>
  <c r="K21" i="15" s="1"/>
  <c r="G20" i="4" s="1"/>
  <c r="K37" i="15"/>
  <c r="K40" i="15"/>
  <c r="K47" i="15"/>
  <c r="K95" i="15"/>
  <c r="K88" i="15" s="1"/>
  <c r="K83" i="15" s="1"/>
  <c r="K106" i="15"/>
  <c r="K117" i="15"/>
  <c r="K119" i="15"/>
  <c r="K121" i="15"/>
  <c r="K123" i="15"/>
  <c r="K125" i="15"/>
  <c r="K131" i="15"/>
  <c r="K130" i="15" s="1"/>
  <c r="K129" i="15" s="1"/>
  <c r="K128" i="15" s="1"/>
  <c r="K127" i="15" s="1"/>
  <c r="K143" i="15"/>
  <c r="K145" i="15"/>
  <c r="K148" i="15"/>
  <c r="K151" i="15"/>
  <c r="K150" i="15" s="1"/>
  <c r="K157" i="15"/>
  <c r="K156" i="15" s="1"/>
  <c r="K155" i="15" s="1"/>
  <c r="K154" i="15" s="1"/>
  <c r="K162" i="15"/>
  <c r="K161" i="15" s="1"/>
  <c r="K177" i="15"/>
  <c r="K168" i="15" s="1"/>
  <c r="K191" i="15"/>
  <c r="K193" i="15"/>
  <c r="K195" i="15"/>
  <c r="K198" i="15"/>
  <c r="K204" i="15"/>
  <c r="K203" i="15" s="1"/>
  <c r="K211" i="15"/>
  <c r="K210" i="15" s="1"/>
  <c r="K209" i="15" s="1"/>
  <c r="K208" i="15" s="1"/>
  <c r="K207" i="15" s="1"/>
  <c r="G105" i="4" s="1"/>
  <c r="G103" i="4" s="1"/>
  <c r="K218" i="15"/>
  <c r="K217" i="15" s="1"/>
  <c r="K225" i="15"/>
  <c r="K224" i="15" s="1"/>
  <c r="K223" i="15" s="1"/>
  <c r="K231" i="15"/>
  <c r="K234" i="15"/>
  <c r="K237" i="15"/>
  <c r="K240" i="15"/>
  <c r="K248" i="15"/>
  <c r="L248" i="15" s="1"/>
  <c r="K254" i="15"/>
  <c r="L254" i="15" s="1"/>
  <c r="K260" i="15"/>
  <c r="L260" i="15" s="1"/>
  <c r="K263" i="15"/>
  <c r="L263" i="15" s="1"/>
  <c r="K269" i="15"/>
  <c r="L269" i="15" s="1"/>
  <c r="K282" i="15"/>
  <c r="L282" i="15" s="1"/>
  <c r="K285" i="15"/>
  <c r="L285" i="15" s="1"/>
  <c r="K295" i="15"/>
  <c r="K297" i="15"/>
  <c r="K299" i="15"/>
  <c r="K303" i="15"/>
  <c r="K307" i="15"/>
  <c r="K306" i="15" s="1"/>
  <c r="K313" i="15"/>
  <c r="K315" i="15"/>
  <c r="K320" i="15"/>
  <c r="K319" i="15" s="1"/>
  <c r="H49" i="21" s="1"/>
  <c r="K329" i="15"/>
  <c r="K339" i="15"/>
  <c r="K338" i="15" s="1"/>
  <c r="K337" i="15" s="1"/>
  <c r="G26" i="4" s="1"/>
  <c r="G23" i="4" s="1"/>
  <c r="K343" i="15"/>
  <c r="K342" i="15" s="1"/>
  <c r="K341" i="15" s="1"/>
  <c r="G115" i="4" s="1"/>
  <c r="G114" i="4" s="1"/>
  <c r="K347" i="15"/>
  <c r="K349" i="15"/>
  <c r="K351" i="15"/>
  <c r="K358" i="15"/>
  <c r="K357" i="15" s="1"/>
  <c r="K356" i="15" s="1"/>
  <c r="K364" i="15"/>
  <c r="K366" i="15"/>
  <c r="K368" i="15"/>
  <c r="K374" i="15"/>
  <c r="K373" i="15" s="1"/>
  <c r="H20" i="21" s="1"/>
  <c r="K377" i="15"/>
  <c r="K376" i="15" s="1"/>
  <c r="H21" i="21" s="1"/>
  <c r="K391" i="15"/>
  <c r="K396" i="15"/>
  <c r="K395" i="15" s="1"/>
  <c r="K394" i="15" s="1"/>
  <c r="G111" i="4" s="1"/>
  <c r="G109" i="4" s="1"/>
  <c r="K401" i="15"/>
  <c r="K400" i="15" s="1"/>
  <c r="K399" i="15" s="1"/>
  <c r="K405" i="15"/>
  <c r="K412" i="15"/>
  <c r="K411" i="15" s="1"/>
  <c r="K410" i="15" s="1"/>
  <c r="K409" i="15" s="1"/>
  <c r="G54" i="4" s="1"/>
  <c r="K417" i="15"/>
  <c r="K416" i="15" s="1"/>
  <c r="H71" i="21" s="1"/>
  <c r="K418" i="15"/>
  <c r="K422" i="15"/>
  <c r="K424" i="15"/>
  <c r="K427" i="15"/>
  <c r="K426" i="15" s="1"/>
  <c r="K433" i="15"/>
  <c r="K432" i="15" s="1"/>
  <c r="K431" i="15" s="1"/>
  <c r="K430" i="15" s="1"/>
  <c r="K429" i="15" s="1"/>
  <c r="G61" i="4" s="1"/>
  <c r="K437" i="15"/>
  <c r="K441" i="15"/>
  <c r="K449" i="15"/>
  <c r="K448" i="15" s="1"/>
  <c r="K447" i="15" s="1"/>
  <c r="K446" i="15" s="1"/>
  <c r="K445" i="15" s="1"/>
  <c r="K454" i="15"/>
  <c r="K453" i="15" s="1"/>
  <c r="H112" i="21" s="1"/>
  <c r="K457" i="15"/>
  <c r="K456" i="15" s="1"/>
  <c r="H113" i="21" s="1"/>
  <c r="K466" i="15"/>
  <c r="K468" i="15"/>
  <c r="H13" i="15"/>
  <c r="H12" i="15" s="1"/>
  <c r="H11" i="15" s="1"/>
  <c r="H23" i="15"/>
  <c r="H22" i="15" s="1"/>
  <c r="H21" i="15" s="1"/>
  <c r="D20" i="4" s="1"/>
  <c r="H37" i="15"/>
  <c r="H40" i="15"/>
  <c r="H47" i="15"/>
  <c r="H95" i="15"/>
  <c r="H88" i="15" s="1"/>
  <c r="H83" i="15" s="1"/>
  <c r="H106" i="15"/>
  <c r="H117" i="15"/>
  <c r="H119" i="15"/>
  <c r="H121" i="15"/>
  <c r="H123" i="15"/>
  <c r="H125" i="15"/>
  <c r="H131" i="15"/>
  <c r="H130" i="15" s="1"/>
  <c r="H129" i="15" s="1"/>
  <c r="H128" i="15" s="1"/>
  <c r="H127" i="15" s="1"/>
  <c r="H143" i="15"/>
  <c r="H145" i="15"/>
  <c r="H148" i="15"/>
  <c r="H151" i="15"/>
  <c r="H150" i="15" s="1"/>
  <c r="H157" i="15"/>
  <c r="H156" i="15" s="1"/>
  <c r="H155" i="15" s="1"/>
  <c r="H154" i="15" s="1"/>
  <c r="H162" i="15"/>
  <c r="H161" i="15" s="1"/>
  <c r="H177" i="15"/>
  <c r="H168" i="15" s="1"/>
  <c r="H191" i="15"/>
  <c r="H193" i="15"/>
  <c r="H195" i="15"/>
  <c r="H198" i="15"/>
  <c r="H204" i="15"/>
  <c r="H203" i="15" s="1"/>
  <c r="H211" i="15"/>
  <c r="H210" i="15" s="1"/>
  <c r="H209" i="15" s="1"/>
  <c r="H208" i="15" s="1"/>
  <c r="H207" i="15" s="1"/>
  <c r="D105" i="4" s="1"/>
  <c r="D103" i="4" s="1"/>
  <c r="H218" i="15"/>
  <c r="H217" i="15" s="1"/>
  <c r="H225" i="15"/>
  <c r="H224" i="15" s="1"/>
  <c r="H231" i="15"/>
  <c r="H234" i="15"/>
  <c r="H237" i="15"/>
  <c r="H240" i="15"/>
  <c r="H242" i="15"/>
  <c r="H248" i="15"/>
  <c r="I248" i="15" s="1"/>
  <c r="H254" i="15"/>
  <c r="I254" i="15" s="1"/>
  <c r="H260" i="15"/>
  <c r="I260" i="15" s="1"/>
  <c r="H263" i="15"/>
  <c r="I263" i="15" s="1"/>
  <c r="H269" i="15"/>
  <c r="I269" i="15" s="1"/>
  <c r="H282" i="15"/>
  <c r="I282" i="15" s="1"/>
  <c r="H285" i="15"/>
  <c r="I285" i="15" s="1"/>
  <c r="H295" i="15"/>
  <c r="H297" i="15"/>
  <c r="H299" i="15"/>
  <c r="H303" i="15"/>
  <c r="H307" i="15"/>
  <c r="H306" i="15" s="1"/>
  <c r="H313" i="15"/>
  <c r="H315" i="15"/>
  <c r="H320" i="15"/>
  <c r="H319" i="15" s="1"/>
  <c r="H329" i="15"/>
  <c r="H339" i="15"/>
  <c r="H338" i="15" s="1"/>
  <c r="H337" i="15" s="1"/>
  <c r="D26" i="4" s="1"/>
  <c r="D23" i="4" s="1"/>
  <c r="H343" i="15"/>
  <c r="H342" i="15" s="1"/>
  <c r="H341" i="15" s="1"/>
  <c r="D115" i="4" s="1"/>
  <c r="D114" i="4" s="1"/>
  <c r="H347" i="15"/>
  <c r="H349" i="15"/>
  <c r="H351" i="15"/>
  <c r="H358" i="15"/>
  <c r="H357" i="15" s="1"/>
  <c r="H364" i="15"/>
  <c r="H366" i="15"/>
  <c r="H368" i="15"/>
  <c r="H374" i="15"/>
  <c r="H373" i="15" s="1"/>
  <c r="H377" i="15"/>
  <c r="H376" i="15" s="1"/>
  <c r="H391" i="15"/>
  <c r="H396" i="15"/>
  <c r="H395" i="15" s="1"/>
  <c r="H394" i="15" s="1"/>
  <c r="D111" i="4" s="1"/>
  <c r="D109" i="4" s="1"/>
  <c r="H401" i="15"/>
  <c r="H400" i="15" s="1"/>
  <c r="H399" i="15" s="1"/>
  <c r="H405" i="15"/>
  <c r="H412" i="15"/>
  <c r="H411" i="15" s="1"/>
  <c r="H410" i="15" s="1"/>
  <c r="H409" i="15" s="1"/>
  <c r="D54" i="4" s="1"/>
  <c r="H417" i="15"/>
  <c r="H416" i="15" s="1"/>
  <c r="H418" i="15"/>
  <c r="H422" i="15"/>
  <c r="H424" i="15"/>
  <c r="H427" i="15"/>
  <c r="H426" i="15" s="1"/>
  <c r="H433" i="15"/>
  <c r="H432" i="15" s="1"/>
  <c r="H431" i="15" s="1"/>
  <c r="H430" i="15" s="1"/>
  <c r="H429" i="15" s="1"/>
  <c r="D61" i="4" s="1"/>
  <c r="H437" i="15"/>
  <c r="H441" i="15"/>
  <c r="H449" i="15"/>
  <c r="H448" i="15" s="1"/>
  <c r="H447" i="15" s="1"/>
  <c r="H446" i="15" s="1"/>
  <c r="H445" i="15" s="1"/>
  <c r="H454" i="15"/>
  <c r="H453" i="15" s="1"/>
  <c r="H457" i="15"/>
  <c r="H456" i="15" s="1"/>
  <c r="H466" i="15"/>
  <c r="H468" i="15"/>
  <c r="H13" i="14"/>
  <c r="I21" i="14"/>
  <c r="H26" i="14"/>
  <c r="I26" i="14" s="1"/>
  <c r="H28" i="14"/>
  <c r="I28" i="14" s="1"/>
  <c r="H33" i="14"/>
  <c r="H37" i="14"/>
  <c r="H43" i="14"/>
  <c r="H47" i="14"/>
  <c r="H54" i="14"/>
  <c r="H71" i="14"/>
  <c r="H82" i="14"/>
  <c r="E134" i="16"/>
  <c r="H85" i="14"/>
  <c r="I85" i="14" s="1"/>
  <c r="H98" i="14"/>
  <c r="I98" i="14" s="1"/>
  <c r="H103" i="14"/>
  <c r="I103" i="14" s="1"/>
  <c r="H106" i="14"/>
  <c r="H109" i="14"/>
  <c r="I109" i="14" s="1"/>
  <c r="H146" i="14"/>
  <c r="E84" i="16"/>
  <c r="H224" i="14"/>
  <c r="I224" i="14" s="1"/>
  <c r="H228" i="14"/>
  <c r="H294" i="14"/>
  <c r="H301" i="14"/>
  <c r="I301" i="14" s="1"/>
  <c r="H340" i="14"/>
  <c r="H344" i="14"/>
  <c r="H347" i="14"/>
  <c r="H350" i="14"/>
  <c r="H354" i="14"/>
  <c r="I354" i="14" s="1"/>
  <c r="H356" i="14"/>
  <c r="I356" i="14" s="1"/>
  <c r="H360" i="14"/>
  <c r="I360" i="14" s="1"/>
  <c r="H363" i="14"/>
  <c r="I363" i="14" s="1"/>
  <c r="H369" i="14"/>
  <c r="I369" i="14" s="1"/>
  <c r="H375" i="14"/>
  <c r="H393" i="14"/>
  <c r="H386" i="14" s="1"/>
  <c r="I386" i="14" s="1"/>
  <c r="H407" i="14"/>
  <c r="H410" i="14"/>
  <c r="H413" i="14"/>
  <c r="H419" i="14"/>
  <c r="H421" i="14"/>
  <c r="H423" i="14"/>
  <c r="I423" i="14" s="1"/>
  <c r="H425" i="14"/>
  <c r="I425" i="14" s="1"/>
  <c r="H427" i="14"/>
  <c r="I427" i="14" s="1"/>
  <c r="H438" i="14"/>
  <c r="H443" i="14"/>
  <c r="H446" i="14"/>
  <c r="H452" i="14"/>
  <c r="I452" i="14" s="1"/>
  <c r="H481" i="14"/>
  <c r="I481" i="14" s="1"/>
  <c r="H483" i="14"/>
  <c r="I483" i="14" s="1"/>
  <c r="H485" i="14"/>
  <c r="I485" i="14" s="1"/>
  <c r="H487" i="14"/>
  <c r="I487" i="14" s="1"/>
  <c r="H490" i="14"/>
  <c r="I490" i="14" s="1"/>
  <c r="H493" i="14"/>
  <c r="H499" i="14"/>
  <c r="H498" i="14" s="1"/>
  <c r="H505" i="14"/>
  <c r="I505" i="14" s="1"/>
  <c r="H507" i="14"/>
  <c r="I507" i="14" s="1"/>
  <c r="H511" i="14"/>
  <c r="I511" i="14" s="1"/>
  <c r="H512" i="14"/>
  <c r="I512" i="14" s="1"/>
  <c r="H518" i="14"/>
  <c r="I518" i="14" s="1"/>
  <c r="H520" i="14"/>
  <c r="I520" i="14" s="1"/>
  <c r="H523" i="14"/>
  <c r="H527" i="14"/>
  <c r="H532" i="14"/>
  <c r="I532" i="14" s="1"/>
  <c r="H536" i="14"/>
  <c r="I536" i="14" s="1"/>
  <c r="H538" i="14"/>
  <c r="I538" i="14" s="1"/>
  <c r="H543" i="14"/>
  <c r="I543" i="14" s="1"/>
  <c r="H546" i="14"/>
  <c r="I546" i="14" s="1"/>
  <c r="H552" i="14"/>
  <c r="H557" i="14"/>
  <c r="H565" i="14"/>
  <c r="H568" i="14"/>
  <c r="H572" i="14"/>
  <c r="H588" i="14"/>
  <c r="I588" i="14" s="1"/>
  <c r="H593" i="14"/>
  <c r="I593" i="14" s="1"/>
  <c r="H596" i="14"/>
  <c r="I596" i="14" s="1"/>
  <c r="H602" i="14"/>
  <c r="H609" i="14"/>
  <c r="H608" i="14" s="1"/>
  <c r="H615" i="14"/>
  <c r="H620" i="14"/>
  <c r="H619" i="14" s="1"/>
  <c r="H627" i="14"/>
  <c r="H642" i="14"/>
  <c r="H641" i="14" s="1"/>
  <c r="H652" i="14"/>
  <c r="H658" i="14"/>
  <c r="I658" i="14" s="1"/>
  <c r="H661" i="14"/>
  <c r="I661" i="14" s="1"/>
  <c r="H664" i="14"/>
  <c r="I664" i="14" s="1"/>
  <c r="H666" i="14"/>
  <c r="I666" i="14" s="1"/>
  <c r="H669" i="14"/>
  <c r="I669" i="14" s="1"/>
  <c r="H671" i="14"/>
  <c r="I671" i="14" s="1"/>
  <c r="H673" i="14"/>
  <c r="I673" i="14" s="1"/>
  <c r="H679" i="14"/>
  <c r="I679" i="14" s="1"/>
  <c r="H685" i="14"/>
  <c r="I685" i="14" s="1"/>
  <c r="H691" i="14"/>
  <c r="I691" i="14" s="1"/>
  <c r="H697" i="14"/>
  <c r="I697" i="14" s="1"/>
  <c r="H700" i="14"/>
  <c r="I700" i="14" s="1"/>
  <c r="H715" i="14"/>
  <c r="H712" i="14" s="1"/>
  <c r="H730" i="14"/>
  <c r="I730" i="14" s="1"/>
  <c r="H732" i="14"/>
  <c r="I732" i="14" s="1"/>
  <c r="H734" i="14"/>
  <c r="I734" i="14" s="1"/>
  <c r="H736" i="14"/>
  <c r="I736" i="14" s="1"/>
  <c r="H738" i="14"/>
  <c r="I738" i="14" s="1"/>
  <c r="H743" i="14"/>
  <c r="H747" i="14"/>
  <c r="I747" i="14" s="1"/>
  <c r="H749" i="14"/>
  <c r="I749" i="14" s="1"/>
  <c r="H755" i="14"/>
  <c r="I760" i="14"/>
  <c r="H764" i="14"/>
  <c r="I764" i="14" s="1"/>
  <c r="H766" i="14"/>
  <c r="I766" i="14" s="1"/>
  <c r="H771" i="14"/>
  <c r="I784" i="14"/>
  <c r="H789" i="14"/>
  <c r="I789" i="14" s="1"/>
  <c r="H796" i="14"/>
  <c r="H800" i="14"/>
  <c r="H804" i="14"/>
  <c r="H807" i="14"/>
  <c r="H817" i="14"/>
  <c r="H821" i="14"/>
  <c r="H825" i="14"/>
  <c r="I825" i="14" s="1"/>
  <c r="H827" i="14"/>
  <c r="I827" i="14" s="1"/>
  <c r="H866" i="14"/>
  <c r="I866" i="14" s="1"/>
  <c r="H868" i="14"/>
  <c r="I868" i="14" s="1"/>
  <c r="H870" i="14"/>
  <c r="I870" i="14" s="1"/>
  <c r="H875" i="14"/>
  <c r="H881" i="14"/>
  <c r="H883" i="14"/>
  <c r="I883" i="14" s="1"/>
  <c r="H885" i="14"/>
  <c r="I885" i="14" s="1"/>
  <c r="H887" i="14"/>
  <c r="I887" i="14" s="1"/>
  <c r="H889" i="14"/>
  <c r="I889" i="14" s="1"/>
  <c r="H896" i="14"/>
  <c r="I896" i="14" s="1"/>
  <c r="H898" i="14"/>
  <c r="I898" i="14" s="1"/>
  <c r="H902" i="14"/>
  <c r="H901" i="14" s="1"/>
  <c r="H908" i="14"/>
  <c r="H912" i="14"/>
  <c r="H922" i="14"/>
  <c r="I922" i="14" s="1"/>
  <c r="H927" i="14"/>
  <c r="I927" i="14" s="1"/>
  <c r="H929" i="14"/>
  <c r="H931" i="14"/>
  <c r="I931" i="14" s="1"/>
  <c r="H938" i="14"/>
  <c r="H942" i="14"/>
  <c r="I942" i="14" s="1"/>
  <c r="H953" i="14"/>
  <c r="H956" i="14"/>
  <c r="H960" i="14"/>
  <c r="H966" i="14"/>
  <c r="H970" i="14"/>
  <c r="H974" i="14"/>
  <c r="I974" i="14" s="1"/>
  <c r="H978" i="14"/>
  <c r="I978" i="14" s="1"/>
  <c r="H982" i="14"/>
  <c r="I982" i="14" s="1"/>
  <c r="H991" i="14"/>
  <c r="H996" i="14"/>
  <c r="H1000" i="14"/>
  <c r="H1004" i="14"/>
  <c r="H1008" i="14"/>
  <c r="H1012" i="14"/>
  <c r="H1019" i="14"/>
  <c r="H1023" i="14"/>
  <c r="H1022" i="14" s="1"/>
  <c r="H1036" i="14"/>
  <c r="I1036" i="14" s="1"/>
  <c r="H1038" i="14"/>
  <c r="I1038" i="14" s="1"/>
  <c r="H1043" i="14"/>
  <c r="I1043" i="14" s="1"/>
  <c r="E69" i="16"/>
  <c r="H1084" i="14"/>
  <c r="H1083" i="14" s="1"/>
  <c r="I1090" i="14"/>
  <c r="H1101" i="14"/>
  <c r="I1101" i="14" s="1"/>
  <c r="H1117" i="14"/>
  <c r="I1117" i="14" s="1"/>
  <c r="I1119" i="14"/>
  <c r="I1122" i="14"/>
  <c r="H1126" i="14"/>
  <c r="H1140" i="14"/>
  <c r="H1144" i="14"/>
  <c r="H1154" i="14"/>
  <c r="H1158" i="14"/>
  <c r="I1158" i="14" s="1"/>
  <c r="H1164" i="14"/>
  <c r="H1168" i="14"/>
  <c r="H1174" i="14"/>
  <c r="H1180" i="14"/>
  <c r="H1186" i="14"/>
  <c r="I1186" i="14" s="1"/>
  <c r="H1188" i="14"/>
  <c r="I1188" i="14" s="1"/>
  <c r="H1198" i="14"/>
  <c r="H1201" i="14"/>
  <c r="H1207" i="14"/>
  <c r="I1212" i="14"/>
  <c r="H1217" i="14"/>
  <c r="I1217" i="14" s="1"/>
  <c r="H1219" i="14"/>
  <c r="I1219" i="14" s="1"/>
  <c r="H12" i="6"/>
  <c r="H14" i="6"/>
  <c r="H17" i="6"/>
  <c r="H23" i="6"/>
  <c r="E12" i="6"/>
  <c r="E14" i="6"/>
  <c r="E23" i="6"/>
  <c r="G11" i="6"/>
  <c r="G13" i="6"/>
  <c r="G16" i="6"/>
  <c r="G22" i="6"/>
  <c r="G21" i="6" s="1"/>
  <c r="D11" i="6"/>
  <c r="D13" i="6"/>
  <c r="D16" i="6"/>
  <c r="D15" i="6" s="1"/>
  <c r="D22" i="6"/>
  <c r="D21" i="6" s="1"/>
  <c r="E14" i="5"/>
  <c r="E17" i="5"/>
  <c r="E25" i="5"/>
  <c r="D11" i="5"/>
  <c r="D13" i="5"/>
  <c r="D16" i="5"/>
  <c r="D18" i="5"/>
  <c r="D24" i="5"/>
  <c r="D23" i="5" s="1"/>
  <c r="D10" i="3"/>
  <c r="E10" i="3"/>
  <c r="D12" i="3"/>
  <c r="E12" i="3"/>
  <c r="D16" i="3"/>
  <c r="E16" i="3"/>
  <c r="D17" i="3"/>
  <c r="E17" i="3"/>
  <c r="D18" i="3"/>
  <c r="E18" i="3"/>
  <c r="D19" i="3"/>
  <c r="E19" i="3"/>
  <c r="D21" i="3"/>
  <c r="E21" i="3"/>
  <c r="D24" i="3"/>
  <c r="E24" i="3"/>
  <c r="D25" i="3"/>
  <c r="E25" i="3"/>
  <c r="D27" i="3"/>
  <c r="E27" i="3"/>
  <c r="D28" i="3"/>
  <c r="E28" i="3"/>
  <c r="D29" i="3"/>
  <c r="E29" i="3"/>
  <c r="D30" i="3"/>
  <c r="E30" i="3"/>
  <c r="D31" i="3"/>
  <c r="E31" i="3"/>
  <c r="D32" i="3"/>
  <c r="E32" i="3"/>
  <c r="D34" i="3"/>
  <c r="E34" i="3"/>
  <c r="D35" i="3"/>
  <c r="E35" i="3"/>
  <c r="D36" i="3"/>
  <c r="E36" i="3"/>
  <c r="D37" i="3"/>
  <c r="E37" i="3"/>
  <c r="D38" i="3"/>
  <c r="E38" i="3"/>
  <c r="D39" i="3"/>
  <c r="E39" i="3"/>
  <c r="E42" i="3"/>
  <c r="E43" i="3"/>
  <c r="E44" i="3"/>
  <c r="D47" i="3"/>
  <c r="E47" i="3"/>
  <c r="D49" i="3"/>
  <c r="E49" i="3"/>
  <c r="D50" i="3"/>
  <c r="E50" i="3"/>
  <c r="D53" i="3"/>
  <c r="E53" i="3"/>
  <c r="D56" i="3"/>
  <c r="E56" i="3"/>
  <c r="D57" i="3"/>
  <c r="E57" i="3"/>
  <c r="D63" i="3"/>
  <c r="E63" i="3"/>
  <c r="D66" i="3"/>
  <c r="E66" i="3"/>
  <c r="D67" i="3"/>
  <c r="E67" i="3"/>
  <c r="D68" i="3"/>
  <c r="E68" i="3"/>
  <c r="D69" i="3"/>
  <c r="E69" i="3"/>
  <c r="D75" i="3"/>
  <c r="D77" i="3"/>
  <c r="E77" i="3"/>
  <c r="D79" i="3"/>
  <c r="E79" i="3"/>
  <c r="D83" i="3"/>
  <c r="E83" i="3"/>
  <c r="D84" i="3"/>
  <c r="E84" i="3"/>
  <c r="D87" i="3"/>
  <c r="E87" i="3"/>
  <c r="D88" i="3"/>
  <c r="E88" i="3"/>
  <c r="D89" i="3"/>
  <c r="E89" i="3"/>
  <c r="D90" i="3"/>
  <c r="E90" i="3"/>
  <c r="D91" i="3"/>
  <c r="E91" i="3"/>
  <c r="D92" i="3"/>
  <c r="E92" i="3"/>
  <c r="D93" i="3"/>
  <c r="E93" i="3"/>
  <c r="D94" i="3"/>
  <c r="E94" i="3"/>
  <c r="D95" i="3"/>
  <c r="E95" i="3"/>
  <c r="D101" i="3"/>
  <c r="E101" i="3"/>
  <c r="D104" i="3"/>
  <c r="E104" i="3"/>
  <c r="D106" i="3"/>
  <c r="E106" i="3"/>
  <c r="D107" i="3"/>
  <c r="E107" i="3"/>
  <c r="D108" i="3"/>
  <c r="E108" i="3"/>
  <c r="D110" i="3"/>
  <c r="E110" i="3"/>
  <c r="D112" i="3"/>
  <c r="E112" i="3"/>
  <c r="D113" i="3"/>
  <c r="E113" i="3"/>
  <c r="D116" i="3"/>
  <c r="E116" i="3"/>
  <c r="D120" i="3"/>
  <c r="E120" i="3"/>
  <c r="O15" i="2"/>
  <c r="O17" i="2"/>
  <c r="O18" i="2"/>
  <c r="O19" i="2"/>
  <c r="O21" i="2"/>
  <c r="O22" i="2"/>
  <c r="O23" i="2"/>
  <c r="O26" i="2"/>
  <c r="O29" i="2"/>
  <c r="O31" i="2"/>
  <c r="O32" i="2"/>
  <c r="O34" i="2"/>
  <c r="O36" i="2"/>
  <c r="O37" i="2"/>
  <c r="O38" i="2"/>
  <c r="O39" i="2"/>
  <c r="O40" i="2"/>
  <c r="O41" i="2"/>
  <c r="O45" i="2"/>
  <c r="O46" i="2"/>
  <c r="O47" i="2"/>
  <c r="O48" i="2"/>
  <c r="O50" i="2"/>
  <c r="O51" i="2"/>
  <c r="O52" i="2"/>
  <c r="O53" i="2"/>
  <c r="O54" i="2"/>
  <c r="O88" i="2"/>
  <c r="O87" i="2"/>
  <c r="O85" i="2"/>
  <c r="O63" i="2"/>
  <c r="O64" i="2"/>
  <c r="O71" i="2"/>
  <c r="O72" i="2"/>
  <c r="O73" i="2"/>
  <c r="O74" i="2"/>
  <c r="O56" i="2"/>
  <c r="O76" i="2"/>
  <c r="O77" i="2"/>
  <c r="O78" i="2"/>
  <c r="O79" i="2"/>
  <c r="O90" i="2"/>
  <c r="O91" i="2"/>
  <c r="O92" i="2"/>
  <c r="O93" i="2"/>
  <c r="O96" i="2"/>
  <c r="O13" i="2"/>
  <c r="L15" i="2"/>
  <c r="L17" i="2"/>
  <c r="L18" i="2"/>
  <c r="L19" i="2"/>
  <c r="L21" i="2"/>
  <c r="L22" i="2"/>
  <c r="L23" i="2"/>
  <c r="L26" i="2"/>
  <c r="L28" i="2"/>
  <c r="O28" i="2" s="1"/>
  <c r="L29" i="2"/>
  <c r="L31" i="2"/>
  <c r="L32" i="2"/>
  <c r="L34" i="2"/>
  <c r="L36" i="2"/>
  <c r="L37" i="2"/>
  <c r="L38" i="2"/>
  <c r="L39" i="2"/>
  <c r="L40" i="2"/>
  <c r="L41" i="2"/>
  <c r="L45" i="2"/>
  <c r="L46" i="2"/>
  <c r="L47" i="2"/>
  <c r="L48" i="2"/>
  <c r="L50" i="2"/>
  <c r="L51" i="2"/>
  <c r="L52" i="2"/>
  <c r="L53" i="2"/>
  <c r="L54" i="2"/>
  <c r="L88" i="2"/>
  <c r="L87" i="2"/>
  <c r="L85" i="2"/>
  <c r="L71" i="2"/>
  <c r="L72" i="2"/>
  <c r="L73" i="2"/>
  <c r="L74" i="2"/>
  <c r="L56" i="2"/>
  <c r="L76" i="2"/>
  <c r="L77" i="2"/>
  <c r="L78" i="2"/>
  <c r="L79" i="2"/>
  <c r="L90" i="2"/>
  <c r="L91" i="2"/>
  <c r="L92" i="2"/>
  <c r="L93" i="2"/>
  <c r="L96" i="2"/>
  <c r="L13" i="2"/>
  <c r="N12" i="2"/>
  <c r="N14" i="2"/>
  <c r="N16" i="2"/>
  <c r="N20" i="2"/>
  <c r="N24" i="2"/>
  <c r="N30" i="2"/>
  <c r="N33" i="2"/>
  <c r="N35" i="2"/>
  <c r="N44" i="2"/>
  <c r="N49" i="2"/>
  <c r="N95" i="2"/>
  <c r="K12" i="2"/>
  <c r="K14" i="2"/>
  <c r="K16" i="2"/>
  <c r="K20" i="2"/>
  <c r="K24" i="2"/>
  <c r="K30" i="2"/>
  <c r="K33" i="2"/>
  <c r="K35" i="2"/>
  <c r="K44" i="2"/>
  <c r="K49" i="2"/>
  <c r="K95" i="2"/>
  <c r="L15" i="1"/>
  <c r="L17" i="1"/>
  <c r="L18" i="1"/>
  <c r="L19" i="1"/>
  <c r="L21" i="1"/>
  <c r="L22" i="1"/>
  <c r="L23" i="1"/>
  <c r="L26" i="1"/>
  <c r="L28" i="1"/>
  <c r="L29" i="1"/>
  <c r="L31" i="1"/>
  <c r="L34" i="1"/>
  <c r="L37" i="1"/>
  <c r="L39" i="1"/>
  <c r="L40" i="1"/>
  <c r="L41" i="1"/>
  <c r="L42" i="1"/>
  <c r="L43" i="1"/>
  <c r="L47" i="1"/>
  <c r="L48" i="1"/>
  <c r="L49" i="1"/>
  <c r="L54" i="1"/>
  <c r="L52" i="1"/>
  <c r="L62" i="1"/>
  <c r="L107" i="1"/>
  <c r="L106" i="1"/>
  <c r="L108" i="1"/>
  <c r="L84" i="1"/>
  <c r="L86" i="1"/>
  <c r="L77" i="1"/>
  <c r="L78" i="1"/>
  <c r="L95" i="1"/>
  <c r="L96" i="1"/>
  <c r="L97" i="1"/>
  <c r="L98" i="1"/>
  <c r="L88" i="1"/>
  <c r="L90" i="1"/>
  <c r="L91" i="1"/>
  <c r="L92" i="1"/>
  <c r="L83" i="1"/>
  <c r="L81" i="1"/>
  <c r="L85" i="1"/>
  <c r="L82" i="1"/>
  <c r="L89" i="1"/>
  <c r="L80" i="1"/>
  <c r="L99" i="1"/>
  <c r="L87" i="1"/>
  <c r="L79" i="1"/>
  <c r="L94" i="1"/>
  <c r="L93" i="1"/>
  <c r="L109" i="1"/>
  <c r="L112" i="1"/>
  <c r="L110" i="1"/>
  <c r="L111" i="1"/>
  <c r="L105" i="1"/>
  <c r="L116" i="1"/>
  <c r="L117" i="1"/>
  <c r="L118" i="1"/>
  <c r="L120" i="1"/>
  <c r="L121" i="1"/>
  <c r="L122" i="1"/>
  <c r="L123" i="1"/>
  <c r="L125" i="1"/>
  <c r="L126" i="1"/>
  <c r="L127" i="1"/>
  <c r="L128" i="1"/>
  <c r="L129" i="1"/>
  <c r="L130" i="1"/>
  <c r="L132" i="1"/>
  <c r="L133" i="1"/>
  <c r="L134" i="1"/>
  <c r="L135" i="1"/>
  <c r="L136" i="1"/>
  <c r="L137" i="1"/>
  <c r="L138" i="1"/>
  <c r="L140" i="1"/>
  <c r="K12" i="1"/>
  <c r="K14" i="1"/>
  <c r="K16" i="1"/>
  <c r="K20" i="1"/>
  <c r="K25" i="1"/>
  <c r="K27" i="1"/>
  <c r="K36" i="1"/>
  <c r="D15" i="5" l="1"/>
  <c r="H937" i="14"/>
  <c r="E21" i="16" s="1"/>
  <c r="H921" i="14"/>
  <c r="I921" i="14" s="1"/>
  <c r="G11" i="4"/>
  <c r="I557" i="14"/>
  <c r="H555" i="14"/>
  <c r="H230" i="15"/>
  <c r="K230" i="15"/>
  <c r="I929" i="14"/>
  <c r="I1154" i="14"/>
  <c r="H1146" i="14"/>
  <c r="I938" i="14"/>
  <c r="I937" i="14" s="1"/>
  <c r="I350" i="14"/>
  <c r="H349" i="14"/>
  <c r="I349" i="14" s="1"/>
  <c r="I419" i="14"/>
  <c r="H418" i="14"/>
  <c r="H417" i="14" s="1"/>
  <c r="D47" i="47"/>
  <c r="I881" i="14"/>
  <c r="H880" i="14"/>
  <c r="I60" i="14"/>
  <c r="H57" i="14"/>
  <c r="H56" i="14" s="1"/>
  <c r="H84" i="14"/>
  <c r="I84" i="14" s="1"/>
  <c r="I393" i="14"/>
  <c r="I421" i="14"/>
  <c r="I743" i="14"/>
  <c r="H727" i="14"/>
  <c r="I727" i="14" s="1"/>
  <c r="I106" i="14"/>
  <c r="I1108" i="14"/>
  <c r="H1107" i="14"/>
  <c r="H1200" i="14"/>
  <c r="I1201" i="14"/>
  <c r="H1179" i="14"/>
  <c r="I1180" i="14"/>
  <c r="H1125" i="14"/>
  <c r="I1126" i="14"/>
  <c r="H1007" i="14"/>
  <c r="I1008" i="14"/>
  <c r="H969" i="14"/>
  <c r="I970" i="14"/>
  <c r="H952" i="14"/>
  <c r="I952" i="14" s="1"/>
  <c r="I953" i="14"/>
  <c r="H907" i="14"/>
  <c r="I908" i="14"/>
  <c r="H820" i="14"/>
  <c r="I821" i="14"/>
  <c r="H770" i="14"/>
  <c r="I771" i="14"/>
  <c r="H754" i="14"/>
  <c r="I755" i="14"/>
  <c r="H626" i="14"/>
  <c r="I626" i="14" s="1"/>
  <c r="I627" i="14"/>
  <c r="H564" i="14"/>
  <c r="I565" i="14"/>
  <c r="H445" i="14"/>
  <c r="I445" i="14" s="1"/>
  <c r="I446" i="14"/>
  <c r="H412" i="14"/>
  <c r="I412" i="14" s="1"/>
  <c r="I413" i="14"/>
  <c r="E86" i="16"/>
  <c r="I228" i="14"/>
  <c r="H81" i="14"/>
  <c r="E144" i="16" s="1"/>
  <c r="E143" i="16" s="1"/>
  <c r="I82" i="14"/>
  <c r="H46" i="14"/>
  <c r="I47" i="14"/>
  <c r="H1190" i="14"/>
  <c r="I1190" i="14" s="1"/>
  <c r="I1191" i="14"/>
  <c r="H1206" i="14"/>
  <c r="H1203" i="14" s="1"/>
  <c r="I1203" i="14" s="1"/>
  <c r="I1207" i="14"/>
  <c r="H1163" i="14"/>
  <c r="I1164" i="14"/>
  <c r="H1139" i="14"/>
  <c r="I1140" i="14"/>
  <c r="I1084" i="14"/>
  <c r="H1011" i="14"/>
  <c r="I1012" i="14"/>
  <c r="H995" i="14"/>
  <c r="I996" i="14"/>
  <c r="H955" i="14"/>
  <c r="I955" i="14" s="1"/>
  <c r="I956" i="14"/>
  <c r="H911" i="14"/>
  <c r="I912" i="14"/>
  <c r="H803" i="14"/>
  <c r="I803" i="14" s="1"/>
  <c r="I804" i="14"/>
  <c r="I642" i="14"/>
  <c r="I641" i="14" s="1"/>
  <c r="I609" i="14"/>
  <c r="H567" i="14"/>
  <c r="I567" i="14" s="1"/>
  <c r="I568" i="14"/>
  <c r="H346" i="14"/>
  <c r="I346" i="14" s="1"/>
  <c r="I347" i="14"/>
  <c r="H293" i="14"/>
  <c r="I294" i="14"/>
  <c r="E91" i="16"/>
  <c r="I148" i="14"/>
  <c r="H53" i="14"/>
  <c r="H49" i="14" s="1"/>
  <c r="I54" i="14"/>
  <c r="H32" i="14"/>
  <c r="I33" i="14"/>
  <c r="H12" i="14"/>
  <c r="I13" i="14"/>
  <c r="H990" i="14"/>
  <c r="I991" i="14"/>
  <c r="H799" i="14"/>
  <c r="I800" i="14"/>
  <c r="H601" i="14"/>
  <c r="I601" i="14" s="1"/>
  <c r="I602" i="14"/>
  <c r="H526" i="14"/>
  <c r="I526" i="14" s="1"/>
  <c r="I527" i="14"/>
  <c r="I499" i="14"/>
  <c r="H374" i="14"/>
  <c r="I375" i="14"/>
  <c r="H343" i="14"/>
  <c r="I343" i="14" s="1"/>
  <c r="I344" i="14"/>
  <c r="H145" i="14"/>
  <c r="I146" i="14"/>
  <c r="H1167" i="14"/>
  <c r="I1168" i="14"/>
  <c r="H1143" i="14"/>
  <c r="I1144" i="14"/>
  <c r="H1018" i="14"/>
  <c r="I1019" i="14"/>
  <c r="H999" i="14"/>
  <c r="I1000" i="14"/>
  <c r="H959" i="14"/>
  <c r="I960" i="14"/>
  <c r="H806" i="14"/>
  <c r="I806" i="14" s="1"/>
  <c r="I807" i="14"/>
  <c r="H651" i="14"/>
  <c r="H649" i="14" s="1"/>
  <c r="I652" i="14"/>
  <c r="H614" i="14"/>
  <c r="I615" i="14"/>
  <c r="H571" i="14"/>
  <c r="I571" i="14" s="1"/>
  <c r="I572" i="14"/>
  <c r="H551" i="14"/>
  <c r="I551" i="14" s="1"/>
  <c r="I552" i="14"/>
  <c r="H437" i="14"/>
  <c r="I437" i="14" s="1"/>
  <c r="I438" i="14"/>
  <c r="H406" i="14"/>
  <c r="I406" i="14" s="1"/>
  <c r="I407" i="14"/>
  <c r="H36" i="14"/>
  <c r="I37" i="14"/>
  <c r="H1197" i="14"/>
  <c r="I1198" i="14"/>
  <c r="H1173" i="14"/>
  <c r="I1173" i="14" s="1"/>
  <c r="I1174" i="14"/>
  <c r="I1023" i="14"/>
  <c r="H1003" i="14"/>
  <c r="I1004" i="14"/>
  <c r="H965" i="14"/>
  <c r="I966" i="14"/>
  <c r="I902" i="14"/>
  <c r="H874" i="14"/>
  <c r="I875" i="14"/>
  <c r="E120" i="16"/>
  <c r="H816" i="14"/>
  <c r="I817" i="14"/>
  <c r="H795" i="14"/>
  <c r="I796" i="14"/>
  <c r="I712" i="14"/>
  <c r="I715" i="14"/>
  <c r="I620" i="14"/>
  <c r="H522" i="14"/>
  <c r="I523" i="14"/>
  <c r="H492" i="14"/>
  <c r="I492" i="14" s="1"/>
  <c r="I493" i="14"/>
  <c r="H442" i="14"/>
  <c r="I442" i="14" s="1"/>
  <c r="I443" i="14"/>
  <c r="H409" i="14"/>
  <c r="I409" i="14" s="1"/>
  <c r="I410" i="14"/>
  <c r="H339" i="14"/>
  <c r="I340" i="14"/>
  <c r="I136" i="14"/>
  <c r="H70" i="14"/>
  <c r="I71" i="14"/>
  <c r="H41" i="14"/>
  <c r="I41" i="14" s="1"/>
  <c r="I43" i="14"/>
  <c r="H281" i="15"/>
  <c r="I281" i="15" s="1"/>
  <c r="K281" i="15"/>
  <c r="H973" i="14"/>
  <c r="I973" i="14" s="1"/>
  <c r="H783" i="14"/>
  <c r="H478" i="14"/>
  <c r="I478" i="14" s="1"/>
  <c r="H451" i="14"/>
  <c r="E29" i="16" s="1"/>
  <c r="H223" i="14"/>
  <c r="H1042" i="14"/>
  <c r="H368" i="14"/>
  <c r="K46" i="15"/>
  <c r="K45" i="15" s="1"/>
  <c r="H46" i="15"/>
  <c r="H45" i="15" s="1"/>
  <c r="H44" i="15" s="1"/>
  <c r="H43" i="15" s="1"/>
  <c r="H1089" i="14"/>
  <c r="H1100" i="14"/>
  <c r="K404" i="15"/>
  <c r="K403" i="15" s="1"/>
  <c r="H404" i="15"/>
  <c r="H403" i="15" s="1"/>
  <c r="H657" i="14"/>
  <c r="O55" i="2"/>
  <c r="L55" i="2"/>
  <c r="H294" i="15"/>
  <c r="K294" i="15"/>
  <c r="H160" i="15"/>
  <c r="K160" i="15"/>
  <c r="H102" i="15"/>
  <c r="H101" i="15" s="1"/>
  <c r="H100" i="15" s="1"/>
  <c r="H99" i="15" s="1"/>
  <c r="D72" i="4" s="1"/>
  <c r="K102" i="15"/>
  <c r="H26" i="15"/>
  <c r="H25" i="15" s="1"/>
  <c r="K26" i="15"/>
  <c r="K25" i="15" s="1"/>
  <c r="H60" i="21"/>
  <c r="D11" i="4"/>
  <c r="E133" i="16"/>
  <c r="H556" i="14"/>
  <c r="H824" i="14"/>
  <c r="D10" i="6"/>
  <c r="H39" i="21"/>
  <c r="H61" i="21"/>
  <c r="H59" i="21"/>
  <c r="H47" i="21"/>
  <c r="H41" i="21"/>
  <c r="H35" i="21"/>
  <c r="H29" i="21"/>
  <c r="H19" i="21"/>
  <c r="H17" i="21"/>
  <c r="E16" i="48"/>
  <c r="H114" i="21"/>
  <c r="H72" i="21"/>
  <c r="H62" i="21"/>
  <c r="H58" i="21"/>
  <c r="H54" i="21"/>
  <c r="H42" i="21"/>
  <c r="H36" i="21"/>
  <c r="H16" i="21"/>
  <c r="H16" i="48"/>
  <c r="E67" i="16"/>
  <c r="E94" i="16"/>
  <c r="E70" i="16"/>
  <c r="E54" i="16"/>
  <c r="E87" i="16"/>
  <c r="E131" i="16"/>
  <c r="H363" i="15"/>
  <c r="H362" i="15" s="1"/>
  <c r="K312" i="15"/>
  <c r="K311" i="15" s="1"/>
  <c r="K310" i="15" s="1"/>
  <c r="K309" i="15" s="1"/>
  <c r="G102" i="4" s="1"/>
  <c r="H82" i="15"/>
  <c r="H421" i="15"/>
  <c r="H420" i="15" s="1"/>
  <c r="H415" i="15" s="1"/>
  <c r="H414" i="15" s="1"/>
  <c r="K421" i="15"/>
  <c r="H31" i="21"/>
  <c r="K116" i="15"/>
  <c r="K436" i="15"/>
  <c r="K435" i="15" s="1"/>
  <c r="G64" i="4" s="1"/>
  <c r="G59" i="4" s="1"/>
  <c r="K363" i="15"/>
  <c r="H12" i="21" s="1"/>
  <c r="K346" i="15"/>
  <c r="K345" i="15" s="1"/>
  <c r="G118" i="4" s="1"/>
  <c r="G117" i="4" s="1"/>
  <c r="H40" i="21"/>
  <c r="K142" i="15"/>
  <c r="H190" i="15"/>
  <c r="H189" i="15" s="1"/>
  <c r="H188" i="15" s="1"/>
  <c r="H187" i="15" s="1"/>
  <c r="H372" i="15"/>
  <c r="H371" i="15" s="1"/>
  <c r="H370" i="15" s="1"/>
  <c r="D82" i="4" s="1"/>
  <c r="H382" i="15"/>
  <c r="H381" i="15" s="1"/>
  <c r="H452" i="15"/>
  <c r="H451" i="15" s="1"/>
  <c r="H436" i="15"/>
  <c r="H435" i="15" s="1"/>
  <c r="D64" i="4" s="1"/>
  <c r="D59" i="4" s="1"/>
  <c r="H15" i="15"/>
  <c r="D13" i="4" s="1"/>
  <c r="H137" i="21"/>
  <c r="H461" i="15"/>
  <c r="H460" i="15" s="1"/>
  <c r="H459" i="15" s="1"/>
  <c r="H346" i="15"/>
  <c r="H345" i="15" s="1"/>
  <c r="D118" i="4" s="1"/>
  <c r="D117" i="4" s="1"/>
  <c r="H312" i="15"/>
  <c r="H311" i="15" s="1"/>
  <c r="H310" i="15" s="1"/>
  <c r="H309" i="15" s="1"/>
  <c r="D102" i="4" s="1"/>
  <c r="K372" i="15"/>
  <c r="K371" i="15" s="1"/>
  <c r="K370" i="15" s="1"/>
  <c r="G82" i="4" s="1"/>
  <c r="K15" i="15"/>
  <c r="G13" i="4" s="1"/>
  <c r="K461" i="15"/>
  <c r="K460" i="15" s="1"/>
  <c r="H293" i="15"/>
  <c r="H292" i="15" s="1"/>
  <c r="H291" i="15" s="1"/>
  <c r="I291" i="15" s="1"/>
  <c r="H142" i="15"/>
  <c r="H141" i="15" s="1"/>
  <c r="H140" i="15" s="1"/>
  <c r="H139" i="15" s="1"/>
  <c r="H116" i="15"/>
  <c r="H115" i="15" s="1"/>
  <c r="K382" i="15"/>
  <c r="K381" i="15" s="1"/>
  <c r="K452" i="15"/>
  <c r="K451" i="15" s="1"/>
  <c r="K190" i="15"/>
  <c r="K216" i="15"/>
  <c r="K215" i="15"/>
  <c r="K355" i="15"/>
  <c r="K354" i="15" s="1"/>
  <c r="G74" i="4" s="1"/>
  <c r="K222" i="15"/>
  <c r="K221" i="15" s="1"/>
  <c r="G98" i="4" s="1"/>
  <c r="H356" i="15"/>
  <c r="H355" i="15"/>
  <c r="H354" i="15" s="1"/>
  <c r="D74" i="4" s="1"/>
  <c r="H216" i="15"/>
  <c r="H215" i="15"/>
  <c r="H214" i="15" s="1"/>
  <c r="D97" i="4" s="1"/>
  <c r="H223" i="15"/>
  <c r="H222" i="15"/>
  <c r="H221" i="15" s="1"/>
  <c r="D98" i="4" s="1"/>
  <c r="H504" i="14"/>
  <c r="I504" i="14" s="1"/>
  <c r="H517" i="14"/>
  <c r="I517" i="14" s="1"/>
  <c r="H20" i="14"/>
  <c r="H895" i="14"/>
  <c r="H746" i="14"/>
  <c r="I746" i="14" s="1"/>
  <c r="H1185" i="14"/>
  <c r="H1116" i="14"/>
  <c r="H1035" i="14"/>
  <c r="I1035" i="14" s="1"/>
  <c r="H865" i="14"/>
  <c r="I865" i="14" s="1"/>
  <c r="E132" i="16"/>
  <c r="H759" i="14"/>
  <c r="H1211" i="14"/>
  <c r="H1196" i="14"/>
  <c r="H1172" i="14"/>
  <c r="I1172" i="14" s="1"/>
  <c r="H531" i="14"/>
  <c r="I531" i="14" s="1"/>
  <c r="H583" i="14"/>
  <c r="I583" i="14" s="1"/>
  <c r="E86" i="3"/>
  <c r="D33" i="3"/>
  <c r="E33" i="3"/>
  <c r="H550" i="14"/>
  <c r="H436" i="14"/>
  <c r="I436" i="14" s="1"/>
  <c r="D86" i="3"/>
  <c r="G15" i="6"/>
  <c r="G10" i="6"/>
  <c r="D10" i="5"/>
  <c r="E86" i="4"/>
  <c r="E33" i="4"/>
  <c r="N43" i="2"/>
  <c r="N42" i="2" s="1"/>
  <c r="K43" i="2"/>
  <c r="K11" i="2"/>
  <c r="N11" i="2"/>
  <c r="K45" i="1"/>
  <c r="K44" i="1" s="1"/>
  <c r="K24" i="1"/>
  <c r="K11" i="1" s="1"/>
  <c r="A898" i="14"/>
  <c r="A895" i="14"/>
  <c r="A896" i="14"/>
  <c r="A897" i="14"/>
  <c r="A899" i="14"/>
  <c r="B13" i="21"/>
  <c r="E13" i="21"/>
  <c r="D13" i="21"/>
  <c r="B13" i="16"/>
  <c r="B49" i="21"/>
  <c r="B46" i="16"/>
  <c r="L317" i="15"/>
  <c r="I317" i="15"/>
  <c r="A319" i="15"/>
  <c r="A320" i="15"/>
  <c r="A321" i="15"/>
  <c r="A770" i="14"/>
  <c r="A771" i="14"/>
  <c r="A772" i="14"/>
  <c r="A942" i="14"/>
  <c r="A943" i="14"/>
  <c r="B131" i="16"/>
  <c r="A294" i="14"/>
  <c r="A409" i="15"/>
  <c r="A410" i="15"/>
  <c r="A411" i="15"/>
  <c r="A412" i="15"/>
  <c r="A413" i="15"/>
  <c r="H229" i="15" l="1"/>
  <c r="I229" i="15" s="1"/>
  <c r="H10" i="15"/>
  <c r="I10" i="15" s="1"/>
  <c r="H618" i="14"/>
  <c r="H617" i="14" s="1"/>
  <c r="I617" i="14" s="1"/>
  <c r="K293" i="15"/>
  <c r="L294" i="15"/>
  <c r="H48" i="21"/>
  <c r="L281" i="15"/>
  <c r="H40" i="14"/>
  <c r="H639" i="14"/>
  <c r="I639" i="14" s="1"/>
  <c r="I418" i="14"/>
  <c r="H640" i="14"/>
  <c r="I640" i="14" s="1"/>
  <c r="H91" i="21"/>
  <c r="E98" i="16"/>
  <c r="H1204" i="14"/>
  <c r="I1204" i="14" s="1"/>
  <c r="E106" i="16"/>
  <c r="E15" i="16"/>
  <c r="E49" i="16"/>
  <c r="H42" i="14"/>
  <c r="I42" i="14" s="1"/>
  <c r="H342" i="14"/>
  <c r="I342" i="14" s="1"/>
  <c r="H1171" i="14"/>
  <c r="I1171" i="14" s="1"/>
  <c r="H1170" i="14"/>
  <c r="I1170" i="14" s="1"/>
  <c r="H405" i="14"/>
  <c r="I405" i="14" s="1"/>
  <c r="H441" i="14"/>
  <c r="H440" i="14" s="1"/>
  <c r="I440" i="14" s="1"/>
  <c r="I657" i="14"/>
  <c r="H656" i="14"/>
  <c r="E51" i="16"/>
  <c r="E37" i="16"/>
  <c r="I40" i="14"/>
  <c r="H638" i="14"/>
  <c r="H1210" i="14"/>
  <c r="I1211" i="14"/>
  <c r="H648" i="14"/>
  <c r="I649" i="14"/>
  <c r="H1195" i="14"/>
  <c r="I1195" i="14" s="1"/>
  <c r="I1196" i="14"/>
  <c r="I1146" i="14"/>
  <c r="I57" i="14"/>
  <c r="H1099" i="14"/>
  <c r="I1100" i="14"/>
  <c r="E110" i="16"/>
  <c r="I1042" i="14"/>
  <c r="E39" i="16"/>
  <c r="I619" i="14"/>
  <c r="H794" i="14"/>
  <c r="E95" i="16" s="1"/>
  <c r="I795" i="14"/>
  <c r="D62" i="3"/>
  <c r="F120" i="16"/>
  <c r="H900" i="14"/>
  <c r="I900" i="14" s="1"/>
  <c r="I901" i="14"/>
  <c r="H1002" i="14"/>
  <c r="I1002" i="14" s="1"/>
  <c r="I1003" i="14"/>
  <c r="H35" i="14"/>
  <c r="I36" i="14"/>
  <c r="H650" i="14"/>
  <c r="I650" i="14" s="1"/>
  <c r="I651" i="14"/>
  <c r="H958" i="14"/>
  <c r="I958" i="14" s="1"/>
  <c r="I959" i="14"/>
  <c r="H1017" i="14"/>
  <c r="I1018" i="14"/>
  <c r="H1166" i="14"/>
  <c r="I1166" i="14" s="1"/>
  <c r="I1167" i="14"/>
  <c r="H497" i="14"/>
  <c r="I498" i="14"/>
  <c r="H989" i="14"/>
  <c r="I990" i="14"/>
  <c r="H31" i="14"/>
  <c r="I32" i="14"/>
  <c r="H1205" i="14"/>
  <c r="I1205" i="14" s="1"/>
  <c r="I1206" i="14"/>
  <c r="E46" i="16"/>
  <c r="I770" i="14"/>
  <c r="H906" i="14"/>
  <c r="I906" i="14" s="1"/>
  <c r="I907" i="14"/>
  <c r="H968" i="14"/>
  <c r="I968" i="14" s="1"/>
  <c r="I969" i="14"/>
  <c r="E65" i="16"/>
  <c r="I1125" i="14"/>
  <c r="E109" i="16"/>
  <c r="I1200" i="14"/>
  <c r="E13" i="16"/>
  <c r="I895" i="14"/>
  <c r="H607" i="14"/>
  <c r="I607" i="14" s="1"/>
  <c r="I608" i="14"/>
  <c r="H1010" i="14"/>
  <c r="I1011" i="14"/>
  <c r="H1138" i="14"/>
  <c r="I1138" i="14" s="1"/>
  <c r="I1139" i="14"/>
  <c r="H45" i="14"/>
  <c r="I46" i="14"/>
  <c r="E63" i="16"/>
  <c r="I1107" i="14"/>
  <c r="H1184" i="14"/>
  <c r="I1185" i="14"/>
  <c r="H823" i="14"/>
  <c r="I823" i="14" s="1"/>
  <c r="I824" i="14"/>
  <c r="H450" i="14"/>
  <c r="I451" i="14"/>
  <c r="H951" i="14"/>
  <c r="H802" i="14"/>
  <c r="E57" i="16"/>
  <c r="E55" i="16"/>
  <c r="E44" i="16"/>
  <c r="E100" i="16"/>
  <c r="I550" i="14"/>
  <c r="E12" i="16"/>
  <c r="I880" i="14"/>
  <c r="H758" i="14"/>
  <c r="I759" i="14"/>
  <c r="E64" i="16"/>
  <c r="I1116" i="14"/>
  <c r="H15" i="14"/>
  <c r="I15" i="14" s="1"/>
  <c r="I20" i="14"/>
  <c r="H554" i="14"/>
  <c r="I554" i="14" s="1"/>
  <c r="I555" i="14"/>
  <c r="H1088" i="14"/>
  <c r="I1088" i="14" s="1"/>
  <c r="I1089" i="14"/>
  <c r="H367" i="14"/>
  <c r="I367" i="14" s="1"/>
  <c r="I368" i="14"/>
  <c r="H69" i="14"/>
  <c r="I70" i="14"/>
  <c r="H338" i="14"/>
  <c r="I338" i="14" s="1"/>
  <c r="I339" i="14"/>
  <c r="E31" i="16"/>
  <c r="I522" i="14"/>
  <c r="H815" i="14"/>
  <c r="I816" i="14"/>
  <c r="H873" i="14"/>
  <c r="I874" i="14"/>
  <c r="H964" i="14"/>
  <c r="I964" i="14" s="1"/>
  <c r="I965" i="14"/>
  <c r="H1021" i="14"/>
  <c r="I1022" i="14"/>
  <c r="E108" i="16"/>
  <c r="I1197" i="14"/>
  <c r="H613" i="14"/>
  <c r="I613" i="14" s="1"/>
  <c r="I614" i="14"/>
  <c r="H998" i="14"/>
  <c r="I998" i="14" s="1"/>
  <c r="I999" i="14"/>
  <c r="H1142" i="14"/>
  <c r="I1142" i="14" s="1"/>
  <c r="I1143" i="14"/>
  <c r="E90" i="16"/>
  <c r="I145" i="14"/>
  <c r="H373" i="14"/>
  <c r="I374" i="14"/>
  <c r="H798" i="14"/>
  <c r="I798" i="14" s="1"/>
  <c r="I799" i="14"/>
  <c r="H11" i="14"/>
  <c r="D11" i="3" s="1"/>
  <c r="I12" i="14"/>
  <c r="I49" i="14"/>
  <c r="I53" i="14"/>
  <c r="H292" i="14"/>
  <c r="I293" i="14"/>
  <c r="H910" i="14"/>
  <c r="I911" i="14"/>
  <c r="H994" i="14"/>
  <c r="I995" i="14"/>
  <c r="H1082" i="14"/>
  <c r="I1082" i="14" s="1"/>
  <c r="I1083" i="14"/>
  <c r="H1162" i="14"/>
  <c r="I1163" i="14"/>
  <c r="H80" i="14"/>
  <c r="I80" i="14" s="1"/>
  <c r="I81" i="14"/>
  <c r="H563" i="14"/>
  <c r="I563" i="14" s="1"/>
  <c r="I564" i="14"/>
  <c r="H753" i="14"/>
  <c r="I754" i="14"/>
  <c r="H819" i="14"/>
  <c r="I820" i="14"/>
  <c r="H1006" i="14"/>
  <c r="I1006" i="14" s="1"/>
  <c r="I1007" i="14"/>
  <c r="H1178" i="14"/>
  <c r="I1179" i="14"/>
  <c r="E40" i="16"/>
  <c r="E101" i="16"/>
  <c r="H135" i="14"/>
  <c r="E48" i="16"/>
  <c r="I556" i="14"/>
  <c r="H1029" i="14"/>
  <c r="I1029" i="14" s="1"/>
  <c r="I1030" i="14"/>
  <c r="H219" i="14"/>
  <c r="I219" i="14" s="1"/>
  <c r="I223" i="14"/>
  <c r="H782" i="14"/>
  <c r="I783" i="14"/>
  <c r="E34" i="16"/>
  <c r="E60" i="16"/>
  <c r="H726" i="14"/>
  <c r="E58" i="16"/>
  <c r="E85" i="16"/>
  <c r="H1041" i="14"/>
  <c r="E107" i="16" s="1"/>
  <c r="K44" i="15"/>
  <c r="H90" i="21"/>
  <c r="D51" i="4"/>
  <c r="H322" i="15"/>
  <c r="E30" i="16"/>
  <c r="H510" i="14"/>
  <c r="D22" i="4"/>
  <c r="H114" i="15"/>
  <c r="H113" i="15" s="1"/>
  <c r="D73" i="4" s="1"/>
  <c r="E103" i="16"/>
  <c r="H46" i="21"/>
  <c r="H361" i="15"/>
  <c r="H360" i="15" s="1"/>
  <c r="D78" i="4" s="1"/>
  <c r="E45" i="16"/>
  <c r="H380" i="15"/>
  <c r="H379" i="15" s="1"/>
  <c r="D85" i="4" s="1"/>
  <c r="D81" i="4" s="1"/>
  <c r="K362" i="15"/>
  <c r="H11" i="21" s="1"/>
  <c r="H136" i="21"/>
  <c r="K361" i="15"/>
  <c r="K360" i="15" s="1"/>
  <c r="K322" i="15"/>
  <c r="K82" i="15"/>
  <c r="G22" i="4"/>
  <c r="K459" i="15"/>
  <c r="G15" i="4"/>
  <c r="D15" i="4"/>
  <c r="H398" i="15"/>
  <c r="D55" i="4"/>
  <c r="K214" i="15"/>
  <c r="G97" i="4" s="1"/>
  <c r="K189" i="15"/>
  <c r="K188" i="15" s="1"/>
  <c r="K187" i="15" s="1"/>
  <c r="H32" i="21"/>
  <c r="K141" i="15"/>
  <c r="K140" i="15" s="1"/>
  <c r="K139" i="15" s="1"/>
  <c r="G78" i="4" s="1"/>
  <c r="H38" i="21"/>
  <c r="K420" i="15"/>
  <c r="H74" i="21"/>
  <c r="H140" i="21"/>
  <c r="K380" i="15"/>
  <c r="K379" i="15" s="1"/>
  <c r="G85" i="4" s="1"/>
  <c r="G81" i="4" s="1"/>
  <c r="H22" i="21"/>
  <c r="K101" i="15"/>
  <c r="H27" i="21"/>
  <c r="K115" i="15"/>
  <c r="H28" i="21"/>
  <c r="D100" i="4"/>
  <c r="H139" i="21"/>
  <c r="H111" i="21"/>
  <c r="H18" i="21"/>
  <c r="E43" i="16"/>
  <c r="E96" i="16"/>
  <c r="E35" i="16"/>
  <c r="H384" i="14"/>
  <c r="E27" i="16"/>
  <c r="E147" i="16"/>
  <c r="E93" i="16"/>
  <c r="E20" i="16"/>
  <c r="E89" i="16"/>
  <c r="H582" i="14"/>
  <c r="E32" i="16"/>
  <c r="H477" i="14"/>
  <c r="E33" i="16"/>
  <c r="H972" i="14"/>
  <c r="E22" i="16"/>
  <c r="H503" i="14"/>
  <c r="I503" i="14" s="1"/>
  <c r="E17" i="16"/>
  <c r="H1034" i="14"/>
  <c r="I1034" i="14" s="1"/>
  <c r="E130" i="16"/>
  <c r="H864" i="14"/>
  <c r="I864" i="14" s="1"/>
  <c r="E19" i="16"/>
  <c r="E28" i="16"/>
  <c r="E72" i="16"/>
  <c r="K229" i="15"/>
  <c r="K228" i="15" s="1"/>
  <c r="K159" i="15"/>
  <c r="K153" i="15" s="1"/>
  <c r="K114" i="15"/>
  <c r="K113" i="15" s="1"/>
  <c r="G73" i="4" s="1"/>
  <c r="H159" i="15"/>
  <c r="H153" i="15" s="1"/>
  <c r="I320" i="15"/>
  <c r="G114" i="21"/>
  <c r="L412" i="15"/>
  <c r="G49" i="21"/>
  <c r="L320" i="15"/>
  <c r="I412" i="15"/>
  <c r="H385" i="14"/>
  <c r="I385" i="14" s="1"/>
  <c r="H920" i="14"/>
  <c r="H915" i="14" s="1"/>
  <c r="H863" i="14"/>
  <c r="H1106" i="14"/>
  <c r="H879" i="14"/>
  <c r="I879" i="14" s="1"/>
  <c r="K42" i="2"/>
  <c r="N97" i="2"/>
  <c r="G19" i="6" s="1"/>
  <c r="K169" i="1"/>
  <c r="A448" i="15"/>
  <c r="A449" i="15"/>
  <c r="A1176" i="14"/>
  <c r="A1177" i="14"/>
  <c r="A1178" i="14"/>
  <c r="A1179" i="14"/>
  <c r="A445" i="15"/>
  <c r="A446" i="15"/>
  <c r="A447" i="15"/>
  <c r="A450" i="15"/>
  <c r="I388" i="15"/>
  <c r="I387" i="15" s="1"/>
  <c r="L384" i="15"/>
  <c r="L383" i="15" s="1"/>
  <c r="I384" i="15"/>
  <c r="I383" i="15" s="1"/>
  <c r="A563" i="14"/>
  <c r="A564" i="14"/>
  <c r="A565" i="14"/>
  <c r="A566" i="14"/>
  <c r="A1166" i="14"/>
  <c r="A1167" i="14"/>
  <c r="A1168" i="14"/>
  <c r="A1169" i="14"/>
  <c r="A1180" i="14"/>
  <c r="A1181" i="14"/>
  <c r="A1160" i="14"/>
  <c r="A1161" i="14"/>
  <c r="A1162" i="14"/>
  <c r="A1163" i="14"/>
  <c r="A1164" i="14"/>
  <c r="A1165" i="14"/>
  <c r="A964" i="14"/>
  <c r="A965" i="14"/>
  <c r="A966" i="14"/>
  <c r="A967" i="14"/>
  <c r="A873" i="14"/>
  <c r="A872" i="14"/>
  <c r="A874" i="14"/>
  <c r="A875" i="14"/>
  <c r="A876" i="14"/>
  <c r="A955" i="14"/>
  <c r="A956" i="14"/>
  <c r="A957" i="14"/>
  <c r="A998" i="14"/>
  <c r="A999" i="14"/>
  <c r="A1000" i="14"/>
  <c r="A1001" i="14"/>
  <c r="A1002" i="14"/>
  <c r="A1003" i="14"/>
  <c r="A1004" i="14"/>
  <c r="A1005" i="14"/>
  <c r="A211" i="15"/>
  <c r="A207" i="15"/>
  <c r="A208" i="15"/>
  <c r="A209" i="15"/>
  <c r="A210" i="15"/>
  <c r="A212" i="15"/>
  <c r="A203" i="15"/>
  <c r="A206" i="15"/>
  <c r="A202" i="15"/>
  <c r="L198" i="15"/>
  <c r="L197" i="15"/>
  <c r="I197" i="15"/>
  <c r="A604" i="14"/>
  <c r="A601" i="14"/>
  <c r="E133" i="21"/>
  <c r="E131" i="21"/>
  <c r="E129" i="21"/>
  <c r="E134" i="21"/>
  <c r="E135" i="21"/>
  <c r="I178" i="15"/>
  <c r="A173" i="15"/>
  <c r="A174" i="15"/>
  <c r="A526" i="14"/>
  <c r="A490" i="14"/>
  <c r="A491" i="14"/>
  <c r="A492" i="14"/>
  <c r="A148" i="15"/>
  <c r="A149" i="15"/>
  <c r="L148" i="15"/>
  <c r="I148" i="15"/>
  <c r="A150" i="15"/>
  <c r="A127" i="15"/>
  <c r="A128" i="15"/>
  <c r="A129" i="15"/>
  <c r="A130" i="15"/>
  <c r="A131" i="15"/>
  <c r="A132" i="15"/>
  <c r="A449" i="14"/>
  <c r="A448" i="14"/>
  <c r="A450" i="14"/>
  <c r="A451" i="14"/>
  <c r="A452" i="14"/>
  <c r="A453" i="14"/>
  <c r="A409" i="14"/>
  <c r="A410" i="14"/>
  <c r="A411" i="14"/>
  <c r="E43" i="21"/>
  <c r="D43" i="21"/>
  <c r="B41" i="21"/>
  <c r="B42" i="21"/>
  <c r="B43" i="21"/>
  <c r="E33" i="21"/>
  <c r="E34" i="21"/>
  <c r="E37" i="21"/>
  <c r="D33" i="21"/>
  <c r="D34" i="21"/>
  <c r="D37" i="21"/>
  <c r="B33" i="21"/>
  <c r="B34" i="21"/>
  <c r="B35" i="21"/>
  <c r="B36" i="21"/>
  <c r="B37" i="21"/>
  <c r="B38" i="21"/>
  <c r="B39" i="21"/>
  <c r="B40" i="21"/>
  <c r="B33" i="16"/>
  <c r="B34" i="16"/>
  <c r="B35" i="16"/>
  <c r="C21" i="47"/>
  <c r="A72" i="14"/>
  <c r="A69" i="14"/>
  <c r="A70" i="14"/>
  <c r="A71" i="14"/>
  <c r="A73" i="14"/>
  <c r="I618" i="14" l="1"/>
  <c r="H228" i="15"/>
  <c r="H227" i="15" s="1"/>
  <c r="H213" i="15" s="1"/>
  <c r="K292" i="15"/>
  <c r="H44" i="21" s="1"/>
  <c r="L293" i="15"/>
  <c r="I782" i="14"/>
  <c r="I441" i="14"/>
  <c r="E38" i="16"/>
  <c r="D15" i="3"/>
  <c r="E83" i="16"/>
  <c r="H404" i="14"/>
  <c r="I404" i="14" s="1"/>
  <c r="E56" i="16"/>
  <c r="H337" i="14"/>
  <c r="H336" i="14" s="1"/>
  <c r="I336" i="14" s="1"/>
  <c r="H98" i="15"/>
  <c r="E47" i="16"/>
  <c r="H218" i="14"/>
  <c r="H217" i="14" s="1"/>
  <c r="E99" i="16"/>
  <c r="I384" i="14"/>
  <c r="H378" i="14"/>
  <c r="H655" i="14"/>
  <c r="I656" i="14"/>
  <c r="I655" i="14" s="1"/>
  <c r="H39" i="14"/>
  <c r="I11" i="14"/>
  <c r="H606" i="14"/>
  <c r="D46" i="4"/>
  <c r="H963" i="14"/>
  <c r="I972" i="14"/>
  <c r="H725" i="14"/>
  <c r="H724" i="14" s="1"/>
  <c r="I726" i="14"/>
  <c r="D14" i="3"/>
  <c r="I31" i="14"/>
  <c r="I497" i="14"/>
  <c r="E14" i="16"/>
  <c r="H1016" i="14"/>
  <c r="I1017" i="14"/>
  <c r="E53" i="16"/>
  <c r="E59" i="16"/>
  <c r="I1099" i="14"/>
  <c r="D98" i="3"/>
  <c r="I648" i="14"/>
  <c r="H1209" i="14"/>
  <c r="I1209" i="14" s="1"/>
  <c r="I1210" i="14"/>
  <c r="H1137" i="14"/>
  <c r="I337" i="14"/>
  <c r="I920" i="14"/>
  <c r="I863" i="14"/>
  <c r="H509" i="14"/>
  <c r="I509" i="14" s="1"/>
  <c r="I510" i="14"/>
  <c r="H134" i="14"/>
  <c r="I135" i="14"/>
  <c r="H1177" i="14"/>
  <c r="I1178" i="14"/>
  <c r="I819" i="14"/>
  <c r="D115" i="3"/>
  <c r="D114" i="3" s="1"/>
  <c r="I1162" i="14"/>
  <c r="H1161" i="14"/>
  <c r="H993" i="14"/>
  <c r="I993" i="14" s="1"/>
  <c r="I994" i="14"/>
  <c r="D70" i="3"/>
  <c r="D65" i="3" s="1"/>
  <c r="I292" i="14"/>
  <c r="D60" i="3"/>
  <c r="I373" i="14"/>
  <c r="E66" i="16"/>
  <c r="I1021" i="14"/>
  <c r="H872" i="14"/>
  <c r="I872" i="14" s="1"/>
  <c r="I873" i="14"/>
  <c r="I69" i="14"/>
  <c r="E105" i="16"/>
  <c r="H950" i="14"/>
  <c r="I950" i="14" s="1"/>
  <c r="I951" i="14"/>
  <c r="H1081" i="14"/>
  <c r="I1106" i="14"/>
  <c r="H416" i="14"/>
  <c r="I417" i="14"/>
  <c r="H476" i="14"/>
  <c r="H470" i="14" s="1"/>
  <c r="I477" i="14"/>
  <c r="H581" i="14"/>
  <c r="I582" i="14"/>
  <c r="I802" i="14"/>
  <c r="H449" i="14"/>
  <c r="I450" i="14"/>
  <c r="H1183" i="14"/>
  <c r="I1184" i="14"/>
  <c r="I45" i="14"/>
  <c r="E97" i="16"/>
  <c r="D111" i="3"/>
  <c r="D109" i="3" s="1"/>
  <c r="I1010" i="14"/>
  <c r="H988" i="14"/>
  <c r="I988" i="14" s="1"/>
  <c r="I989" i="14"/>
  <c r="D20" i="3"/>
  <c r="I35" i="14"/>
  <c r="H793" i="14"/>
  <c r="H792" i="14" s="1"/>
  <c r="H781" i="14" s="1"/>
  <c r="I794" i="14"/>
  <c r="E102" i="16"/>
  <c r="I56" i="14"/>
  <c r="D97" i="3"/>
  <c r="I638" i="14"/>
  <c r="H1040" i="14"/>
  <c r="I1041" i="14"/>
  <c r="H752" i="14"/>
  <c r="I752" i="14" s="1"/>
  <c r="I753" i="14"/>
  <c r="I910" i="14"/>
  <c r="E50" i="16"/>
  <c r="D26" i="3"/>
  <c r="D23" i="3" s="1"/>
  <c r="I815" i="14"/>
  <c r="H757" i="14"/>
  <c r="I758" i="14"/>
  <c r="E36" i="16"/>
  <c r="K43" i="15"/>
  <c r="K10" i="15" s="1"/>
  <c r="H84" i="21"/>
  <c r="K227" i="15"/>
  <c r="G99" i="4" s="1"/>
  <c r="D80" i="4"/>
  <c r="D71" i="4" s="1"/>
  <c r="G80" i="4"/>
  <c r="D9" i="4"/>
  <c r="H353" i="15"/>
  <c r="H10" i="21"/>
  <c r="K353" i="15"/>
  <c r="E42" i="16"/>
  <c r="I198" i="15"/>
  <c r="I201" i="15"/>
  <c r="D99" i="4"/>
  <c r="D96" i="4" s="1"/>
  <c r="H45" i="21"/>
  <c r="K100" i="15"/>
  <c r="H26" i="21"/>
  <c r="H73" i="21"/>
  <c r="K415" i="15"/>
  <c r="D118" i="3"/>
  <c r="D117" i="3" s="1"/>
  <c r="D13" i="3"/>
  <c r="E26" i="16"/>
  <c r="L12" i="1"/>
  <c r="L13" i="1"/>
  <c r="H878" i="14"/>
  <c r="E11" i="16"/>
  <c r="E88" i="16"/>
  <c r="E18" i="16"/>
  <c r="E62" i="16"/>
  <c r="E16" i="16"/>
  <c r="H496" i="14"/>
  <c r="H1033" i="14"/>
  <c r="E129" i="16"/>
  <c r="E71" i="16"/>
  <c r="E146" i="16"/>
  <c r="I449" i="15"/>
  <c r="I411" i="15"/>
  <c r="F114" i="21" s="1"/>
  <c r="L131" i="15"/>
  <c r="D49" i="21"/>
  <c r="I319" i="15"/>
  <c r="F49" i="21" s="1"/>
  <c r="I131" i="15"/>
  <c r="L211" i="15"/>
  <c r="I210" i="15"/>
  <c r="I211" i="15"/>
  <c r="L411" i="15"/>
  <c r="I114" i="21" s="1"/>
  <c r="L203" i="15"/>
  <c r="L204" i="15"/>
  <c r="I203" i="15"/>
  <c r="I204" i="15"/>
  <c r="E49" i="21"/>
  <c r="L319" i="15"/>
  <c r="I49" i="21" s="1"/>
  <c r="G59" i="21"/>
  <c r="L449" i="15"/>
  <c r="D13" i="16"/>
  <c r="F13" i="16"/>
  <c r="D46" i="16"/>
  <c r="F46" i="16"/>
  <c r="K97" i="2"/>
  <c r="D19" i="6" s="1"/>
  <c r="E36" i="21"/>
  <c r="E42" i="21"/>
  <c r="E41" i="21"/>
  <c r="E35" i="21"/>
  <c r="A83" i="14"/>
  <c r="A80" i="14"/>
  <c r="A81" i="14"/>
  <c r="A82" i="14"/>
  <c r="A92" i="14"/>
  <c r="A347" i="15"/>
  <c r="A348" i="15"/>
  <c r="L347" i="15"/>
  <c r="I347" i="15"/>
  <c r="K291" i="15" l="1"/>
  <c r="K213" i="15" s="1"/>
  <c r="L292" i="15"/>
  <c r="H495" i="14"/>
  <c r="E41" i="16"/>
  <c r="E25" i="16"/>
  <c r="I218" i="14"/>
  <c r="I654" i="14"/>
  <c r="H654" i="14"/>
  <c r="I39" i="14"/>
  <c r="I606" i="14"/>
  <c r="H605" i="14"/>
  <c r="H862" i="14"/>
  <c r="I792" i="14"/>
  <c r="I781" i="14"/>
  <c r="D22" i="3"/>
  <c r="D9" i="3" s="1"/>
  <c r="H877" i="14"/>
  <c r="I878" i="14"/>
  <c r="H1182" i="14"/>
  <c r="I1182" i="14" s="1"/>
  <c r="I1183" i="14"/>
  <c r="H580" i="14"/>
  <c r="I581" i="14"/>
  <c r="H415" i="14"/>
  <c r="I416" i="14"/>
  <c r="H133" i="14"/>
  <c r="H10" i="14" s="1"/>
  <c r="I134" i="14"/>
  <c r="I217" i="14"/>
  <c r="H914" i="14"/>
  <c r="I915" i="14"/>
  <c r="I1016" i="14"/>
  <c r="H1015" i="14"/>
  <c r="H962" i="14"/>
  <c r="I963" i="14"/>
  <c r="D64" i="3"/>
  <c r="I1137" i="14"/>
  <c r="E10" i="16"/>
  <c r="I496" i="14"/>
  <c r="I757" i="14"/>
  <c r="H751" i="14"/>
  <c r="D54" i="3"/>
  <c r="I1040" i="14"/>
  <c r="I793" i="14"/>
  <c r="E92" i="16"/>
  <c r="H448" i="14"/>
  <c r="I449" i="14"/>
  <c r="I470" i="14"/>
  <c r="I476" i="14"/>
  <c r="H1080" i="14"/>
  <c r="I1080" i="14" s="1"/>
  <c r="I1081" i="14"/>
  <c r="H1176" i="14"/>
  <c r="I1176" i="14" s="1"/>
  <c r="I1177" i="14"/>
  <c r="I724" i="14"/>
  <c r="I725" i="14"/>
  <c r="D52" i="3"/>
  <c r="I1033" i="14"/>
  <c r="I378" i="14"/>
  <c r="H1160" i="14"/>
  <c r="I1160" i="14" s="1"/>
  <c r="I1161" i="14"/>
  <c r="G51" i="4"/>
  <c r="D121" i="4"/>
  <c r="H471" i="15"/>
  <c r="H473" i="15" s="1"/>
  <c r="K99" i="15"/>
  <c r="K98" i="15" s="1"/>
  <c r="H25" i="21"/>
  <c r="F36" i="21"/>
  <c r="F42" i="21"/>
  <c r="L210" i="15"/>
  <c r="G36" i="21"/>
  <c r="G42" i="21"/>
  <c r="K414" i="15"/>
  <c r="H70" i="21"/>
  <c r="E82" i="16"/>
  <c r="E52" i="16"/>
  <c r="E68" i="16"/>
  <c r="I448" i="15"/>
  <c r="F59" i="21" s="1"/>
  <c r="F54" i="4"/>
  <c r="L410" i="15"/>
  <c r="I130" i="15"/>
  <c r="I409" i="15"/>
  <c r="E54" i="4" s="1"/>
  <c r="I410" i="15"/>
  <c r="L130" i="15"/>
  <c r="D42" i="21"/>
  <c r="L448" i="15"/>
  <c r="I59" i="21" s="1"/>
  <c r="D36" i="21"/>
  <c r="F134" i="16"/>
  <c r="I18" i="15"/>
  <c r="I17" i="15" s="1"/>
  <c r="A26" i="14"/>
  <c r="A27" i="14"/>
  <c r="L326" i="15"/>
  <c r="L325" i="15" s="1"/>
  <c r="L324" i="15" s="1"/>
  <c r="L323" i="15" s="1"/>
  <c r="I326" i="15"/>
  <c r="I325" i="15" s="1"/>
  <c r="I324" i="15" s="1"/>
  <c r="I323" i="15" s="1"/>
  <c r="A798" i="14"/>
  <c r="A799" i="14"/>
  <c r="A800" i="14"/>
  <c r="A801" i="14"/>
  <c r="A797" i="14"/>
  <c r="A793" i="14"/>
  <c r="A794" i="14"/>
  <c r="A795" i="14"/>
  <c r="A796" i="14"/>
  <c r="L291" i="15" l="1"/>
  <c r="G100" i="4"/>
  <c r="G96" i="4" s="1"/>
  <c r="I862" i="14"/>
  <c r="H833" i="14"/>
  <c r="I833" i="14" s="1"/>
  <c r="I133" i="14"/>
  <c r="I10" i="14"/>
  <c r="H1014" i="14"/>
  <c r="I1014" i="14" s="1"/>
  <c r="D72" i="3"/>
  <c r="D105" i="3"/>
  <c r="D103" i="3" s="1"/>
  <c r="I605" i="14"/>
  <c r="H377" i="14"/>
  <c r="I377" i="14" s="1"/>
  <c r="I495" i="14"/>
  <c r="D73" i="3"/>
  <c r="I415" i="14"/>
  <c r="D99" i="3"/>
  <c r="D102" i="3"/>
  <c r="I751" i="14"/>
  <c r="I1015" i="14"/>
  <c r="D48" i="3"/>
  <c r="I448" i="14"/>
  <c r="D74" i="3"/>
  <c r="D85" i="3"/>
  <c r="I962" i="14"/>
  <c r="D82" i="3"/>
  <c r="I914" i="14"/>
  <c r="I580" i="14"/>
  <c r="D100" i="3"/>
  <c r="D78" i="3"/>
  <c r="I877" i="14"/>
  <c r="D41" i="21"/>
  <c r="D58" i="3"/>
  <c r="E145" i="16"/>
  <c r="E148" i="16" s="1"/>
  <c r="D144" i="16"/>
  <c r="D143" i="16" s="1"/>
  <c r="H637" i="14"/>
  <c r="I637" i="14" s="1"/>
  <c r="D55" i="3"/>
  <c r="H138" i="21"/>
  <c r="H141" i="21" s="1"/>
  <c r="I36" i="21"/>
  <c r="I42" i="21"/>
  <c r="G72" i="4"/>
  <c r="G71" i="4" s="1"/>
  <c r="L209" i="15"/>
  <c r="G35" i="21"/>
  <c r="G41" i="21"/>
  <c r="G55" i="4"/>
  <c r="G46" i="4" s="1"/>
  <c r="K398" i="15"/>
  <c r="D80" i="3"/>
  <c r="D51" i="3"/>
  <c r="D61" i="3"/>
  <c r="D59" i="3" s="1"/>
  <c r="D35" i="21"/>
  <c r="I209" i="15"/>
  <c r="I447" i="15"/>
  <c r="I207" i="15"/>
  <c r="E105" i="4" s="1"/>
  <c r="E103" i="4" s="1"/>
  <c r="I208" i="15"/>
  <c r="L409" i="15"/>
  <c r="H54" i="4" s="1"/>
  <c r="L129" i="15"/>
  <c r="L447" i="15"/>
  <c r="I129" i="15"/>
  <c r="F105" i="4"/>
  <c r="F103" i="4" s="1"/>
  <c r="L208" i="15"/>
  <c r="F132" i="16"/>
  <c r="D132" i="21"/>
  <c r="E132" i="21" s="1"/>
  <c r="D133" i="21"/>
  <c r="D131" i="21"/>
  <c r="D135" i="21"/>
  <c r="D134" i="21"/>
  <c r="B131" i="21"/>
  <c r="B132" i="21"/>
  <c r="B133" i="21"/>
  <c r="B134" i="21"/>
  <c r="B135" i="21"/>
  <c r="B136" i="21"/>
  <c r="B137" i="21"/>
  <c r="D134" i="16"/>
  <c r="D133" i="16"/>
  <c r="H1222" i="14" l="1"/>
  <c r="I1222" i="14" s="1"/>
  <c r="D81" i="3"/>
  <c r="D71" i="3"/>
  <c r="D96" i="3"/>
  <c r="F133" i="16"/>
  <c r="F144" i="16"/>
  <c r="F143" i="16" s="1"/>
  <c r="D46" i="3"/>
  <c r="F35" i="21"/>
  <c r="F41" i="21"/>
  <c r="I35" i="21"/>
  <c r="I41" i="21"/>
  <c r="K471" i="15"/>
  <c r="K473" i="15" s="1"/>
  <c r="L207" i="15"/>
  <c r="H105" i="4" s="1"/>
  <c r="H103" i="4" s="1"/>
  <c r="L128" i="15"/>
  <c r="L445" i="15"/>
  <c r="L446" i="15"/>
  <c r="I445" i="15"/>
  <c r="I446" i="15"/>
  <c r="I127" i="15"/>
  <c r="I128" i="15"/>
  <c r="B133" i="16"/>
  <c r="B134" i="16"/>
  <c r="D132" i="16"/>
  <c r="B132" i="16"/>
  <c r="L424" i="15"/>
  <c r="A363" i="14"/>
  <c r="A364" i="14"/>
  <c r="A338" i="14"/>
  <c r="A339" i="14"/>
  <c r="A340" i="14"/>
  <c r="A341" i="14"/>
  <c r="B48" i="16"/>
  <c r="E17" i="6"/>
  <c r="E19" i="5"/>
  <c r="D121" i="3" l="1"/>
  <c r="L127" i="15"/>
  <c r="L295" i="15"/>
  <c r="I295" i="15"/>
  <c r="A295" i="15"/>
  <c r="A296" i="15"/>
  <c r="D122" i="3" l="1"/>
  <c r="D20" i="5"/>
  <c r="L299" i="15"/>
  <c r="I299" i="15"/>
  <c r="A299" i="15"/>
  <c r="A300" i="15"/>
  <c r="A285" i="15"/>
  <c r="A286" i="15"/>
  <c r="A287" i="15"/>
  <c r="B130" i="16"/>
  <c r="B129" i="16"/>
  <c r="A451" i="15"/>
  <c r="A452" i="15"/>
  <c r="A453" i="15"/>
  <c r="A454" i="15"/>
  <c r="A455" i="15"/>
  <c r="A456" i="15"/>
  <c r="A457" i="15"/>
  <c r="A458" i="15"/>
  <c r="A1195" i="14"/>
  <c r="A1196" i="14"/>
  <c r="A1197" i="14"/>
  <c r="A1198" i="14"/>
  <c r="A1199" i="14"/>
  <c r="A1200" i="14"/>
  <c r="A1201" i="14"/>
  <c r="A1202" i="14"/>
  <c r="F16" i="48"/>
  <c r="B13" i="56"/>
  <c r="D26" i="5" l="1"/>
  <c r="L454" i="15"/>
  <c r="I453" i="15"/>
  <c r="F112" i="21" s="1"/>
  <c r="I454" i="15"/>
  <c r="L457" i="15"/>
  <c r="I456" i="15"/>
  <c r="F113" i="21" s="1"/>
  <c r="I457" i="15"/>
  <c r="F108" i="16"/>
  <c r="F109" i="16"/>
  <c r="C16" i="46"/>
  <c r="D16" i="46"/>
  <c r="E16" i="46"/>
  <c r="B16" i="46"/>
  <c r="L240" i="15"/>
  <c r="I240" i="15"/>
  <c r="A240" i="15"/>
  <c r="A241" i="15"/>
  <c r="A237" i="15"/>
  <c r="A238" i="15"/>
  <c r="A239" i="15"/>
  <c r="L237" i="15"/>
  <c r="I237" i="15"/>
  <c r="A234" i="15"/>
  <c r="A235" i="15"/>
  <c r="A236" i="15"/>
  <c r="L234" i="15"/>
  <c r="I234" i="15"/>
  <c r="A231" i="15"/>
  <c r="A232" i="15"/>
  <c r="A233" i="15"/>
  <c r="L231" i="15" l="1"/>
  <c r="L230" i="15" s="1"/>
  <c r="I231" i="15"/>
  <c r="I230" i="15" s="1"/>
  <c r="L456" i="15"/>
  <c r="I113" i="21" s="1"/>
  <c r="G113" i="21"/>
  <c r="L453" i="15"/>
  <c r="I112" i="21" s="1"/>
  <c r="G112" i="21"/>
  <c r="A1117" i="14"/>
  <c r="A1118" i="14"/>
  <c r="A1119" i="14"/>
  <c r="A1120" i="14"/>
  <c r="A1108" i="14"/>
  <c r="A1109" i="14"/>
  <c r="A1102" i="14"/>
  <c r="A1033" i="14"/>
  <c r="A1034" i="14"/>
  <c r="A1035" i="14"/>
  <c r="A1036" i="14"/>
  <c r="A1037" i="14"/>
  <c r="A1038" i="14"/>
  <c r="A1039" i="14"/>
  <c r="L452" i="15" l="1"/>
  <c r="I111" i="21" s="1"/>
  <c r="G111" i="21"/>
  <c r="L451" i="15"/>
  <c r="I451" i="15"/>
  <c r="I452" i="15"/>
  <c r="F111" i="21" s="1"/>
  <c r="C16" i="47"/>
  <c r="C47" i="47" s="1"/>
  <c r="F130" i="16" l="1"/>
  <c r="D130" i="16"/>
  <c r="E17" i="55"/>
  <c r="D17" i="55"/>
  <c r="C17" i="55"/>
  <c r="B17" i="55"/>
  <c r="A337" i="15"/>
  <c r="A338" i="15"/>
  <c r="A339" i="15"/>
  <c r="A340" i="15"/>
  <c r="A764" i="14"/>
  <c r="A765" i="14"/>
  <c r="A743" i="14"/>
  <c r="A744" i="14"/>
  <c r="A745" i="14"/>
  <c r="A715" i="14"/>
  <c r="A716" i="14"/>
  <c r="A717" i="14"/>
  <c r="A736" i="14"/>
  <c r="A737" i="14"/>
  <c r="A734" i="14"/>
  <c r="A735" i="14"/>
  <c r="A1138" i="14"/>
  <c r="A1139" i="14"/>
  <c r="A1140" i="14"/>
  <c r="A1141" i="14"/>
  <c r="D17" i="49"/>
  <c r="C17" i="49"/>
  <c r="B17" i="49"/>
  <c r="C16" i="48"/>
  <c r="C15" i="45"/>
  <c r="B15" i="45"/>
  <c r="F17" i="40"/>
  <c r="G17" i="40" s="1"/>
  <c r="C17" i="40"/>
  <c r="D17" i="40" s="1"/>
  <c r="G16" i="40"/>
  <c r="D16" i="40"/>
  <c r="G15" i="40"/>
  <c r="D15" i="40"/>
  <c r="G14" i="40"/>
  <c r="D14" i="40"/>
  <c r="G13" i="40"/>
  <c r="D13" i="40"/>
  <c r="C17" i="39"/>
  <c r="D16" i="39"/>
  <c r="D15" i="39"/>
  <c r="D14" i="39"/>
  <c r="D13" i="39"/>
  <c r="D14" i="29"/>
  <c r="C14" i="29"/>
  <c r="D12" i="29"/>
  <c r="C12" i="29"/>
  <c r="D10" i="29"/>
  <c r="C10" i="29"/>
  <c r="C14" i="28"/>
  <c r="C13" i="28" s="1"/>
  <c r="C11" i="28"/>
  <c r="C9" i="28"/>
  <c r="D19" i="27"/>
  <c r="C19" i="27"/>
  <c r="D24" i="26"/>
  <c r="E23" i="26"/>
  <c r="E22" i="26"/>
  <c r="E21" i="26"/>
  <c r="E20" i="26"/>
  <c r="E19" i="26"/>
  <c r="E18" i="26"/>
  <c r="C17" i="26"/>
  <c r="E17" i="26" s="1"/>
  <c r="E16" i="26"/>
  <c r="E15" i="26"/>
  <c r="E14" i="26"/>
  <c r="E13" i="26"/>
  <c r="C12" i="26"/>
  <c r="E12" i="26" s="1"/>
  <c r="E11" i="26"/>
  <c r="C10" i="26"/>
  <c r="E10" i="26" s="1"/>
  <c r="E17" i="25"/>
  <c r="D17" i="25"/>
  <c r="C17" i="25"/>
  <c r="B17" i="25"/>
  <c r="C17" i="24"/>
  <c r="D17" i="24" s="1"/>
  <c r="D16" i="24"/>
  <c r="D15" i="24"/>
  <c r="D14" i="24"/>
  <c r="D13" i="24"/>
  <c r="D30" i="23"/>
  <c r="C30" i="23"/>
  <c r="D24" i="23"/>
  <c r="C24" i="23"/>
  <c r="D19" i="23"/>
  <c r="C19" i="23"/>
  <c r="D11" i="23"/>
  <c r="C11" i="23"/>
  <c r="B19" i="22"/>
  <c r="C13" i="22"/>
  <c r="B12" i="22"/>
  <c r="B11" i="22"/>
  <c r="B140" i="21"/>
  <c r="B139" i="21"/>
  <c r="E130" i="21"/>
  <c r="D130" i="21"/>
  <c r="B130" i="21"/>
  <c r="D129" i="21"/>
  <c r="B129" i="21"/>
  <c r="E128" i="21"/>
  <c r="D128" i="21"/>
  <c r="B128" i="21"/>
  <c r="E127" i="21"/>
  <c r="D127" i="21"/>
  <c r="B127" i="21"/>
  <c r="E126" i="21"/>
  <c r="D126" i="21"/>
  <c r="B126" i="21"/>
  <c r="E125" i="21"/>
  <c r="D125" i="21"/>
  <c r="B125" i="21"/>
  <c r="E124" i="21"/>
  <c r="D124" i="21"/>
  <c r="B124" i="21"/>
  <c r="E123" i="21"/>
  <c r="D123" i="21"/>
  <c r="B123" i="21"/>
  <c r="E122" i="21"/>
  <c r="D122" i="21"/>
  <c r="B122" i="21"/>
  <c r="E121" i="21"/>
  <c r="D121" i="21"/>
  <c r="B121" i="21"/>
  <c r="E120" i="21"/>
  <c r="D120" i="21"/>
  <c r="B120" i="21"/>
  <c r="E119" i="21"/>
  <c r="D119" i="21"/>
  <c r="B119" i="21"/>
  <c r="E118" i="21"/>
  <c r="D118" i="21"/>
  <c r="B118" i="21"/>
  <c r="E117" i="21"/>
  <c r="D117" i="21"/>
  <c r="B117" i="21"/>
  <c r="E116" i="21"/>
  <c r="D116" i="21"/>
  <c r="B116" i="21"/>
  <c r="E115" i="21"/>
  <c r="D115" i="21"/>
  <c r="B115" i="21"/>
  <c r="E114" i="21"/>
  <c r="D114" i="21"/>
  <c r="B114" i="21"/>
  <c r="B113" i="21"/>
  <c r="B112" i="21"/>
  <c r="B111" i="21"/>
  <c r="E110" i="21"/>
  <c r="D110" i="21"/>
  <c r="B110" i="21"/>
  <c r="E109" i="21"/>
  <c r="D109" i="21"/>
  <c r="B109" i="21"/>
  <c r="E108" i="21"/>
  <c r="D108" i="21"/>
  <c r="B108" i="21"/>
  <c r="E107" i="21"/>
  <c r="D107" i="21"/>
  <c r="B107" i="21"/>
  <c r="E106" i="21"/>
  <c r="D106" i="21"/>
  <c r="B106" i="21"/>
  <c r="E105" i="21"/>
  <c r="D105" i="21"/>
  <c r="B105" i="21"/>
  <c r="E104" i="21"/>
  <c r="D104" i="21"/>
  <c r="B104" i="21"/>
  <c r="E103" i="21"/>
  <c r="D103" i="21"/>
  <c r="B103" i="21"/>
  <c r="E102" i="21"/>
  <c r="D102" i="21"/>
  <c r="B102" i="21"/>
  <c r="E101" i="21"/>
  <c r="D101" i="21"/>
  <c r="B101" i="21"/>
  <c r="E100" i="21"/>
  <c r="D100" i="21"/>
  <c r="B100" i="21"/>
  <c r="E99" i="21"/>
  <c r="D99" i="21"/>
  <c r="B99" i="21"/>
  <c r="B98" i="21"/>
  <c r="B97" i="21"/>
  <c r="B96" i="21"/>
  <c r="B95" i="21"/>
  <c r="B94" i="21"/>
  <c r="E93" i="21"/>
  <c r="D93" i="21"/>
  <c r="B93" i="21"/>
  <c r="E92" i="21"/>
  <c r="D92" i="21"/>
  <c r="B92" i="21"/>
  <c r="B91" i="21"/>
  <c r="B90" i="21"/>
  <c r="E89" i="21"/>
  <c r="D89" i="21"/>
  <c r="B89" i="21"/>
  <c r="E88" i="21"/>
  <c r="D88" i="21"/>
  <c r="B88" i="21"/>
  <c r="E87" i="21"/>
  <c r="D87" i="21"/>
  <c r="B87" i="21"/>
  <c r="E86" i="21"/>
  <c r="D86" i="21"/>
  <c r="B86" i="21"/>
  <c r="E85" i="21"/>
  <c r="D85" i="21"/>
  <c r="B85" i="21"/>
  <c r="B84" i="21"/>
  <c r="E83" i="21"/>
  <c r="D83" i="21"/>
  <c r="B83" i="21"/>
  <c r="E82" i="21"/>
  <c r="D82" i="21"/>
  <c r="B82" i="21"/>
  <c r="E81" i="21"/>
  <c r="D81" i="21"/>
  <c r="B81" i="21"/>
  <c r="E80" i="21"/>
  <c r="D80" i="21"/>
  <c r="B80" i="21"/>
  <c r="E79" i="21"/>
  <c r="D79" i="21"/>
  <c r="B79" i="21"/>
  <c r="E78" i="21"/>
  <c r="D78" i="21"/>
  <c r="B78" i="21"/>
  <c r="E77" i="21"/>
  <c r="D77" i="21"/>
  <c r="B77" i="21"/>
  <c r="E76" i="21"/>
  <c r="D76" i="21"/>
  <c r="B76" i="21"/>
  <c r="E75" i="21"/>
  <c r="D75" i="21"/>
  <c r="B75" i="21"/>
  <c r="B74" i="21"/>
  <c r="B73" i="21"/>
  <c r="B72" i="21"/>
  <c r="B71" i="21"/>
  <c r="B70" i="21"/>
  <c r="E69" i="21"/>
  <c r="D69" i="21"/>
  <c r="B69" i="21"/>
  <c r="E68" i="21"/>
  <c r="D68" i="21"/>
  <c r="B68" i="21"/>
  <c r="E67" i="21"/>
  <c r="D67" i="21"/>
  <c r="B67" i="21"/>
  <c r="E66" i="21"/>
  <c r="D66" i="21"/>
  <c r="B66" i="21"/>
  <c r="E65" i="21"/>
  <c r="D65" i="21"/>
  <c r="B65" i="21"/>
  <c r="E64" i="21"/>
  <c r="D64" i="21"/>
  <c r="B64" i="21"/>
  <c r="E63" i="21"/>
  <c r="D63" i="21"/>
  <c r="B63" i="21"/>
  <c r="B62" i="21"/>
  <c r="B61" i="21"/>
  <c r="E60" i="21"/>
  <c r="B60" i="21"/>
  <c r="E59" i="21"/>
  <c r="D59" i="21"/>
  <c r="B59" i="21"/>
  <c r="E58" i="21"/>
  <c r="B58" i="21"/>
  <c r="E57" i="21"/>
  <c r="D57" i="21"/>
  <c r="B57" i="21"/>
  <c r="E56" i="21"/>
  <c r="D56" i="21"/>
  <c r="B56" i="21"/>
  <c r="E55" i="21"/>
  <c r="D55" i="21"/>
  <c r="B55" i="21"/>
  <c r="B54" i="21"/>
  <c r="E53" i="21"/>
  <c r="D53" i="21"/>
  <c r="B53" i="21"/>
  <c r="E52" i="21"/>
  <c r="D52" i="21"/>
  <c r="E51" i="21"/>
  <c r="D51" i="21"/>
  <c r="B51" i="21"/>
  <c r="E50" i="21"/>
  <c r="D50" i="21"/>
  <c r="B50" i="21"/>
  <c r="B48" i="21"/>
  <c r="B47" i="21"/>
  <c r="B46" i="21"/>
  <c r="B45" i="21"/>
  <c r="B44" i="21"/>
  <c r="B32" i="21"/>
  <c r="B31" i="21"/>
  <c r="E30" i="21"/>
  <c r="D30" i="21"/>
  <c r="B30" i="21"/>
  <c r="B29" i="21"/>
  <c r="B28" i="21"/>
  <c r="B27" i="21"/>
  <c r="B26" i="21"/>
  <c r="B25" i="21"/>
  <c r="E24" i="21"/>
  <c r="D24" i="21"/>
  <c r="B24" i="21"/>
  <c r="E23" i="21"/>
  <c r="D23" i="21"/>
  <c r="B23" i="21"/>
  <c r="B22" i="21"/>
  <c r="B21" i="21"/>
  <c r="B20" i="21"/>
  <c r="B19" i="21"/>
  <c r="B18" i="21"/>
  <c r="B17" i="21"/>
  <c r="B16" i="21"/>
  <c r="E15" i="21"/>
  <c r="D15" i="21"/>
  <c r="B15" i="21"/>
  <c r="E14" i="21"/>
  <c r="D14" i="21"/>
  <c r="B14" i="21"/>
  <c r="B12" i="21"/>
  <c r="B11" i="21"/>
  <c r="B10" i="21"/>
  <c r="I51" i="17"/>
  <c r="H51" i="17"/>
  <c r="G51" i="17"/>
  <c r="F51" i="17"/>
  <c r="E51" i="17"/>
  <c r="D51" i="17"/>
  <c r="B51" i="17"/>
  <c r="I50" i="17"/>
  <c r="H50" i="17"/>
  <c r="G50" i="17"/>
  <c r="F50" i="17"/>
  <c r="E50" i="17"/>
  <c r="D50" i="17"/>
  <c r="B50" i="17"/>
  <c r="I48" i="17"/>
  <c r="H48" i="17"/>
  <c r="G48" i="17"/>
  <c r="F48" i="17"/>
  <c r="E48" i="17"/>
  <c r="D48" i="17"/>
  <c r="B48" i="17"/>
  <c r="I47" i="17"/>
  <c r="H47" i="17"/>
  <c r="G47" i="17"/>
  <c r="F47" i="17"/>
  <c r="E47" i="17"/>
  <c r="D47" i="17"/>
  <c r="B47" i="17"/>
  <c r="I46" i="17"/>
  <c r="H46" i="17"/>
  <c r="G46" i="17"/>
  <c r="F46" i="17"/>
  <c r="E46" i="17"/>
  <c r="D46" i="17"/>
  <c r="B46" i="17"/>
  <c r="I45" i="17"/>
  <c r="H45" i="17"/>
  <c r="G45" i="17"/>
  <c r="F45" i="17"/>
  <c r="E45" i="17"/>
  <c r="D45" i="17"/>
  <c r="B45" i="17"/>
  <c r="I44" i="17"/>
  <c r="H44" i="17"/>
  <c r="G44" i="17"/>
  <c r="F44" i="17"/>
  <c r="E44" i="17"/>
  <c r="D44" i="17"/>
  <c r="B44" i="17"/>
  <c r="I43" i="17"/>
  <c r="H43" i="17"/>
  <c r="G43" i="17"/>
  <c r="F43" i="17"/>
  <c r="E43" i="17"/>
  <c r="D43" i="17"/>
  <c r="B43" i="17"/>
  <c r="I42" i="17"/>
  <c r="H42" i="17"/>
  <c r="G42" i="17"/>
  <c r="F42" i="17"/>
  <c r="E42" i="17"/>
  <c r="D42" i="17"/>
  <c r="B42" i="17"/>
  <c r="I41" i="17"/>
  <c r="H41" i="17"/>
  <c r="G41" i="17"/>
  <c r="F41" i="17"/>
  <c r="E41" i="17"/>
  <c r="D41" i="17"/>
  <c r="B41" i="17"/>
  <c r="I40" i="17"/>
  <c r="H40" i="17"/>
  <c r="G40" i="17"/>
  <c r="F40" i="17"/>
  <c r="E40" i="17"/>
  <c r="D40" i="17"/>
  <c r="B40" i="17"/>
  <c r="I39" i="17"/>
  <c r="H39" i="17"/>
  <c r="G39" i="17"/>
  <c r="F39" i="17"/>
  <c r="E39" i="17"/>
  <c r="D39" i="17"/>
  <c r="B39" i="17"/>
  <c r="I38" i="17"/>
  <c r="H38" i="17"/>
  <c r="G38" i="17"/>
  <c r="F38" i="17"/>
  <c r="E38" i="17"/>
  <c r="D38" i="17"/>
  <c r="B38" i="17"/>
  <c r="I37" i="17"/>
  <c r="H37" i="17"/>
  <c r="G37" i="17"/>
  <c r="F37" i="17"/>
  <c r="E37" i="17"/>
  <c r="D37" i="17"/>
  <c r="B37" i="17"/>
  <c r="I36" i="17"/>
  <c r="H36" i="17"/>
  <c r="G36" i="17"/>
  <c r="F36" i="17"/>
  <c r="E36" i="17"/>
  <c r="D36" i="17"/>
  <c r="B36" i="17"/>
  <c r="I35" i="17"/>
  <c r="H35" i="17"/>
  <c r="G35" i="17"/>
  <c r="F35" i="17"/>
  <c r="E35" i="17"/>
  <c r="D35" i="17"/>
  <c r="B35" i="17"/>
  <c r="I34" i="17"/>
  <c r="H34" i="17"/>
  <c r="G34" i="17"/>
  <c r="F34" i="17"/>
  <c r="E34" i="17"/>
  <c r="D34" i="17"/>
  <c r="B34" i="17"/>
  <c r="I33" i="17"/>
  <c r="H33" i="17"/>
  <c r="G33" i="17"/>
  <c r="F33" i="17"/>
  <c r="E33" i="17"/>
  <c r="D33" i="17"/>
  <c r="B33" i="17"/>
  <c r="I32" i="17"/>
  <c r="H32" i="17"/>
  <c r="G32" i="17"/>
  <c r="F32" i="17"/>
  <c r="E32" i="17"/>
  <c r="D32" i="17"/>
  <c r="B32" i="17"/>
  <c r="I31" i="17"/>
  <c r="H31" i="17"/>
  <c r="G31" i="17"/>
  <c r="F31" i="17"/>
  <c r="E31" i="17"/>
  <c r="D31" i="17"/>
  <c r="B31" i="17"/>
  <c r="I30" i="17"/>
  <c r="H30" i="17"/>
  <c r="G30" i="17"/>
  <c r="F30" i="17"/>
  <c r="E30" i="17"/>
  <c r="D30" i="17"/>
  <c r="B30" i="17"/>
  <c r="I29" i="17"/>
  <c r="H29" i="17"/>
  <c r="G29" i="17"/>
  <c r="F29" i="17"/>
  <c r="E29" i="17"/>
  <c r="D29" i="17"/>
  <c r="B29" i="17"/>
  <c r="I28" i="17"/>
  <c r="H28" i="17"/>
  <c r="G28" i="17"/>
  <c r="F28" i="17"/>
  <c r="E28" i="17"/>
  <c r="D28" i="17"/>
  <c r="B28" i="17"/>
  <c r="I27" i="17"/>
  <c r="H27" i="17"/>
  <c r="G27" i="17"/>
  <c r="F27" i="17"/>
  <c r="E27" i="17"/>
  <c r="D27" i="17"/>
  <c r="B27" i="17"/>
  <c r="I26" i="17"/>
  <c r="H26" i="17"/>
  <c r="G26" i="17"/>
  <c r="F26" i="17"/>
  <c r="E26" i="17"/>
  <c r="D26" i="17"/>
  <c r="B26" i="17"/>
  <c r="I25" i="17"/>
  <c r="H25" i="17"/>
  <c r="G25" i="17"/>
  <c r="F25" i="17"/>
  <c r="E25" i="17"/>
  <c r="D25" i="17"/>
  <c r="B25" i="17"/>
  <c r="I24" i="17"/>
  <c r="H24" i="17"/>
  <c r="G24" i="17"/>
  <c r="F24" i="17"/>
  <c r="E24" i="17"/>
  <c r="D24" i="17"/>
  <c r="B24" i="17"/>
  <c r="I23" i="17"/>
  <c r="H23" i="17"/>
  <c r="G23" i="17"/>
  <c r="F23" i="17"/>
  <c r="E23" i="17"/>
  <c r="D23" i="17"/>
  <c r="B23" i="17"/>
  <c r="I22" i="17"/>
  <c r="H22" i="17"/>
  <c r="G22" i="17"/>
  <c r="F22" i="17"/>
  <c r="E22" i="17"/>
  <c r="D22" i="17"/>
  <c r="B22" i="17"/>
  <c r="I21" i="17"/>
  <c r="H21" i="17"/>
  <c r="G21" i="17"/>
  <c r="F21" i="17"/>
  <c r="E21" i="17"/>
  <c r="D21" i="17"/>
  <c r="B21" i="17"/>
  <c r="I20" i="17"/>
  <c r="H20" i="17"/>
  <c r="G20" i="17"/>
  <c r="F20" i="17"/>
  <c r="E20" i="17"/>
  <c r="D20" i="17"/>
  <c r="B20" i="17"/>
  <c r="I19" i="17"/>
  <c r="H19" i="17"/>
  <c r="G19" i="17"/>
  <c r="F19" i="17"/>
  <c r="E19" i="17"/>
  <c r="D19" i="17"/>
  <c r="B19" i="17"/>
  <c r="I18" i="17"/>
  <c r="H18" i="17"/>
  <c r="G18" i="17"/>
  <c r="F18" i="17"/>
  <c r="E18" i="17"/>
  <c r="D18" i="17"/>
  <c r="B18" i="17"/>
  <c r="I17" i="17"/>
  <c r="H17" i="17"/>
  <c r="G17" i="17"/>
  <c r="F17" i="17"/>
  <c r="E17" i="17"/>
  <c r="D17" i="17"/>
  <c r="B17" i="17"/>
  <c r="I16" i="17"/>
  <c r="H16" i="17"/>
  <c r="G16" i="17"/>
  <c r="F16" i="17"/>
  <c r="E16" i="17"/>
  <c r="D16" i="17"/>
  <c r="B16" i="17"/>
  <c r="I15" i="17"/>
  <c r="H15" i="17"/>
  <c r="G15" i="17"/>
  <c r="F15" i="17"/>
  <c r="E15" i="17"/>
  <c r="D15" i="17"/>
  <c r="B15" i="17"/>
  <c r="I14" i="17"/>
  <c r="H14" i="17"/>
  <c r="G14" i="17"/>
  <c r="F14" i="17"/>
  <c r="E14" i="17"/>
  <c r="D14" i="17"/>
  <c r="B14" i="17"/>
  <c r="I13" i="17"/>
  <c r="H13" i="17"/>
  <c r="G13" i="17"/>
  <c r="F13" i="17"/>
  <c r="E13" i="17"/>
  <c r="D13" i="17"/>
  <c r="B13" i="17"/>
  <c r="I12" i="17"/>
  <c r="H12" i="17"/>
  <c r="G12" i="17"/>
  <c r="F12" i="17"/>
  <c r="E12" i="17"/>
  <c r="D12" i="17"/>
  <c r="B12" i="17"/>
  <c r="I11" i="17"/>
  <c r="H11" i="17"/>
  <c r="G11" i="17"/>
  <c r="F11" i="17"/>
  <c r="E11" i="17"/>
  <c r="D11" i="17"/>
  <c r="B11" i="17"/>
  <c r="I10" i="17"/>
  <c r="H10" i="17"/>
  <c r="G10" i="17"/>
  <c r="F10" i="17"/>
  <c r="E10" i="17"/>
  <c r="D10" i="17"/>
  <c r="B10" i="17"/>
  <c r="B147" i="16"/>
  <c r="B146" i="16"/>
  <c r="D128" i="16"/>
  <c r="B128" i="16"/>
  <c r="D127" i="16"/>
  <c r="B127" i="16"/>
  <c r="D126" i="16"/>
  <c r="B126" i="16"/>
  <c r="D125" i="16"/>
  <c r="B125" i="16"/>
  <c r="D124" i="16"/>
  <c r="B124" i="16"/>
  <c r="D123" i="16"/>
  <c r="B123" i="16"/>
  <c r="D122" i="16"/>
  <c r="B122" i="16"/>
  <c r="D121" i="16"/>
  <c r="B121" i="16"/>
  <c r="D120" i="16"/>
  <c r="B120" i="16"/>
  <c r="D118" i="16"/>
  <c r="B118" i="16"/>
  <c r="D117" i="16"/>
  <c r="B117" i="16"/>
  <c r="D116" i="16"/>
  <c r="B116" i="16"/>
  <c r="D115" i="16"/>
  <c r="B115" i="16"/>
  <c r="D114" i="16"/>
  <c r="B114" i="16"/>
  <c r="D113" i="16"/>
  <c r="B113" i="16"/>
  <c r="D112" i="16"/>
  <c r="B112" i="16"/>
  <c r="B110" i="16"/>
  <c r="B109" i="16"/>
  <c r="B108" i="16"/>
  <c r="B107" i="16"/>
  <c r="B106" i="16"/>
  <c r="B105" i="16"/>
  <c r="D104" i="16"/>
  <c r="B104" i="16"/>
  <c r="B103" i="16"/>
  <c r="B102" i="16"/>
  <c r="B101" i="16"/>
  <c r="B100" i="16"/>
  <c r="B99" i="16"/>
  <c r="B98" i="16"/>
  <c r="B97" i="16"/>
  <c r="B96" i="16"/>
  <c r="B95" i="16"/>
  <c r="B94" i="16"/>
  <c r="B93" i="16"/>
  <c r="B92" i="16"/>
  <c r="B91" i="16"/>
  <c r="B90" i="16"/>
  <c r="B89" i="16"/>
  <c r="B88" i="16"/>
  <c r="B87" i="16"/>
  <c r="B86" i="16"/>
  <c r="B85" i="16"/>
  <c r="B84" i="16"/>
  <c r="B83" i="16"/>
  <c r="B82" i="16"/>
  <c r="D81" i="16"/>
  <c r="B81" i="16"/>
  <c r="D80" i="16"/>
  <c r="B80" i="16"/>
  <c r="D79" i="16"/>
  <c r="B79" i="16"/>
  <c r="D78" i="16"/>
  <c r="B78" i="16"/>
  <c r="D77" i="16"/>
  <c r="B77" i="16"/>
  <c r="D76" i="16"/>
  <c r="B76" i="16"/>
  <c r="D75" i="16"/>
  <c r="B75" i="16"/>
  <c r="D74" i="16"/>
  <c r="B74" i="16"/>
  <c r="D73" i="16"/>
  <c r="B73" i="16"/>
  <c r="B72" i="16"/>
  <c r="B71" i="16"/>
  <c r="B70" i="16"/>
  <c r="B69" i="16"/>
  <c r="B68" i="16"/>
  <c r="B67" i="16"/>
  <c r="B66" i="16"/>
  <c r="B65" i="16"/>
  <c r="B64" i="16"/>
  <c r="B63" i="16"/>
  <c r="B62" i="16"/>
  <c r="D61" i="16"/>
  <c r="B61" i="16"/>
  <c r="B60" i="16"/>
  <c r="B59" i="16"/>
  <c r="B58" i="16"/>
  <c r="B57" i="16"/>
  <c r="B56" i="16"/>
  <c r="B55" i="16"/>
  <c r="B54" i="16"/>
  <c r="B53" i="16"/>
  <c r="B52" i="16"/>
  <c r="B51" i="16"/>
  <c r="B50" i="16"/>
  <c r="B49" i="16"/>
  <c r="B47" i="16"/>
  <c r="B45" i="16"/>
  <c r="B44" i="16"/>
  <c r="B43" i="16"/>
  <c r="B42" i="16"/>
  <c r="B41" i="16"/>
  <c r="B40" i="16"/>
  <c r="B39" i="16"/>
  <c r="B38" i="16"/>
  <c r="B37" i="16"/>
  <c r="B36" i="16"/>
  <c r="B32" i="16"/>
  <c r="B31" i="16"/>
  <c r="B30" i="16"/>
  <c r="B29" i="16"/>
  <c r="B28" i="16"/>
  <c r="B27" i="16"/>
  <c r="B26" i="16"/>
  <c r="B25" i="16"/>
  <c r="B24" i="16"/>
  <c r="B23" i="16"/>
  <c r="B22" i="16"/>
  <c r="B21" i="16"/>
  <c r="B20" i="16"/>
  <c r="B19" i="16"/>
  <c r="B18" i="16"/>
  <c r="B17" i="16"/>
  <c r="B16" i="16"/>
  <c r="B15" i="16"/>
  <c r="B14" i="16"/>
  <c r="B12" i="16"/>
  <c r="B11" i="16"/>
  <c r="B10" i="16"/>
  <c r="A470" i="15"/>
  <c r="A469" i="15"/>
  <c r="L468" i="15"/>
  <c r="I468" i="15"/>
  <c r="A468" i="15"/>
  <c r="A467" i="15"/>
  <c r="L466" i="15"/>
  <c r="I466" i="15"/>
  <c r="A466" i="15"/>
  <c r="A463" i="15"/>
  <c r="A462" i="15"/>
  <c r="A461" i="15"/>
  <c r="A460" i="15"/>
  <c r="A459" i="15"/>
  <c r="A444" i="15"/>
  <c r="A443" i="15"/>
  <c r="A442" i="15"/>
  <c r="L441" i="15"/>
  <c r="I441" i="15"/>
  <c r="A441" i="15"/>
  <c r="A438" i="15"/>
  <c r="L437" i="15"/>
  <c r="A437" i="15"/>
  <c r="A436" i="15"/>
  <c r="A435" i="15"/>
  <c r="A434" i="15"/>
  <c r="A433" i="15"/>
  <c r="A432" i="15"/>
  <c r="A431" i="15"/>
  <c r="A430" i="15"/>
  <c r="A429" i="15"/>
  <c r="A428" i="15"/>
  <c r="A427" i="15"/>
  <c r="A426" i="15"/>
  <c r="A425" i="15"/>
  <c r="I424" i="15"/>
  <c r="A424" i="15"/>
  <c r="A423" i="15"/>
  <c r="I422" i="15"/>
  <c r="A422" i="15"/>
  <c r="A421" i="15"/>
  <c r="A420" i="15"/>
  <c r="A419" i="15"/>
  <c r="L418" i="15"/>
  <c r="I418" i="15"/>
  <c r="A418" i="15"/>
  <c r="G72" i="21"/>
  <c r="A417" i="15"/>
  <c r="A416" i="15"/>
  <c r="A415" i="15"/>
  <c r="A414" i="15"/>
  <c r="E113" i="21"/>
  <c r="D113" i="21"/>
  <c r="A406" i="15"/>
  <c r="A405" i="15"/>
  <c r="A404" i="15"/>
  <c r="A403" i="15"/>
  <c r="A402" i="15"/>
  <c r="A401" i="15"/>
  <c r="A400" i="15"/>
  <c r="A399" i="15"/>
  <c r="A398" i="15"/>
  <c r="A397" i="15"/>
  <c r="A396" i="15"/>
  <c r="A395" i="15"/>
  <c r="A394" i="15"/>
  <c r="A393" i="15"/>
  <c r="A392" i="15"/>
  <c r="L391" i="15"/>
  <c r="I391" i="15"/>
  <c r="A391" i="15"/>
  <c r="A388" i="15"/>
  <c r="A387" i="15"/>
  <c r="A384" i="15"/>
  <c r="A383" i="15"/>
  <c r="A382" i="15"/>
  <c r="A381" i="15"/>
  <c r="A380" i="15"/>
  <c r="A379" i="15"/>
  <c r="A378" i="15"/>
  <c r="A377" i="15"/>
  <c r="A376" i="15"/>
  <c r="A375" i="15"/>
  <c r="A374" i="15"/>
  <c r="A373" i="15"/>
  <c r="A372" i="15"/>
  <c r="A371" i="15"/>
  <c r="A370" i="15"/>
  <c r="A369" i="15"/>
  <c r="L368" i="15"/>
  <c r="I368" i="15"/>
  <c r="A368" i="15"/>
  <c r="A367" i="15"/>
  <c r="L366" i="15"/>
  <c r="I366" i="15"/>
  <c r="A366" i="15"/>
  <c r="A365" i="15"/>
  <c r="L364" i="15"/>
  <c r="I364" i="15"/>
  <c r="A364" i="15"/>
  <c r="A363" i="15"/>
  <c r="A362" i="15"/>
  <c r="A361" i="15"/>
  <c r="A360" i="15"/>
  <c r="A359" i="15"/>
  <c r="A358" i="15"/>
  <c r="A357" i="15"/>
  <c r="A356" i="15"/>
  <c r="A355" i="15"/>
  <c r="A354" i="15"/>
  <c r="A353" i="15"/>
  <c r="A352" i="15"/>
  <c r="L351" i="15"/>
  <c r="I351" i="15"/>
  <c r="A351" i="15"/>
  <c r="A350" i="15"/>
  <c r="L349" i="15"/>
  <c r="A349" i="15"/>
  <c r="A346" i="15"/>
  <c r="A345" i="15"/>
  <c r="A344" i="15"/>
  <c r="I343" i="15"/>
  <c r="A343" i="15"/>
  <c r="A342" i="15"/>
  <c r="A341" i="15"/>
  <c r="A331" i="15"/>
  <c r="A330" i="15"/>
  <c r="L329" i="15"/>
  <c r="I329" i="15"/>
  <c r="A329" i="15"/>
  <c r="A326" i="15"/>
  <c r="A325" i="15"/>
  <c r="A324" i="15"/>
  <c r="A323" i="15"/>
  <c r="A322" i="15"/>
  <c r="A318" i="15"/>
  <c r="A317" i="15"/>
  <c r="A316" i="15"/>
  <c r="L315" i="15"/>
  <c r="I315" i="15"/>
  <c r="A315" i="15"/>
  <c r="A314" i="15"/>
  <c r="L313" i="15"/>
  <c r="A313" i="15"/>
  <c r="A312" i="15"/>
  <c r="A311" i="15"/>
  <c r="A310" i="15"/>
  <c r="A309" i="15"/>
  <c r="A308" i="15"/>
  <c r="A307" i="15"/>
  <c r="A306" i="15"/>
  <c r="A305" i="15"/>
  <c r="A304" i="15"/>
  <c r="L303" i="15"/>
  <c r="I303" i="15"/>
  <c r="A303" i="15"/>
  <c r="A298" i="15"/>
  <c r="A297" i="15"/>
  <c r="A294" i="15"/>
  <c r="A293" i="15"/>
  <c r="A292" i="15"/>
  <c r="A291" i="15"/>
  <c r="A284" i="15"/>
  <c r="A283" i="15"/>
  <c r="A282" i="15"/>
  <c r="A281" i="15"/>
  <c r="A271" i="15"/>
  <c r="A270" i="15"/>
  <c r="A269" i="15"/>
  <c r="A262" i="15"/>
  <c r="A261" i="15"/>
  <c r="A260" i="15"/>
  <c r="A256" i="15"/>
  <c r="A255" i="15"/>
  <c r="A254" i="15"/>
  <c r="A250" i="15"/>
  <c r="A249" i="15"/>
  <c r="A248" i="15"/>
  <c r="A244" i="15"/>
  <c r="A243" i="15"/>
  <c r="A242" i="15"/>
  <c r="A230" i="15"/>
  <c r="A229" i="15"/>
  <c r="A228" i="15"/>
  <c r="A227" i="15"/>
  <c r="A226" i="15"/>
  <c r="A225" i="15"/>
  <c r="A224" i="15"/>
  <c r="A223" i="15"/>
  <c r="A222" i="15"/>
  <c r="A221" i="15"/>
  <c r="A220" i="15"/>
  <c r="A219" i="15"/>
  <c r="A218" i="15"/>
  <c r="A217" i="15"/>
  <c r="A216" i="15"/>
  <c r="A215" i="15"/>
  <c r="A214" i="15"/>
  <c r="A213" i="15"/>
  <c r="A205" i="15"/>
  <c r="A204" i="15"/>
  <c r="A201" i="15"/>
  <c r="A200" i="15"/>
  <c r="A199" i="15"/>
  <c r="A198" i="15"/>
  <c r="A197" i="15"/>
  <c r="A196" i="15"/>
  <c r="L195" i="15"/>
  <c r="I195" i="15"/>
  <c r="A195" i="15"/>
  <c r="A194" i="15"/>
  <c r="L193" i="15"/>
  <c r="I193" i="15"/>
  <c r="A193" i="15"/>
  <c r="A192" i="15"/>
  <c r="A191" i="15"/>
  <c r="A190" i="15"/>
  <c r="A189" i="15"/>
  <c r="A188" i="15"/>
  <c r="A187" i="15"/>
  <c r="A180" i="15"/>
  <c r="A179" i="15"/>
  <c r="A178" i="15"/>
  <c r="A177" i="15"/>
  <c r="A170" i="15"/>
  <c r="A169" i="15"/>
  <c r="A168" i="15"/>
  <c r="A164" i="15"/>
  <c r="A163" i="15"/>
  <c r="A162" i="15"/>
  <c r="A161" i="15"/>
  <c r="A160" i="15"/>
  <c r="A159" i="15"/>
  <c r="A158" i="15"/>
  <c r="A157" i="15"/>
  <c r="A156" i="15"/>
  <c r="A155" i="15"/>
  <c r="A154" i="15"/>
  <c r="A153" i="15"/>
  <c r="A152" i="15"/>
  <c r="A151" i="15"/>
  <c r="A147" i="15"/>
  <c r="A146" i="15"/>
  <c r="L145" i="15"/>
  <c r="I145" i="15"/>
  <c r="A145" i="15"/>
  <c r="A144" i="15"/>
  <c r="A143" i="15"/>
  <c r="A142" i="15"/>
  <c r="A141" i="15"/>
  <c r="A140" i="15"/>
  <c r="A139" i="15"/>
  <c r="A126" i="15"/>
  <c r="L125" i="15"/>
  <c r="I125" i="15"/>
  <c r="A125" i="15"/>
  <c r="A124" i="15"/>
  <c r="L123" i="15"/>
  <c r="I123" i="15"/>
  <c r="A123" i="15"/>
  <c r="A122" i="15"/>
  <c r="L121" i="15"/>
  <c r="I121" i="15"/>
  <c r="A121" i="15"/>
  <c r="A120" i="15"/>
  <c r="L119" i="15"/>
  <c r="I119" i="15"/>
  <c r="A119" i="15"/>
  <c r="A118" i="15"/>
  <c r="I117" i="15"/>
  <c r="A117" i="15"/>
  <c r="A116" i="15"/>
  <c r="A115" i="15"/>
  <c r="A114" i="15"/>
  <c r="A113" i="15"/>
  <c r="A111" i="15"/>
  <c r="A110" i="15"/>
  <c r="A107" i="15"/>
  <c r="I106" i="15"/>
  <c r="A106" i="15"/>
  <c r="A104" i="15"/>
  <c r="A103" i="15"/>
  <c r="A102" i="15"/>
  <c r="A101" i="15"/>
  <c r="A100" i="15"/>
  <c r="A99" i="15"/>
  <c r="A98" i="15"/>
  <c r="A97" i="15"/>
  <c r="A96" i="15"/>
  <c r="A95" i="15"/>
  <c r="A90" i="15"/>
  <c r="A89" i="15"/>
  <c r="A88" i="15"/>
  <c r="A83" i="15"/>
  <c r="A82" i="15"/>
  <c r="A48" i="15"/>
  <c r="I47" i="15"/>
  <c r="A47" i="15"/>
  <c r="A46" i="15"/>
  <c r="A45" i="15"/>
  <c r="A44" i="15"/>
  <c r="A43" i="15"/>
  <c r="A42" i="15"/>
  <c r="A41" i="15"/>
  <c r="L40" i="15"/>
  <c r="I40" i="15"/>
  <c r="A40" i="15"/>
  <c r="A39" i="15"/>
  <c r="A38" i="15"/>
  <c r="A37" i="15"/>
  <c r="A29" i="15"/>
  <c r="A28" i="15"/>
  <c r="A27" i="15"/>
  <c r="A26" i="15"/>
  <c r="A25" i="15"/>
  <c r="A24" i="15"/>
  <c r="A23" i="15"/>
  <c r="A22" i="15"/>
  <c r="A21" i="15"/>
  <c r="A19" i="15"/>
  <c r="A18" i="15"/>
  <c r="A17" i="15"/>
  <c r="A16" i="15"/>
  <c r="A15" i="15"/>
  <c r="A14" i="15"/>
  <c r="A13" i="15"/>
  <c r="A12" i="15"/>
  <c r="A11" i="15"/>
  <c r="A10" i="15"/>
  <c r="A1221" i="14"/>
  <c r="A1220" i="14"/>
  <c r="A1219" i="14"/>
  <c r="A1218" i="14"/>
  <c r="A1217" i="14"/>
  <c r="A1216" i="14"/>
  <c r="A1214" i="14"/>
  <c r="A1213" i="14"/>
  <c r="A1212" i="14"/>
  <c r="A1211" i="14"/>
  <c r="A1210" i="14"/>
  <c r="A1209" i="14"/>
  <c r="A1208" i="14"/>
  <c r="A1207" i="14"/>
  <c r="A1206" i="14"/>
  <c r="A1205" i="14"/>
  <c r="A1204" i="14"/>
  <c r="A1203" i="14"/>
  <c r="A1189" i="14"/>
  <c r="A1188" i="14"/>
  <c r="A1187" i="14"/>
  <c r="A1186" i="14"/>
  <c r="A1185" i="14"/>
  <c r="A1184" i="14"/>
  <c r="A1183" i="14"/>
  <c r="A1182" i="14"/>
  <c r="A1175" i="14"/>
  <c r="A1174" i="14"/>
  <c r="A1173" i="14"/>
  <c r="A1172" i="14"/>
  <c r="A1171" i="14"/>
  <c r="A1170" i="14"/>
  <c r="A1159" i="14"/>
  <c r="A1158" i="14"/>
  <c r="A1157" i="14"/>
  <c r="A1156" i="14"/>
  <c r="A1155" i="14"/>
  <c r="A1154" i="14"/>
  <c r="A1149" i="14"/>
  <c r="A1148" i="14"/>
  <c r="A1147" i="14"/>
  <c r="A1146" i="14"/>
  <c r="A1145" i="14"/>
  <c r="A1144" i="14"/>
  <c r="A1143" i="14"/>
  <c r="A1142" i="14"/>
  <c r="A1137" i="14"/>
  <c r="A1127" i="14"/>
  <c r="A1126" i="14"/>
  <c r="A1125" i="14"/>
  <c r="A1123" i="14"/>
  <c r="A1122" i="14"/>
  <c r="A1116" i="14"/>
  <c r="A1112" i="14"/>
  <c r="A1111" i="14"/>
  <c r="A1107" i="14"/>
  <c r="A1106" i="14"/>
  <c r="A1103" i="14"/>
  <c r="F60" i="16"/>
  <c r="A1101" i="14"/>
  <c r="A1100" i="14"/>
  <c r="A1099" i="14"/>
  <c r="A1092" i="14"/>
  <c r="A1090" i="14"/>
  <c r="A1089" i="14"/>
  <c r="A1088" i="14"/>
  <c r="A1085" i="14"/>
  <c r="A1084" i="14"/>
  <c r="A1083" i="14"/>
  <c r="A1082" i="14"/>
  <c r="A1081" i="14"/>
  <c r="A1080" i="14"/>
  <c r="A1053" i="14"/>
  <c r="A1044" i="14"/>
  <c r="A1043" i="14"/>
  <c r="A1042" i="14"/>
  <c r="D109" i="16"/>
  <c r="A1041" i="14"/>
  <c r="A1040" i="14"/>
  <c r="A1030" i="14"/>
  <c r="A1029" i="14"/>
  <c r="A1024" i="14"/>
  <c r="A1023" i="14"/>
  <c r="A1022" i="14"/>
  <c r="A1021" i="14"/>
  <c r="A1020" i="14"/>
  <c r="A1019" i="14"/>
  <c r="A1018" i="14"/>
  <c r="A1017" i="14"/>
  <c r="A1016" i="14"/>
  <c r="A1015" i="14"/>
  <c r="A1014" i="14"/>
  <c r="A1013" i="14"/>
  <c r="A1012" i="14"/>
  <c r="A1011" i="14"/>
  <c r="A1010" i="14"/>
  <c r="A1009" i="14"/>
  <c r="A1008" i="14"/>
  <c r="A1007" i="14"/>
  <c r="A1006" i="14"/>
  <c r="A997" i="14"/>
  <c r="A996" i="14"/>
  <c r="A995" i="14"/>
  <c r="A994" i="14"/>
  <c r="A993" i="14"/>
  <c r="A992" i="14"/>
  <c r="A991" i="14"/>
  <c r="A990" i="14"/>
  <c r="A989" i="14"/>
  <c r="A988" i="14"/>
  <c r="A984" i="14"/>
  <c r="A983" i="14"/>
  <c r="A982" i="14"/>
  <c r="A981" i="14"/>
  <c r="A980" i="14"/>
  <c r="A979" i="14"/>
  <c r="A978" i="14"/>
  <c r="A977" i="14"/>
  <c r="A976" i="14"/>
  <c r="A975" i="14"/>
  <c r="A974" i="14"/>
  <c r="A973" i="14"/>
  <c r="A972" i="14"/>
  <c r="A971" i="14"/>
  <c r="A970" i="14"/>
  <c r="A969" i="14"/>
  <c r="A968" i="14"/>
  <c r="A963" i="14"/>
  <c r="A962" i="14"/>
  <c r="A961" i="14"/>
  <c r="A960" i="14"/>
  <c r="A959" i="14"/>
  <c r="A958" i="14"/>
  <c r="A954" i="14"/>
  <c r="A953" i="14"/>
  <c r="A952" i="14"/>
  <c r="A951" i="14"/>
  <c r="A950" i="14"/>
  <c r="A939" i="14"/>
  <c r="A938" i="14"/>
  <c r="A937" i="14"/>
  <c r="A932" i="14"/>
  <c r="A931" i="14"/>
  <c r="A930" i="14"/>
  <c r="A929" i="14"/>
  <c r="A928" i="14"/>
  <c r="A927" i="14"/>
  <c r="A926" i="14"/>
  <c r="A924" i="14"/>
  <c r="A923" i="14"/>
  <c r="A922" i="14"/>
  <c r="A921" i="14"/>
  <c r="A920" i="14"/>
  <c r="A915" i="14"/>
  <c r="A914" i="14"/>
  <c r="A913" i="14"/>
  <c r="A912" i="14"/>
  <c r="A911" i="14"/>
  <c r="A910" i="14"/>
  <c r="A909" i="14"/>
  <c r="A908" i="14"/>
  <c r="A907" i="14"/>
  <c r="A906" i="14"/>
  <c r="A903" i="14"/>
  <c r="A902" i="14"/>
  <c r="A901" i="14"/>
  <c r="A900" i="14"/>
  <c r="A890" i="14"/>
  <c r="A889" i="14"/>
  <c r="A888" i="14"/>
  <c r="A887" i="14"/>
  <c r="A886" i="14"/>
  <c r="A885" i="14"/>
  <c r="A884" i="14"/>
  <c r="A883" i="14"/>
  <c r="A882" i="14"/>
  <c r="A881" i="14"/>
  <c r="A880" i="14"/>
  <c r="A879" i="14"/>
  <c r="A878" i="14"/>
  <c r="A877" i="14"/>
  <c r="A871" i="14"/>
  <c r="A870" i="14"/>
  <c r="A869" i="14"/>
  <c r="A868" i="14"/>
  <c r="A867" i="14"/>
  <c r="A866" i="14"/>
  <c r="A865" i="14"/>
  <c r="A864" i="14"/>
  <c r="A863" i="14"/>
  <c r="A862" i="14"/>
  <c r="A843" i="14"/>
  <c r="A833" i="14"/>
  <c r="A828" i="14"/>
  <c r="A827" i="14"/>
  <c r="A826" i="14"/>
  <c r="A825" i="14"/>
  <c r="A824" i="14"/>
  <c r="A823" i="14"/>
  <c r="A822" i="14"/>
  <c r="A821" i="14"/>
  <c r="A820" i="14"/>
  <c r="A819" i="14"/>
  <c r="A818" i="14"/>
  <c r="A817" i="14"/>
  <c r="A816" i="14"/>
  <c r="A815" i="14"/>
  <c r="A808" i="14"/>
  <c r="A807" i="14"/>
  <c r="A806" i="14"/>
  <c r="A805" i="14"/>
  <c r="A804" i="14"/>
  <c r="A803" i="14"/>
  <c r="A802" i="14"/>
  <c r="A792" i="14"/>
  <c r="A791" i="14"/>
  <c r="A790" i="14"/>
  <c r="A789" i="14"/>
  <c r="A788" i="14"/>
  <c r="A786" i="14"/>
  <c r="A785" i="14"/>
  <c r="A784" i="14"/>
  <c r="A783" i="14"/>
  <c r="A782" i="14"/>
  <c r="A781" i="14"/>
  <c r="A769" i="14"/>
  <c r="A768" i="14"/>
  <c r="A767" i="14"/>
  <c r="A766" i="14"/>
  <c r="A763" i="14"/>
  <c r="A761" i="14"/>
  <c r="A760" i="14"/>
  <c r="A759" i="14"/>
  <c r="A758" i="14"/>
  <c r="A757" i="14"/>
  <c r="A756" i="14"/>
  <c r="A755" i="14"/>
  <c r="A754" i="14"/>
  <c r="A753" i="14"/>
  <c r="A752" i="14"/>
  <c r="A751" i="14"/>
  <c r="A750" i="14"/>
  <c r="A749" i="14"/>
  <c r="A748" i="14"/>
  <c r="A747" i="14"/>
  <c r="A746" i="14"/>
  <c r="A740" i="14"/>
  <c r="A739" i="14"/>
  <c r="A738" i="14"/>
  <c r="A733" i="14"/>
  <c r="A732" i="14"/>
  <c r="A731" i="14"/>
  <c r="A730" i="14"/>
  <c r="A727" i="14"/>
  <c r="A726" i="14"/>
  <c r="A725" i="14"/>
  <c r="A724" i="14"/>
  <c r="A712" i="14"/>
  <c r="A701" i="14"/>
  <c r="A699" i="14"/>
  <c r="A698" i="14"/>
  <c r="A697" i="14"/>
  <c r="A693" i="14"/>
  <c r="A692" i="14"/>
  <c r="A691" i="14"/>
  <c r="A687" i="14"/>
  <c r="A686" i="14"/>
  <c r="A685" i="14"/>
  <c r="A681" i="14"/>
  <c r="A680" i="14"/>
  <c r="A679" i="14"/>
  <c r="A674" i="14"/>
  <c r="A673" i="14"/>
  <c r="A672" i="14"/>
  <c r="A671" i="14"/>
  <c r="A670" i="14"/>
  <c r="A669" i="14"/>
  <c r="A668" i="14"/>
  <c r="A667" i="14"/>
  <c r="A666" i="14"/>
  <c r="A665" i="14"/>
  <c r="A664" i="14"/>
  <c r="A663" i="14"/>
  <c r="A662" i="14"/>
  <c r="A661" i="14"/>
  <c r="A660" i="14"/>
  <c r="A659" i="14"/>
  <c r="A658" i="14"/>
  <c r="A657" i="14"/>
  <c r="A656" i="14"/>
  <c r="A655" i="14"/>
  <c r="A654" i="14"/>
  <c r="A653" i="14"/>
  <c r="A652" i="14"/>
  <c r="A651" i="14"/>
  <c r="A650" i="14"/>
  <c r="A649" i="14"/>
  <c r="A648" i="14"/>
  <c r="A644" i="14"/>
  <c r="A643" i="14"/>
  <c r="A642" i="14"/>
  <c r="A641" i="14"/>
  <c r="A640" i="14"/>
  <c r="A639" i="14"/>
  <c r="A638" i="14"/>
  <c r="A637" i="14"/>
  <c r="A628" i="14"/>
  <c r="A627" i="14"/>
  <c r="A626" i="14"/>
  <c r="A621" i="14"/>
  <c r="A620" i="14"/>
  <c r="A619" i="14"/>
  <c r="A618" i="14"/>
  <c r="A617" i="14"/>
  <c r="A616" i="14"/>
  <c r="A615" i="14"/>
  <c r="A614" i="14"/>
  <c r="A613" i="14"/>
  <c r="A610" i="14"/>
  <c r="A609" i="14"/>
  <c r="A608" i="14"/>
  <c r="A607" i="14"/>
  <c r="A606" i="14"/>
  <c r="A605" i="14"/>
  <c r="A603" i="14"/>
  <c r="A602" i="14"/>
  <c r="A600" i="14"/>
  <c r="A599" i="14"/>
  <c r="A598" i="14"/>
  <c r="A597" i="14"/>
  <c r="A596" i="14"/>
  <c r="A595" i="14"/>
  <c r="A594" i="14"/>
  <c r="A593" i="14"/>
  <c r="A592" i="14"/>
  <c r="A590" i="14"/>
  <c r="A589" i="14"/>
  <c r="A588" i="14"/>
  <c r="A583" i="14"/>
  <c r="A582" i="14"/>
  <c r="A581" i="14"/>
  <c r="A580" i="14"/>
  <c r="A573" i="14"/>
  <c r="A572" i="14"/>
  <c r="A571" i="14"/>
  <c r="A569" i="14"/>
  <c r="A568" i="14"/>
  <c r="A567" i="14"/>
  <c r="A558" i="14"/>
  <c r="A557" i="14"/>
  <c r="A555" i="14"/>
  <c r="A554" i="14"/>
  <c r="A553" i="14"/>
  <c r="A552" i="14"/>
  <c r="A551" i="14"/>
  <c r="A550" i="14"/>
  <c r="A549" i="14"/>
  <c r="A548" i="14"/>
  <c r="A547" i="14"/>
  <c r="A546" i="14"/>
  <c r="A545" i="14"/>
  <c r="A544" i="14"/>
  <c r="A543" i="14"/>
  <c r="A542" i="14"/>
  <c r="A541" i="14"/>
  <c r="A540" i="14"/>
  <c r="A539" i="14"/>
  <c r="A538" i="14"/>
  <c r="A537" i="14"/>
  <c r="A536" i="14"/>
  <c r="A535" i="14"/>
  <c r="A534" i="14"/>
  <c r="A533" i="14"/>
  <c r="A532" i="14"/>
  <c r="A531" i="14"/>
  <c r="A530" i="14"/>
  <c r="A529" i="14"/>
  <c r="A528" i="14"/>
  <c r="A527" i="14"/>
  <c r="A525" i="14"/>
  <c r="A524" i="14"/>
  <c r="A523" i="14"/>
  <c r="A522" i="14"/>
  <c r="A521" i="14"/>
  <c r="A520" i="14"/>
  <c r="A519" i="14"/>
  <c r="A518" i="14"/>
  <c r="A517" i="14"/>
  <c r="A516" i="14"/>
  <c r="A515" i="14"/>
  <c r="A514" i="14"/>
  <c r="A513" i="14"/>
  <c r="A512" i="14"/>
  <c r="F29" i="16"/>
  <c r="A511" i="14"/>
  <c r="A510" i="14"/>
  <c r="A509" i="14"/>
  <c r="A508" i="14"/>
  <c r="A507" i="14"/>
  <c r="A506" i="14"/>
  <c r="A505" i="14"/>
  <c r="A504" i="14"/>
  <c r="A503" i="14"/>
  <c r="A500" i="14"/>
  <c r="A499" i="14"/>
  <c r="A498" i="14"/>
  <c r="A497" i="14"/>
  <c r="A496" i="14"/>
  <c r="A495" i="14"/>
  <c r="A494" i="14"/>
  <c r="A493" i="14"/>
  <c r="A489" i="14"/>
  <c r="A488" i="14"/>
  <c r="A487" i="14"/>
  <c r="A486" i="14"/>
  <c r="A485" i="14"/>
  <c r="A484" i="14"/>
  <c r="A483" i="14"/>
  <c r="A482" i="14"/>
  <c r="A481" i="14"/>
  <c r="A478" i="14"/>
  <c r="A477" i="14"/>
  <c r="A476" i="14"/>
  <c r="A470" i="14"/>
  <c r="A447" i="14"/>
  <c r="A446" i="14"/>
  <c r="A445" i="14"/>
  <c r="A444" i="14"/>
  <c r="A443" i="14"/>
  <c r="A442" i="14"/>
  <c r="A441" i="14"/>
  <c r="A440" i="14"/>
  <c r="A439" i="14"/>
  <c r="A438" i="14"/>
  <c r="A437" i="14"/>
  <c r="A436" i="14"/>
  <c r="A428" i="14"/>
  <c r="A427" i="14"/>
  <c r="A426" i="14"/>
  <c r="A425" i="14"/>
  <c r="A424" i="14"/>
  <c r="A423" i="14"/>
  <c r="A422" i="14"/>
  <c r="A421" i="14"/>
  <c r="A420" i="14"/>
  <c r="A419" i="14"/>
  <c r="A418" i="14"/>
  <c r="A417" i="14"/>
  <c r="A416" i="14"/>
  <c r="A415" i="14"/>
  <c r="A414" i="14"/>
  <c r="A413" i="14"/>
  <c r="A412" i="14"/>
  <c r="A408" i="14"/>
  <c r="A407" i="14"/>
  <c r="A406" i="14"/>
  <c r="A405" i="14"/>
  <c r="A404" i="14"/>
  <c r="A398" i="14"/>
  <c r="A397" i="14"/>
  <c r="A394" i="14"/>
  <c r="A393" i="14"/>
  <c r="A388" i="14"/>
  <c r="A387" i="14"/>
  <c r="A386" i="14"/>
  <c r="A385" i="14"/>
  <c r="A384" i="14"/>
  <c r="A378" i="14"/>
  <c r="A377" i="14"/>
  <c r="A376" i="14"/>
  <c r="A375" i="14"/>
  <c r="A374" i="14"/>
  <c r="A373" i="14"/>
  <c r="A370" i="14"/>
  <c r="A369" i="14"/>
  <c r="A368" i="14"/>
  <c r="A367" i="14"/>
  <c r="A362" i="14"/>
  <c r="A361" i="14"/>
  <c r="A360" i="14"/>
  <c r="A357" i="14"/>
  <c r="A356" i="14"/>
  <c r="A355" i="14"/>
  <c r="A354" i="14"/>
  <c r="A353" i="14"/>
  <c r="A352" i="14"/>
  <c r="A351" i="14"/>
  <c r="A350" i="14"/>
  <c r="A349" i="14"/>
  <c r="A348" i="14"/>
  <c r="A347" i="14"/>
  <c r="A346" i="14"/>
  <c r="A345" i="14"/>
  <c r="A344" i="14"/>
  <c r="A343" i="14"/>
  <c r="A342" i="14"/>
  <c r="A337" i="14"/>
  <c r="A336" i="14"/>
  <c r="A296" i="14"/>
  <c r="A295" i="14"/>
  <c r="A293" i="14"/>
  <c r="A292" i="14"/>
  <c r="A239" i="14"/>
  <c r="A232" i="14"/>
  <c r="A229" i="14"/>
  <c r="A228" i="14"/>
  <c r="A225" i="14"/>
  <c r="A224" i="14"/>
  <c r="A223" i="14"/>
  <c r="A218" i="14"/>
  <c r="A217" i="14"/>
  <c r="A136" i="14"/>
  <c r="A135" i="14"/>
  <c r="A134" i="14"/>
  <c r="A133" i="14"/>
  <c r="A111" i="14"/>
  <c r="A110" i="14"/>
  <c r="A109" i="14"/>
  <c r="A108" i="14"/>
  <c r="A107" i="14"/>
  <c r="A106" i="14"/>
  <c r="A105" i="14"/>
  <c r="A104" i="14"/>
  <c r="A103" i="14"/>
  <c r="A100" i="14"/>
  <c r="A99" i="14"/>
  <c r="A98" i="14"/>
  <c r="A89" i="14"/>
  <c r="A88" i="14"/>
  <c r="A87" i="14"/>
  <c r="A86" i="14"/>
  <c r="A85" i="14"/>
  <c r="A84" i="14"/>
  <c r="A62" i="14"/>
  <c r="A60" i="14"/>
  <c r="A57" i="14"/>
  <c r="A56" i="14"/>
  <c r="A55" i="14"/>
  <c r="A54" i="14"/>
  <c r="A53" i="14"/>
  <c r="A49" i="14"/>
  <c r="A48" i="14"/>
  <c r="A47" i="14"/>
  <c r="A46" i="14"/>
  <c r="A45" i="14"/>
  <c r="A44" i="14"/>
  <c r="A43" i="14"/>
  <c r="A42" i="14"/>
  <c r="A41" i="14"/>
  <c r="A40" i="14"/>
  <c r="A39" i="14"/>
  <c r="A38" i="14"/>
  <c r="A37" i="14"/>
  <c r="A36" i="14"/>
  <c r="A35" i="14"/>
  <c r="A34" i="14"/>
  <c r="A33" i="14"/>
  <c r="A32" i="14"/>
  <c r="A31" i="14"/>
  <c r="A30" i="14"/>
  <c r="A29" i="14"/>
  <c r="A28" i="14"/>
  <c r="A25" i="14"/>
  <c r="A23" i="14"/>
  <c r="A22" i="14"/>
  <c r="A21" i="14"/>
  <c r="A20" i="14"/>
  <c r="A15" i="14"/>
  <c r="A14" i="14"/>
  <c r="A13" i="14"/>
  <c r="A12" i="14"/>
  <c r="A11" i="14"/>
  <c r="A10" i="14"/>
  <c r="D15" i="10"/>
  <c r="D14" i="10"/>
  <c r="D20" i="10" s="1"/>
  <c r="B42" i="7"/>
  <c r="C40" i="7" s="1"/>
  <c r="B21" i="7"/>
  <c r="F22" i="6"/>
  <c r="C22" i="6"/>
  <c r="F16" i="6"/>
  <c r="C16" i="6"/>
  <c r="F13" i="6"/>
  <c r="H13" i="6" s="1"/>
  <c r="C13" i="6"/>
  <c r="F11" i="6"/>
  <c r="H11" i="6" s="1"/>
  <c r="C11" i="6"/>
  <c r="E11" i="6" s="1"/>
  <c r="C24" i="5"/>
  <c r="C18" i="5"/>
  <c r="B19" i="7" s="1"/>
  <c r="C16" i="5"/>
  <c r="E16" i="5" s="1"/>
  <c r="C13" i="5"/>
  <c r="E13" i="5" s="1"/>
  <c r="C11" i="5"/>
  <c r="E11" i="5" s="1"/>
  <c r="C120" i="4"/>
  <c r="C119" i="4"/>
  <c r="C116" i="4"/>
  <c r="C113" i="4"/>
  <c r="C112" i="4"/>
  <c r="C110" i="4"/>
  <c r="C108" i="4"/>
  <c r="C107" i="4"/>
  <c r="C106" i="4"/>
  <c r="C105" i="4"/>
  <c r="C104" i="4"/>
  <c r="C101" i="4"/>
  <c r="C95" i="4"/>
  <c r="C94" i="4"/>
  <c r="C93" i="4"/>
  <c r="C92" i="4"/>
  <c r="C91" i="4"/>
  <c r="C90" i="4"/>
  <c r="C89" i="4"/>
  <c r="C88" i="4"/>
  <c r="C87" i="4"/>
  <c r="C84" i="4"/>
  <c r="C83" i="4"/>
  <c r="C79" i="4"/>
  <c r="C77" i="4"/>
  <c r="C75" i="4"/>
  <c r="C70" i="4"/>
  <c r="C69" i="4"/>
  <c r="C68" i="4"/>
  <c r="C67" i="4"/>
  <c r="C66" i="4"/>
  <c r="C63" i="4"/>
  <c r="C62" i="4"/>
  <c r="C60" i="4"/>
  <c r="C58" i="4"/>
  <c r="C57" i="4"/>
  <c r="C56" i="4"/>
  <c r="C53" i="4"/>
  <c r="C52" i="4"/>
  <c r="C50" i="4"/>
  <c r="C49" i="4"/>
  <c r="C48" i="4"/>
  <c r="C47" i="4"/>
  <c r="C45" i="4"/>
  <c r="C44" i="4"/>
  <c r="C43" i="4"/>
  <c r="C42" i="4"/>
  <c r="C41" i="4"/>
  <c r="C40" i="4"/>
  <c r="C39" i="4"/>
  <c r="C38" i="4"/>
  <c r="C37" i="4"/>
  <c r="C36" i="4"/>
  <c r="C35" i="4"/>
  <c r="C34" i="4"/>
  <c r="C32" i="4"/>
  <c r="C31" i="4"/>
  <c r="C30" i="4"/>
  <c r="C29" i="4"/>
  <c r="C28" i="4"/>
  <c r="C27" i="4"/>
  <c r="C25" i="4"/>
  <c r="C24" i="4"/>
  <c r="C120" i="3"/>
  <c r="C119" i="3"/>
  <c r="C116" i="3"/>
  <c r="C113" i="3"/>
  <c r="C112" i="3"/>
  <c r="C110" i="3"/>
  <c r="C108" i="3"/>
  <c r="C107" i="3"/>
  <c r="C106" i="3"/>
  <c r="C104" i="3"/>
  <c r="C101" i="3"/>
  <c r="C95" i="3"/>
  <c r="C94" i="3"/>
  <c r="C93" i="3"/>
  <c r="C92" i="3"/>
  <c r="C91" i="3"/>
  <c r="C90" i="3"/>
  <c r="C89" i="3"/>
  <c r="C88" i="3"/>
  <c r="C87" i="3"/>
  <c r="C84" i="3"/>
  <c r="C83" i="3"/>
  <c r="C79" i="3"/>
  <c r="C77" i="3"/>
  <c r="C76" i="3"/>
  <c r="C75" i="3"/>
  <c r="C69" i="3"/>
  <c r="C68" i="3"/>
  <c r="C67" i="3"/>
  <c r="C66" i="3"/>
  <c r="C63" i="3"/>
  <c r="C57" i="3"/>
  <c r="C56" i="3"/>
  <c r="C53" i="3"/>
  <c r="C50" i="3"/>
  <c r="C49" i="3"/>
  <c r="C47" i="3"/>
  <c r="C45" i="3"/>
  <c r="C44" i="3"/>
  <c r="C43" i="3"/>
  <c r="C42" i="3"/>
  <c r="C41" i="3"/>
  <c r="C40" i="3"/>
  <c r="C39" i="3"/>
  <c r="C38" i="3"/>
  <c r="C37" i="3"/>
  <c r="C36" i="3"/>
  <c r="C35" i="3"/>
  <c r="C34" i="3"/>
  <c r="C32" i="3"/>
  <c r="C31" i="3"/>
  <c r="C30" i="3"/>
  <c r="C29" i="3"/>
  <c r="C28" i="3"/>
  <c r="C27" i="3"/>
  <c r="C25" i="3"/>
  <c r="C24" i="3"/>
  <c r="C21" i="3"/>
  <c r="C19" i="3"/>
  <c r="C18" i="3"/>
  <c r="C17" i="3"/>
  <c r="C16" i="3"/>
  <c r="C12" i="3"/>
  <c r="C10" i="3"/>
  <c r="M95" i="2"/>
  <c r="O95" i="2" s="1"/>
  <c r="J95" i="2"/>
  <c r="L95" i="2" s="1"/>
  <c r="M49" i="2"/>
  <c r="O49" i="2" s="1"/>
  <c r="L49" i="2"/>
  <c r="M44" i="2"/>
  <c r="O44" i="2" s="1"/>
  <c r="J44" i="2"/>
  <c r="M35" i="2"/>
  <c r="O35" i="2" s="1"/>
  <c r="J35" i="2"/>
  <c r="L35" i="2" s="1"/>
  <c r="M33" i="2"/>
  <c r="O33" i="2" s="1"/>
  <c r="J33" i="2"/>
  <c r="L33" i="2" s="1"/>
  <c r="M30" i="2"/>
  <c r="O30" i="2" s="1"/>
  <c r="J30" i="2"/>
  <c r="L30" i="2" s="1"/>
  <c r="O27" i="2"/>
  <c r="J27" i="2"/>
  <c r="L27" i="2" s="1"/>
  <c r="M25" i="2"/>
  <c r="O25" i="2" s="1"/>
  <c r="J25" i="2"/>
  <c r="L25" i="2" s="1"/>
  <c r="M20" i="2"/>
  <c r="O20" i="2" s="1"/>
  <c r="J20" i="2"/>
  <c r="L20" i="2" s="1"/>
  <c r="M16" i="2"/>
  <c r="O16" i="2" s="1"/>
  <c r="J16" i="2"/>
  <c r="L16" i="2" s="1"/>
  <c r="M14" i="2"/>
  <c r="O14" i="2" s="1"/>
  <c r="J14" i="2"/>
  <c r="L14" i="2" s="1"/>
  <c r="M12" i="2"/>
  <c r="O12" i="2" s="1"/>
  <c r="J12" i="2"/>
  <c r="L12" i="2" s="1"/>
  <c r="L115" i="1"/>
  <c r="L51" i="1"/>
  <c r="L46" i="1"/>
  <c r="L33" i="1"/>
  <c r="L30" i="1"/>
  <c r="L27" i="1"/>
  <c r="L25" i="1"/>
  <c r="L20" i="1"/>
  <c r="L16" i="1"/>
  <c r="L14" i="1"/>
  <c r="C15" i="5" l="1"/>
  <c r="E15" i="5" s="1"/>
  <c r="E18" i="5"/>
  <c r="L297" i="15"/>
  <c r="I297" i="15"/>
  <c r="I294" i="15" s="1"/>
  <c r="L44" i="2"/>
  <c r="J43" i="2"/>
  <c r="D27" i="21"/>
  <c r="L106" i="15"/>
  <c r="L102" i="15" s="1"/>
  <c r="G27" i="21"/>
  <c r="I102" i="15"/>
  <c r="L95" i="15"/>
  <c r="L88" i="15" s="1"/>
  <c r="L83" i="15" s="1"/>
  <c r="I95" i="15"/>
  <c r="I88" i="15" s="1"/>
  <c r="I83" i="15" s="1"/>
  <c r="I37" i="15"/>
  <c r="I26" i="15" s="1"/>
  <c r="L37" i="15"/>
  <c r="L26" i="15" s="1"/>
  <c r="L16" i="15"/>
  <c r="I242" i="15"/>
  <c r="L242" i="15"/>
  <c r="B18" i="10"/>
  <c r="B16" i="10" s="1"/>
  <c r="E16" i="6"/>
  <c r="C21" i="6"/>
  <c r="E21" i="6" s="1"/>
  <c r="E22" i="6"/>
  <c r="B15" i="10"/>
  <c r="B21" i="10" s="1"/>
  <c r="E13" i="6"/>
  <c r="F21" i="6"/>
  <c r="H21" i="6" s="1"/>
  <c r="H22" i="6"/>
  <c r="F15" i="6"/>
  <c r="H15" i="6" s="1"/>
  <c r="H16" i="6"/>
  <c r="I401" i="15"/>
  <c r="L417" i="15"/>
  <c r="I72" i="21" s="1"/>
  <c r="I426" i="15"/>
  <c r="I427" i="15"/>
  <c r="I433" i="15"/>
  <c r="F31" i="21"/>
  <c r="L218" i="15"/>
  <c r="D47" i="21"/>
  <c r="I225" i="15"/>
  <c r="L405" i="15"/>
  <c r="I416" i="15"/>
  <c r="F71" i="21" s="1"/>
  <c r="I417" i="15"/>
  <c r="F72" i="21" s="1"/>
  <c r="L47" i="15"/>
  <c r="I191" i="15"/>
  <c r="I217" i="15"/>
  <c r="I218" i="15"/>
  <c r="G19" i="21"/>
  <c r="L358" i="15"/>
  <c r="L374" i="15"/>
  <c r="I405" i="15"/>
  <c r="I437" i="15"/>
  <c r="I339" i="15"/>
  <c r="L23" i="15"/>
  <c r="I46" i="15"/>
  <c r="F91" i="21" s="1"/>
  <c r="L177" i="15"/>
  <c r="L168" i="15" s="1"/>
  <c r="I358" i="15"/>
  <c r="I374" i="15"/>
  <c r="I23" i="15"/>
  <c r="I13" i="15"/>
  <c r="G39" i="21"/>
  <c r="L151" i="15"/>
  <c r="L157" i="15"/>
  <c r="L343" i="15"/>
  <c r="G21" i="21"/>
  <c r="L377" i="15"/>
  <c r="L13" i="15"/>
  <c r="I177" i="15"/>
  <c r="I168" i="15" s="1"/>
  <c r="F40" i="21" s="1"/>
  <c r="L117" i="15"/>
  <c r="L143" i="15"/>
  <c r="I151" i="15"/>
  <c r="I155" i="15"/>
  <c r="F16" i="21" s="1"/>
  <c r="I157" i="15"/>
  <c r="L162" i="15"/>
  <c r="L306" i="15"/>
  <c r="L307" i="15"/>
  <c r="I376" i="15"/>
  <c r="F21" i="21" s="1"/>
  <c r="I377" i="15"/>
  <c r="L396" i="15"/>
  <c r="I16" i="15"/>
  <c r="I142" i="15"/>
  <c r="F38" i="21" s="1"/>
  <c r="I143" i="15"/>
  <c r="I161" i="15"/>
  <c r="I162" i="15"/>
  <c r="I306" i="15"/>
  <c r="I307" i="15"/>
  <c r="I312" i="15"/>
  <c r="I313" i="15"/>
  <c r="I396" i="15"/>
  <c r="L401" i="15"/>
  <c r="L422" i="15"/>
  <c r="L426" i="15"/>
  <c r="L427" i="15"/>
  <c r="L433" i="15"/>
  <c r="G47" i="21"/>
  <c r="L225" i="15"/>
  <c r="I346" i="15"/>
  <c r="I349" i="15"/>
  <c r="G32" i="21"/>
  <c r="L191" i="15"/>
  <c r="L339" i="15"/>
  <c r="F67" i="16"/>
  <c r="F49" i="16"/>
  <c r="F31" i="16"/>
  <c r="D91" i="16"/>
  <c r="F91" i="16"/>
  <c r="D39" i="16"/>
  <c r="F39" i="16"/>
  <c r="F110" i="16"/>
  <c r="C52" i="3"/>
  <c r="F94" i="16"/>
  <c r="D106" i="16"/>
  <c r="F34" i="16"/>
  <c r="D51" i="16"/>
  <c r="F63" i="16"/>
  <c r="D44" i="16"/>
  <c r="C23" i="5"/>
  <c r="E23" i="5" s="1"/>
  <c r="E24" i="5"/>
  <c r="L36" i="1"/>
  <c r="L38" i="1"/>
  <c r="B13" i="22"/>
  <c r="F21" i="16"/>
  <c r="F131" i="16"/>
  <c r="E74" i="21"/>
  <c r="E137" i="21"/>
  <c r="F32" i="16"/>
  <c r="E40" i="21"/>
  <c r="D23" i="16"/>
  <c r="D96" i="21"/>
  <c r="C10" i="6"/>
  <c r="E10" i="6" s="1"/>
  <c r="I356" i="15"/>
  <c r="C17" i="29"/>
  <c r="I49" i="17"/>
  <c r="E17" i="21"/>
  <c r="M24" i="2"/>
  <c r="M43" i="2"/>
  <c r="C42" i="7"/>
  <c r="G49" i="17"/>
  <c r="C41" i="7"/>
  <c r="F10" i="6"/>
  <c r="H10" i="6" s="1"/>
  <c r="C39" i="7"/>
  <c r="D27" i="16"/>
  <c r="D74" i="21"/>
  <c r="J24" i="2"/>
  <c r="L24" i="2" s="1"/>
  <c r="D17" i="29"/>
  <c r="D12" i="16"/>
  <c r="E20" i="21"/>
  <c r="E73" i="21"/>
  <c r="I52" i="17"/>
  <c r="I381" i="15"/>
  <c r="F35" i="16"/>
  <c r="D31" i="23"/>
  <c r="E38" i="21"/>
  <c r="C31" i="23"/>
  <c r="C15" i="6"/>
  <c r="E15" i="6" s="1"/>
  <c r="B17" i="7"/>
  <c r="C16" i="28"/>
  <c r="C10" i="5"/>
  <c r="E10" i="5" s="1"/>
  <c r="B14" i="7"/>
  <c r="D39" i="7" s="1"/>
  <c r="D72" i="16"/>
  <c r="E24" i="26"/>
  <c r="D17" i="39"/>
  <c r="D29" i="16"/>
  <c r="C33" i="3"/>
  <c r="C86" i="3"/>
  <c r="C65" i="4"/>
  <c r="C103" i="4"/>
  <c r="C86" i="4"/>
  <c r="E49" i="17"/>
  <c r="E52" i="17"/>
  <c r="C33" i="4"/>
  <c r="E95" i="21"/>
  <c r="D97" i="21"/>
  <c r="D98" i="21"/>
  <c r="D112" i="21"/>
  <c r="D94" i="16"/>
  <c r="E97" i="21"/>
  <c r="E98" i="21"/>
  <c r="E91" i="21"/>
  <c r="E16" i="21"/>
  <c r="I215" i="15"/>
  <c r="D32" i="10"/>
  <c r="D72" i="21"/>
  <c r="D24" i="16"/>
  <c r="F49" i="17"/>
  <c r="D108" i="16"/>
  <c r="E29" i="21"/>
  <c r="E46" i="21"/>
  <c r="F96" i="16"/>
  <c r="D60" i="16"/>
  <c r="E96" i="21"/>
  <c r="E19" i="21"/>
  <c r="E12" i="21"/>
  <c r="E112" i="21"/>
  <c r="E72" i="21"/>
  <c r="E62" i="21"/>
  <c r="B14" i="10"/>
  <c r="D18" i="10"/>
  <c r="D16" i="10" s="1"/>
  <c r="D52" i="17"/>
  <c r="H52" i="17"/>
  <c r="G52" i="17"/>
  <c r="D13" i="10"/>
  <c r="D49" i="17"/>
  <c r="H49" i="17"/>
  <c r="F52" i="17"/>
  <c r="C24" i="26"/>
  <c r="I160" i="15" l="1"/>
  <c r="F89" i="16"/>
  <c r="F29" i="21"/>
  <c r="G58" i="21"/>
  <c r="G60" i="21"/>
  <c r="I432" i="15"/>
  <c r="F60" i="21" s="1"/>
  <c r="D60" i="21"/>
  <c r="F62" i="21"/>
  <c r="G48" i="21"/>
  <c r="D62" i="21"/>
  <c r="D48" i="21"/>
  <c r="J11" i="2"/>
  <c r="L11" i="2" s="1"/>
  <c r="I372" i="15"/>
  <c r="F18" i="21" s="1"/>
  <c r="L222" i="15"/>
  <c r="D38" i="21"/>
  <c r="F53" i="16"/>
  <c r="I140" i="15"/>
  <c r="D63" i="16"/>
  <c r="D71" i="21"/>
  <c r="D140" i="21"/>
  <c r="D57" i="16"/>
  <c r="D33" i="16"/>
  <c r="D21" i="21"/>
  <c r="F56" i="16"/>
  <c r="D19" i="16"/>
  <c r="D29" i="21"/>
  <c r="D37" i="16"/>
  <c r="L223" i="15"/>
  <c r="D31" i="21"/>
  <c r="F45" i="16"/>
  <c r="D34" i="16"/>
  <c r="D40" i="16"/>
  <c r="D32" i="16"/>
  <c r="L229" i="15"/>
  <c r="L154" i="15"/>
  <c r="L155" i="15"/>
  <c r="I16" i="21" s="1"/>
  <c r="G16" i="21"/>
  <c r="L361" i="15"/>
  <c r="G12" i="21"/>
  <c r="I137" i="21"/>
  <c r="G137" i="21"/>
  <c r="L432" i="15"/>
  <c r="G62" i="21"/>
  <c r="L421" i="15"/>
  <c r="I74" i="21" s="1"/>
  <c r="G74" i="21"/>
  <c r="L161" i="15"/>
  <c r="L160" i="15" s="1"/>
  <c r="G29" i="21"/>
  <c r="L142" i="15"/>
  <c r="I38" i="21" s="1"/>
  <c r="G38" i="21"/>
  <c r="L116" i="15"/>
  <c r="I28" i="21" s="1"/>
  <c r="G28" i="21"/>
  <c r="L156" i="15"/>
  <c r="I17" i="21" s="1"/>
  <c r="G17" i="21"/>
  <c r="G40" i="21"/>
  <c r="L373" i="15"/>
  <c r="I20" i="21" s="1"/>
  <c r="G20" i="21"/>
  <c r="L46" i="15"/>
  <c r="I91" i="21" s="1"/>
  <c r="G91" i="21"/>
  <c r="L416" i="15"/>
  <c r="I71" i="21" s="1"/>
  <c r="G71" i="21"/>
  <c r="I31" i="21"/>
  <c r="G31" i="21"/>
  <c r="G140" i="21"/>
  <c r="F48" i="21"/>
  <c r="G46" i="21"/>
  <c r="G61" i="21"/>
  <c r="L216" i="15"/>
  <c r="L45" i="15"/>
  <c r="I90" i="21" s="1"/>
  <c r="G90" i="21"/>
  <c r="L382" i="15"/>
  <c r="I22" i="21" s="1"/>
  <c r="G22" i="21"/>
  <c r="D21" i="16"/>
  <c r="D98" i="16"/>
  <c r="F83" i="16"/>
  <c r="D15" i="16"/>
  <c r="D17" i="16"/>
  <c r="D101" i="16"/>
  <c r="D40" i="7"/>
  <c r="B22" i="7"/>
  <c r="G139" i="21"/>
  <c r="D91" i="21"/>
  <c r="I380" i="15"/>
  <c r="I45" i="15"/>
  <c r="F90" i="21" s="1"/>
  <c r="L159" i="15"/>
  <c r="D40" i="21"/>
  <c r="I216" i="15"/>
  <c r="I430" i="15"/>
  <c r="F54" i="21" s="1"/>
  <c r="D22" i="21"/>
  <c r="I382" i="15"/>
  <c r="F22" i="21" s="1"/>
  <c r="I141" i="15"/>
  <c r="L141" i="15"/>
  <c r="G11" i="21"/>
  <c r="L363" i="15"/>
  <c r="I12" i="21" s="1"/>
  <c r="F111" i="4"/>
  <c r="F109" i="4" s="1"/>
  <c r="L395" i="15"/>
  <c r="D17" i="21"/>
  <c r="I156" i="15"/>
  <c r="F17" i="21" s="1"/>
  <c r="F115" i="4"/>
  <c r="F114" i="4" s="1"/>
  <c r="L342" i="15"/>
  <c r="C20" i="4"/>
  <c r="I22" i="15"/>
  <c r="I403" i="15"/>
  <c r="I404" i="15"/>
  <c r="L403" i="15"/>
  <c r="L404" i="15"/>
  <c r="D28" i="21"/>
  <c r="I116" i="15"/>
  <c r="F28" i="21" s="1"/>
  <c r="I101" i="15"/>
  <c r="F27" i="21"/>
  <c r="D12" i="21"/>
  <c r="I363" i="15"/>
  <c r="F12" i="21" s="1"/>
  <c r="L115" i="15"/>
  <c r="I342" i="15"/>
  <c r="L114" i="15"/>
  <c r="C13" i="4"/>
  <c r="E21" i="21"/>
  <c r="L376" i="15"/>
  <c r="I21" i="21" s="1"/>
  <c r="I12" i="15"/>
  <c r="I436" i="15"/>
  <c r="I399" i="15"/>
  <c r="I400" i="15"/>
  <c r="L355" i="15"/>
  <c r="I222" i="15"/>
  <c r="D137" i="21"/>
  <c r="F137" i="21"/>
  <c r="I27" i="21"/>
  <c r="F118" i="4"/>
  <c r="F117" i="4" s="1"/>
  <c r="L346" i="15"/>
  <c r="L372" i="15"/>
  <c r="I421" i="15"/>
  <c r="F74" i="21" s="1"/>
  <c r="E48" i="21"/>
  <c r="I48" i="21"/>
  <c r="L190" i="15"/>
  <c r="I32" i="21" s="1"/>
  <c r="I395" i="15"/>
  <c r="I461" i="15"/>
  <c r="E39" i="21"/>
  <c r="L150" i="15"/>
  <c r="I39" i="21" s="1"/>
  <c r="D19" i="21"/>
  <c r="I357" i="15"/>
  <c r="F19" i="21" s="1"/>
  <c r="I338" i="15"/>
  <c r="F140" i="21" s="1"/>
  <c r="L357" i="15"/>
  <c r="I19" i="21" s="1"/>
  <c r="L217" i="15"/>
  <c r="F98" i="4"/>
  <c r="F64" i="4"/>
  <c r="L436" i="15"/>
  <c r="L312" i="15"/>
  <c r="E136" i="21"/>
  <c r="L461" i="15"/>
  <c r="L338" i="15"/>
  <c r="E47" i="21"/>
  <c r="L224" i="15"/>
  <c r="I47" i="21" s="1"/>
  <c r="L399" i="15"/>
  <c r="L400" i="15"/>
  <c r="D39" i="21"/>
  <c r="I150" i="15"/>
  <c r="F39" i="21" s="1"/>
  <c r="F11" i="4"/>
  <c r="L12" i="15"/>
  <c r="D20" i="21"/>
  <c r="I373" i="15"/>
  <c r="F20" i="21" s="1"/>
  <c r="L22" i="15"/>
  <c r="I190" i="15"/>
  <c r="F32" i="21" s="1"/>
  <c r="I223" i="15"/>
  <c r="I224" i="15"/>
  <c r="F47" i="21" s="1"/>
  <c r="L25" i="15"/>
  <c r="I355" i="15"/>
  <c r="G73" i="21"/>
  <c r="D67" i="16"/>
  <c r="F62" i="16"/>
  <c r="D56" i="16"/>
  <c r="D69" i="16"/>
  <c r="F69" i="16"/>
  <c r="D30" i="16"/>
  <c r="F98" i="16"/>
  <c r="D59" i="16"/>
  <c r="F59" i="16"/>
  <c r="D66" i="16"/>
  <c r="F66" i="16"/>
  <c r="D90" i="16"/>
  <c r="F90" i="16"/>
  <c r="D62" i="16"/>
  <c r="F19" i="16"/>
  <c r="E52" i="3"/>
  <c r="D55" i="16"/>
  <c r="F55" i="16"/>
  <c r="D36" i="16"/>
  <c r="C20" i="3"/>
  <c r="F20" i="16"/>
  <c r="D38" i="16"/>
  <c r="F12" i="16"/>
  <c r="F27" i="16"/>
  <c r="D65" i="16"/>
  <c r="F65" i="16"/>
  <c r="D85" i="16"/>
  <c r="F85" i="16"/>
  <c r="F106" i="16"/>
  <c r="D103" i="16"/>
  <c r="F72" i="16"/>
  <c r="C118" i="3"/>
  <c r="F93" i="16"/>
  <c r="F57" i="16"/>
  <c r="D70" i="16"/>
  <c r="F70" i="16"/>
  <c r="D84" i="16"/>
  <c r="F84" i="16"/>
  <c r="C111" i="3"/>
  <c r="D86" i="16"/>
  <c r="F86" i="16"/>
  <c r="D54" i="16"/>
  <c r="F54" i="16"/>
  <c r="C60" i="3"/>
  <c r="D83" i="16"/>
  <c r="F28" i="16"/>
  <c r="C62" i="3"/>
  <c r="D22" i="16"/>
  <c r="F22" i="16"/>
  <c r="D64" i="16"/>
  <c r="F64" i="16"/>
  <c r="D87" i="16"/>
  <c r="F87" i="16"/>
  <c r="D58" i="16"/>
  <c r="F58" i="16"/>
  <c r="D93" i="16"/>
  <c r="D43" i="16"/>
  <c r="D110" i="16"/>
  <c r="F33" i="16"/>
  <c r="F44" i="16"/>
  <c r="F107" i="16"/>
  <c r="J42" i="2"/>
  <c r="L43" i="2"/>
  <c r="M11" i="2"/>
  <c r="O11" i="2" s="1"/>
  <c r="O24" i="2"/>
  <c r="M42" i="2"/>
  <c r="O42" i="2" s="1"/>
  <c r="O43" i="2"/>
  <c r="L11" i="1"/>
  <c r="L24" i="1"/>
  <c r="L44" i="1"/>
  <c r="L45" i="1"/>
  <c r="D45" i="16"/>
  <c r="E139" i="21"/>
  <c r="E140" i="21"/>
  <c r="F129" i="16"/>
  <c r="D131" i="16"/>
  <c r="D139" i="21"/>
  <c r="C74" i="3"/>
  <c r="E32" i="21"/>
  <c r="D32" i="21"/>
  <c r="E31" i="21"/>
  <c r="D35" i="16"/>
  <c r="E28" i="21"/>
  <c r="D28" i="16"/>
  <c r="E27" i="21"/>
  <c r="D147" i="16"/>
  <c r="D102" i="16"/>
  <c r="D48" i="16"/>
  <c r="D95" i="21"/>
  <c r="D94" i="21"/>
  <c r="I115" i="15"/>
  <c r="D16" i="21"/>
  <c r="E26" i="21"/>
  <c r="E22" i="21"/>
  <c r="E45" i="21"/>
  <c r="D46" i="21"/>
  <c r="D111" i="21"/>
  <c r="C54" i="4"/>
  <c r="D31" i="16"/>
  <c r="B20" i="10"/>
  <c r="B13" i="10"/>
  <c r="E61" i="21"/>
  <c r="E111" i="21"/>
  <c r="D11" i="16"/>
  <c r="D61" i="21"/>
  <c r="E44" i="21"/>
  <c r="D20" i="16"/>
  <c r="E94" i="21"/>
  <c r="D21" i="10"/>
  <c r="D19" i="10" s="1"/>
  <c r="D22" i="10" s="1"/>
  <c r="D49" i="16"/>
  <c r="E25" i="21"/>
  <c r="E71" i="21"/>
  <c r="E90" i="21"/>
  <c r="D96" i="16"/>
  <c r="D53" i="16"/>
  <c r="D89" i="16"/>
  <c r="D146" i="16"/>
  <c r="D42" i="7" l="1"/>
  <c r="E41" i="7" s="1"/>
  <c r="B28" i="7"/>
  <c r="B27" i="10" s="1"/>
  <c r="B43" i="10"/>
  <c r="L431" i="15"/>
  <c r="I44" i="15"/>
  <c r="F84" i="21" s="1"/>
  <c r="L360" i="15"/>
  <c r="F68" i="16"/>
  <c r="E11" i="3"/>
  <c r="L42" i="2"/>
  <c r="J97" i="2"/>
  <c r="I29" i="21"/>
  <c r="I40" i="21"/>
  <c r="F88" i="16"/>
  <c r="F92" i="16"/>
  <c r="F101" i="16"/>
  <c r="I61" i="21"/>
  <c r="I58" i="21"/>
  <c r="I62" i="21"/>
  <c r="I60" i="21"/>
  <c r="I431" i="15"/>
  <c r="F58" i="21" s="1"/>
  <c r="D58" i="21"/>
  <c r="F61" i="21"/>
  <c r="C11" i="4"/>
  <c r="L11" i="15"/>
  <c r="H11" i="4" s="1"/>
  <c r="F30" i="16"/>
  <c r="C26" i="3"/>
  <c r="C23" i="3" s="1"/>
  <c r="D18" i="21"/>
  <c r="D10" i="21"/>
  <c r="C15" i="4"/>
  <c r="D92" i="16"/>
  <c r="C61" i="3"/>
  <c r="F51" i="16"/>
  <c r="C98" i="3"/>
  <c r="C11" i="3"/>
  <c r="D99" i="16"/>
  <c r="D18" i="16"/>
  <c r="F48" i="16"/>
  <c r="C13" i="3"/>
  <c r="D90" i="21"/>
  <c r="F146" i="16"/>
  <c r="B20" i="7"/>
  <c r="B23" i="7" s="1"/>
  <c r="F15" i="4"/>
  <c r="F100" i="16"/>
  <c r="D100" i="16"/>
  <c r="M97" i="2"/>
  <c r="O97" i="2" s="1"/>
  <c r="G45" i="21"/>
  <c r="L21" i="15"/>
  <c r="H20" i="4" s="1"/>
  <c r="F20" i="4"/>
  <c r="L15" i="15"/>
  <c r="H13" i="4" s="1"/>
  <c r="F13" i="4"/>
  <c r="F22" i="4"/>
  <c r="G10" i="21"/>
  <c r="F103" i="16"/>
  <c r="F102" i="16"/>
  <c r="L44" i="15"/>
  <c r="I84" i="21" s="1"/>
  <c r="G84" i="21"/>
  <c r="L430" i="15"/>
  <c r="I54" i="21" s="1"/>
  <c r="G54" i="21"/>
  <c r="L356" i="15"/>
  <c r="G18" i="21"/>
  <c r="I25" i="15"/>
  <c r="C22" i="4"/>
  <c r="L354" i="15"/>
  <c r="H74" i="4" s="1"/>
  <c r="F74" i="4"/>
  <c r="L113" i="15"/>
  <c r="H73" i="4" s="1"/>
  <c r="F73" i="4"/>
  <c r="I136" i="21"/>
  <c r="G136" i="21"/>
  <c r="I139" i="21"/>
  <c r="I140" i="21"/>
  <c r="D45" i="21"/>
  <c r="G26" i="21"/>
  <c r="F26" i="4"/>
  <c r="F23" i="4" s="1"/>
  <c r="I46" i="21"/>
  <c r="E15" i="3"/>
  <c r="C15" i="3"/>
  <c r="E115" i="3"/>
  <c r="E114" i="3" s="1"/>
  <c r="C115" i="3"/>
  <c r="C114" i="3" s="1"/>
  <c r="F17" i="16"/>
  <c r="F37" i="16"/>
  <c r="F38" i="16"/>
  <c r="F40" i="16"/>
  <c r="F97" i="16"/>
  <c r="E40" i="7"/>
  <c r="F147" i="16"/>
  <c r="F15" i="16"/>
  <c r="F43" i="16"/>
  <c r="I139" i="15"/>
  <c r="I100" i="15"/>
  <c r="D26" i="21"/>
  <c r="L394" i="15"/>
  <c r="H111" i="4" s="1"/>
  <c r="H109" i="4" s="1"/>
  <c r="L82" i="15"/>
  <c r="H22" i="4"/>
  <c r="L435" i="15"/>
  <c r="H64" i="4" s="1"/>
  <c r="C26" i="4"/>
  <c r="I337" i="15"/>
  <c r="C111" i="4"/>
  <c r="C109" i="4" s="1"/>
  <c r="I394" i="15"/>
  <c r="F82" i="4"/>
  <c r="L371" i="15"/>
  <c r="L345" i="15"/>
  <c r="H118" i="4" s="1"/>
  <c r="H117" i="4" s="1"/>
  <c r="C98" i="4"/>
  <c r="I221" i="15"/>
  <c r="E98" i="4" s="1"/>
  <c r="I11" i="15"/>
  <c r="E11" i="4" s="1"/>
  <c r="C115" i="4"/>
  <c r="C114" i="4" s="1"/>
  <c r="I341" i="15"/>
  <c r="I414" i="15"/>
  <c r="E55" i="4" s="1"/>
  <c r="I415" i="15"/>
  <c r="F70" i="21" s="1"/>
  <c r="D136" i="21"/>
  <c r="F136" i="21"/>
  <c r="I214" i="15"/>
  <c r="E97" i="4" s="1"/>
  <c r="F85" i="4"/>
  <c r="L380" i="15"/>
  <c r="D11" i="21"/>
  <c r="I362" i="15"/>
  <c r="F11" i="21" s="1"/>
  <c r="E18" i="21"/>
  <c r="L381" i="15"/>
  <c r="C74" i="4"/>
  <c r="I354" i="15"/>
  <c r="E74" i="4" s="1"/>
  <c r="L459" i="15"/>
  <c r="L460" i="15"/>
  <c r="L311" i="15"/>
  <c r="I459" i="15"/>
  <c r="I460" i="15"/>
  <c r="D73" i="21"/>
  <c r="I420" i="15"/>
  <c r="F73" i="21" s="1"/>
  <c r="C118" i="4"/>
  <c r="C117" i="4" s="1"/>
  <c r="I345" i="15"/>
  <c r="C64" i="4"/>
  <c r="I435" i="15"/>
  <c r="E64" i="4" s="1"/>
  <c r="F80" i="4"/>
  <c r="I114" i="15"/>
  <c r="I361" i="15"/>
  <c r="L341" i="15"/>
  <c r="H115" i="4" s="1"/>
  <c r="H114" i="4" s="1"/>
  <c r="L140" i="15"/>
  <c r="L420" i="15"/>
  <c r="I73" i="21" s="1"/>
  <c r="I189" i="15"/>
  <c r="I293" i="15"/>
  <c r="F97" i="4"/>
  <c r="L215" i="15"/>
  <c r="L101" i="15"/>
  <c r="I15" i="15"/>
  <c r="E13" i="4" s="1"/>
  <c r="I154" i="15"/>
  <c r="I311" i="15"/>
  <c r="I21" i="15"/>
  <c r="E20" i="4" s="1"/>
  <c r="E11" i="21"/>
  <c r="L362" i="15"/>
  <c r="I11" i="21" s="1"/>
  <c r="I82" i="15"/>
  <c r="L337" i="15"/>
  <c r="H26" i="4" s="1"/>
  <c r="H23" i="4" s="1"/>
  <c r="L221" i="15"/>
  <c r="H98" i="4" s="1"/>
  <c r="L189" i="15"/>
  <c r="C85" i="4"/>
  <c r="I379" i="15"/>
  <c r="E85" i="4" s="1"/>
  <c r="D97" i="16"/>
  <c r="F99" i="16"/>
  <c r="D95" i="16"/>
  <c r="F95" i="16"/>
  <c r="C14" i="3"/>
  <c r="E14" i="3"/>
  <c r="E74" i="3"/>
  <c r="E60" i="3"/>
  <c r="C97" i="3"/>
  <c r="C109" i="3"/>
  <c r="E111" i="3"/>
  <c r="E109" i="3" s="1"/>
  <c r="D47" i="16"/>
  <c r="D107" i="16"/>
  <c r="F11" i="16"/>
  <c r="E20" i="3"/>
  <c r="F52" i="16"/>
  <c r="D71" i="16"/>
  <c r="F71" i="16"/>
  <c r="E13" i="3"/>
  <c r="F50" i="16"/>
  <c r="D50" i="16"/>
  <c r="D16" i="16"/>
  <c r="F16" i="16"/>
  <c r="F105" i="16"/>
  <c r="D105" i="16"/>
  <c r="F18" i="16"/>
  <c r="E62" i="3"/>
  <c r="E26" i="3"/>
  <c r="E23" i="3" s="1"/>
  <c r="C117" i="3"/>
  <c r="E118" i="3"/>
  <c r="E117" i="3" s="1"/>
  <c r="D26" i="16"/>
  <c r="F14" i="16"/>
  <c r="D14" i="16"/>
  <c r="F36" i="16"/>
  <c r="C64" i="3"/>
  <c r="E10" i="21"/>
  <c r="E39" i="7"/>
  <c r="D129" i="16"/>
  <c r="C70" i="3"/>
  <c r="E42" i="7"/>
  <c r="D42" i="16"/>
  <c r="D70" i="21"/>
  <c r="E54" i="21"/>
  <c r="F61" i="4"/>
  <c r="F59" i="4" s="1"/>
  <c r="E70" i="21"/>
  <c r="B32" i="10"/>
  <c r="B19" i="10"/>
  <c r="B22" i="10" s="1"/>
  <c r="D43" i="10"/>
  <c r="D84" i="21"/>
  <c r="C97" i="4"/>
  <c r="D52" i="16"/>
  <c r="D88" i="16"/>
  <c r="E84" i="21"/>
  <c r="F51" i="4"/>
  <c r="D54" i="21"/>
  <c r="I353" i="15" l="1"/>
  <c r="F139" i="21"/>
  <c r="H15" i="4"/>
  <c r="I322" i="15"/>
  <c r="L322" i="15"/>
  <c r="F99" i="4"/>
  <c r="I159" i="15"/>
  <c r="I45" i="21"/>
  <c r="C73" i="3"/>
  <c r="L353" i="15"/>
  <c r="I371" i="15"/>
  <c r="F10" i="21" s="1"/>
  <c r="E98" i="3"/>
  <c r="L228" i="15"/>
  <c r="L227" i="15" s="1"/>
  <c r="C22" i="3"/>
  <c r="C9" i="3" s="1"/>
  <c r="C48" i="3"/>
  <c r="C58" i="3"/>
  <c r="F19" i="6"/>
  <c r="H19" i="6" s="1"/>
  <c r="F47" i="16"/>
  <c r="F26" i="16"/>
  <c r="G44" i="21"/>
  <c r="F45" i="21"/>
  <c r="F9" i="4"/>
  <c r="F82" i="16"/>
  <c r="F26" i="21"/>
  <c r="G25" i="21"/>
  <c r="E15" i="4"/>
  <c r="I10" i="21"/>
  <c r="L415" i="15"/>
  <c r="I70" i="21" s="1"/>
  <c r="G70" i="21"/>
  <c r="L139" i="15"/>
  <c r="H78" i="4" s="1"/>
  <c r="F78" i="4"/>
  <c r="E115" i="4"/>
  <c r="E114" i="4" s="1"/>
  <c r="E111" i="4"/>
  <c r="E109" i="4" s="1"/>
  <c r="E26" i="4"/>
  <c r="E23" i="4" s="1"/>
  <c r="E118" i="4"/>
  <c r="E117" i="4" s="1"/>
  <c r="I26" i="21"/>
  <c r="F81" i="4"/>
  <c r="E22" i="4"/>
  <c r="I18" i="21"/>
  <c r="E105" i="3"/>
  <c r="E103" i="3" s="1"/>
  <c r="C105" i="3"/>
  <c r="C103" i="3" s="1"/>
  <c r="E55" i="3"/>
  <c r="C55" i="3"/>
  <c r="E54" i="3"/>
  <c r="C54" i="3"/>
  <c r="C80" i="3"/>
  <c r="F42" i="16"/>
  <c r="C23" i="4"/>
  <c r="E138" i="21"/>
  <c r="E141" i="21" s="1"/>
  <c r="D25" i="21"/>
  <c r="C9" i="4"/>
  <c r="C78" i="4"/>
  <c r="L398" i="15"/>
  <c r="L43" i="15"/>
  <c r="H51" i="4" s="1"/>
  <c r="I43" i="15"/>
  <c r="L429" i="15"/>
  <c r="H61" i="4" s="1"/>
  <c r="H59" i="4" s="1"/>
  <c r="C61" i="4"/>
  <c r="C59" i="4" s="1"/>
  <c r="I429" i="15"/>
  <c r="L214" i="15"/>
  <c r="H97" i="4" s="1"/>
  <c r="C82" i="4"/>
  <c r="C81" i="4" s="1"/>
  <c r="L310" i="15"/>
  <c r="I310" i="15"/>
  <c r="L100" i="15"/>
  <c r="I188" i="15"/>
  <c r="H99" i="4"/>
  <c r="L370" i="15"/>
  <c r="H82" i="4" s="1"/>
  <c r="L153" i="15"/>
  <c r="I99" i="15"/>
  <c r="E72" i="4" s="1"/>
  <c r="I292" i="15"/>
  <c r="C73" i="4"/>
  <c r="I113" i="15"/>
  <c r="E73" i="4" s="1"/>
  <c r="I228" i="15"/>
  <c r="I227" i="15" s="1"/>
  <c r="D44" i="21"/>
  <c r="I360" i="15"/>
  <c r="E78" i="4" s="1"/>
  <c r="L188" i="15"/>
  <c r="L379" i="15"/>
  <c r="H85" i="4" s="1"/>
  <c r="D41" i="16"/>
  <c r="C85" i="3"/>
  <c r="C99" i="3"/>
  <c r="C82" i="3"/>
  <c r="C65" i="3"/>
  <c r="E70" i="3"/>
  <c r="E65" i="3" s="1"/>
  <c r="E97" i="3"/>
  <c r="E61" i="3"/>
  <c r="C102" i="3"/>
  <c r="D25" i="16"/>
  <c r="D10" i="16"/>
  <c r="E64" i="3"/>
  <c r="C19" i="6"/>
  <c r="E19" i="6" s="1"/>
  <c r="L97" i="2"/>
  <c r="L169" i="1"/>
  <c r="D82" i="16"/>
  <c r="D27" i="10"/>
  <c r="B45" i="10"/>
  <c r="C51" i="4"/>
  <c r="C72" i="4"/>
  <c r="C55" i="4"/>
  <c r="F25" i="21" l="1"/>
  <c r="I370" i="15"/>
  <c r="E58" i="3"/>
  <c r="E22" i="3"/>
  <c r="E9" i="3" s="1"/>
  <c r="H80" i="4"/>
  <c r="F100" i="4"/>
  <c r="D145" i="16"/>
  <c r="D148" i="16" s="1"/>
  <c r="F25" i="16"/>
  <c r="E48" i="3"/>
  <c r="C51" i="3"/>
  <c r="E80" i="3"/>
  <c r="E9" i="4"/>
  <c r="G138" i="21"/>
  <c r="G141" i="21" s="1"/>
  <c r="I44" i="21"/>
  <c r="F44" i="21"/>
  <c r="I25" i="21"/>
  <c r="I398" i="15"/>
  <c r="H81" i="4"/>
  <c r="C100" i="3"/>
  <c r="L309" i="15"/>
  <c r="H102" i="4" s="1"/>
  <c r="F102" i="4"/>
  <c r="E82" i="4"/>
  <c r="E81" i="4" s="1"/>
  <c r="E61" i="4"/>
  <c r="E59" i="4" s="1"/>
  <c r="L414" i="15"/>
  <c r="H55" i="4" s="1"/>
  <c r="H46" i="4" s="1"/>
  <c r="F55" i="4"/>
  <c r="F46" i="4" s="1"/>
  <c r="L213" i="15"/>
  <c r="L99" i="15"/>
  <c r="H72" i="4" s="1"/>
  <c r="F72" i="4"/>
  <c r="F71" i="4" s="1"/>
  <c r="E51" i="4"/>
  <c r="E46" i="4" s="1"/>
  <c r="C72" i="3"/>
  <c r="E78" i="3"/>
  <c r="C78" i="3"/>
  <c r="F41" i="16"/>
  <c r="E59" i="3"/>
  <c r="F10" i="16"/>
  <c r="D138" i="21"/>
  <c r="D141" i="21" s="1"/>
  <c r="L187" i="15"/>
  <c r="L10" i="15"/>
  <c r="E99" i="4"/>
  <c r="C99" i="4"/>
  <c r="I213" i="15"/>
  <c r="I187" i="15"/>
  <c r="C100" i="4"/>
  <c r="C102" i="4"/>
  <c r="I309" i="15"/>
  <c r="E102" i="4" s="1"/>
  <c r="C80" i="4"/>
  <c r="C71" i="4" s="1"/>
  <c r="I153" i="15"/>
  <c r="E85" i="3"/>
  <c r="C59" i="3"/>
  <c r="E102" i="3"/>
  <c r="E99" i="3"/>
  <c r="E82" i="3"/>
  <c r="E73" i="3"/>
  <c r="C46" i="4"/>
  <c r="C44" i="10"/>
  <c r="B42" i="10"/>
  <c r="C45" i="10"/>
  <c r="C43" i="10"/>
  <c r="F145" i="16" l="1"/>
  <c r="F148" i="16" s="1"/>
  <c r="F138" i="21"/>
  <c r="F141" i="21" s="1"/>
  <c r="H71" i="4"/>
  <c r="C71" i="3"/>
  <c r="L98" i="15"/>
  <c r="I98" i="15"/>
  <c r="F96" i="4"/>
  <c r="F121" i="4" s="1"/>
  <c r="F20" i="6" s="1"/>
  <c r="H100" i="4"/>
  <c r="H96" i="4" s="1"/>
  <c r="E100" i="4"/>
  <c r="E96" i="4" s="1"/>
  <c r="E72" i="3"/>
  <c r="E71" i="3" s="1"/>
  <c r="E51" i="3"/>
  <c r="E46" i="3" s="1"/>
  <c r="E81" i="3"/>
  <c r="I138" i="21"/>
  <c r="I141" i="21" s="1"/>
  <c r="L471" i="15"/>
  <c r="E80" i="4"/>
  <c r="E71" i="4" s="1"/>
  <c r="E100" i="3"/>
  <c r="E96" i="3" s="1"/>
  <c r="D20" i="6"/>
  <c r="D18" i="6" s="1"/>
  <c r="D24" i="6" s="1"/>
  <c r="C96" i="4"/>
  <c r="C121" i="4" s="1"/>
  <c r="C20" i="6" s="1"/>
  <c r="C81" i="3"/>
  <c r="C96" i="3"/>
  <c r="C46" i="3"/>
  <c r="C42" i="10"/>
  <c r="D42" i="10"/>
  <c r="E121" i="3" l="1"/>
  <c r="E122" i="3" s="1"/>
  <c r="C121" i="3"/>
  <c r="C122" i="3" s="1"/>
  <c r="E121" i="4"/>
  <c r="E123" i="4" s="1"/>
  <c r="J473" i="15"/>
  <c r="L473" i="15" s="1"/>
  <c r="I471" i="15"/>
  <c r="G12" i="4"/>
  <c r="H12" i="4"/>
  <c r="I473" i="15"/>
  <c r="F18" i="6"/>
  <c r="C18" i="6"/>
  <c r="E20" i="6"/>
  <c r="D45" i="10"/>
  <c r="E42" i="10" s="1"/>
  <c r="C22" i="5" l="1"/>
  <c r="C20" i="5" s="1"/>
  <c r="C26" i="5" s="1"/>
  <c r="E26" i="5" s="1"/>
  <c r="G9" i="4"/>
  <c r="G121" i="4" s="1"/>
  <c r="H9" i="4"/>
  <c r="F24" i="6"/>
  <c r="C24" i="6"/>
  <c r="E24" i="6" s="1"/>
  <c r="E18" i="6"/>
  <c r="E45" i="10"/>
  <c r="E44" i="10"/>
  <c r="E43" i="10"/>
  <c r="E22" i="5" l="1"/>
  <c r="E20" i="5" s="1"/>
  <c r="H121" i="4"/>
  <c r="H123" i="4" s="1"/>
  <c r="G20" i="6"/>
  <c r="G18" i="6" l="1"/>
  <c r="H20" i="6"/>
  <c r="G24" i="6" l="1"/>
  <c r="H24" i="6" s="1"/>
  <c r="H18" i="6"/>
  <c r="F46" i="21"/>
</calcChain>
</file>

<file path=xl/sharedStrings.xml><?xml version="1.0" encoding="utf-8"?>
<sst xmlns="http://schemas.openxmlformats.org/spreadsheetml/2006/main" count="7974" uniqueCount="3502">
  <si>
    <t>Приложение 1</t>
  </si>
  <si>
    <t>к решению Муниципального</t>
  </si>
  <si>
    <t>Совета ТМР</t>
  </si>
  <si>
    <t>Код бюджетной классификации РФ</t>
  </si>
  <si>
    <t>Название дохода</t>
  </si>
  <si>
    <t>Сумма, руб</t>
  </si>
  <si>
    <t>Администратора</t>
  </si>
  <si>
    <t>Группы</t>
  </si>
  <si>
    <t>Подгруппы</t>
  </si>
  <si>
    <t>Статья</t>
  </si>
  <si>
    <t>Подстатья</t>
  </si>
  <si>
    <t>Элемент доходов</t>
  </si>
  <si>
    <t>группа подвида дохода бюджетов</t>
  </si>
  <si>
    <t>аналитическая группа подвида доходов бюджета</t>
  </si>
  <si>
    <t>000</t>
  </si>
  <si>
    <t>1</t>
  </si>
  <si>
    <t>00</t>
  </si>
  <si>
    <t>0000</t>
  </si>
  <si>
    <t>Доходы</t>
  </si>
  <si>
    <t>01</t>
  </si>
  <si>
    <t>Налоги на прибыль, доходы</t>
  </si>
  <si>
    <t>182</t>
  </si>
  <si>
    <t>02</t>
  </si>
  <si>
    <t>110</t>
  </si>
  <si>
    <t>Налог на доходы физических лиц</t>
  </si>
  <si>
    <t>03</t>
  </si>
  <si>
    <t>Налоги на товары (работы, услуги), реализуемые на территории Российской Федерации</t>
  </si>
  <si>
    <t>100</t>
  </si>
  <si>
    <t>Акцизы по подакцизным товарам (продукции), производимым на территории Российской Федерации</t>
  </si>
  <si>
    <t>05</t>
  </si>
  <si>
    <t>Налоги на совокупный доход</t>
  </si>
  <si>
    <t>Единый налог на вменённый доход для отдельных видов деятельности</t>
  </si>
  <si>
    <t>Единый сельскохозяйственный налог</t>
  </si>
  <si>
    <t>04</t>
  </si>
  <si>
    <t>Налог, взимаемый в связи с патентной системой налогообложения</t>
  </si>
  <si>
    <t>08</t>
  </si>
  <si>
    <t>Государственная пошлина</t>
  </si>
  <si>
    <t>Государственная пошлина по делам, рассматриваемым в судах общей юрисдикции, мировыми судьями</t>
  </si>
  <si>
    <t>950</t>
  </si>
  <si>
    <t>07</t>
  </si>
  <si>
    <t>Государственная пошлина за государственную регистрацию, а также за совершение прочих юридически значимых действий</t>
  </si>
  <si>
    <t>09</t>
  </si>
  <si>
    <t>00000</t>
  </si>
  <si>
    <t>Задолженность и перерасчеты по отмененным налогам, сборам и иным обязательным платежам</t>
  </si>
  <si>
    <t>11</t>
  </si>
  <si>
    <t>Доходы от использования имущества, находящегося в государственной и муниципальной собственности</t>
  </si>
  <si>
    <t>952</t>
  </si>
  <si>
    <t>120</t>
  </si>
  <si>
    <t>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Российской Федерации, субъектам Российской Федерации или муниципальным образованиям</t>
  </si>
  <si>
    <t>050</t>
  </si>
  <si>
    <t xml:space="preserve">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муниципальным районам
</t>
  </si>
  <si>
    <t>Доходы, получаемые в виде арендной либо иной платы за передачу в возмездное пользование государственного и муниципального имущества(за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</si>
  <si>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010</t>
  </si>
  <si>
    <t>Доходы, получаемые в виде арендной  платы за земельные участки, 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</si>
  <si>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075</t>
  </si>
  <si>
    <t>Доходы от сдачи в аренду имущества, составляющего казну муниципальных районов (за исключением земельных участков)</t>
  </si>
  <si>
    <t>12</t>
  </si>
  <si>
    <t>Платежи при пользовании природными ресурсами</t>
  </si>
  <si>
    <t>Плата за негативное воздействие на окружающую среду</t>
  </si>
  <si>
    <t>02030</t>
  </si>
  <si>
    <t xml:space="preserve">Регулярные платежи за пользование недрами при пользовании недрами на территории Российской Федерации
</t>
  </si>
  <si>
    <t>13</t>
  </si>
  <si>
    <t>130</t>
  </si>
  <si>
    <t>Доходы от оказания платных услуг (работ) и компесации затрат государства</t>
  </si>
  <si>
    <t>995</t>
  </si>
  <si>
    <t xml:space="preserve">Прочие доходы от оказания платных услуг (работ) получателями средств бюджетов муниципальных районов </t>
  </si>
  <si>
    <t>14</t>
  </si>
  <si>
    <t>Доходы от продажи материальных и нематериальных активов</t>
  </si>
  <si>
    <t>Доходы от реализации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</si>
  <si>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06</t>
  </si>
  <si>
    <t>430</t>
  </si>
  <si>
    <t>Доходы от продажи земельных участков, находящихся в государственной и муниципальной собственности</t>
  </si>
  <si>
    <t>013</t>
  </si>
  <si>
    <t>10</t>
  </si>
  <si>
    <t>Доходы от продажи земельных участков, государственная собственность на которые не разграничена и которые расположены в границах городских поселений</t>
  </si>
  <si>
    <t>025</t>
  </si>
  <si>
    <t>Доходы от продажи земельных участков, находящихся в собственности муниципальных районов (за исключением земельных участков муниципальных бюджетных и автономных учреждений)</t>
  </si>
  <si>
    <t>16</t>
  </si>
  <si>
    <t>Штрафы, санкции, возмещение ущерба</t>
  </si>
  <si>
    <t>17</t>
  </si>
  <si>
    <t>Прочие неналоговые доходы</t>
  </si>
  <si>
    <t>2</t>
  </si>
  <si>
    <t>Безвозмездные поступления</t>
  </si>
  <si>
    <t>Безвозмездные поступления от других бюджетов бюджетной системы Российской Федерации</t>
  </si>
  <si>
    <t>151</t>
  </si>
  <si>
    <t>Дотации бюджетов субъектов Российской Федерации и муниципальных образований</t>
  </si>
  <si>
    <t>955</t>
  </si>
  <si>
    <t>001</t>
  </si>
  <si>
    <t>Дотации на выравнивание бюджетной обеспеченности  муниципальных районов Ярославской области</t>
  </si>
  <si>
    <t>Дотации  на выравнивание бюджетной обеспеченности поселений Ярославской области</t>
  </si>
  <si>
    <t>003</t>
  </si>
  <si>
    <t xml:space="preserve">Дотации на обеспечение сбалансированности бюджетов муниципальных образований Ярославской области </t>
  </si>
  <si>
    <t>Субсидии бюджетам субъектов Российской Федерации и муниципальных образований (межбюджетные субсидии)</t>
  </si>
  <si>
    <t xml:space="preserve">2 </t>
  </si>
  <si>
    <t>958</t>
  </si>
  <si>
    <t>041</t>
  </si>
  <si>
    <t>Субсидия на финансирование дорожного хозяйства</t>
  </si>
  <si>
    <t>Субсидия на капитальный ремонт и ремонт дворовых территорий многоквартирных домов, проездов к дворовым территориям многоквартирных домов населенных пунктов</t>
  </si>
  <si>
    <t>956</t>
  </si>
  <si>
    <t>999</t>
  </si>
  <si>
    <t>Субсидия на оказание (выполнение) муниципальными учреждениями услуг (работ) в сфере молодежной политики</t>
  </si>
  <si>
    <t>953</t>
  </si>
  <si>
    <t>Субсидия на оплату стоимости набора продуктов питания в лагерях с дневной формой пребывания детей, расположенных на территории Ярославской области</t>
  </si>
  <si>
    <t>Субсидия на реализацию мероприятий по созданию условий для развития инфраструктуры досуга и отдыха на территории муниципальных образований Ярославской области</t>
  </si>
  <si>
    <t>Субсидия на обеспечение функционирования в вечернее время спортивных залов общеобразовательных организаций для занятий в них обучающихся</t>
  </si>
  <si>
    <t>Субвенции бюджетам субъектов Российской Федерации и муниципальных образований</t>
  </si>
  <si>
    <t>954</t>
  </si>
  <si>
    <t>Субвенция на оплату жилищно -  коммунальных услуг отдельным категориям граждан за счет средств федерального бюджета</t>
  </si>
  <si>
    <t>Субвенция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 за счет средств федерального бюджета</t>
  </si>
  <si>
    <t>Субвенция на осуществление первичного воинского учета на территориях, где отсутствуют военные комиссариаты</t>
  </si>
  <si>
    <t>Субвенция на выплату единовременного пособия при всех формах устройства детей, лишенных родительского попечения, в семью за счет средств федерального бюджета</t>
  </si>
  <si>
    <t>Субвенция на предоставление гражданам субсидий на оплату жилого помещения и коммунальных услуг</t>
  </si>
  <si>
    <t>024</t>
  </si>
  <si>
    <t>Субвенция на организацию образовательного процесса в дошкольных образовательных организациях</t>
  </si>
  <si>
    <t>Субвенция на организацию питания обучающихся образовательных организаций</t>
  </si>
  <si>
    <t>Субвенция на освобождение от оплаты стоимости  проезда лиц, находящихся под диспансерным наблюдением в связи с туберкулезом, и больных туберкулезом</t>
  </si>
  <si>
    <t>Субвенция на оплату жилого помещения и коммунальных услуг отдельным категориям граждан, оказание мер социальной поддержки которым относится к полномочиям Ярославской области</t>
  </si>
  <si>
    <t>Субвенция на обеспечение профилактики безнадзорности, правонарушений несовершеннолетних и защиты их прав</t>
  </si>
  <si>
    <t>Субвенция на обеспечение деятельности органов местного самоуправления в сфере социальной защиты населения</t>
  </si>
  <si>
    <t>Субвенция на обеспечение деятельности   органов опеки и попечительства</t>
  </si>
  <si>
    <t>Субвенция на реализацию отдельных полномочий в сфере законодательства об административных правонарушениях</t>
  </si>
  <si>
    <t>Субвенция на денежные выплаты</t>
  </si>
  <si>
    <t>Субвенция на оказание социальной помощи отдельным категориям  граждан</t>
  </si>
  <si>
    <t>Субвенция на социальную поддержку отдельных категорий  граждан в части ежемесячного пособия на ребенка</t>
  </si>
  <si>
    <t>Субвенция на социальную поддержку отдельных категорий  граждан в части ежемесячной денежной выплаты ветеранам труда, труженикам тыла, реабилитированным лицам</t>
  </si>
  <si>
    <t>Субвенция на государственную поддержку опеки и попечительства</t>
  </si>
  <si>
    <t>Субвенция на выплаты медицинским работникам, осуществляющим медицинское обслуживание обучающихся и воспитанников муниципальных образовательных организаций</t>
  </si>
  <si>
    <t>Субвенция на организацию образовательного процесса в общеобразовательных организациях</t>
  </si>
  <si>
    <t>Субвенция на компенсацию расходов за присмотр и уход за детьми, осваивающими образовательные программы дошкольного образования в организациях, осуществляющих образовательную деятельность</t>
  </si>
  <si>
    <t>Субвенция на содержание муниципальных казенных учреждений социального обслуживания населения, на предоставление субсидий муниципальным бюджетным учреждениям социального обслуживания населения на выполнение муниципальных заданий и иные цели</t>
  </si>
  <si>
    <t>Субвенция на компенсацию части расходов на приобретение путевки в организации отдыха детей и их оздоровления</t>
  </si>
  <si>
    <t>Субвенция на частичную оплату стоимости путевки в организации отдыха детей и их оздоровления</t>
  </si>
  <si>
    <t>Субвенция на содержание ребенка в семье опекуна и приемной семье, а также вознаграждение, причитающееся приемному родителю</t>
  </si>
  <si>
    <t xml:space="preserve">Субвенция на обеспечение отдыха и оздоровления детей, находящихся в трудной жизненной ситуации, детей погибших сотрудников правоохранительных органов и военнослужащих, безнадзорных детей </t>
  </si>
  <si>
    <t>Субвенция на отлов и содержание безнадзорных животных</t>
  </si>
  <si>
    <t>Субвенция на поддержку сельскохозяйственного производства в части организационных мероприятий в рамках предоставления субсидий сельскохозяйственным производителям</t>
  </si>
  <si>
    <t>Субвенция на выплату единовременного пособия беременной жене военнослужащего, проходящего военную службу по призыву, а также ежемесячного пособия на ребенка военнослужащего, проходящего военную службу по призыву, за счет средств федерального бюджета</t>
  </si>
  <si>
    <t xml:space="preserve">Субвенция на компенсацию отдельным категориям граждан оплаты взноса на капитальный ремонт общего имущества в многоквартирном доме </t>
  </si>
  <si>
    <t>Субвенция на выплату пособий по уходу за ребенком до достижения им возраста полутора лет гражданам, не подлежащим обязательному социальному страхованию на случай временной нетрудоспособности и в связи с материнством, за счет средств федерального бюджета</t>
  </si>
  <si>
    <t>Субвенция на выплату пособий при рождении ребенка гражданам, не подлежащим обязательному социальному страхованию на случай временной нетрудоспособности и в связи с материнством, за счет средств федерального бюджета</t>
  </si>
  <si>
    <t>Субвенция на осуществление переданных полномочий Российской Федерации на предоставление отдельных мер социальной поддержки граждан, подвергшихся воздействию радиации, за счет средств федерального бюджета</t>
  </si>
  <si>
    <t>Иные межбюджетные трансферты</t>
  </si>
  <si>
    <t>Межбюджетные трансферты, передаваемые бюджетам муниципальных районов для компенсации дополнительных расходов, возникших в результате решений, принятых органами власти другого уровня</t>
  </si>
  <si>
    <t>014</t>
  </si>
  <si>
    <t>2901</t>
  </si>
  <si>
    <t>Межбюджетные трансферты на осуществление части полномочий по решению вопросов местного значения в соответствии с заключенными соглашениями на содержание органов местного самоуправления</t>
  </si>
  <si>
    <t>2902</t>
  </si>
  <si>
    <t xml:space="preserve">Межбюджетные трансферты на обеспечение мероприятий по управлению, распоряжению имуществом, оценке недвижимости, признанию прав и регулированию отношений по муниципальной собственности поселения </t>
  </si>
  <si>
    <t>2906</t>
  </si>
  <si>
    <t xml:space="preserve">Межбюджетные трансферты на обеспечение мероприятий по строительству и реконструкции  объектов  газификации </t>
  </si>
  <si>
    <t>2908</t>
  </si>
  <si>
    <t>Межбюджетные трансферты на обеспечение   мероприятий в области  дорожного хозяйства  на ремонт и содержание автомобильных дорог</t>
  </si>
  <si>
    <t>2909</t>
  </si>
  <si>
    <t>Межбюджетные трансферты на обеспечение   мероприятий в области  дорожного хозяйства  по повышению безопасности дорожного движения</t>
  </si>
  <si>
    <t>2910</t>
  </si>
  <si>
    <t>2915</t>
  </si>
  <si>
    <t>Межбюджетные трансферты на обеспечение мероприятий в сфере ипотечного жилищного кредитования</t>
  </si>
  <si>
    <t>2916</t>
  </si>
  <si>
    <t>2917</t>
  </si>
  <si>
    <t>2918</t>
  </si>
  <si>
    <t>Межбюджетные трансферты на обеспечение мероприятий по  предупреждению и ликвидации последствий чрезвычайных ситуаций в границах поселения</t>
  </si>
  <si>
    <t>2919</t>
  </si>
  <si>
    <t>Межбюджетные трансферты на обеспечение   первичных мер пожарной безопасности в границах населенных пунктов поселения</t>
  </si>
  <si>
    <t>2920</t>
  </si>
  <si>
    <t>Межбюджетные трансферты на обеспечение мероприятий по организации населению услуг бань  в общих отделениях</t>
  </si>
  <si>
    <t>2923</t>
  </si>
  <si>
    <t>Межбюджетные трансферты на обеспечение мероприятий по уличному освещению</t>
  </si>
  <si>
    <t>2924</t>
  </si>
  <si>
    <t>Межбюджетные трансферты на обеспечение мероприятий по техническому содержанию, текущему и капитальному ремонту сетей уличного освещения</t>
  </si>
  <si>
    <t>2925</t>
  </si>
  <si>
    <t>2926</t>
  </si>
  <si>
    <t>2927</t>
  </si>
  <si>
    <t>Межбюджетные трансферты на обеспечение мероприятий по землеустройству и землепользованию, по определению кадастровой стоимости и приобретению прав собственности</t>
  </si>
  <si>
    <t>2930</t>
  </si>
  <si>
    <t>2931</t>
  </si>
  <si>
    <t>2933</t>
  </si>
  <si>
    <t>Межбюджетные трансферты на обеспечение мероприятий для развития субъектов малого и среднего предпринимательства</t>
  </si>
  <si>
    <t>ИТОГО</t>
  </si>
  <si>
    <t>Приложение 2</t>
  </si>
  <si>
    <t>2018 Сумма, руб.</t>
  </si>
  <si>
    <t>Статьи</t>
  </si>
  <si>
    <t>Подстатьи</t>
  </si>
  <si>
    <t>Элемента</t>
  </si>
  <si>
    <t xml:space="preserve">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муниципальным районам
</t>
  </si>
  <si>
    <t>048</t>
  </si>
  <si>
    <t xml:space="preserve">Доходы от продажи земельных участков, находящихся в государственной и муниципальной собственности </t>
  </si>
  <si>
    <t>Доходы от продажи земельных участков, государственная собственность на которые разграничена (за исключением земельных участков муниципальных бюджетных и автономных учреждений)</t>
  </si>
  <si>
    <t>Субсидия на укрепление института семьи, повышение качества жизни семей с несовершеннолетними детьми</t>
  </si>
  <si>
    <t>Субвенция на ежемесячную денежную выплату, назначаемую при рождении третьего ребенка или последующих детей до достижения ребенком возраста трех лет, за счет средств областного бюджета</t>
  </si>
  <si>
    <t>Приложение 3</t>
  </si>
  <si>
    <t>Код</t>
  </si>
  <si>
    <t>Наименование</t>
  </si>
  <si>
    <t>Сумма, руб.</t>
  </si>
  <si>
    <t>ОБЩЕГОСУДАРСТВЕННЫЕ ВОПРОСЫ</t>
  </si>
  <si>
    <t>Функционирование Президента Российской Федерации</t>
  </si>
  <si>
    <t>Функционирование высшего должностного лица субъекта Российской Федерации и муниципального образования</t>
  </si>
  <si>
    <t>Функционирование законодательных (представительных) органов государственной власти и представительных органов муниципальных образований</t>
  </si>
  <si>
    <t>Функционирование Правительства Российской Федерации, высших исполнительных органов государственной власти субъектов Российской Федерации, местных администраций</t>
  </si>
  <si>
    <t>Судебная система</t>
  </si>
  <si>
    <t>Обеспечение деятельности финансовых, налоговых и таможенных органов и органов финансового (финансово-бюджетного) надзора</t>
  </si>
  <si>
    <t>Обеспечение проведения выборов и референдумов</t>
  </si>
  <si>
    <t>Международные отношения и международное сотрудничество</t>
  </si>
  <si>
    <t>Государственный материальный резерв</t>
  </si>
  <si>
    <t>Фундаментальные исследования</t>
  </si>
  <si>
    <t>Резервные фонды</t>
  </si>
  <si>
    <t>Прикладные научные исследования в области общегосударственных вопросов</t>
  </si>
  <si>
    <t>Другие общегосударственные вопросы</t>
  </si>
  <si>
    <t>НАЦИОНАЛЬНАЯ ОБОРОНА</t>
  </si>
  <si>
    <t>Вооруженные Силы Российской Федерации</t>
  </si>
  <si>
    <t>Модернизация Вооруженных Сил Российской Федерации и воинских формирований</t>
  </si>
  <si>
    <t>Мобилизационная и вневойсковая подготовка</t>
  </si>
  <si>
    <t>Мобилизационная подготовка экономики</t>
  </si>
  <si>
    <t>Подготовка и участие в обеспечении коллективной безопасности и миротворческой деятельности;</t>
  </si>
  <si>
    <t>Ядерно-оружейный комплекс</t>
  </si>
  <si>
    <t>Реализация международных обязательств в сфере военно-технического сотрудничества</t>
  </si>
  <si>
    <t>Прикладные научные исследования в области национальной обороны</t>
  </si>
  <si>
    <t>Другие вопросы в области национальной обороны</t>
  </si>
  <si>
    <t>НАЦИОНАЛЬНАЯ БЕЗОПАСНОСТЬ И ПРАВООХРАНИТЕЛЬНАЯ ДЕЯТЕЛЬНОСТЬ</t>
  </si>
  <si>
    <t>Внутренние войска</t>
  </si>
  <si>
    <t>Органы юстиции</t>
  </si>
  <si>
    <t>Система исполнения наказаний</t>
  </si>
  <si>
    <t>Органы безопасности</t>
  </si>
  <si>
    <t>Органы пограничной службы</t>
  </si>
  <si>
    <t>Органы по контролю за оборотом наркотических средств и психотропных веществ</t>
  </si>
  <si>
    <t>Защита населения и территории от последствий чрезвычайных ситуаций природного и техногенного характера, гражданская оборона</t>
  </si>
  <si>
    <t>Обеспечение пожарной безопасности</t>
  </si>
  <si>
    <t>Миграционная политика</t>
  </si>
  <si>
    <t>Модернизация внутренних войск, войск гражданской обороны, а также правоохранительных и иных органов</t>
  </si>
  <si>
    <t>Прикладные научные исследования в области национальной безопасности и правоохранительной деятельности</t>
  </si>
  <si>
    <t>Другие вопросы в области национальной безопасности и правоохранительной деятельности</t>
  </si>
  <si>
    <t>НАЦИОНАЛЬНАЯ ЭКОНОМИКА</t>
  </si>
  <si>
    <t xml:space="preserve"> Общеэкономические вопросы</t>
  </si>
  <si>
    <t>Топливно-энергетический комплекс</t>
  </si>
  <si>
    <t>Исследование и использование космического пространства</t>
  </si>
  <si>
    <t>Воспроизводство минерально-сырьевой базы</t>
  </si>
  <si>
    <t>Сельское хозяйство и рыболовство</t>
  </si>
  <si>
    <t>Водные ресурсы</t>
  </si>
  <si>
    <t>Лесное хозяйство</t>
  </si>
  <si>
    <t>Транспорт</t>
  </si>
  <si>
    <t>Дорожное хозяйство</t>
  </si>
  <si>
    <t>Связь и информатика</t>
  </si>
  <si>
    <t>Прикладные научные исследования в области национальной экономики</t>
  </si>
  <si>
    <t>Другие вопросы в области национальной экономики</t>
  </si>
  <si>
    <t>ЖИЛИЩНО-КОММУНАЛЬНОЕ ХОЗЯЙСТВО</t>
  </si>
  <si>
    <t>Жилищное хозяйство</t>
  </si>
  <si>
    <t>Коммунальное хозяйство</t>
  </si>
  <si>
    <t>Благоустройство</t>
  </si>
  <si>
    <t>Прикладные научные исследования в области жилищно- коммунального хозяйства</t>
  </si>
  <si>
    <t>Другие вопросы в области жилищно-коммунального хозяйства</t>
  </si>
  <si>
    <t>ОХРАНА ОКРУЖАЮЩЕЙ СРЕДЫ</t>
  </si>
  <si>
    <t>Экологический контроль</t>
  </si>
  <si>
    <t>Сбор, удаление отходов и очистка сточных вод</t>
  </si>
  <si>
    <t>Охрана объектов растительного и животного мира и среды их обитания</t>
  </si>
  <si>
    <t>Прикладные научные исследования в области охраны окружающей среды</t>
  </si>
  <si>
    <t>Другие вопросы в области охраны окружающей среды</t>
  </si>
  <si>
    <t>ОБРАЗОВАНИЕ</t>
  </si>
  <si>
    <t>Дошкольное образование</t>
  </si>
  <si>
    <t>Общее образование</t>
  </si>
  <si>
    <t>Среднее профессиональное образование</t>
  </si>
  <si>
    <t>Профессиональная подготовка, переподготовка и повышение квалификации</t>
  </si>
  <si>
    <t>Высшее и послевузовское профессиональное образование</t>
  </si>
  <si>
    <t>Прикладные научные исследования в области образования</t>
  </si>
  <si>
    <t>Другие вопросы в области образования</t>
  </si>
  <si>
    <t>КУЛЬТУРА И КИНЕМАТОГРАФИЯ</t>
  </si>
  <si>
    <t>Культура</t>
  </si>
  <si>
    <t>Кинематография</t>
  </si>
  <si>
    <t xml:space="preserve">Прикладные научные исследования в области культуры, кинематографии </t>
  </si>
  <si>
    <t>Другие вопросы в области культуры, кинематографии</t>
  </si>
  <si>
    <t>ЗДРАВООХРАНЕНИЕ</t>
  </si>
  <si>
    <t>Стационарная медицинская помощь</t>
  </si>
  <si>
    <t>Амбулаторная помощь</t>
  </si>
  <si>
    <t>Медицинская помощь в дневных стационарах всех типов</t>
  </si>
  <si>
    <t>Скорая медицинская помощь</t>
  </si>
  <si>
    <t>Санаторно-оздоровительная помощь</t>
  </si>
  <si>
    <t>Заготовка, переработка, хранение и обеспечение безопасности донорской крови и её компонентов</t>
  </si>
  <si>
    <t>Санитарно-эпидемиологическое благополучие</t>
  </si>
  <si>
    <t>Прикладные научные исследования в области здравоохранения</t>
  </si>
  <si>
    <t>Другие вопросы в области здравоохранения</t>
  </si>
  <si>
    <t>СОЦИАЛЬНАЯ ПОЛИТИКА</t>
  </si>
  <si>
    <t>Пенсионное обеспечение</t>
  </si>
  <si>
    <t>Социальное обслуживание населения</t>
  </si>
  <si>
    <t>Социальное обеспечение населения</t>
  </si>
  <si>
    <t>Охрана семьи и детства</t>
  </si>
  <si>
    <t>Прикладные научные исследования в области социальной политики</t>
  </si>
  <si>
    <t>Другие вопросы в области социальной политики</t>
  </si>
  <si>
    <t>ФИЗИЧЕСКАЯ КУЛЬТУРА И СПОРТ</t>
  </si>
  <si>
    <t xml:space="preserve">Физическая культура </t>
  </si>
  <si>
    <t>Массовый спорт</t>
  </si>
  <si>
    <t>Спорт высших достижений</t>
  </si>
  <si>
    <t>Прикладные научные исследования в области физической культуры и спорта</t>
  </si>
  <si>
    <t>Другие вопросы в области физической культуры и спорта</t>
  </si>
  <si>
    <t>СРЕДСТВА МАССОВОЙ ИНФОРМАЦИИ</t>
  </si>
  <si>
    <t>Телевидение и радиовещание</t>
  </si>
  <si>
    <t>Периодическая печать и издательства</t>
  </si>
  <si>
    <t>Прикладные научные исследования в области средств массовой информации</t>
  </si>
  <si>
    <t>Другие вопросы в области средств массовой информации</t>
  </si>
  <si>
    <t xml:space="preserve">ОБСЛУЖИВАНИЕ ГОСУДАРСТВЕННОГО И МУНИЦИПАЛЬНОГО ДОЛГА </t>
  </si>
  <si>
    <t>Обслуживание внутреннего государственного и муниципального долга</t>
  </si>
  <si>
    <t>Обслуживание внешнего государственного долга</t>
  </si>
  <si>
    <t>МЕЖБЮДЖЕТНЫЕ ТРАНСФЕРТЫ БЮДЖЕТАМ СУБЪЕКТОВ РОССИЙСКОЙ ФЕДЕРАЦИИ И МУНИЦИПАЛЬНЫХ ОБРАЗОВАНИЙ ОБЩЕГО ХАРАКТЕРА</t>
  </si>
  <si>
    <t>Дотации на выравнивание бюджетной обеспеченности субъектов Российской Федерации и муниципальных образований</t>
  </si>
  <si>
    <t>Иные дотации</t>
  </si>
  <si>
    <t>Прочие межбюджетные трансферты бюджетам субъектов Российской Федерации и муниципальных образований общего характера</t>
  </si>
  <si>
    <t>ПРОФИЦИТ/ДЕФИЦИТ</t>
  </si>
  <si>
    <t>Приложение 4</t>
  </si>
  <si>
    <t>Условно утвержденные расходы</t>
  </si>
  <si>
    <t>Название</t>
  </si>
  <si>
    <t>000 01 02 00 00 00 0000 000</t>
  </si>
  <si>
    <t>Кредиты кредитных организаций в валюте Российской Федерации</t>
  </si>
  <si>
    <t>955 01 02 00 00 00 0000 700</t>
  </si>
  <si>
    <t>Получение кредитов от кредитных организаций в валюте Российской Федерации</t>
  </si>
  <si>
    <t>955 01 02 00 00 05 0000 710</t>
  </si>
  <si>
    <t>Получение кредитов от кредитных организаций бюджетами муниципальных района в валюте Российской Федерации</t>
  </si>
  <si>
    <t>955 01 02 00 00 00 0000 800</t>
  </si>
  <si>
    <t xml:space="preserve">Погашение кредитов, предоставленных кредитными организациями в валюте Российской Федерации </t>
  </si>
  <si>
    <t>955 01 02 00 00 05 0000 810</t>
  </si>
  <si>
    <t>Погашение бюджетами муниципальных района кредитов от кредитных организаций в валюте в Российской Федерации</t>
  </si>
  <si>
    <t>000 01 03 00 00 00 0000 000</t>
  </si>
  <si>
    <t>Бюджетные кредиты от других бюджетов бюджетной системы Российской Федерации</t>
  </si>
  <si>
    <t>955 01 03 01 00 00 0000 700</t>
  </si>
  <si>
    <t>Получение бюджетных кредитов, полученных от других бюджетов бюджетной системы Российской Федерации в валюте Российской Федерации</t>
  </si>
  <si>
    <t>955 01 03 01 00 05 0000 710</t>
  </si>
  <si>
    <t>Получение бюджетами муниципальных районов кредитов от других бюджетов бюджетной системы Российской Федерации в валюте Российской Федерации</t>
  </si>
  <si>
    <t>955 01 03 01 00 00 0000 800</t>
  </si>
  <si>
    <t>Погашение бюджетных кредитов, полученных от других бюджетов бюджетной системы Российской Федерации в валюте Российской Федерации</t>
  </si>
  <si>
    <t>955 01 03 01 00 05 0000 810</t>
  </si>
  <si>
    <t>Погашение кредитов от других бюджетов бюджетной системы Российской Федерации  бюджетами муниципальных районов в валюте Российской Федерации</t>
  </si>
  <si>
    <t>000 01 05 00 00 00 0000 000</t>
  </si>
  <si>
    <t>Изменение остатков средств на счетах по учету средств бюджета</t>
  </si>
  <si>
    <t>955 01 05 02 01 05 0000 510</t>
  </si>
  <si>
    <t>Увеличение прочих остатков денежных средств бюджетов муниципальных районов</t>
  </si>
  <si>
    <t>955 01 05 02 01 05 0000 610</t>
  </si>
  <si>
    <t>Уменьшение прочих остатков денежных средств бюджетов муниципальных районов</t>
  </si>
  <si>
    <t>000 01 06 00 00 00 0000 000</t>
  </si>
  <si>
    <t>Бюджетные кредиты, предоставленные внутри страны в валюте Российской Федерации</t>
  </si>
  <si>
    <t>955 01 06 05 01 00 0000 640</t>
  </si>
  <si>
    <t>Возврат бюджетных кредитов, предоставленных юридическим лицам в валюте Российской Федерации</t>
  </si>
  <si>
    <t>955 01 06 05 01 05 0000 640</t>
  </si>
  <si>
    <t>Возврат бюджетных кредитов, предоставленных юридическим лицам из бюджетов муниципальных районов в валюте Российской Федерации</t>
  </si>
  <si>
    <t>Итого источников внутреннего финансирования</t>
  </si>
  <si>
    <t>Приложение 6</t>
  </si>
  <si>
    <t>2019 Сумма, руб.</t>
  </si>
  <si>
    <t>955 01 02 00 00 00 0000 000</t>
  </si>
  <si>
    <t>Получение кредитов от кредитных организаций бюджетом муниципального района в валюте Российской Федерации</t>
  </si>
  <si>
    <t>Погашение бюджетом муниципального района кредитов от кредитных организаций в валюте в Российской Федерации</t>
  </si>
  <si>
    <t>955 01 03 00 00 00 0000 000</t>
  </si>
  <si>
    <t>Погашение бюджетами муниципальных районов кредитов от других бюджетов бюджетной системы Российской Федерации в валюте Российской Федерации</t>
  </si>
  <si>
    <t>955 01 05 00 00 00 0000 000</t>
  </si>
  <si>
    <t>Увеличение прочих остатков денежных средств бюджета муниципального района</t>
  </si>
  <si>
    <t>Уменьшение прочих остатков денежных средств бюджета муниципального района</t>
  </si>
  <si>
    <t>955 01 06 00 00 00 0000 000</t>
  </si>
  <si>
    <t>Приложение 7</t>
  </si>
  <si>
    <t xml:space="preserve">                                                                                                                                                                                       руб.</t>
  </si>
  <si>
    <t>Виды заимствований</t>
  </si>
  <si>
    <r>
      <t xml:space="preserve">1. </t>
    </r>
    <r>
      <rPr>
        <b/>
        <sz val="12"/>
        <color theme="1"/>
        <rFont val="Times New Roman"/>
        <family val="1"/>
        <charset val="204"/>
      </rPr>
      <t>Кредиты кредитных организаций</t>
    </r>
  </si>
  <si>
    <t xml:space="preserve">Получение кредитов </t>
  </si>
  <si>
    <t>Погашение кредитов</t>
  </si>
  <si>
    <t>2. Бюджетные кредиты</t>
  </si>
  <si>
    <t xml:space="preserve">          Получение кредитов</t>
  </si>
  <si>
    <t xml:space="preserve">3. Итого кредиты </t>
  </si>
  <si>
    <r>
      <t xml:space="preserve">        </t>
    </r>
    <r>
      <rPr>
        <sz val="12"/>
        <color theme="1"/>
        <rFont val="Times New Roman"/>
        <family val="1"/>
        <charset val="204"/>
      </rPr>
      <t>Получение</t>
    </r>
  </si>
  <si>
    <t xml:space="preserve">        Погашение</t>
  </si>
  <si>
    <t>в том числе сумма, направляемая на покрытие дефицита бюджета</t>
  </si>
  <si>
    <t xml:space="preserve">                                                                                                                                                                                      руб.</t>
  </si>
  <si>
    <t>Предельный размер</t>
  </si>
  <si>
    <t>1. Верхний предел муниципального долга</t>
  </si>
  <si>
    <t xml:space="preserve">в том числе верхний предел долга по муниципальным гарантиям  </t>
  </si>
  <si>
    <t>2. Предельный объем муниципального долга</t>
  </si>
  <si>
    <t>3. Объем расходов на обслуживание муниципального долга</t>
  </si>
  <si>
    <t>4. Предельный объем муниципальных заимствований</t>
  </si>
  <si>
    <t>3. Информация об объеме и структуре муниципального долга Тутаевского муниципального района</t>
  </si>
  <si>
    <t>Обязательства</t>
  </si>
  <si>
    <t>Объем долга</t>
  </si>
  <si>
    <t>Сумма (руб.)</t>
  </si>
  <si>
    <t>%</t>
  </si>
  <si>
    <r>
      <t xml:space="preserve">1 </t>
    </r>
    <r>
      <rPr>
        <sz val="12"/>
        <color theme="1"/>
        <rFont val="Times New Roman"/>
        <family val="1"/>
        <charset val="204"/>
      </rPr>
      <t>Кредиты кредитных организаций</t>
    </r>
  </si>
  <si>
    <t>2 Бюджетные кредиты</t>
  </si>
  <si>
    <t xml:space="preserve">3 Муниципальные гарантии </t>
  </si>
  <si>
    <t>Итого объем муниципального долга</t>
  </si>
  <si>
    <t>Приложение 9</t>
  </si>
  <si>
    <t>от "____"___________ 2014 г.№ ______</t>
  </si>
  <si>
    <t xml:space="preserve">Главные администраторы доходов бюджета Тутаевского муниципального района </t>
  </si>
  <si>
    <t>950 Администрация Тутаевского муниципального района</t>
  </si>
  <si>
    <t>1 08 07150 01 1000 110</t>
  </si>
  <si>
    <t>Государственная пошлина за выдачу разрешения на установку рекламной конструкции</t>
  </si>
  <si>
    <t xml:space="preserve">1 13 01995 05 0000 130 </t>
  </si>
  <si>
    <t>1 13 02995 05 0000 130</t>
  </si>
  <si>
    <t xml:space="preserve">Прочие доходы от компенсации затрат бюджетов муниципальных районов </t>
  </si>
  <si>
    <t>1 16 23051 05 0000 140</t>
  </si>
  <si>
    <t>Доходы от возмещения ущерба при возникновении страховых случаев по обязательному страхованию гражданской ответственности, когда выгодоприобретателями выступают получатели средств бюджетов муниципальных районов</t>
  </si>
  <si>
    <t>1 16 23052 05 0000 140</t>
  </si>
  <si>
    <t>Доходы от возмещения ущерба при возникновении иных страховых случаев, когда выгодоприобретателями выступают получатели средств бюджетов муниципальных районов</t>
  </si>
  <si>
    <t>1 16 90050 05 0000 140</t>
  </si>
  <si>
    <t>Прочие поступления от денежных взысканий (штрафов) и иных сумм в возмещение ущерба, зачисляемые в бюджеты муниципальных районов</t>
  </si>
  <si>
    <t>1 17 01050 05 0000 180</t>
  </si>
  <si>
    <t>Невыясненные поступления, зачисляемые в бюджеты муниципальных районов</t>
  </si>
  <si>
    <t>1 17 05050 05 0000 180</t>
  </si>
  <si>
    <t>Прочие неналоговые доходы бюджетов муниципальных районов</t>
  </si>
  <si>
    <t>2 18 05010 05 0000 180</t>
  </si>
  <si>
    <t xml:space="preserve">Доходы бюджетов муниципальных районов от возврата бюджетными учреждениями остатков субсидий прошлых лет </t>
  </si>
  <si>
    <t>2 18 05030 05 0000 180</t>
  </si>
  <si>
    <t xml:space="preserve">Доходы бюджетов муниципальных районов от возврата иными организациями остатков субсидий прошлых лет </t>
  </si>
  <si>
    <t>2 19 05000 05 0000 151</t>
  </si>
  <si>
    <t>Возврат остатков субсидий, субвенций и иных межбюджетных трансфертов, имеющих целевое назначение, прошлых лет из бюджетов муниципальных районов</t>
  </si>
  <si>
    <t xml:space="preserve">2 02 02009 05 0000 151 </t>
  </si>
  <si>
    <t>Субсидии бюджетам муниципальных районов   на государственную поддержку малого и среднего предпринимательства, включая крестьянские (фермерские) хозяйства</t>
  </si>
  <si>
    <t xml:space="preserve">2 02 02077 05 0000 151 </t>
  </si>
  <si>
    <t>Субсидии бюджетам муниципальных районов на софинансирование капитальных вложений в объекты муниципальной собственности</t>
  </si>
  <si>
    <t>2 02 02085 05 0000 151</t>
  </si>
  <si>
    <t>Субсидии бюджетам муниципальных районов на осуществление мероприятий по обеспечению жильем граждан Российской Федерации, проживающих в сельской местности</t>
  </si>
  <si>
    <t>2 02 02088 05 0004 151</t>
  </si>
  <si>
    <t>Субсидии бюджетам муниципальных районов на обеспечение мероприятий по переселению граждан из аварийного жилищного фонда с учетом необходимости развития молоэтажного жилищного строительства за счет средств, поступивших от государственной корпорации - Фонда содействия реформированию жилищно-коммунального хозяйства</t>
  </si>
  <si>
    <t>2 02 02089 05 0004 151</t>
  </si>
  <si>
    <t>Субсидии бюджетам муниципальных районов на обеспечение мероприятий по переселению граждан из аварийного жилищного фонда с учетом необходимости развития молоэтажного жилищного строительства за счет средств бюджетов</t>
  </si>
  <si>
    <t>2 02 02999 05 0000 151</t>
  </si>
  <si>
    <t>Прочие субсидии бюджетам муниципальных районов</t>
  </si>
  <si>
    <t>2 02 03003 05 0000 151</t>
  </si>
  <si>
    <t>Субвенции бюджетам муниципальных районов на выполнение переданных полномочий на государственную регистрацию актов гражданского состояния</t>
  </si>
  <si>
    <t>2 02 03007 05 0000 151</t>
  </si>
  <si>
    <t>Субвенции бюджетам муниципальных районов на составление (изменение и дополнение) списков кандидатов в присяжные заседатели федеральных судов общей юрисдикции в Российской Федерации</t>
  </si>
  <si>
    <t>2 02 03024 05 0000 151</t>
  </si>
  <si>
    <t>Субвенции бюджетам муниципальных районов на выполнение передаваемых полномочий субъектов Российской Федерации</t>
  </si>
  <si>
    <t>2 02 04014 05 0000 151</t>
  </si>
  <si>
    <t xml:space="preserve">Межбюджетные трансферты,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 </t>
  </si>
  <si>
    <t xml:space="preserve">2 02 04999 05 0000 151 </t>
  </si>
  <si>
    <t>Прочие межбюджетные трансферты, передаваемые бюджетам муниципальных районов</t>
  </si>
  <si>
    <t>952 Департамент муниципального имущества  Администрации Тутаевского муниципального района</t>
  </si>
  <si>
    <t xml:space="preserve">1 11 01050 05 0000 120 </t>
  </si>
  <si>
    <t>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муниципальным районам</t>
  </si>
  <si>
    <t>1 11 05013 10 0000 120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</si>
  <si>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поселений, а также средства от продажи права на заключение договоров аренды указанных земельных участков</t>
  </si>
  <si>
    <t>1 11 05025 05 0000 120</t>
  </si>
  <si>
    <t>Доходы, получаемые в виде арендной платы, а также средства от продажи права на заключение договоров аренды за земли, находящиеся в собственности муниципальных районов (за исключением земельных участков муниципальных бюджетных и  автономных учреждений)</t>
  </si>
  <si>
    <t>1 11 05035 05 0000 120</t>
  </si>
  <si>
    <t>Доходы от сдачи в аренду имущества, находящегося в оперативном управлении органов управления муниципальных районов и созданных ими учреждений(за исключением имущества муниципальных бюджетных и автономных учреждений)</t>
  </si>
  <si>
    <t>1 11 05075 05 0000 120</t>
  </si>
  <si>
    <t xml:space="preserve">Доходы от сдачи в аренду имущества, составляющего казну муниципальных районов (за исключением земельных участков)  </t>
  </si>
  <si>
    <t>1 11 07015 05 0000 120</t>
  </si>
  <si>
    <t>Доходы от перечисления части прибыли, остающейся после уплаты налогов и иных обязательных платежей муниципальных унитарных предприятий, созданных муниципальными районами</t>
  </si>
  <si>
    <t>1 11 09045 05 0000 120</t>
  </si>
  <si>
    <t>Прочие поступления от использования имущества, находящегося в собственности муниципальных районов(за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</si>
  <si>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1 14 01050 05 0000 410</t>
  </si>
  <si>
    <t>Доходы от продажи квартир, находящихся в собственности муниципальных районов</t>
  </si>
  <si>
    <t>1 14 02053 05 0000 410</t>
  </si>
  <si>
    <t>Доходы от реализации иного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</si>
  <si>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1 14 02053 05 0000 440</t>
  </si>
  <si>
    <t>Доходы от реализации иного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материальных запасов по указанному имуществу</t>
  </si>
  <si>
    <t>1 14 04050 05 0000 420</t>
  </si>
  <si>
    <t>Доходы от продажи нематериальных активов, находящихся в собственности муниципальных районов</t>
  </si>
  <si>
    <t>1 14 06013 10 0000 430</t>
  </si>
  <si>
    <t>Доходы от продажи земельных участков, государственная собственность на которые не разграничена и которые расположены в границах поселений</t>
  </si>
  <si>
    <t>1 14 06025 05 0000 430</t>
  </si>
  <si>
    <t>01 06 01 00 00 0000 630</t>
  </si>
  <si>
    <t>Средства от продажи акций и иных форм участия в капитале, находящихся в государственной и муниципальной собственности</t>
  </si>
  <si>
    <t>953 Департамент образования Администрации Тутаевского муниципального района</t>
  </si>
  <si>
    <t>2 02 02051 05 0000 151</t>
  </si>
  <si>
    <t>Субсидии бюджетам муниципальных районов на реализацию федеральных целевых программ</t>
  </si>
  <si>
    <t xml:space="preserve">2 02 02141 05 0000 151 </t>
  </si>
  <si>
    <t>Субсидии бюджетам муниципальных районов на реализацию комплексных программ поддержки развития дошкольных образовательных учреждений в субъектах Российской Федерации</t>
  </si>
  <si>
    <t xml:space="preserve">2 02 02145 05 0000 151 </t>
  </si>
  <si>
    <t>Субсидии бюджетам муниципальных районов на модернизацию региональных систем общего образования</t>
  </si>
  <si>
    <t>2 02 02204 05 0000 151</t>
  </si>
  <si>
    <t>Субсидии бюджетам муниципальных районов на модернизацию региональных систем дошкольного образования</t>
  </si>
  <si>
    <t>2 02 03020 05 0000 151</t>
  </si>
  <si>
    <t>Субвенции бюджетам муниципальных районов на выплату единовременного пособия при всех формах устройства детей, лишенных родительского попечения, в семью</t>
  </si>
  <si>
    <t>2 02 03021 05 0000 151</t>
  </si>
  <si>
    <t>Субвенции бюджетам муниципальных районов на ежемесячное денежное вознаграждение за классное руководство</t>
  </si>
  <si>
    <t>2 02 03027 05 0000 151</t>
  </si>
  <si>
    <t xml:space="preserve">Субвенции бюджетам муниципальных районов на содержание ребенка в семье опекуна и приемной семье, а также взнаграждение, причитающееся приемному родителю </t>
  </si>
  <si>
    <t>2 02 03029 05 0000 151</t>
  </si>
  <si>
    <t xml:space="preserve">Субвенции бюджетам муниципальных районов на компенсацию части родительской платы за содержание ребенка в муниципальных образовательных учреждениях, реализующих основную общеобразовательную программу дошкольного образования </t>
  </si>
  <si>
    <t>2 02 03033 05 0000 151</t>
  </si>
  <si>
    <t>Субвенции бюджетам муниципальных районов на оздоровление детей</t>
  </si>
  <si>
    <t>2 02 04999 05 0000 151</t>
  </si>
  <si>
    <t>954 Департамент труда и социального развития Администрации Тутаевского муниципального района</t>
  </si>
  <si>
    <t>2 02 03001 05 0000 151</t>
  </si>
  <si>
    <t>Субвенции бюджетам муниципальных районов на оплату жилищно-коммунальных услуг отдельным категориям граждан</t>
  </si>
  <si>
    <t>2 02 03004 05 0000 151</t>
  </si>
  <si>
    <t>Субвенции бюджетам муниципальных районов на обеспечение мер социальной поддержки для лиц, награжденных знаком "Почетный донор СССР", "Почетный донор России"</t>
  </si>
  <si>
    <t>2 02 03122 05 0000 151</t>
  </si>
  <si>
    <t xml:space="preserve">Субвенции бюджетам муниципальных районов на выплату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
</t>
  </si>
  <si>
    <t>2 02 03013 05 0000 151</t>
  </si>
  <si>
    <t>Субвенции бюджетам муниципальных районов на обеспечение мер социальной поддержки реабилитированных лиц и лиц, признанных пострадавшими от политических репрессий</t>
  </si>
  <si>
    <t>2 02 03022 05 0000 151</t>
  </si>
  <si>
    <t>Субвенции бюджетам муниципальных районов на предоставление гражданам субсидий на оплату жилого помещения и коммунальных услуг</t>
  </si>
  <si>
    <t>2 02 03053 05 0000 151</t>
  </si>
  <si>
    <t>Субвенции бюджетам муниципальных районов на выплату единовременного пособия беременной жене военнослужащего, проходящего военную службу по призыву, а также ежемесячного пособия на ребенка военнослужащего, проходящего военную службу по призыву</t>
  </si>
  <si>
    <t xml:space="preserve">2 02 03090 05 0000 151 </t>
  </si>
  <si>
    <t>Субвенции бюджетам муниципальных районов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</si>
  <si>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2 02 09071 05 0000 151</t>
  </si>
  <si>
    <t>Прочие безвозмездные поступления в бюджеты муниципальных районов от бюджета Пенсионного фонда Российской Федерации</t>
  </si>
  <si>
    <t>955 Департамент финансов администрации Тутаевского муниципального района</t>
  </si>
  <si>
    <t>1 11 03050 05 0000 120</t>
  </si>
  <si>
    <t>Проценты, полученные от предоставления бюджетных кредитов внутри страны за счет средств бюджета района</t>
  </si>
  <si>
    <t>1 16 18050 05 0000 140</t>
  </si>
  <si>
    <t>Денежные взыскания (штрафы) за нарушение бюджетного законодательства (в части бюджетов муниципальных районов)</t>
  </si>
  <si>
    <t>1 16 32000 05 0000 140</t>
  </si>
  <si>
    <t>Денежные взыскания, налагаемые в возмещение ущерба, причиненного в результате незаконного или нецелевого использования бюджетных средств (в части бюджетов муниципальных районов)</t>
  </si>
  <si>
    <t>2 18 05010 05 0000 151</t>
  </si>
  <si>
    <t>Доходы бюджетов муниципальных районов от возврата остатков субсидий, субвенций и иных межбюджетных трансфертов, имеющих целевое назначение, прошлых лет из бюджетов поселений</t>
  </si>
  <si>
    <t>2 02 01001 05 0000 151</t>
  </si>
  <si>
    <t xml:space="preserve">Дотации бюджетам муниципальным  на выравнивание бюджетной обеспеченности </t>
  </si>
  <si>
    <t>2 02 01003 05 0000 151</t>
  </si>
  <si>
    <t>Дотации бюджетам муниципальных районов на поддержку мер по обеспечению сбалансированности бюджетов</t>
  </si>
  <si>
    <t>2 02 03015 05 0000 151</t>
  </si>
  <si>
    <t>Субвенции бюджетам муниципальных районов на осуществление первичного воинского учета на территориях, где отсутствуют военные комиссариаты</t>
  </si>
  <si>
    <t>Субвенции бюджетам муниципальных районов на выполнение переданных полномочий субъектов Российской Федерации</t>
  </si>
  <si>
    <t>2 02 04012 05 0000 151</t>
  </si>
  <si>
    <t>2 02 04029 05 0000 151</t>
  </si>
  <si>
    <t>Межбюджетные трансферты, передаваемые бюджетам муниципальных районов на реализацию дополнительных мероприятий, направленных на снижение напряженности на рынке труда</t>
  </si>
  <si>
    <t>2 08 05000 05 0000 180</t>
  </si>
  <si>
    <t>Перечисления из бюджетов муниципальных районов (в бюджеты муниципальных районов) для осуществления возврата (зачета) излишне уплаченных или излишне взысканных сумм налогов, сборов и иных платежей, а также сумм процентов за несвоевременное осуществление такого возврата и процентов, начисленных на излишне взысканные суммы</t>
  </si>
  <si>
    <t>956 Департамент культуры, туризма и молодежной политики Администрации Тутаевского муниципального района</t>
  </si>
  <si>
    <t>2 02 02077 05 0000 151</t>
  </si>
  <si>
    <t>2 02 04041 05 0000 151</t>
  </si>
  <si>
    <t>Межбюджетные трансферты, передаваемые бюджетам муниципальных районов, на подключение общедоступных библиотек Российской Федерации к сети Интернет и развитие системы библиотечного дела с учетом задачи расширения информационных технологий и оцифровки</t>
  </si>
  <si>
    <t xml:space="preserve">2 02 04052 05 0000 151 </t>
  </si>
  <si>
    <t>Межбюджетные трансферты, передаваемые бюджетам муниицпальных районов  на государственную поддержку муниципальных учреждений культуры, находящихся на территориях сельских поселений</t>
  </si>
  <si>
    <t>2 02 04053 05 0000 151</t>
  </si>
  <si>
    <t>Межбюджетные трансферты, передаваемые бюджетам муницпальных районов  на государственную поддержку лучших работников муниципальных учреждений культуры, находящихся на территориях сельских поселений</t>
  </si>
  <si>
    <t>2 02 04025 05 0000 151</t>
  </si>
  <si>
    <t>Межбюджетные трансферты, передаваемые бюджетам муниципальных районов на комплектование книжных фондов библиотек муниципальных образований</t>
  </si>
  <si>
    <t>958 Департамент жилищно- коммунального хозяйства и строительства Администрации Тутаевского муниципального района</t>
  </si>
  <si>
    <t>1 16 46000 05 0000 140</t>
  </si>
  <si>
    <t>Поступления сумм в возмещение ущерба в связи с нарушением исполнителем (подрядчиком) условий государственных контрактов или иных договоров, финансируемых за счет средств муниципальных дорожных фондов муниципальных районов, либо в связи с уклонением от заключения таких контрактов или иных договоров</t>
  </si>
  <si>
    <t>2 02 02008 05 0000 151</t>
  </si>
  <si>
    <t xml:space="preserve">Субсидии бюджетам муниципальных районов на обеспечение жильем молодых семей </t>
  </si>
  <si>
    <t xml:space="preserve">2 02 02021 05 0000 151 </t>
  </si>
  <si>
    <t>Субсидии бюджетам муниципальных районов на осуществление капитального ремонта гидротехнических сооружений, находящихся в муниципальной собственности, и бесхозяйных гидротехнических сооружений</t>
  </si>
  <si>
    <t xml:space="preserve">2 02 02041  05 0000 151 </t>
  </si>
  <si>
    <t>Субсидии бюджетам муниципальных районов на строительство, модернизацию, ремонт и содержание автомобильных дорог общего пользования, в том числе дорог в поселениях (за исключением автомобильных дорог федерального значения)</t>
  </si>
  <si>
    <t>Субсидии бюджетам муниципальных районов на  софинансирование капитальных вложений в объекты муниципальной собственности</t>
  </si>
  <si>
    <t>2 02 02078 05 0000 151</t>
  </si>
  <si>
    <t>Субсидии бюджетам муниципальных районов на  бюджетные инвестиции для модернизации объектов коммунальной инфраструктуры</t>
  </si>
  <si>
    <t xml:space="preserve">2 02 02088 05 0001 151 </t>
  </si>
  <si>
    <t>Субсидии бюджетам муниципальных районов на обеспечение мероприятий по капитальному ремонту многоквартирных домов за счет средств, поступивших от государственной корпорации - Фонда содействия реформированию жилищно-коммунальногохозяйства</t>
  </si>
  <si>
    <t>2 02 02089 05 0001 151</t>
  </si>
  <si>
    <t>Субсидии бюджетам муниципальных районов на обеспечение мероприятий по капитальному ремонту многоквартирных домов за счет средств бюджетов</t>
  </si>
  <si>
    <t>2 02 02109 05 0000 151</t>
  </si>
  <si>
    <t>Субсидии бюджетам муниципальных районов на проведение капитального ремонта многоквартирных домов</t>
  </si>
  <si>
    <t>2 02 02150 05 0000 151</t>
  </si>
  <si>
    <t>Субсидии бюджетам муниципальных районов на реализацию программы энергосбережения и повышения энергетической эффективности на период до 2020 года</t>
  </si>
  <si>
    <t xml:space="preserve">2 02 04014 05 0000 151 </t>
  </si>
  <si>
    <t>982 МУ Контрольно-счетная палата Тутаевского муниципального района</t>
  </si>
  <si>
    <t>Приложение 10</t>
  </si>
  <si>
    <t>от "____"______________ 2014 г.№ ______</t>
  </si>
  <si>
    <t>Главные администраторы источнков финансирования дефицита бюджета Тутаевского муниципального района</t>
  </si>
  <si>
    <t>01 02 00 00 05 0000 710</t>
  </si>
  <si>
    <t>01 02 00 00 05 0000 810</t>
  </si>
  <si>
    <t>01 03 01 00 05 0000 710</t>
  </si>
  <si>
    <t>Получение кредитов от других бюджетов бюджетной системы Российской Федерации бюджетом муниципального района в валюте Российской Федерации</t>
  </si>
  <si>
    <t>01 03 01 00 05 0000 810</t>
  </si>
  <si>
    <t>Погашение бюджетом муниципального района кредитов от других бюджетов бюджетной системы Российской Федерации в валюте Российской Федерации</t>
  </si>
  <si>
    <t>01 05 02 01 05 0000 510</t>
  </si>
  <si>
    <t>01 05 02 01 05 0000 610</t>
  </si>
  <si>
    <t>01 06 04 00 05 0000 810</t>
  </si>
  <si>
    <t>Исполнение муниципальных гарантий муниципального района в валюте Российской Федерации в случае, если исполнение гарантом  муниципальных гарантий муниципального района ведет к возникновению права регрессного требования гаранта к принципалу либо обусловлено уступкой гаранту прав требования бенефициара к принципалу</t>
  </si>
  <si>
    <t xml:space="preserve">01 06 05 01 05 0000 640     </t>
  </si>
  <si>
    <t>Возврат бюджетных кредитов, предоставленных юридическим лицам из бюджета муниципального района в валюте Российской Федерации</t>
  </si>
  <si>
    <t>01 06 05 02 05 0000 640</t>
  </si>
  <si>
    <t>Возврат бюджетных кредитов, предоставленных другим бюджетам бюджетной системы Российской Федерации из бюджета муниципального района в валюте Российской Федерации</t>
  </si>
  <si>
    <t>01 06 05 01 05 0000 540</t>
  </si>
  <si>
    <t>Предоставление бюджетных кредитов юридическим лицам из бюджета муниципального района в валюте Росийской Федерации</t>
  </si>
  <si>
    <t>01 06 05 02 05 0000 540</t>
  </si>
  <si>
    <t>Предоставление бюджетных кредитов другим бюджетам бюджетной системы Российской Федерации из бюджета муниципального района в валюте Росийской Федерации</t>
  </si>
  <si>
    <t>Приложение 8</t>
  </si>
  <si>
    <t>П Р О Г Р А М М А</t>
  </si>
  <si>
    <t>2019 год                                                                               Сумма, руб.</t>
  </si>
  <si>
    <t>5. Предельный объем предоставляемых муниципальных гарантий</t>
  </si>
  <si>
    <t xml:space="preserve">Главные администраторы доходов бюджета Тутаевского муниципального района и доходов бюджета городского поселения Тутаев </t>
  </si>
  <si>
    <t xml:space="preserve">Государственная пошлина за выдачу разрешения на установку рекламной конструкции (сумма платежа (перерасчеты, недоимка и задолженность по соответствующему платежу, в том числе по отмененному)
</t>
  </si>
  <si>
    <t xml:space="preserve">1 08 07150 01 4000 110 </t>
  </si>
  <si>
    <t>Государственная пошлина за выдачу разрешения на установку рекламной конструкции(прочие поступления)</t>
  </si>
  <si>
    <t xml:space="preserve"> 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сельских поселений, а также  средства  от
 продажи  права   на   заключение договоров    аренды    указанных земельных участков
</t>
  </si>
  <si>
    <t xml:space="preserve">1 13 02995 05 0000 130 </t>
  </si>
  <si>
    <t xml:space="preserve">1 14 06013 10 0000 430 </t>
  </si>
  <si>
    <t>Доходы  от   продажи   земельных участков,                                      государственная собственность  на     которые не
разграничена и которые расположены в границах сельских
поселений</t>
  </si>
  <si>
    <t>Межбюджетные трансферты, передаваемые бюджетам муниципальных районов на финансовое обеспечение мероприятий, связанных с отдыхом и оздоровлением детей, находящихся в трудной жизненной ситуации</t>
  </si>
  <si>
    <t>Субсидии бюджетам муниципальных районов на реализацию мероприятий государственной программы Российской Федерации "Доступная среда" на 2011 - 2020 годы</t>
  </si>
  <si>
    <t xml:space="preserve">Субвенции бюджетам муниципальных районов на государственные единовременные пособия и ежемесячные денежные компенсации гражданам при возникновении поствакцинальных осложнений
</t>
  </si>
  <si>
    <t>Субвенции бюджетам муниципальных районовна осуществление переданных полномочий Российской Федерации по предоставлению отдельных мер социальной поддержки граждан, подвергшихся воздействию радиации</t>
  </si>
  <si>
    <t>1 17 01050 13 0000 180</t>
  </si>
  <si>
    <t>Невыясненные поступления, зачисляемые в бюджеты городских поселений</t>
  </si>
  <si>
    <t>Дотации бюджетам городских поселений на выравнивание бюджетной обеспеченности</t>
  </si>
  <si>
    <t xml:space="preserve">Прочие дотации бюджетам муниципальных районов
</t>
  </si>
  <si>
    <t>Прочие дотации бюджетам городских поселений</t>
  </si>
  <si>
    <t>2 08 05000 13 0000 180</t>
  </si>
  <si>
    <t>Перечисления из бюджетов городских поселений (в бюджеты городских поселений) для осуществления возврата (зачета) излишне уплаченных или излишне взысканных сумм налогов, сборов и иных платежей, а также сумм процентов за несвоевременное осуществление такого возврата и процентов, начисленных на излишне взысканные суммы</t>
  </si>
  <si>
    <t>Наименование дохода</t>
  </si>
  <si>
    <t>Бюджет муниципаль-ного района</t>
  </si>
  <si>
    <t>Бюджет городского поселения</t>
  </si>
  <si>
    <t>Бюджеты сельских поселений</t>
  </si>
  <si>
    <t>В части погашения задолженности и перерасчетов по отмененным налогам, сборам и иным обязательным платежам</t>
  </si>
  <si>
    <t>Налог на рекламу, мобилизуемый на территориях муниципальных районов</t>
  </si>
  <si>
    <t>Целевые сборы с граждан и предприятий, учреждений, организаций на содержание милиции, на благоустройство территорий, на нужды образования и другие цели, мобилизуемые на территориях муниципальных районов</t>
  </si>
  <si>
    <t>Прочие местные налоги и сборы, мобилизуемые на территориях муниципальных районов</t>
  </si>
  <si>
    <t>В части доходов от оказания платных услуг (работ) и компенсации затрат государства</t>
  </si>
  <si>
    <t>Прочие доходы от оказания платных услуг (работ) получателями  средств бюджетов муниципальных районов</t>
  </si>
  <si>
    <t>Прочие доходы от компенсации затрат бюджетов муниципальных районов</t>
  </si>
  <si>
    <t>Прочие доходы от оказания платных услуг (работ) получателями  средств бюджетов городских поселений</t>
  </si>
  <si>
    <t>Прочие доходы от компенсации затрат бюджетов городских поселений</t>
  </si>
  <si>
    <t>Прочие доходы от оказания платных услуг (работ) получателями  средств бюджетов сельских поселений</t>
  </si>
  <si>
    <t>Прочие доходы от компенсации затрат бюджетов сельских поселений</t>
  </si>
  <si>
    <t>Доходы, поступающие в порядке возмещения расходов, понесенных в связи с эксплуатацией имущества муниципальных районов</t>
  </si>
  <si>
    <t>В части штрафов, санкций, возмещения ущерба</t>
  </si>
  <si>
    <t>Доходы от возмещения  ущерба при возникновении страховых случаев по обязательному страхованию гражданской ответственности, когда выгодоприобретателями  выступают получатели средств бюджетов муниципальных районов</t>
  </si>
  <si>
    <t>Доходы от возмещения  ущерба при возникновении иных страховых случаев, когда выгодоприобретателями выступают получатели средств бюджетов муниципальных районов</t>
  </si>
  <si>
    <t>Доходы от возмещения  ущерба при возникновении страховых случаев по обязательному страхованию гражданской ответственности, когда выгодоприобретателями  выступают получатели средств бюджетов городских поселений</t>
  </si>
  <si>
    <t>Доходы от возмещения  ущерба при возникновении иных страховых случаев, когда выгодоприобретателями выступают получатели средств бюджетов городских поселений</t>
  </si>
  <si>
    <t>Доходы от возмещения  ущерба при возникновении страховых случаев по обязательному страхованию гражданской ответственности, когда выгодоприобретателями  выступают получатели средств бюджетов сельских поселений</t>
  </si>
  <si>
    <t>В части прочих неналоговых доходов</t>
  </si>
  <si>
    <t>Невыясненные поступления, зачисляемые в бюджеты сельских поселений</t>
  </si>
  <si>
    <t>Прочие неналоговые доходы бюджетов городских поселений</t>
  </si>
  <si>
    <t>Прочие неналоговые доходы бюджетов сельских поселений</t>
  </si>
  <si>
    <t>Приложение 11</t>
  </si>
  <si>
    <t>Приложение 12</t>
  </si>
  <si>
    <t>Главный расп., расп.</t>
  </si>
  <si>
    <t>Функ. кл.</t>
  </si>
  <si>
    <t>Целевая статья</t>
  </si>
  <si>
    <t>Вид. расх.</t>
  </si>
  <si>
    <t>Пр-ма</t>
  </si>
  <si>
    <t>Направ.</t>
  </si>
  <si>
    <t>Администрация Тутаевского муниципального района</t>
  </si>
  <si>
    <t>Непрограммные расходы бюджета</t>
  </si>
  <si>
    <t>40.9.00</t>
  </si>
  <si>
    <t>Содержание главы муниципального образования</t>
  </si>
  <si>
    <t>Содержание центрального аппарата</t>
  </si>
  <si>
    <t>Иные бюджетные ассигнования</t>
  </si>
  <si>
    <t>Содержание органов местного самоуправления за счет средств поселений</t>
  </si>
  <si>
    <t>Расходы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</si>
  <si>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Резервные фонды местных администраций</t>
  </si>
  <si>
    <t>Муниципальная программа "Повышение эффективности управления муниципальными финансами"</t>
  </si>
  <si>
    <t>10.0.00</t>
  </si>
  <si>
    <t>10.2.00</t>
  </si>
  <si>
    <t>10.2.01</t>
  </si>
  <si>
    <t>Расходы на развитие системы муниципального заказа</t>
  </si>
  <si>
    <t>11.0.00</t>
  </si>
  <si>
    <t>11.0.01</t>
  </si>
  <si>
    <t>Расходы на развитие муниципальной службы</t>
  </si>
  <si>
    <t>Муниципальная программа "Информатизация управленческой деятельности Администрации Тутаевского муниципального района"</t>
  </si>
  <si>
    <t>12.0.00</t>
  </si>
  <si>
    <t>Закупка компьютерного оборудования  и оргтехники для бесперебойного обеспечения деятельности органов местного самоуправления</t>
  </si>
  <si>
    <t>12.0.02</t>
  </si>
  <si>
    <t>Расходы на проведение мероприятий по информатизации</t>
  </si>
  <si>
    <t>13.0.00</t>
  </si>
  <si>
    <t>13.0.01</t>
  </si>
  <si>
    <t>Выполнение других обязательств органов местного самоуправления</t>
  </si>
  <si>
    <t>Обеспечение деятельности подведомственных учреждений органов местного самоуправления</t>
  </si>
  <si>
    <t>Субвенция на подготовку и проведение Всероссийской сельскохозяйственной переписи 2016 года</t>
  </si>
  <si>
    <t>Расходы на осуществление полномочий на государственную регистрацию актов гражданского состояния</t>
  </si>
  <si>
    <t>Расходы на обеспечение профилактики безнадзорности, правонарушений несовершеннолетних и защиты их прав за счет средств областного бюджета</t>
  </si>
  <si>
    <t>Расходы на реализацию отдельных полномочий в сфере законодательства об административных правонарушениях за счет средств областного бюджета</t>
  </si>
  <si>
    <t>Муниципальная программа "Экономическое развитие и инновационная экономика, развитие предпринимательства и сельского хозяйства в Тутаевском муниципальном районе"</t>
  </si>
  <si>
    <t>09.0.00</t>
  </si>
  <si>
    <t>Муниципальная целевая программа "Развитие агропромышленного комплекса и сельских территорий Тутаевского муниципального района"</t>
  </si>
  <si>
    <t>09.3.00</t>
  </si>
  <si>
    <t>Поддержка сельскохозяйственного производства в рамках субсидирования  (молоко, овцеводство) сельскохозяйственных товаропроизводителей</t>
  </si>
  <si>
    <t>09.3.01</t>
  </si>
  <si>
    <t xml:space="preserve">Кадровое обеспечение агропромышленного комплекса </t>
  </si>
  <si>
    <t>09.3.02</t>
  </si>
  <si>
    <t>Социальное обеспечение и иные выплаты населению</t>
  </si>
  <si>
    <t>Повышение стимула роста профессионального мастерства, привлечение овцеводов и туристов для популяризации бренда романовской овцы, поощрение передовиков сельскохозяйственного  производства</t>
  </si>
  <si>
    <t>09.3.03</t>
  </si>
  <si>
    <t>Муниципальная целевая программа «Развитие субъектов малого и среднего предпринимательства Тутаевского муниципального района»</t>
  </si>
  <si>
    <t>09.1.00</t>
  </si>
  <si>
    <t>Популяризация роли предпринимательства, информационная, консультационная и организационная поддержка субъектов малого и среднего предпринимательства</t>
  </si>
  <si>
    <t>09.1.01</t>
  </si>
  <si>
    <t>Развитие системы финансовой поддержки субъектов малого и среднего предпринимательства</t>
  </si>
  <si>
    <t>09.1.02</t>
  </si>
  <si>
    <t>Муниципальная целевая программа "Развитие потребительского рынка Тутаевского муниципального района "</t>
  </si>
  <si>
    <t>09.2.00</t>
  </si>
  <si>
    <t>Обеспечение доступности товаров для сельского населения путем оказания государственной поддержки</t>
  </si>
  <si>
    <t>09.2.01</t>
  </si>
  <si>
    <t>Субсидия на реализацию мероприятий по возмещению части затрат организациям любых форм собственности и индивидуальным предпринимателям, занимающимся доставкой товаров в отдаленные сельские населенные пункты</t>
  </si>
  <si>
    <t>S2880</t>
  </si>
  <si>
    <t>Исполнение судебных актов, актов других органов и должностных лиц, иных документов</t>
  </si>
  <si>
    <t>Департамент муниципального имущества Администрации ТМР</t>
  </si>
  <si>
    <t>12.0.01</t>
  </si>
  <si>
    <t>Оценка недвижимости, признание прав и регулирование отношений по муниципальной собственности</t>
  </si>
  <si>
    <t xml:space="preserve">Обеспечение мероприятий по управлению, распоряжению имуществом, оценка недвижимости, признанию прав и регулированию отношений по муниципальной собственности поселения </t>
  </si>
  <si>
    <t>Мероприятия по землеустройству и землепользованию</t>
  </si>
  <si>
    <t>Взносы на  капитальный ремонт  жилых помещений муниципального жилищного фонда</t>
  </si>
  <si>
    <t>Департамент образования Администрации ТМР</t>
  </si>
  <si>
    <t>Муниципальная программа "Развитие образования, физической культуры и спорта в Тутаевском муниципальном районе"</t>
  </si>
  <si>
    <t>02.0.00</t>
  </si>
  <si>
    <t xml:space="preserve">Ведомственная целевая программа департамента образования Администрации Тутаевского муниципального района </t>
  </si>
  <si>
    <t>02.1.00</t>
  </si>
  <si>
    <t>02.1.01</t>
  </si>
  <si>
    <t>Обеспечение деятельности дошкольных учреждений</t>
  </si>
  <si>
    <t>Предоставление субсидий бюджетным, автономным учреждениям и иным некоммерческим организациям</t>
  </si>
  <si>
    <t>Расходы на выплаты медицинским работникам, осуществляющим медицинское обслуживание обучающихся и воспитанников муниципальных образовательных учреждений, за счет средств областного бюджета</t>
  </si>
  <si>
    <t xml:space="preserve">Расходы на обеспечение предоставления услуг по дошкольному образованию детей в дошкольных образовательных организациях </t>
  </si>
  <si>
    <t>Муниципальная программа "Социальная поддержка населения Тутаевского муниципального района"</t>
  </si>
  <si>
    <t>03.0.00</t>
  </si>
  <si>
    <t>Муниципальная целевая программа "Улучшение условий и охраны труда" по Тутаевскому муниципальному району</t>
  </si>
  <si>
    <t>03.2.00</t>
  </si>
  <si>
    <t>03.2.01</t>
  </si>
  <si>
    <t>Расходы на реализацию МЦП "Улучшение условий и охраны труда"</t>
  </si>
  <si>
    <t>Субсидии бюджетным учреждениям на финансовое обеспечение государственного задания на оказание государственных услуг (выполнение работ)</t>
  </si>
  <si>
    <t>Обеспечение деятельности общеобразовательных учреждений</t>
  </si>
  <si>
    <t>Обеспечение деятельности учреждений дополнительного образования</t>
  </si>
  <si>
    <t>Организация образовательного процесса в образовательных учреждениях за счет средств областного бюджета</t>
  </si>
  <si>
    <t>Обеспечение бесплатным питанием обучающихся муниципальных образовательных учреждений за счет средств областного бюджета</t>
  </si>
  <si>
    <t>Муниципальная целевая программа "Развитие физической культуры и спорта в Тутаевском муниципальном районе"</t>
  </si>
  <si>
    <t>02.3.00</t>
  </si>
  <si>
    <t>02.3.02</t>
  </si>
  <si>
    <t>02.1.05</t>
  </si>
  <si>
    <t xml:space="preserve">Расходы на оплату стоимости набора продуктов питания в лагерях с дневной формой пребывания детей </t>
  </si>
  <si>
    <t>S1000</t>
  </si>
  <si>
    <t>Расходы на обеспечение отдыха и оздоровления детей, находящихся в трудной жизненной ситуации, детей погибших сотрудников правоохранительных органов и военнослужащих, безнадзорных детей за счет средств федерального бюджета</t>
  </si>
  <si>
    <t>Расходы на оплату стоимости набора продуктов питания в лагерях с дневной формой пребывания детей, расположенных на территории Ярославской области, за счет средств областного бюджета</t>
  </si>
  <si>
    <t>Расходы на обеспечение отдыха и оздоровления детей, находящихся в трудной жизненной ситуации, детей погибших сотрудников правоохранительных органов и военнослужащих, безнадзорных детей за счет средств областного бюджета</t>
  </si>
  <si>
    <t>Компенсация части расходов на приобретение путевки в организации отдыха детей и их оздоровления</t>
  </si>
  <si>
    <t>Муниципальная программа  "Развитие культуры, туризма и молодежной политики в Тутаевском муниципальном районе"</t>
  </si>
  <si>
    <t>01.0.00</t>
  </si>
  <si>
    <t>Муниципальная целевая программа «Патриотическое воспитание граждан Российской Федерации, проживающих на территории Тутаевского муниципального района Ярославской области»</t>
  </si>
  <si>
    <t>01.2.00</t>
  </si>
  <si>
    <t>Координирование деятельности, совершенствование организационного, методического и информационного функционирования системы патриотического воспитания</t>
  </si>
  <si>
    <t>01.2.01</t>
  </si>
  <si>
    <t>Расходы на реализацию мероприятий патриотического воспитания молодежи</t>
  </si>
  <si>
    <t>Муниципальная целевая программа «Комплексные меры противодействия злоупотреблению наркотиками и их незаконному обороту»</t>
  </si>
  <si>
    <t>01.3.00</t>
  </si>
  <si>
    <t>Развитие системы профилактики немедицинского потребления наркотиков</t>
  </si>
  <si>
    <t>01.3.01</t>
  </si>
  <si>
    <t>Расходы на обеспечение функционирования в вечернее время спортивных залов общеобразовательных школ для занятий в них обучающихся</t>
  </si>
  <si>
    <t>S1430</t>
  </si>
  <si>
    <t>Расходы на обеспечение функционирования в вечернее время спортивных залов общеобразовательных школ для занятий в них обучающихся за счет средств областного бюджета</t>
  </si>
  <si>
    <t>02.1.02</t>
  </si>
  <si>
    <t>Обеспечение деятельности прочих учреждений в сфере образования</t>
  </si>
  <si>
    <t>02.1.04</t>
  </si>
  <si>
    <t xml:space="preserve">Выплата ежемесячных и разовых стипендий главы </t>
  </si>
  <si>
    <t>Денежное поощрение лучших руковдящих и педагогических работников за заслуги в сфере образования</t>
  </si>
  <si>
    <t>Мероприятия в сфере образования</t>
  </si>
  <si>
    <t>Государственная поддержка материально-технической базы образовательных учреждений Ярославской области за счет средств областного бюджета</t>
  </si>
  <si>
    <t>S0470</t>
  </si>
  <si>
    <t>Обеспечение эффективности управления системой образования</t>
  </si>
  <si>
    <t>02.1.06</t>
  </si>
  <si>
    <t>Расходы на обеспечение деятельности органов опеки и попечительства за счет средств областного бюджета</t>
  </si>
  <si>
    <t>02.2.00</t>
  </si>
  <si>
    <t>Реализация мер по созданию целостной системы духовно-нравственного воспитания и просвещения населения</t>
  </si>
  <si>
    <t>02.2.01</t>
  </si>
  <si>
    <t>Расходы на реализацию МЦП "Духовно - нравственное воспитание и просвещение населения ТМР"</t>
  </si>
  <si>
    <t>02.3.03</t>
  </si>
  <si>
    <t>Cоздание в общеобразовательных организациях условий для занятий физической культурой и спортом</t>
  </si>
  <si>
    <t>S4560</t>
  </si>
  <si>
    <t>Муниципальная программа "Профилактика правонарушений и усиление борьбы с преступностью в Тутаевском муниципальном районе"</t>
  </si>
  <si>
    <t>14.0.00</t>
  </si>
  <si>
    <t>Реализация мероприятий по профилактике правонарушений</t>
  </si>
  <si>
    <t>14.0.01</t>
  </si>
  <si>
    <t>Расходы на профилактику правонарушений и усиления борьбы с преступностью</t>
  </si>
  <si>
    <t>Государственная поддержка в сфере образования</t>
  </si>
  <si>
    <t>02.1.03</t>
  </si>
  <si>
    <t xml:space="preserve">Государственная поддержка опеки и попечительства </t>
  </si>
  <si>
    <t xml:space="preserve">Расходы на укрепление института семьи, повышение качества жизни семей с несовершеннолетними детьми </t>
  </si>
  <si>
    <t>S0970</t>
  </si>
  <si>
    <t>Расходы на выплату единовременного пособия при всех формах устройства детей, лишенных родительского попечения, в семью за счет средств федерального бюджета</t>
  </si>
  <si>
    <t>Компенсация расходов за присмотр и уход за детьми, осваивающими образовательные программы дошкольного образования в организациях, осуществляющих образовательную деятельность</t>
  </si>
  <si>
    <t>Расходы на содержание ребенка в семье опекуна и приемной семье, а также вознаграждение, причитающееся приемному родителю, за счет средств областного бюджета</t>
  </si>
  <si>
    <t>Государственная поддержка опеки и попечительства за счет средств областного бюджета</t>
  </si>
  <si>
    <t>Расходы на укрепление института семьи, повышение качества жизни семей с несовершеннолетними детьми за счет средств областного бюджета</t>
  </si>
  <si>
    <t>Мероприятия в области спорта и физической культуры</t>
  </si>
  <si>
    <t>02.3.01</t>
  </si>
  <si>
    <t xml:space="preserve">Развитие сети плоскостных спортивных сооружений в муниципальных образованиях </t>
  </si>
  <si>
    <t>S1970</t>
  </si>
  <si>
    <t>Департамент труда и соц. развития Администрации ТМР</t>
  </si>
  <si>
    <t xml:space="preserve">Ведомственная целевая программа «Социальная поддержка населения Тутаевского муниципального района» </t>
  </si>
  <si>
    <t>03.1.00</t>
  </si>
  <si>
    <t>Исполнение публичных обязательств по предоставлению выплат, пособий и компенсаций</t>
  </si>
  <si>
    <t>03.1.01</t>
  </si>
  <si>
    <t>Доплаты к пенсиям муниципальных служащих</t>
  </si>
  <si>
    <t>Предоставление социальных услуг населению Тутаевского муниципального района на основе соблюдения стандартов и нормативов</t>
  </si>
  <si>
    <t>03.1.02</t>
  </si>
  <si>
    <t>Расходы на содержание муниципальных казенных учреждений социального обслуживания населения, на предоставление субсидий муниципальным бюджетным учреждениям социального обслуживания населения на выполнение муниципальных заданий и иные цели</t>
  </si>
  <si>
    <t>Субвенция на социальную поддержку граждан, подвергшихся воздействию радиации</t>
  </si>
  <si>
    <t>Расходы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 за счет средств федерального бюджета</t>
  </si>
  <si>
    <t>Выплата государственных единовременных пособий и ежемесячных денежных компенсаций гражданам при возникновении поствакцинальных осложнений</t>
  </si>
  <si>
    <t>Оплата жилищно-коммунальных услуг отдельным категориям граждан за счет средств федерального бюджета</t>
  </si>
  <si>
    <t>Расходы на выплату пособий по уходу за ребенком до достижения им возраста полутора лет гражданам, не подлежащим обязательному социальному страхованию на случай временной нетрудоспособности и в связи с материнством</t>
  </si>
  <si>
    <t>Расходы на выплаты пособий при рождении ребенка гражданам, не подлежащим обязательному социальному страхованию на случай временной нетрудоспособности и в связи с материнством</t>
  </si>
  <si>
    <t>Предоставление гражданам субсидий на оплату жилого помещения и коммунальных услуг за счет средств областного бюджета</t>
  </si>
  <si>
    <t>Расходы на социальную поддержку отдельных категорий граждан в части ежемесячной денежной выплаты ветеранам труда, труженикам тыла, реабилитированным лицам</t>
  </si>
  <si>
    <t>Оплата жилого помещения и коммунальных услуг отдельным категориям граждан, оказание мер социальной поддержки которым относится к полномочиям Ярославской области, за счет средств областного бюджета</t>
  </si>
  <si>
    <t>Денежные выплаты за счет средств областного бюджета</t>
  </si>
  <si>
    <t>Оказание социальной помощи отдельным категориям граждан за счет средств областного бюджета</t>
  </si>
  <si>
    <t>Расходы на социальную поддержку отдельных категорий граждан в части ежемесячного пособия на ребенка</t>
  </si>
  <si>
    <t>Социальная защита семей с детьми, инвалидов, ветеранов, граждан и детей, оказавшихся в трудной жизненной ситуации</t>
  </si>
  <si>
    <t>03.1.03</t>
  </si>
  <si>
    <t>Организация перевозок больных, нуждающихся в амбулаторном гемодиализе</t>
  </si>
  <si>
    <t>Оказание адресной материальной помощи</t>
  </si>
  <si>
    <t>Ежемесячная денежная выплата, назначаемая в случае рождения третьего ребенка или последующих детей до достижения ребенком возраста трех лет</t>
  </si>
  <si>
    <t>Расходы на выплату единовременного пособия беременной жене военнослужащего, проходящего военную службу по призыву, а также ежемесячного пособия на ребенка военнослужащего, проходящего военную службу по призыву, за счет средств федерального бюджета</t>
  </si>
  <si>
    <t>Ежемесячная денежная выплата, назначаемая в случае рождения третьего ребенка или последующих детей до достижения ребенком возраста трех лет, за счет средств областного бюджета</t>
  </si>
  <si>
    <t>Расходы на обеспечение деятельности органов местного самоуправления в сфере социальной защиты населения за счет средств областного бюджета</t>
  </si>
  <si>
    <t>Департамент финансов администрации ТМР</t>
  </si>
  <si>
    <t>Ведомственная целевая программа департамента финансов администрации Тутаевского муниципального района</t>
  </si>
  <si>
    <t>10.1.00</t>
  </si>
  <si>
    <t>Обеспечение деятельности финансового органа</t>
  </si>
  <si>
    <t>10.1.01</t>
  </si>
  <si>
    <t>Межбюджетные трансферты  поселениям района</t>
  </si>
  <si>
    <t>99.0.00</t>
  </si>
  <si>
    <t>Субвенция  на осуществление первичного воинского учета на территориях, где отсутствуют военные комиссариаты</t>
  </si>
  <si>
    <t xml:space="preserve"> Межбюджетные трансферты</t>
  </si>
  <si>
    <t xml:space="preserve">Повышение эффективности управления муниципальным долгом </t>
  </si>
  <si>
    <t>10.0.02</t>
  </si>
  <si>
    <t>Процентные платежи по обслуживанию муниципального долга</t>
  </si>
  <si>
    <t>Обслуживание государственного долга Российской Федерации</t>
  </si>
  <si>
    <t>Совершенствование межбюджетных отношений</t>
  </si>
  <si>
    <t>10.0.01</t>
  </si>
  <si>
    <t>Дотации поселениям района  на выравнивание бюджетной обеспеченности</t>
  </si>
  <si>
    <t>Дотации поселениям Ярославской области на выравнивание бюджетной обеспеченности</t>
  </si>
  <si>
    <t>Департамент культуры, туризма и молодежной политики Администрации ТМР</t>
  </si>
  <si>
    <t>Муниципальная целевая программа «Развитие въездного и внутреннего туризма на территории Тутаевского муниципального района»</t>
  </si>
  <si>
    <t>01.5.00</t>
  </si>
  <si>
    <t>Создание благоприятных условий для развития туризма</t>
  </si>
  <si>
    <t>01.5.01</t>
  </si>
  <si>
    <t>Мероприятия по развитию въездного и внутреннего туризма</t>
  </si>
  <si>
    <t>Ведомственная целевая программа «Сохранение и развитие культуры Тутаевского муниципального района»</t>
  </si>
  <si>
    <t>01.4.00</t>
  </si>
  <si>
    <t>Реализация дополнительных образовательных программ в сфере культуры</t>
  </si>
  <si>
    <t>01.4.01</t>
  </si>
  <si>
    <t>Мероприятия в сфере культуры</t>
  </si>
  <si>
    <t>Ведомственная целевая программа «Молодежь»</t>
  </si>
  <si>
    <t>01.1.00</t>
  </si>
  <si>
    <t>Обеспечение условий для выполнения муниципального задания на оказание услуг, выполнение работ в сфере молодежной политики</t>
  </si>
  <si>
    <t>01.1.01</t>
  </si>
  <si>
    <t xml:space="preserve">Обеспечение деятельности учреждений в сфере молодежной политики </t>
  </si>
  <si>
    <t>Мероприятия в сфере молодежной политики</t>
  </si>
  <si>
    <t>Расходы на оказание (выполнение) муниципальными учреждениями услуг (работ) в сфере молодежной политики за счет средств областного бюджета</t>
  </si>
  <si>
    <t>S0650</t>
  </si>
  <si>
    <t>Расходы на реализацию  МЦП "Комплексные меры противодействия злоупотреблению наркотиками и их незаконному обороту"</t>
  </si>
  <si>
    <t>Муниципальная программа "Доступная среда "</t>
  </si>
  <si>
    <t>04.0.00</t>
  </si>
  <si>
    <t>Обеспечение доступности приоритетных объектов и услуг в сферах жизнедеятельности граждан с ограниченными возможностями с учетом их особых потребностей</t>
  </si>
  <si>
    <t>04.0.01</t>
  </si>
  <si>
    <t>Расходы на оборудование социально значимых объектов с целью обеспечения доступности для инвалидов</t>
  </si>
  <si>
    <t>Содействие доступу граждан к культурным ценностям</t>
  </si>
  <si>
    <t>01.4.02</t>
  </si>
  <si>
    <t>Обеспечение деятельности учреждений по организации досуга в сфере культуры</t>
  </si>
  <si>
    <t>Расходы на проведение капитального ремонта муниципальных учреждений культуры</t>
  </si>
  <si>
    <t>S1690</t>
  </si>
  <si>
    <t>Поддержка доступа граждан к информационно-библиотечным ресурсам</t>
  </si>
  <si>
    <t>01.4.03</t>
  </si>
  <si>
    <t>Обеспечение деятельности библиотек</t>
  </si>
  <si>
    <t>Обеспечение эффективности управления системой культуры</t>
  </si>
  <si>
    <t>01.4.04</t>
  </si>
  <si>
    <t>Обеспечение деятельности прочих учреждений в сфере культуры</t>
  </si>
  <si>
    <t xml:space="preserve">Поддержка периодических изданий </t>
  </si>
  <si>
    <t>Департамент ЖКХ и строительства Администрации ТМР</t>
  </si>
  <si>
    <t>Муниципальная программа "Обеспечение качественными коммунальными услугами населения Тутаевского муниципального района"</t>
  </si>
  <si>
    <t>05.0.00</t>
  </si>
  <si>
    <t>Муниципальная целевая программа "Обеспечение надежного теплоснабжения жилищного фонда и учреждений  бюджетной сферы" на территории Тутаевского муниципального района</t>
  </si>
  <si>
    <t>05.1.00</t>
  </si>
  <si>
    <t>05.1.02</t>
  </si>
  <si>
    <t>Муниципальная  программа "Об энергосбережении и повышении энергетической эффективности Тутаевского муниципального района"</t>
  </si>
  <si>
    <t>06.0.00</t>
  </si>
  <si>
    <t>Обеспечение рационального использования топливно- энергетических ресурсов при их производстве, передаче и потреблении и создание условий повышения энергетической эффективности</t>
  </si>
  <si>
    <t>06.0.01</t>
  </si>
  <si>
    <t>Мероприятия по повышению энергоэффективности и энергосбережению</t>
  </si>
  <si>
    <t>Муниципальная программа  "Организация перевозок автомобильным и речным транспортом на территории Тутаевского муниципального района"</t>
  </si>
  <si>
    <t>15.0.00</t>
  </si>
  <si>
    <t>Предоставление социальных услуг лицам, находящимся под диспансерным наблюдением в связи с туберкулезом, и больных туберкулезом  при проезде в транспорте общего пользования</t>
  </si>
  <si>
    <t>15.0.01</t>
  </si>
  <si>
    <t>Предоставление социальных услуг детям из многодетных семей, обучающихся в общеобразовательных организациях  при проезде в транспорте общего пользования</t>
  </si>
  <si>
    <t>15.0.02</t>
  </si>
  <si>
    <t>Организация предоставления транспортных услуг по перевозке пассажиров автомобильным транспортом, транспортом общего пользования</t>
  </si>
  <si>
    <t>15.0.03</t>
  </si>
  <si>
    <t>Муниципальная программа "Развитие дорожного хозяйства и транспорта в Тутаевском муниципальном районе"</t>
  </si>
  <si>
    <t>07.0.00</t>
  </si>
  <si>
    <t>Муниципальная целевая программа «Повышение безопасности дорожного движения на территории Тутаевского муниципального района»</t>
  </si>
  <si>
    <t>07.1.00</t>
  </si>
  <si>
    <t>Повышение безопасности дорожного движения на автомобильных дорогах</t>
  </si>
  <si>
    <t>07.1.01</t>
  </si>
  <si>
    <t>Содержание и ремонт  автомобильных дорог общего пользования</t>
  </si>
  <si>
    <t>Муниципальная целевая программа «Сохранность автомобильных дорог общего пользования Тутаевского муниципального района»</t>
  </si>
  <si>
    <t>07.2.00</t>
  </si>
  <si>
    <t>Приведение  в нормативное состояние автомобильных дорог общего пользования</t>
  </si>
  <si>
    <t>07.2.01</t>
  </si>
  <si>
    <t>Расходы на финансирование дорожного хозяйства за счет средств областного бюджета</t>
  </si>
  <si>
    <t>05.1.01</t>
  </si>
  <si>
    <t>Субсидия на выполнение ОМС Тутаевского МР полномочий по организации теплоснабжения</t>
  </si>
  <si>
    <t xml:space="preserve">Муниципальная целевая   программа «Комплексная программа модернизации и реформирования жилищно-коммунального хозяйства Тутаевского муниципального района» </t>
  </si>
  <si>
    <t>05.2.00</t>
  </si>
  <si>
    <t>05.2.01</t>
  </si>
  <si>
    <t>Бюджетные инвестиции в объекты капитального строительства муниципальной собственности</t>
  </si>
  <si>
    <t xml:space="preserve">Муниципальная целевая   программа «Развитие водоснабжения, водоотведения и очистки сточных вод» на территории Тутаевского муниципального района </t>
  </si>
  <si>
    <t>05.3.00</t>
  </si>
  <si>
    <t>05.3.01</t>
  </si>
  <si>
    <t>Муниципальная целевая программа "Подготовка объектов коммунального хозяйства Тутаевского муниципального района к работе в осенне-зимних условиях"</t>
  </si>
  <si>
    <t>05.4.00</t>
  </si>
  <si>
    <t>Проведение комплекса работ по ремонту, замене и реконструкции объектов теплоснабжения</t>
  </si>
  <si>
    <t>05.4.01</t>
  </si>
  <si>
    <t>Субсидия на возмещение затрат по содержанию и  ремонту муниципальных коммунальных сетей</t>
  </si>
  <si>
    <t>Проведение комплекса работ по ремонту, замене и реконструкции объектов водоснабжения, водоотведения и очистки сточных вод</t>
  </si>
  <si>
    <t>05.4.02</t>
  </si>
  <si>
    <t>Проведение комплекса работ по ремонту, замене и реконструкции объектов газоснабжения</t>
  </si>
  <si>
    <t>05.4.03</t>
  </si>
  <si>
    <t>МУ Контрольно-счетная палата ТМР</t>
  </si>
  <si>
    <t>Содержание руководителя контрольно-счетной палаты муниципального образования и его заместителей</t>
  </si>
  <si>
    <t>Приложение 13</t>
  </si>
  <si>
    <t>ВСЕГО</t>
  </si>
  <si>
    <t>Приложение 14</t>
  </si>
  <si>
    <t>№</t>
  </si>
  <si>
    <t xml:space="preserve">Наименование </t>
  </si>
  <si>
    <t>Код программы</t>
  </si>
  <si>
    <t>1.1.</t>
  </si>
  <si>
    <t>1.2</t>
  </si>
  <si>
    <t>1.4</t>
  </si>
  <si>
    <t>1.5</t>
  </si>
  <si>
    <t>2.1</t>
  </si>
  <si>
    <t>2.2</t>
  </si>
  <si>
    <t>2.4</t>
  </si>
  <si>
    <t>2.5</t>
  </si>
  <si>
    <t>3</t>
  </si>
  <si>
    <t>3.1</t>
  </si>
  <si>
    <t>4</t>
  </si>
  <si>
    <t>4.1</t>
  </si>
  <si>
    <t>5</t>
  </si>
  <si>
    <t>5.1</t>
  </si>
  <si>
    <t>5.2</t>
  </si>
  <si>
    <t>5.3</t>
  </si>
  <si>
    <t>6</t>
  </si>
  <si>
    <t>6.1</t>
  </si>
  <si>
    <t>7</t>
  </si>
  <si>
    <t>7.1</t>
  </si>
  <si>
    <t>7.2</t>
  </si>
  <si>
    <t>05.2.02</t>
  </si>
  <si>
    <t>05.3.02</t>
  </si>
  <si>
    <t>Муниципальная программа "Стимулирование развития жилищного строительства в Тутаевском муниципальном  районе Ярославской области"</t>
  </si>
  <si>
    <t>08.0.00</t>
  </si>
  <si>
    <t>Муниципальная целевая программа "Поддержка граждан, проживающих на территории Тутаевского муниципального района Ярославской области в сфере ипотечного жилищного кредитования"</t>
  </si>
  <si>
    <t>08.1.00</t>
  </si>
  <si>
    <t>Обеспечение доступности жилья в соответствии с  уровнем платежеспособности спроса граждан, путем оказания поддержки гражданам, проживающим на территории Тутаевского муниципального района, в сфере ипотечного жилищного кредитования и займа</t>
  </si>
  <si>
    <t>08.1.01</t>
  </si>
  <si>
    <t>Муниципальная целевая программа "Переселение граждан из аварийного жилищного фонда в Тутаевском муниципальном районе"</t>
  </si>
  <si>
    <t>08.2.00</t>
  </si>
  <si>
    <t>Финансовое и организационное обеспечение переселения граждан из аварийных многоквартирных домов на территории Тутаевского муниципального района</t>
  </si>
  <si>
    <t>08.2.01</t>
  </si>
  <si>
    <t>Муниципальная целевая программа "Переселение граждан из  жилищного фонда, признанного непригодным для проживания, и (или) жилищного фонда с высоким уровнем износа на территории Тутаевского муниципального района"</t>
  </si>
  <si>
    <t>08.3.00</t>
  </si>
  <si>
    <t>Финансовое и организационное обеспечение переселения граждан из непригодного для проживания жилищного фонда с высоким уровнем износа</t>
  </si>
  <si>
    <t>08.3.01</t>
  </si>
  <si>
    <t>Муниципальная целевая программа "Предоставление молодым семьям социальных выплат на приобретение(строительство) жилья"</t>
  </si>
  <si>
    <t>08.4.00</t>
  </si>
  <si>
    <t>Создание условий для поддержки  молодых семей в приобретении (строительстве) жилья</t>
  </si>
  <si>
    <t>08.4.01</t>
  </si>
  <si>
    <t>8</t>
  </si>
  <si>
    <t>13.0.02</t>
  </si>
  <si>
    <t>8.1</t>
  </si>
  <si>
    <t>9</t>
  </si>
  <si>
    <t>9.1</t>
  </si>
  <si>
    <t>9.2</t>
  </si>
  <si>
    <t>9.3</t>
  </si>
  <si>
    <t>9.4</t>
  </si>
  <si>
    <t>Муниципальная программа  "Развитие жилищного хозяйства Тутаевского муниципального района"</t>
  </si>
  <si>
    <t>16.0.00</t>
  </si>
  <si>
    <t>10.1</t>
  </si>
  <si>
    <t>Муниципальная целевая программа "Развитие  лифтового хозяйства на территории городского поселения Тутаев Тутаевского муниципального района"</t>
  </si>
  <si>
    <t>16.1.00</t>
  </si>
  <si>
    <t>10.2</t>
  </si>
  <si>
    <t>Обеспечение мероприятий по восстановлению лифтового хозяйства многоквартирных домов</t>
  </si>
  <si>
    <t>16.1.01</t>
  </si>
  <si>
    <t>10.3</t>
  </si>
  <si>
    <t>Муниципальная целевая программа "Ремонт и содержание муниципального жилищного фонда   Тутаевского муниципального района"</t>
  </si>
  <si>
    <t>16.2.00</t>
  </si>
  <si>
    <t>Обеспечение мероприятий по замене приборов учета в муниципальном жилищном фонде</t>
  </si>
  <si>
    <t>16.2.01</t>
  </si>
  <si>
    <t>11.1</t>
  </si>
  <si>
    <t>Обеспечение мероприятий по ремонту общедомового имущества</t>
  </si>
  <si>
    <t>16.2.02</t>
  </si>
  <si>
    <t>16.2.03</t>
  </si>
  <si>
    <t>12.1</t>
  </si>
  <si>
    <t>Муниципальная программа "Благоустройство  и санитарно-эпидемиологическая безопасность  Тутаевского муниципального района</t>
  </si>
  <si>
    <t>17.0.00</t>
  </si>
  <si>
    <t>Муниципальная целевая программа "Организация и развитие ритуальных услуг и мест захоронения в Тутаевском муниципальном районе"</t>
  </si>
  <si>
    <t>17.1.00</t>
  </si>
  <si>
    <t>Обеспечение комплекса работ по повышению уровня благоустройства мест погребений</t>
  </si>
  <si>
    <t>17.1.01</t>
  </si>
  <si>
    <t>Муниципальная целевая программа "Благоустройство и озеленение территории  в Тутаевского муниципального  района"</t>
  </si>
  <si>
    <t>17.2.00</t>
  </si>
  <si>
    <t>Улучшение уровня внешнего благоустройства и санитарного  состояния территорий Тутаевского муниципального района</t>
  </si>
  <si>
    <t>17.2.01</t>
  </si>
  <si>
    <t xml:space="preserve">Обеспечение мероприятий по совершенствованию  эстетического  состояния территорий </t>
  </si>
  <si>
    <t>17.2.02</t>
  </si>
  <si>
    <t>Обеспечение мероприятий по благоустройству мест массового отдыха населения</t>
  </si>
  <si>
    <t>17.2.03</t>
  </si>
  <si>
    <t>Муниципальная программа "Обеспечение населения Тутаевского муниципального района банными услугами"</t>
  </si>
  <si>
    <t>18.0.00</t>
  </si>
  <si>
    <t>Обеспечение населения Тутаевского муниципального района банными услугами</t>
  </si>
  <si>
    <t>18.0.01</t>
  </si>
  <si>
    <t>40.9</t>
  </si>
  <si>
    <t>99</t>
  </si>
  <si>
    <t>Всего</t>
  </si>
  <si>
    <t>от "____"______________ 2014г.№ ______</t>
  </si>
  <si>
    <t>Перечень муниципальных и ведомственных целевых программ на плановый период 2015-2016 годов</t>
  </si>
  <si>
    <t>Редакция 2</t>
  </si>
  <si>
    <t>Изменения</t>
  </si>
  <si>
    <t>2015 год                                                                               Сумма, руб.</t>
  </si>
  <si>
    <t>2016 год                                                                               Сумма, руб.</t>
  </si>
  <si>
    <t>1.3</t>
  </si>
  <si>
    <t>3.2</t>
  </si>
  <si>
    <t>13.1</t>
  </si>
  <si>
    <t>14.1</t>
  </si>
  <si>
    <t>14.2</t>
  </si>
  <si>
    <t>15</t>
  </si>
  <si>
    <t>15.1</t>
  </si>
  <si>
    <t>15.2</t>
  </si>
  <si>
    <t>16.1</t>
  </si>
  <si>
    <t>Распределение дотаций бюджетам поселений Тутаевского муниципального района  на 2014 год</t>
  </si>
  <si>
    <t>1. Дотация на выравнивание бюджетной обеспеченности поселений Тутаевского муниципального района</t>
  </si>
  <si>
    <t>Наименование поселения</t>
  </si>
  <si>
    <t>Всего, руб.</t>
  </si>
  <si>
    <t>в том числе:  из районного фонда финансовой поддержки поселений</t>
  </si>
  <si>
    <t>Артемьевское сельское поселение</t>
  </si>
  <si>
    <t>Левобережное сельское поселение</t>
  </si>
  <si>
    <t>Приложение 16</t>
  </si>
  <si>
    <t>от "20"декабря 2012 г.№ 05-г</t>
  </si>
  <si>
    <t>Перечень главных распорядителей бюджетных средств бюджета Тутаевского муниципального района</t>
  </si>
  <si>
    <t>N</t>
  </si>
  <si>
    <t>Код ведомственной</t>
  </si>
  <si>
    <t>п/п</t>
  </si>
  <si>
    <t>классификации</t>
  </si>
  <si>
    <t>Администрация  Тутаевского муниципального района</t>
  </si>
  <si>
    <t>Департамент труда и социального развития Администрации ТМР</t>
  </si>
  <si>
    <t>Департамент культуры, туризма  и молодежной политики Администрации ТМР</t>
  </si>
  <si>
    <t>Департамент АПК, охраны окружающей среды и природопользования Администрации ТМР</t>
  </si>
  <si>
    <t>Департамент жилищно – коммунального хозяйства  и строительства Администрации ТМР</t>
  </si>
  <si>
    <t>Муниципальный Совет ТМР</t>
  </si>
  <si>
    <t>от "____"______________ 2013 г.№ ______</t>
  </si>
  <si>
    <t>2. Дотация на реализацию мероприятий, предусмотренных нормативными правовыми актами органов государственной власти, в рамках п.3 ст.8 Закона Ярославской области от 07.10.2008 г. № 40-з "О межбюджетных отношениях"</t>
  </si>
  <si>
    <t>Константиновское  сельское поселение</t>
  </si>
  <si>
    <t>Городское  поселение Тутаев</t>
  </si>
  <si>
    <t>Приложение 18</t>
  </si>
  <si>
    <t>Распределение субсидий бюджетам поселений Тутаевского муниципального района на плановый период 2015-2016 годов</t>
  </si>
  <si>
    <t xml:space="preserve">1. Субсидия на реализацию мероприятий ОЦП "Комплексная программа модернизации и реформирования ЖКХ ЯО" в части  строительства и реконструкции объектов теплоснабжения и газификации </t>
  </si>
  <si>
    <t>Городское поселение Тутаев</t>
  </si>
  <si>
    <t>2. Субсидия на финансирование дорожного хозяйства</t>
  </si>
  <si>
    <t>Чебаковское  сельское поселение</t>
  </si>
  <si>
    <t>Константиновское сельское поселение</t>
  </si>
  <si>
    <t>Левобережное  сельское поселение</t>
  </si>
  <si>
    <t xml:space="preserve">3. Субсидия на мероприятия, направленные на капитальный ремонт гидротехнических сооружений, располлженных на территории Ярославской области и находящихся в муниципальной собственности </t>
  </si>
  <si>
    <t>4. Субсидия на реализацию мероприятий РП  "Развитие водоснабжения, водоотведения и очистки сточных вод Ярославской области" в части мероприятий на строительство и реконструкцию объектов водоснабжения и водоотведения</t>
  </si>
  <si>
    <t>Приложение 19</t>
  </si>
  <si>
    <t>Распределение субвенций бюджетам поселений Тутаевского муниципального района на 2014 год</t>
  </si>
  <si>
    <t>1. Субвенция на осуществление первичного воинского учета на территориях, где отсутствуют военные комиссариаты</t>
  </si>
  <si>
    <t>Редакция 1</t>
  </si>
  <si>
    <t>изменения</t>
  </si>
  <si>
    <t>2014 год                                                                               Сумма, руб.</t>
  </si>
  <si>
    <t>Чебаковское сельское поселение</t>
  </si>
  <si>
    <t>Приложение 20</t>
  </si>
  <si>
    <t>Распределение субвенций бюджетам поселений Тутаевского муниципального района на плановый период 2015-2016 годов</t>
  </si>
  <si>
    <t>2-я редакция</t>
  </si>
  <si>
    <t xml:space="preserve">Приложение 20 </t>
  </si>
  <si>
    <t>от"20" декабря 2012 г.№05-г</t>
  </si>
  <si>
    <t>Перечень муниципальных целевых программ на 2013 год</t>
  </si>
  <si>
    <t>Наименование программы</t>
  </si>
  <si>
    <t>Сумма                    (руб.)</t>
  </si>
  <si>
    <t>Программа соц. защиты населения Тутаевского муниципального района на 2011-2013 годы</t>
  </si>
  <si>
    <t>МЦП "Развитие физической культуры и спорта в Тутаевском муниципальном районе" на 2013-2015 годы</t>
  </si>
  <si>
    <t>МЦП "Патриотическое воспитание граждан РФ, проживающих на территории ТМР ЯО, на 2011-2013 годы"</t>
  </si>
  <si>
    <t>Муниципальная целевая программа "Развитие агропромышленного комплекса и сельских территорий ТМР" на 2012-2015 годы</t>
  </si>
  <si>
    <t>МЦП " Сохранность автомобильных дорог общего пользования на 2011-2013 годы"</t>
  </si>
  <si>
    <t>МЦП " Развитие въездного и внутреннего туризма на территории ТМР на 2011-2015 годы"</t>
  </si>
  <si>
    <t>МЦП "Комплексные меры противодействия злоупотребления наркотиками и их незаконному обороту на 2012 -2014 годы"</t>
  </si>
  <si>
    <t>МЦП "Доступная среда" на 2012-2015 годы"</t>
  </si>
  <si>
    <t>МЦП "Развитие культуры Тутаевского муниципального района на 2011-2013 годы"</t>
  </si>
  <si>
    <t>МЦП " Развитие информатизации Тутаевского муниципального района Ярославской области" на 2011-2013 годы</t>
  </si>
  <si>
    <t>МЦП "Повышение эффективности бюджетных расходов Тутаевского муниципального района" на 2011-2013 годы</t>
  </si>
  <si>
    <t>МЦП "Развитие потребительского рынка ТМР на 2012-2014 годы"</t>
  </si>
  <si>
    <t>МЦП "Об энергосбережении и повышении энергетической эффективности Тутаевского муниципального района на 2011-2013 годы"</t>
  </si>
  <si>
    <t xml:space="preserve">Приложение 21 </t>
  </si>
  <si>
    <t>от "20" декабря 2012 г. №05-г</t>
  </si>
  <si>
    <t>Перечень муниципальных целевых программ на плановый период 2014-2015 годов</t>
  </si>
  <si>
    <t>2014 год                    (руб.)</t>
  </si>
  <si>
    <t>2015 год                     (руб.)</t>
  </si>
  <si>
    <t>Приложение 22</t>
  </si>
  <si>
    <t xml:space="preserve">Перечень ведомственных целевых программ  на 2013 год </t>
  </si>
  <si>
    <t>Код ведомственной классификации</t>
  </si>
  <si>
    <t>2013 год (руб.)</t>
  </si>
  <si>
    <t>Ведомственная целевая программа Департамента образования Администрации Тутаевского муниципального района на 2013-2015 годы</t>
  </si>
  <si>
    <t xml:space="preserve">Ведомственная целевая программа "Социальная поддержка населения Тутаевского муниципального района" на 2013-2015 годы </t>
  </si>
  <si>
    <t>Ведомственная целевая программа "Сохранение и развитие культуры Тутаевского муниципального района" на 2013-2015 годы</t>
  </si>
  <si>
    <t>Ведомственная целевая программа "Молодежь" на 2013-2015 годы</t>
  </si>
  <si>
    <t>Приложение 23</t>
  </si>
  <si>
    <t>от "20" декабря 2012г. №05-г</t>
  </si>
  <si>
    <t>Перечень ведомственных целевых программ  на плановый период 2014-2015 годов</t>
  </si>
  <si>
    <t>2014 год</t>
  </si>
  <si>
    <t>2015 год</t>
  </si>
  <si>
    <t>(руб.)</t>
  </si>
  <si>
    <t xml:space="preserve">к решению Муниципального </t>
  </si>
  <si>
    <t>от "___"____________ 20___ г.№ ______</t>
  </si>
  <si>
    <t>Порядок (методика) и условия распределения субсидий  бюджетам поселений Тутаевского муниципального района на 2013 год.</t>
  </si>
  <si>
    <t>1. Порядок (методика) и условия распределения субсидии на реализацию областной целевой программы "Чистая вода  Ярославской области"</t>
  </si>
  <si>
    <t>Данная субсидия распределяется в порядке и на условиях, утвержденных законодательством Ярославской области.</t>
  </si>
  <si>
    <t>ID</t>
  </si>
  <si>
    <t>NAME</t>
  </si>
  <si>
    <t>Столбец1</t>
  </si>
  <si>
    <t>Столбец2</t>
  </si>
  <si>
    <t>Неуказанная ведомственная статья</t>
  </si>
  <si>
    <t>Министерство международных отношений и внешнеэкономических связей области</t>
  </si>
  <si>
    <t>Министерство энергетики Российской Федерации</t>
  </si>
  <si>
    <t>Министерство путей сообщения Российской Федерации</t>
  </si>
  <si>
    <t>Федеральная служба железнодорожных войск РФ</t>
  </si>
  <si>
    <t>Управление Росприроднадзора</t>
  </si>
  <si>
    <t>Министерство природных ресурсов РФ</t>
  </si>
  <si>
    <t>Федеральное агенство лесного хозяйства</t>
  </si>
  <si>
    <t>Министерство здравоохранения РФ</t>
  </si>
  <si>
    <t>Министерство культуры РФ</t>
  </si>
  <si>
    <t>Министерство торговли области</t>
  </si>
  <si>
    <t>Государственная инспекция по маломерным судам области</t>
  </si>
  <si>
    <t>Федеральная служба земельного Кадастра России</t>
  </si>
  <si>
    <t>Комитет по земельным ресурсам и землеустройству области</t>
  </si>
  <si>
    <t>Министерство образования РФ</t>
  </si>
  <si>
    <t>Государственный комитет РФ по рыболовству</t>
  </si>
  <si>
    <t>Министерство РФ по связи и информатизации</t>
  </si>
  <si>
    <t>Федеральная служба по ветеринарному и фитосанитарному надзору</t>
  </si>
  <si>
    <t>Министерство сельского хозяйства  РФ</t>
  </si>
  <si>
    <t>Государственная хлебная инспекция при правительстве РФ</t>
  </si>
  <si>
    <t>Федеральное агентство по сельскому хозяйству</t>
  </si>
  <si>
    <t>Государственная фельдъегерская служба РФ</t>
  </si>
  <si>
    <t>Министерство финансов РФ</t>
  </si>
  <si>
    <t>Министерство РФ по атомной энергии</t>
  </si>
  <si>
    <t>Министерство транспорта Российской Федерации</t>
  </si>
  <si>
    <t>Российское агентство по боеприпасам</t>
  </si>
  <si>
    <t>Российское агентство по обычным вооружениям</t>
  </si>
  <si>
    <t>Российское агентство по системам управления</t>
  </si>
  <si>
    <t>Российское агентство по судостроению</t>
  </si>
  <si>
    <t>Государственный  комитет  Российской  Федерации по строительству и жилищно-коммунальному комплексу</t>
  </si>
  <si>
    <t>Министерство Российской Федерации по делам печати, телерадиовещания и средств массовых коммуникаций</t>
  </si>
  <si>
    <t>Государственный комитет  по кинематографии</t>
  </si>
  <si>
    <t xml:space="preserve"> Министерство  промышленности,  науки  и технологий РФ</t>
  </si>
  <si>
    <t xml:space="preserve"> Министерство  экономического  развития  и торговли РФ</t>
  </si>
  <si>
    <t>Санэпиднадзор</t>
  </si>
  <si>
    <t>Министерство леса и природопользования области</t>
  </si>
  <si>
    <t xml:space="preserve"> Министерство   труда   и   социального    развития РФ</t>
  </si>
  <si>
    <t xml:space="preserve"> Государственный  комитет  РФ по статистике</t>
  </si>
  <si>
    <t xml:space="preserve"> Государственный таможенный комитет РФ</t>
  </si>
  <si>
    <t xml:space="preserve"> Министерство  по  делам  федерации, национальной и миграционной политики РФ</t>
  </si>
  <si>
    <t xml:space="preserve"> Федеральная архивная служба России</t>
  </si>
  <si>
    <t xml:space="preserve"> Федеральная служба геодезии и картографии России</t>
  </si>
  <si>
    <t>Федеральная служба статистики</t>
  </si>
  <si>
    <t xml:space="preserve"> Федеральная служба  России по  гидрометеорологии и мониторингу окружающей среды</t>
  </si>
  <si>
    <t>Государственный  комитет  РФ по стандартизации и метрологии</t>
  </si>
  <si>
    <t xml:space="preserve"> Российское агентство по государственным резервам</t>
  </si>
  <si>
    <t xml:space="preserve"> Министерство РФ по антимонопольной политике и поддержке предпринимательства</t>
  </si>
  <si>
    <t xml:space="preserve"> Министерство  имущественных  отношений  РФ</t>
  </si>
  <si>
    <t xml:space="preserve"> Государственный  комитет  РФ по физической культуре, спорту и туризму</t>
  </si>
  <si>
    <t xml:space="preserve"> Российское агентство по патентам и товарным знакам</t>
  </si>
  <si>
    <t xml:space="preserve"> Российский центр  международного научного  и культурного сотрудничества  при правительстве  РФ</t>
  </si>
  <si>
    <t xml:space="preserve"> Министерство российской  федерации по  делам гражданской обороны, чрезвычайным ситуациям и ликвидации последствий стихийных бедствий</t>
  </si>
  <si>
    <t xml:space="preserve"> Министерство  Российской  Федерации  по  налогам и сборам</t>
  </si>
  <si>
    <t>Федеральная налоговая служба</t>
  </si>
  <si>
    <t>Служба внешней разведки Российской Федерации</t>
  </si>
  <si>
    <t>Государственный комитет РФ по оборонному заказу при Министерстве обороны РФ</t>
  </si>
  <si>
    <t xml:space="preserve"> Министерство обороны Российской Федерации</t>
  </si>
  <si>
    <t xml:space="preserve"> Министерство внутренних дел Российской Федерации</t>
  </si>
  <si>
    <t xml:space="preserve"> Федеральная служба безопасности РФ</t>
  </si>
  <si>
    <t xml:space="preserve"> Российская академия сельскохозяйственных наук</t>
  </si>
  <si>
    <t>Федеральная миграционная служба</t>
  </si>
  <si>
    <t xml:space="preserve"> Рабочий центр экономических реформ при правительстве РФ</t>
  </si>
  <si>
    <t xml:space="preserve"> Федеральная служба охраны РФ</t>
  </si>
  <si>
    <t xml:space="preserve"> Специальный  представитель  Президента  РФ по  вопросам урегулирования  Осетино-Ин-гушского конфликта</t>
  </si>
  <si>
    <t xml:space="preserve"> Представительство Правительства РФ в Чеченской республике</t>
  </si>
  <si>
    <t xml:space="preserve"> Фонд содействия развитию малых форм предприятий  в научно-технической сфере</t>
  </si>
  <si>
    <t xml:space="preserve"> Российское авиационно-космическое агентство</t>
  </si>
  <si>
    <t>Комитет РФ по делам молодежи</t>
  </si>
  <si>
    <t xml:space="preserve"> Центр экономической конъюнктуры при  Правительстве РФ</t>
  </si>
  <si>
    <t xml:space="preserve"> Федеральная служба специального строительства РФ</t>
  </si>
  <si>
    <t xml:space="preserve"> Уполномоченный  по  правам  человека  в РФ</t>
  </si>
  <si>
    <t xml:space="preserve"> Управление делами Президента Российской Федерации</t>
  </si>
  <si>
    <t xml:space="preserve"> Главное управление специальных программ Президента РФ</t>
  </si>
  <si>
    <t xml:space="preserve"> Счетная палата Российской Федерации</t>
  </si>
  <si>
    <t xml:space="preserve"> Федеральная  энергетическая  комиссия   РФ</t>
  </si>
  <si>
    <t xml:space="preserve"> Центральная избирательная комиссия РФ</t>
  </si>
  <si>
    <t xml:space="preserve"> Министерство иностранных дел Российской Федерации</t>
  </si>
  <si>
    <t xml:space="preserve"> Федеральный горный и промышленный надзор России</t>
  </si>
  <si>
    <t xml:space="preserve"> Министерство юстиции Российской Федерации</t>
  </si>
  <si>
    <t xml:space="preserve"> Российская академия наук</t>
  </si>
  <si>
    <t>Фед.служба исполнения наказаний</t>
  </si>
  <si>
    <t>Федеральная регистрация</t>
  </si>
  <si>
    <t>Федеральная служба судебных приставов</t>
  </si>
  <si>
    <t xml:space="preserve"> Государственная Дума Федерального собрания РФ</t>
  </si>
  <si>
    <t xml:space="preserve"> Совет Федерации  федерального собрания  РФ</t>
  </si>
  <si>
    <t xml:space="preserve"> Медицинский  центр  управления  делами  президента РФ</t>
  </si>
  <si>
    <t xml:space="preserve"> Московский   Государственный   Университет   имени М.В.Ломоносова</t>
  </si>
  <si>
    <t xml:space="preserve"> Федеральное управление медико-биологических и экстремальных проблем при министерстве  здравоохранения РФ</t>
  </si>
  <si>
    <t xml:space="preserve"> Пенсионный фонд Российской Федерации</t>
  </si>
  <si>
    <t>Фонд социального страхования РФ</t>
  </si>
  <si>
    <t xml:space="preserve"> Информационное телеграфное агентство России (ИТАР-ТАСС)</t>
  </si>
  <si>
    <t xml:space="preserve"> Сибирское отделение Российской академии наук</t>
  </si>
  <si>
    <t xml:space="preserve"> Государственный академический Большой театр России</t>
  </si>
  <si>
    <t xml:space="preserve"> Генеральная прокуратура Российской Федерации</t>
  </si>
  <si>
    <t xml:space="preserve"> Российская академия медицинских наук</t>
  </si>
  <si>
    <t xml:space="preserve"> Российская академия живописи, ваяния и зодчества</t>
  </si>
  <si>
    <t xml:space="preserve"> Российская академия художеств</t>
  </si>
  <si>
    <t xml:space="preserve"> Высший арбитражный суд Российской Федерации</t>
  </si>
  <si>
    <t xml:space="preserve"> Конституционный Суд Российской Федерации</t>
  </si>
  <si>
    <t xml:space="preserve"> Верховный суд Российской Федерации</t>
  </si>
  <si>
    <t xml:space="preserve"> Судебный департамент при верховном суде РФ</t>
  </si>
  <si>
    <t xml:space="preserve"> Российская     оборонная     спортивно-техническая организация (РОСТО)</t>
  </si>
  <si>
    <t xml:space="preserve"> Уральское отделение Российской академии наук</t>
  </si>
  <si>
    <t xml:space="preserve"> Дальневосточное отделение российской академии наук</t>
  </si>
  <si>
    <t xml:space="preserve"> Федеральный надзор России по ядерной и  радиационной безопасности</t>
  </si>
  <si>
    <t>Штрафы за экологическое правонарушение</t>
  </si>
  <si>
    <t xml:space="preserve"> Федеральная комиссия по рынку ценных бумаг</t>
  </si>
  <si>
    <t xml:space="preserve"> Российская академия образования</t>
  </si>
  <si>
    <t xml:space="preserve"> Государственная техническая комиссия при президенте РФ</t>
  </si>
  <si>
    <t xml:space="preserve"> Российский гуманитарный научный фонд</t>
  </si>
  <si>
    <t xml:space="preserve"> Государственный фонд кинофильмов РФ</t>
  </si>
  <si>
    <t xml:space="preserve"> Государственный Эрмитаж</t>
  </si>
  <si>
    <t xml:space="preserve"> МОСКОВСКОЕ НПО "РАДОН"</t>
  </si>
  <si>
    <t>Всероссийское общество слепых</t>
  </si>
  <si>
    <t xml:space="preserve"> Российская академия архитектуры и строительных наук</t>
  </si>
  <si>
    <t xml:space="preserve"> Российский фонд фундаментальных исследований</t>
  </si>
  <si>
    <t xml:space="preserve"> Федеральная   служба    России   по    финансовому оздоровлению и банкротству</t>
  </si>
  <si>
    <t xml:space="preserve"> Постоянный комитет союзного государства</t>
  </si>
  <si>
    <t xml:space="preserve"> Комитет Российской Федерации по военно-техническому сотрудничеству с иностранными государствами</t>
  </si>
  <si>
    <t>Платежи за выполнение определенных функций</t>
  </si>
  <si>
    <t>Административные платежи и сборы</t>
  </si>
  <si>
    <t>Арендная плата и поступления от от продажи и заключения договоров аренды за земли городских поселений</t>
  </si>
  <si>
    <t>Прочие поступления</t>
  </si>
  <si>
    <t>Департамент АПКООС и П</t>
  </si>
  <si>
    <t>Департамент финансов администрации Ярославской области</t>
  </si>
  <si>
    <t>Управление внутренних дел Ярославской области</t>
  </si>
  <si>
    <t>Услуги ГИБДД</t>
  </si>
  <si>
    <t>Территориальная избирательная комиссия по г. Тутаеву и Тутаевскому району</t>
  </si>
  <si>
    <t>Департамент АПК, ООС и природопользования Администрации ТМР</t>
  </si>
  <si>
    <t>Администрация Артемьевской сельской территории</t>
  </si>
  <si>
    <t>Администрация Борисоглебской сельской территории</t>
  </si>
  <si>
    <t>Администрация Великосельской сельской территории</t>
  </si>
  <si>
    <t>Администрация Фоминской сельской территории</t>
  </si>
  <si>
    <t>Администрация Метенининской сельской территории</t>
  </si>
  <si>
    <t>Администрация Никольской сельской территории</t>
  </si>
  <si>
    <t>Администрация Помогаловской сельской территории</t>
  </si>
  <si>
    <t>Администрация Родионовской сельской территории</t>
  </si>
  <si>
    <t>Администрация Чебаковской сельской территории</t>
  </si>
  <si>
    <t>Администрация Николо-Эдомской сельской территории</t>
  </si>
  <si>
    <t>Администрация поселка Константиновский</t>
  </si>
  <si>
    <t>МУЗ "Тутаевская центральная районная больница"</t>
  </si>
  <si>
    <t>МУЗ Тутаевская городская больница</t>
  </si>
  <si>
    <t>МУ КЦСОН "Милосердие"</t>
  </si>
  <si>
    <t>Администрация городского поселения Тутаев</t>
  </si>
  <si>
    <t>Муниципальный совет ТМР</t>
  </si>
  <si>
    <t>МУСА МЦ "Галактика"</t>
  </si>
  <si>
    <t>МУ ИЦ "Берега"</t>
  </si>
  <si>
    <t>МЛУ "Константиновская районная больница"</t>
  </si>
  <si>
    <t>МУ Управление единого заказчика ТМО</t>
  </si>
  <si>
    <t>МУ "Отдел строительства и капитального ремонта" ТМР</t>
  </si>
  <si>
    <t>Тутаевский МО МВД России</t>
  </si>
  <si>
    <t>Избирательная комиссия ТМР</t>
  </si>
  <si>
    <t>Администрация Артемьевского сельского поселения</t>
  </si>
  <si>
    <t>Администрация Борисоглебского сельского поселения</t>
  </si>
  <si>
    <t>Администрация Великосельского сельского поселения</t>
  </si>
  <si>
    <t>Администрация Константиновского сельского поселения</t>
  </si>
  <si>
    <t>Администрация Помогаловского сельского поселения</t>
  </si>
  <si>
    <t>Администрация Родионовского сельского поселения</t>
  </si>
  <si>
    <t>Администрация Чебаковского сельского поселения</t>
  </si>
  <si>
    <t>Руководство и управление в сфере установленных функций</t>
  </si>
  <si>
    <t>Президент Российской Федерации</t>
  </si>
  <si>
    <t>Администрация Президента Российской Федерации</t>
  </si>
  <si>
    <t>Полномочные представители Президента Российской Федерации в федеральных округах и их аппараты</t>
  </si>
  <si>
    <t>Центральный аппарат</t>
  </si>
  <si>
    <t>Организация продажи арестованного имущества, а также распоряжения имуществом, обращенным в собственность государства, и иным изъятым имуществом, в том числе вещественными доказательствами</t>
  </si>
  <si>
    <t>Управление делами Президента Российской Федерации</t>
  </si>
  <si>
    <t>Обеспечение визитов делегаций высших органов власти за рубеж</t>
  </si>
  <si>
    <t>Выплаты независимым экспертам</t>
  </si>
  <si>
    <t>Председатель Совета Федерации и его заместители</t>
  </si>
  <si>
    <t>Депутаты Государственной Думы и их помощники</t>
  </si>
  <si>
    <t>Председатель Государственной Думы и его заместители</t>
  </si>
  <si>
    <t>Члены Совета Федерации и их помощники</t>
  </si>
  <si>
    <t>Мероприятия в рамках административной реформы</t>
  </si>
  <si>
    <t>Председатель Правительства Российской Федерации и его заместители</t>
  </si>
  <si>
    <t>Территориальные органы</t>
  </si>
  <si>
    <t>Председатель Конституционного Суда Российской Федерации и судьи Конституционного Суда Российской Федерации</t>
  </si>
  <si>
    <t>Председатель Верховного Суда Российской Федерации и судьи Верховного Суда Российской Федерации</t>
  </si>
  <si>
    <t>Председатель Высшего Арбитражного Суда Российской Федерации и судьи Высшего Арбитражного Суда Российской Федерации</t>
  </si>
  <si>
    <t>Судьи</t>
  </si>
  <si>
    <t>Осуществление полномочий субъектов Российской Федерации по решению вопросов предупреждения чрезвычайных ситуаций природного и техногенного характера и ликвидации их последствий, создания и организации деятельности аварийно-спасательных служб и аварийно-спасательных формирований, организации тушения пожаров силами Государственной противопожарной службы, организации осуществления на межмуниципальном и региональном уровне мероприятий по гражданской обороне, осуществления поиска и спасения людей во внутренних водах и в территориальном море Российской Федерации, в соответствии с Соглашениями</t>
  </si>
  <si>
    <t>Судейское сообщество</t>
  </si>
  <si>
    <t>Обеспечение деятельности аппаратов судов</t>
  </si>
  <si>
    <t>Председатель Счетной палаты Российской Федерации и его заместитель</t>
  </si>
  <si>
    <t>Аудиторы Счетной палаты Российской Федерации</t>
  </si>
  <si>
    <t>Члены Центральной избирательной комиссии Российской Федерации</t>
  </si>
  <si>
    <t>Проведение статистических обследований и переписей</t>
  </si>
  <si>
    <t>Обеспечение и проведение предпродажной подготовки и продажи федерального имущества</t>
  </si>
  <si>
    <t>Реализация мероприятий, связанных с процедурами банкротства</t>
  </si>
  <si>
    <t>Зарубежный аппарат</t>
  </si>
  <si>
    <t>Генеральный прокурор Российской Федерации</t>
  </si>
  <si>
    <t>Обеспечение деятельности Общественной палаты Российской Федерации</t>
  </si>
  <si>
    <t>Исследования (испытания) и экспертиза отобранных образцов (проб) продукции</t>
  </si>
  <si>
    <t>Осуществление высшим исполнительным органом государственной власти Санкт-Петербурга полномочий по управлению федеральным имуществом</t>
  </si>
  <si>
    <t>Осуществление первичного воинского учета на территориях, где отсутствуют военные комиссариаты</t>
  </si>
  <si>
    <t>Денежное довольствие и социальные выплаты сотрудникам и заработная плата работникам территориальных подразделений Государственной противопожарной службы, содержащимся за счет средств субъектов Российской Федерации, за исключением подразделений, созданных в субъектах Российской Федерации в соответствии со статьей 5 Федерального закона от 21 декабря 1994 года № 69-ФЗ "О пожарной безопасности"</t>
  </si>
  <si>
    <t>Государственная регистрация актов гражданского состояния</t>
  </si>
  <si>
    <t>Составление (изменение и дополнение) списков кандидатов в присяжные заседатели федеральных судов общей юрисдикции в Российской Федерации</t>
  </si>
  <si>
    <t>Управление находящимися в государственной и муниципальной собственности акциями открытых акционерных обществ</t>
  </si>
  <si>
    <t>Обеспечение граждан квалифицированной юридической помощью по назначению органов дознания, органов предварительного следствия, прокурора</t>
  </si>
  <si>
    <t>Осуществление полномочий по подготовке проведения статистических переписей</t>
  </si>
  <si>
    <t>Субсидии федеральным государственным унитарным предприятиям, находящимся в ведении Управления делами Президента Российской Федерации, на содержание особо важных объектов</t>
  </si>
  <si>
    <t>Субсидии организациям на возмещение расходов по обеспечению содержания и эксплуатации федерального недвижимого имущества, расположенного за пределами территории Российской Федерации</t>
  </si>
  <si>
    <t>Развитие объектов производственных, социальных и оздоровительных комплексов</t>
  </si>
  <si>
    <t>Мероприятия, связанные с распоряжением и реализацией выморочного имущества</t>
  </si>
  <si>
    <t>Осуществление передаваемых полномочий Российской Федерации в области охраны здоровья граждан</t>
  </si>
  <si>
    <t>Осуществление полномочий Российской Федерации в области охраны и использования охотничьих ресурсов по контролю, надзору, выдаче разрешений на добычу охотничьих ресурсов и заключению охотхозяйственных соглашений</t>
  </si>
  <si>
    <t>Осуществление полномочий Российской Федерации по контролю качества образования, лицензированию и государственной аккредитации образовательных учреждений, надзору и контролю за соблюдением законодательства в области образования</t>
  </si>
  <si>
    <t>Осуществление полномочий Российской Федерации по государственной охране объектов культурного наследия федерального значения</t>
  </si>
  <si>
    <t>Аппараты органов управления государственных внебюджетных фондов</t>
  </si>
  <si>
    <t>Военный персонал</t>
  </si>
  <si>
    <t>Функционирование органов в сфере национальной безопасности и правоохранительной деятельности</t>
  </si>
  <si>
    <t>Оплата и хранение специального топлива и горюче-смазочных материалов</t>
  </si>
  <si>
    <t>Оплата и хранение специального топлива и горюче-смазочных материалов в рамках государственного оборонного заказа</t>
  </si>
  <si>
    <t>Оплата и хранение специального топлива и горюче-смазочных материалов вне рамок государственного оборонного заказа</t>
  </si>
  <si>
    <t>Обеспечение функционирования Вооруженных Сил Российской Федерации</t>
  </si>
  <si>
    <t>Продовольственное обеспечение</t>
  </si>
  <si>
    <t>Продовольственное обеспечение в рамках государственного оборонного заказа</t>
  </si>
  <si>
    <t>Продовольственное обеспечение вне рамок государственного оборонного заказа</t>
  </si>
  <si>
    <t>Компенсация стоимости продовольственного пайка</t>
  </si>
  <si>
    <t>Вещевое обеспечение</t>
  </si>
  <si>
    <t>Вещевое обеспечение в рамках государственного оборонного заказа</t>
  </si>
  <si>
    <t>Вещевое обеспечение вне рамок государственного оборонного заказа</t>
  </si>
  <si>
    <t>Компенсация стоимости вещевого имущества</t>
  </si>
  <si>
    <t>Методическое обеспечение и информационная поддержка</t>
  </si>
  <si>
    <t>Пособия и компенсации военнослужащим,  приравненным к ним лицам, а также уволенным из их числа</t>
  </si>
  <si>
    <t>Субсидии</t>
  </si>
  <si>
    <t>Информатика</t>
  </si>
  <si>
    <t>Обеспечение деятельности подведомственных учреждений</t>
  </si>
  <si>
    <t>Руководство  и управление в сфере установленных функций органов государственной власти субъектов Российской Федерации и органов местного самоуправления</t>
  </si>
  <si>
    <t>Глава муниципального образования</t>
  </si>
  <si>
    <t>Председатель представительного органа муниципального образования</t>
  </si>
  <si>
    <t>Депутаты представительного органа муниципального образования</t>
  </si>
  <si>
    <t>Руководитель контрольно-счетной палаты муниципального образования и его заместители</t>
  </si>
  <si>
    <t>Мероприятия по реализации государственной национальной политики</t>
  </si>
  <si>
    <t>Информационно-аналитическое и научно-методическое обеспечение</t>
  </si>
  <si>
    <t>Мероприятия в сфере межнациональных отношений</t>
  </si>
  <si>
    <t>Проведение выборов и референдумов</t>
  </si>
  <si>
    <t>Проведение выборов в представительные органы муниципального образования</t>
  </si>
  <si>
    <t>Проведение выборов главы муниципального образования</t>
  </si>
  <si>
    <t>Проведение выборов в Федеральное Собрание Российской Федерации</t>
  </si>
  <si>
    <t>Проведение выборов Президента Российской Федерации</t>
  </si>
  <si>
    <t>Проведение референдумов</t>
  </si>
  <si>
    <t>Государственная автоматизированная информационная система "Выборы", повышение правовой культуры избирателей и обучение организаторов выборов</t>
  </si>
  <si>
    <t>Центры информатизации и обучения избирательным технологиям</t>
  </si>
  <si>
    <t>Международное сотрудничество</t>
  </si>
  <si>
    <t>Реализация договоров (контрактов) с иностранными фирмами в области научного сотрудничества</t>
  </si>
  <si>
    <t>Обеспечение мероприятий, предусмотренных соглашениями с международными финансовыми организациями</t>
  </si>
  <si>
    <t>Реализация соглашений с международными финансовыми организациями</t>
  </si>
  <si>
    <t>Софинансирование, связанное с реализацией соглашений с международными финансовыми организациями</t>
  </si>
  <si>
    <t>Международные культурные, научные и информационные связи</t>
  </si>
  <si>
    <t>Прочие расходы, связанные с международной деятельностью</t>
  </si>
  <si>
    <t>Выполнение других обязательств государства</t>
  </si>
  <si>
    <t>Инспекционная деятельность и другие расходы</t>
  </si>
  <si>
    <t>Субсидии российским организациям на обеспечение деятельности на архипелаге Шпицберген</t>
  </si>
  <si>
    <t>Субсидии на возмещение части затрат на обеспечение деятельности Международного центра устойчивого энергетического развития под эгидой ЮНЕСКО в г. Москве</t>
  </si>
  <si>
    <t>Оказание финансовой помощи в целях социально-экономического развития Республики Южная Осетия</t>
  </si>
  <si>
    <t>Оказание финансовой помощи в целях социально-экономического развития Республики Абхазия</t>
  </si>
  <si>
    <t>Оказание финансовой помощи в целях осуществления бюджетных инвестиций Республике Южная Осетия</t>
  </si>
  <si>
    <t>Оказание финансовой помощи в целях осуществления бюджетных инвестиций Республике Абхазия</t>
  </si>
  <si>
    <t>Международный проект по сооружению Европейского центра по исследованию ионов и антипротонов (ФАИР)</t>
  </si>
  <si>
    <t>Обеспечение реализации соглашений с правительствами иностранных государств и организациями</t>
  </si>
  <si>
    <t>Мероприятия в области здравоохранения, спорта и физической культуры, туризма</t>
  </si>
  <si>
    <t>Взносы в международные организации</t>
  </si>
  <si>
    <t>Реализация межгосударственных договоров в рамках Содружества Независимых Государств</t>
  </si>
  <si>
    <t>Долевое участие в содержании координационных структур Содружества Независимых Государств</t>
  </si>
  <si>
    <t>Обеспечение сотрудничества в рамках Содружества Независимых Государств</t>
  </si>
  <si>
    <t>Долевой взнос в бюджет Союзного государства</t>
  </si>
  <si>
    <t>Реализация проекта Международного термоядерного экспериментального реактора ИТЭР</t>
  </si>
  <si>
    <t>Выполнение научно-исследовательских и опытно-конструкторских работ по государственным контрактам</t>
  </si>
  <si>
    <t>Реализация государственной политики в отношении соотечественников за рубежом</t>
  </si>
  <si>
    <t>Обеспечение мероприятий по поддержке соотечественников, проживающих за рубежом</t>
  </si>
  <si>
    <t>Обеспечение международной экономической и гуманитарной помощи</t>
  </si>
  <si>
    <t>Доставка грузов гуманитарного характера и эвакуация российских граждан</t>
  </si>
  <si>
    <t>Гуманитарная финансовая помощь другим государствам</t>
  </si>
  <si>
    <t>Обеспечение государственного материального резерва</t>
  </si>
  <si>
    <t>Формирование государственного материального резерва</t>
  </si>
  <si>
    <t>Поддержка государственных академий наук и их региональных отделений</t>
  </si>
  <si>
    <t>Обеспечение деятельности особо ценных объектов (учреждений) культурного наследия народов Российской Федерации</t>
  </si>
  <si>
    <t>Премии в области литературы и искусства, образования, печатных средств массовой информации, науки и техники и иные поощрения за особые заслуги перед государством</t>
  </si>
  <si>
    <t>Мероприятия по патриотическому воспитанию граждан Российской Федерации</t>
  </si>
  <si>
    <t>Поддержка организаций, осуществляющих фундаментальные исследования</t>
  </si>
  <si>
    <t>Субсидии образовательным учреждениям в странах Содружества Независимых Государств и общественным организациям</t>
  </si>
  <si>
    <t>Гранты в области науки, культуры, искусства и средств массовой информации</t>
  </si>
  <si>
    <t>Обеспечение функционирования аппаратов фондов поддержки научной  и (или) научно-технической деятельности</t>
  </si>
  <si>
    <t>Процентные платежи по долговым обязательствам</t>
  </si>
  <si>
    <t>Процентные платежи по государственному долгу Российской Федерации</t>
  </si>
  <si>
    <t>Процентные платежи по муниципальному долгу</t>
  </si>
  <si>
    <t>Резервный фонд Правительства Российской Федерации</t>
  </si>
  <si>
    <t>Резервный фонд Президента Российской Федерации</t>
  </si>
  <si>
    <t>Резервный фонд Правительства Российской Федерации по предупреждению и ликвидации чрезвычайных ситуаций и последствий стихийных бедствий</t>
  </si>
  <si>
    <t>Резервный фонд исполнительных органов государственной власти субъектов Российской Федерации</t>
  </si>
  <si>
    <t>Инвестиционный фонд</t>
  </si>
  <si>
    <t>Разработка приоритетных направлений науки, технологий и техники</t>
  </si>
  <si>
    <t>Приоритетные направления науки и техники</t>
  </si>
  <si>
    <t>Субсидии на поддержку научных мероприятий</t>
  </si>
  <si>
    <t>Прикладные научные исследования и разработки</t>
  </si>
  <si>
    <t>Исследования и разработки в части обеспечения выполнения международных договоров и обязательств о сокращении и ограничении вооружений и укрепления мер доверия в военной области</t>
  </si>
  <si>
    <t>Научное сопровождение инновационных проектов государственного значения</t>
  </si>
  <si>
    <t>Исследования в части вопросов утилизации и ликвидации вооружения и военной техники, уничтожения запасов химического оружия</t>
  </si>
  <si>
    <t>Реализация мероприятий Программы совместной деятельности организаций, участвующих в пилотном проекте по созданию национального исследовательского центра "Курчатовский институт", на 2010 - 2012 годы</t>
  </si>
  <si>
    <t>Субсидия на проведение мероприятий по повышению энергоэффективности за счет средств федерального бюджета</t>
  </si>
  <si>
    <t xml:space="preserve">Оплата и хранение специального топлива и горюче-смазочных материалов </t>
  </si>
  <si>
    <t>Субсидия на проведение мероприятий по повышению энергоэффективности за счет средств областного бюджета</t>
  </si>
  <si>
    <t>Борьба с эпидемиями</t>
  </si>
  <si>
    <t>Обеспечение функционирования аппаратов фондов поддержки научной и (или) научно-технической деятельности</t>
  </si>
  <si>
    <t>Реализация государственной политики в области приватизации и управления государственной и муниципальной собственностью</t>
  </si>
  <si>
    <t>Содержание и обслуживание казны Российской Федерации</t>
  </si>
  <si>
    <t>Оценка недвижимости, признание прав и регулирование отношений по государственной и муниципальной собственности</t>
  </si>
  <si>
    <t>Общее руководство и управление общими службами и услугами Управления делами Президента Российской Федерации</t>
  </si>
  <si>
    <t>Транспортное обеспечение федеральных органов власти</t>
  </si>
  <si>
    <t>Центральные транспортные комбинаты</t>
  </si>
  <si>
    <t>Эксплуатация зданий</t>
  </si>
  <si>
    <t>Комбинаты питания</t>
  </si>
  <si>
    <t>Реализация государственных функций, связанных с общегосударственным управлением</t>
  </si>
  <si>
    <t>Денежные компенсации истцам в случае вынесения соответствующих решений Европейским Судом по правам человека</t>
  </si>
  <si>
    <t>Субсидии на поддержку некоммерческих неправительственных организаций, участвующих в развитии институтов гражданского общества</t>
  </si>
  <si>
    <t>Выполнение других обязательств государства по выплате агентских комиссий и вознаграждения</t>
  </si>
  <si>
    <t>Государственные гарантии Российской Федерации</t>
  </si>
  <si>
    <t>Прочие выплаты по обязательствам государства</t>
  </si>
  <si>
    <t>Взнос Российской Федерации в уставные капиталы</t>
  </si>
  <si>
    <t>Субсидии федеральным государственным унитарным предприятиям, находящимся в ведении Управления делами Президента Российской Федерации</t>
  </si>
  <si>
    <t>Строительство объектов за пределами территории Российской Федерации</t>
  </si>
  <si>
    <t>Субсидии на возмещение расходов по содержанию специальных объектов</t>
  </si>
  <si>
    <t>Субсидии на поддержку культурных и духовных центров за рубежом в соответствии с решениями Правительства Российской Федерации</t>
  </si>
  <si>
    <t>Нормированный страховой запас Федерального фонда обязательного медицинского страхования</t>
  </si>
  <si>
    <t>Государственная поддержка финансового рынка, рынка труда и отраслей экономики Российской Федерации, предоставление межбюджетных трансфертов бюджету Пенсионного фонда Российской Федерации и иные мероприятия</t>
  </si>
  <si>
    <t>Обеспечение расходов Федерального фонда обязательного медицинского страхования в связи с недопоступлением налоговых доходов в бюджет Фонда</t>
  </si>
  <si>
    <t>Возмещение потерь, возникших при инвестировании Пенсионным фондом Российской Федерации сумм страховых взносов на финансирование накопительной части трудовой пенсии</t>
  </si>
  <si>
    <t>Обеспечение расходов Федерального фонда обязательного медицинского страхования для последующего направления межбюджетных трансфертов бюджетам территориальных фондов обязательного медицинского страхования на реализацию территориальных программ государственных гарантий оказания гражданам Российской Федерации бесплатной медицинской помощи</t>
  </si>
  <si>
    <t>Валоризация величины расчетного пенсионного капитала</t>
  </si>
  <si>
    <t>Возмещение расходов по выплате трудовых пенсий в связи с зачетом в страховой стаж не страховых периодов</t>
  </si>
  <si>
    <t>Софинансирование формирования пенсионных накоплений застрахованных лиц за счет средств Фонда национального благосостояния</t>
  </si>
  <si>
    <t>Компенсация выпадающих доходов бюджету Пенсионного фонда Российской Федерации в связи с установлением пониженных тарифов страховых взносов на обязательное пенсионное страхование</t>
  </si>
  <si>
    <t>Компенсация выпадающих доходов бюджету Фонда социального страхования Российской Федерации в связи с установлением пониженных тарифов страховых взносов</t>
  </si>
  <si>
    <t>Компенсация выпадающих доходов бюджету Федерального фонда обязательного медицинского страхования в связи с установлением пониженных тарифов страховых взносов</t>
  </si>
  <si>
    <t xml:space="preserve">Возмещение расходов, связанных с обеспечением ведения специальной части индивидуальных лицевых счетов застрахованных лиц, добровольно вступивших в правоотношения по обязательному пенсионному страхованию в целях уплаты дополнительных страховых взносов на накопительную часть трудовой пенсии </t>
  </si>
  <si>
    <t>Возмещение организациям транспорта потерь в доходах в связи с транспортным обеспечением мероприятий в период празднования 65-й годовщины Победы в Великой Отечественной войне 1941 - 1945 годов</t>
  </si>
  <si>
    <t>Финансирование затрат на оплату услуг органов (организаций), с которыми Пенсионным фондом Российской Федерации заключены соглашения о взаимном удостоверении подписей, по приему и передаче в электронной форме в Пенсионный фонд Российской Федерации заявлений застрахованных лиц о добровольном вступлении в правоотношения по обязательному пенсионному страхованию в целях уплаты дополнительных страховых взносов на накопительную часть трудовой пенсии и копий платежных документов, подтверждающих уплату дополнительных страховых взносов на накопительную часть трудовой пенсии</t>
  </si>
  <si>
    <t>Создание комплексной системы обеспечения безопасности населения на транспорте</t>
  </si>
  <si>
    <t>Государственная поддержка отдельных некоммерческих организаций</t>
  </si>
  <si>
    <t xml:space="preserve"> </t>
  </si>
  <si>
    <t>Реализация мероприятий по празднованию 50-летия полета в космос Ю.А. Гагарина</t>
  </si>
  <si>
    <t>Софинансирование мероприятий по рекультивации территории бывшего Открытого акционерного общества "Средне-Волжский завод химикатов" (г. Чапаевск)</t>
  </si>
  <si>
    <t>Инженерно-геологические и инженерно-экологические изыскания и разработка проектно-сметной документации рекультивации территории бывшего Открытого акционерного общества "Средне-Волжский завод химикатов" (г. Чапаевск)</t>
  </si>
  <si>
    <t>Реализация мероприятий, связанных с созданием и обеспечением функционирования инновационного центра "Сколково"</t>
  </si>
  <si>
    <t>Субсидии некоммерческой организации "Фонд развития Центра разработки и коммерциализации новых технологий"</t>
  </si>
  <si>
    <t>Субсидии некоммерческой организации "Фонд развития Центра разработки и коммерциализации новых технологий" на компенсацию затрат участников проекта создания инновационного центра "Сколково" по уплате таможенных платежей</t>
  </si>
  <si>
    <t>Региональные программы модернизации здравоохранения субъектов Российской Федерации и программы модернизации федеральных государственных учреждений, оказывающих медицинскую помощь</t>
  </si>
  <si>
    <t>Программа энергосбережения и повышения энергетической эффективности на период до 2020 года</t>
  </si>
  <si>
    <t>Проведение мероприятий по повышению энергоэффективности в муниципальных районах (городских округах) в рамках реализации областной целевой программы "Энергосбережение и повышение энергоэффективности в Ярославской области"</t>
  </si>
  <si>
    <t>Мероприятия, направленные на развитие федеральных автономных учреждений</t>
  </si>
  <si>
    <t>Обеспечение мероприятий, связанных с направлением российских юристов для участия в работе Европейского Суда по правам человека</t>
  </si>
  <si>
    <t>Обеспечение участия Российской Федерации в деятельности Евразийской группы по противодействию легализации преступных доходов и финансированию терроризма</t>
  </si>
  <si>
    <t>Субсидии автономной некоммерческой организации "Дирекция Московского транспортного узла"</t>
  </si>
  <si>
    <t>Субсидии Мемориально-благотворительному фонду имени В.П. Чкалова "Международный Чкаловский фонд" на подготовку и проведение мероприятий, посвященных 75-летию беспосадочного перелета экипажа В.П. Чкалова</t>
  </si>
  <si>
    <t>Совершенствование стипендиального обеспечения обучающихся в федеральных образовательных учреждениях профессионального образования</t>
  </si>
  <si>
    <t>Специальные объекты</t>
  </si>
  <si>
    <t>Субсидии на поддержку российской духовной культуры, традиций и истории за рубежом в соответствии с решениями Правительства Российской Федерации</t>
  </si>
  <si>
    <t>Обеспечение мероприятий по реформированию государственной и муниципальной службы</t>
  </si>
  <si>
    <t>Субсидии организациям культуры, кинематографии и средств массовой информации</t>
  </si>
  <si>
    <t>Учреждения по обеспечению хозяйственного обслуживания</t>
  </si>
  <si>
    <t>Субсидии федеральному государственному унитарному предприятию "Управление служебными зданиями" при Министерстве сельского хозяйства Российской Федерации</t>
  </si>
  <si>
    <t>Реформирование государственной службы Российской Федерации</t>
  </si>
  <si>
    <t>Обеспечение мероприятий по реформированию  государственной и муниципальной службы</t>
  </si>
  <si>
    <t>Обеспечение авиационных перевозок высших должностных лиц Российской Федерации</t>
  </si>
  <si>
    <t>Реализация региональных программ модернизации здравоохранения субъектов Российской Федерации и программ модернизации федеральных государственных учреждений</t>
  </si>
  <si>
    <t>Реализация программ модернизации здравоохранения субъектов Российской Федерации в части укрепления материально-технической базы медицинских учреждений</t>
  </si>
  <si>
    <t>Реализация программ модернизации здравоохранения субъектов Российской Федерации в части внедрения современных информационных систем в здравоохранение в целях перехода на полисы обязательного медицинского страхования единого образца</t>
  </si>
  <si>
    <t>Реализация программ модернизации здравоохранения субъектов Российской Федерации в части внедрения стандартов медицинской помощи, повышение доступности амбулаторной медицинской помощи</t>
  </si>
  <si>
    <t>Фонд «Русский мир»</t>
  </si>
  <si>
    <t>Обеспечение деятельности фонда «Русский мир»</t>
  </si>
  <si>
    <t>Обеспечение мероприятий по капитальному ремонту многоквартирных домов и переселение граждан из аварийного жилищного фонда</t>
  </si>
  <si>
    <t>Обеспечение мероприятий по капитальному ремонту многоквартирных домов и переселению граждан из аварийного жилищного фонда за счет средств, поступивших от государственной корпорации Фонд содействия реформированию жилищно-коммунального хозяйства</t>
  </si>
  <si>
    <t>Обеспечение мероприятий по капитальному ремонту многоквартирных домов за счет средств, поступивших от государственной корпорации Фонд содействия реформированию жилищно-коммунального хозяйства</t>
  </si>
  <si>
    <t xml:space="preserve">Обеспечение мероприятий по переселению граждан из ветхого и аварийного жилфонда за счет средств , поступивших от государственной корпорации  Фонд содействия реформированию ЖКХ </t>
  </si>
  <si>
    <t xml:space="preserve">Обеспечение мероприятий по переселению граждан из аварийного жилищного фонда  с учетом необходимости развития малоэтажного жилищного строительства за счет средств , поступивших от государственной корпорации  Фонда содействия реформированию ЖКХ </t>
  </si>
  <si>
    <t>Обеспечение мероприятий по капитальному ремонту многоквартирных домов и переселение граждан из аварийного жилищного фонда за счет средств бюджетов</t>
  </si>
  <si>
    <t>Обеспечение мероприятий по капитальному ремонту многоквартирных домов и переселению граждан из  аварийного жилфонда за счет средств бюджетов</t>
  </si>
  <si>
    <t>Обеспечение мероприятий по переселению граждан  из  аварийного жилищного фонда за счет средств бюджетов</t>
  </si>
  <si>
    <t>Обеспечение мероприятий по переселению граждан из аварийного жилищного фонда  с учетом необходимости развития малоэтажного жилищного строительства за счет средств бюджетов</t>
  </si>
  <si>
    <t>Обеспечение мероприятий по капитальному ремонту многоквартирных домов за счет средств местных бюджетов в части жилых и нежилых помещений находящихся в муниципальной собственности</t>
  </si>
  <si>
    <t>Субсидии государственным корпорациям</t>
  </si>
  <si>
    <t xml:space="preserve">Субсидии Государственной корпорации </t>
  </si>
  <si>
    <t>по атомной энергии «Росатом»</t>
  </si>
  <si>
    <t>Субсидии Государственной корпорации по атомной энергии «Росатом» на выполнение возложенных на неё государственных полномочий</t>
  </si>
  <si>
    <t>Субсидии Государственной корпорации по атомной энергии "Росатом" в рамках технической защиты информации</t>
  </si>
  <si>
    <t>Имущественный взнос в Государственную корпорацию по атомной энергии "Росатом" на развитие атомного энергопромышленного комплекса</t>
  </si>
  <si>
    <t>Имущественный взнос на приобретение акций открытого акционерного общества "Атомредметзолото"</t>
  </si>
  <si>
    <t>Имущественный взнос на приобретение акций открытого акционерного общества "Технопарк-Технология"</t>
  </si>
  <si>
    <t>Имущественный взнос в Государственную корпорацию по атомной энергии "Росатом" на обеспечение безопасной эксплуатации объектов использования атомной энергии и выполнение норм ядерной и радиационной безопасности</t>
  </si>
  <si>
    <t>Имущественный взнос в Государственную корпорацию по атомной энергии "Росатом" на обеспечение инновационного развития гражданского сектора атомной отрасли Российской Федерации</t>
  </si>
  <si>
    <t>Имущественный взнос в Государственную корпорацию по атомной энергии "Росатом" на обеспечение стабильного функционирования и развития ядерного оружейного комплекса</t>
  </si>
  <si>
    <t>Субсидии Государственной корпорации по строительству олимпийских объектов и развитию города Сочи как горноклиматического курорта</t>
  </si>
  <si>
    <t>Имущественный взнос в Государственную корпорацию по строительству олимпийских объектов и развитию города Сочи как горноклиматического курорта</t>
  </si>
  <si>
    <t>Субсидии государственной корпорации "Банк развития и внешнеэкономической деятельности (Внешэкономбанк)"</t>
  </si>
  <si>
    <t>Имущественный взнос в государственную корпорацию "Банк развития и внешнеэкономической деятельности (Внешэкономбанк)" на формирование фонда прямых инвестиций</t>
  </si>
  <si>
    <t>Субсидии Государственной корпорации по содействию разработке, производству и экспорту высокотехнологичной промышленной продукции "Ростехнологии"</t>
  </si>
  <si>
    <t>Имущественный взнос в Государственную корпорацию по содействию разработке, производству и экспорту высокотехнологичной промышленной продукции "Ростехнологии" для урегулирования обязательств по процентам по кредитам и кредитным линиям, привлеченным для обеспечения возможности консолидации акций открытого акционерного общества "Корпорация ВСМПО-АВИСМА"</t>
  </si>
  <si>
    <t xml:space="preserve">Имущественный взнос Российской Федерации в Государственную корпорацию по содействию разработке, производству и экспорту высокотехнологичной промышленной продукции "Ростехнологии" для оказания финансовой поддержки открытому акционерному обществу "АВТОВАЗ" путем предоставления беспроцентного займа </t>
  </si>
  <si>
    <t xml:space="preserve">Имущественный взнос Российской Федерации в Государственную корпорацию по содействию разработке, производству и экспорту высокотехнологичной промышленной продукции ""Ростехнологии"" для осуществления мероприятий, связанных с завершением строительства и ввода в эксплуатацию федеральных центров высоких медицинских технологий, в том числе для проведения аудиторской проверки и оценки объектов незавершенного строительства указанных центров </t>
  </si>
  <si>
    <t xml:space="preserve">Имущественный взнос Российской Федерации в Государственную корпорацию по содействию разработке, производству и экспорту высокотехнологичной промышленной продукции "Ростехнологии" на реализацию мероприятий, осуществляемых в рамках специальных решений </t>
  </si>
  <si>
    <t xml:space="preserve">Имущественный взнос Российской Федерации в Государственную корпорацию по содействию разработке, производству и экспорту высокотехнологичной промышленной продукции "Ростехнологии" в целях государственной поддержки авиакомпаний </t>
  </si>
  <si>
    <t>Имущественный взнос Российской Федерации в Государственную корпорацию по содействию разработке, производству и экспорту высокотехнологичной промышленной</t>
  </si>
  <si>
    <t>продукции "Ростехнологии" на цели частичного выкупа обязательств открытого акционерного общества "Ижевский автомобильный завод" перед кредитными организациями посредством заключения договора уступки прав (требований)</t>
  </si>
  <si>
    <t>Субсидии государственной корпорации - Фонд содействия реформированию жилищно-коммунального хозяйства</t>
  </si>
  <si>
    <t>Имущественный взнос в государственную корпорацию - Фонд содействия реформированию жилищно-коммунального хозяйства на восстановление имущества указанной государственной корпорации, переданного в собственность Российской Федерации в 2009 году</t>
  </si>
  <si>
    <t xml:space="preserve">Субсидии Государственной компании </t>
  </si>
  <si>
    <t>Российские автомобильные дороги</t>
  </si>
  <si>
    <t>Имущественный взнос Российской Федерации в</t>
  </si>
  <si>
    <t>Государственную компанию "Российские автомобильные дороги"</t>
  </si>
  <si>
    <t>Субсидии Государственной компании "Российские автомобильные дороги" на осуществление деятельности по доверительному управлению автомобильными дорогами Государственной компании</t>
  </si>
  <si>
    <t>Субсидии государственной корпорации "Российская корпорация нанотехнологий"</t>
  </si>
  <si>
    <t>Имущественный взнос в государственную корпорацию "Российская корпорация нанотехнологий"</t>
  </si>
  <si>
    <t>Федеральные целевые программы</t>
  </si>
  <si>
    <t>Федеральная целевая программа "Модернизация транспортной системы России (2002 - 2010 годы)"</t>
  </si>
  <si>
    <t>Подпрограмма "Железнодорожный транспорт"</t>
  </si>
  <si>
    <t>Подпрограмма "Автомобильные дороги"</t>
  </si>
  <si>
    <t>Подпрограмма "Гражданская авиация"</t>
  </si>
  <si>
    <t>Подпрограмма 'Единая система организации воздушного движения'</t>
  </si>
  <si>
    <t>Подпрограмма "Морской транспорт"</t>
  </si>
  <si>
    <t>Подпрограмма 'Внутренний водный транспорт'</t>
  </si>
  <si>
    <t>Подпрограмма "Внутренние водные пути"</t>
  </si>
  <si>
    <t>Подпрограмма  'Международные транспортные коридоры'</t>
  </si>
  <si>
    <t>Подпрограмма 'Реформирование пассажирского транспорта общего пользования'</t>
  </si>
  <si>
    <t>Подпрограмма 'Безопасность дорожного движения'</t>
  </si>
  <si>
    <t>Расходы общепрограммного характера по федеральной целевой программе   "Модернизация   транспортной     системы    России (2002 - 2010 годы)"</t>
  </si>
  <si>
    <t>Подпрограмма "Развитие экспорта транспортных услуг России"</t>
  </si>
  <si>
    <t>Федеральная целевая программа "Культура России (2006 - 2011 годы)"</t>
  </si>
  <si>
    <t>Подпрограмма 'Развитие культуры и сохранение культурного наследия России'</t>
  </si>
  <si>
    <t>Подпрограмма 'Кинематография России'</t>
  </si>
  <si>
    <t xml:space="preserve">На капитальное строительство и реконструкцию объектов культурного назначения в рамках областной целевой программы "Развитие материально-технической базы учреждений культуры Ярославской области" </t>
  </si>
  <si>
    <t>Подпрограмма 'Поддержка полиграфии и книгоиздания России (2002 – 2005 годы)'</t>
  </si>
  <si>
    <t>Федеральная целевая программа "Антитеррор (2009 - 2013 годы)"</t>
  </si>
  <si>
    <t>Федеральная целевая программа "Развитие оборонно-промышленного комплекса Российской Федерации на 2011 - 2020 годы"</t>
  </si>
  <si>
    <t>Федеральная целевая программа "Мировой океан"</t>
  </si>
  <si>
    <t>Подпрограмма "Военно-стратегические интересы России в Мировом океане"</t>
  </si>
  <si>
    <t>Подпрограмма "Исследование природы Мирового океана"</t>
  </si>
  <si>
    <t>Подпрограмма 'Минеральные ресурсы Мирового океана, Арктики и Антарктики'</t>
  </si>
  <si>
    <t>Подпрограмма 'Транспортные коммуникации России в Мировом океане'</t>
  </si>
  <si>
    <t>Подпрограмма "Освоение и использование Арктики"</t>
  </si>
  <si>
    <t>Подпрограмма "Изучение и исследование Антарктики"</t>
  </si>
  <si>
    <t>Подпрограмма "Создание единой государственной системы информации об обстановке в Мировом океане"</t>
  </si>
  <si>
    <t>Мероприятия государственного заказчика-координатора</t>
  </si>
  <si>
    <t>Федеральная целевая программа "Русский язык" на 2011 - 2015 годы"</t>
  </si>
  <si>
    <t>Федеральная целевая программа "Социальная поддержка инвалидов на 2006 - 2010 годы"</t>
  </si>
  <si>
    <t>Подпрограмма "Социальная поддержка и реабилитация инвалидов вследствие боевых действий и военной травмы"</t>
  </si>
  <si>
    <t>Расходы общепрограммного  характера   по  федеральной  целевой  программе "Социальная поддержка инвалидов на 2006 - 2010 годы"</t>
  </si>
  <si>
    <t>Федеральная целевая программа "Экономическое и социальное развитие коренных малочисленных народов Севера до 2011 года"</t>
  </si>
  <si>
    <t>Федеральная целевая программа "Государственная граница Российской Федерации (2003 - 2011 годы)"</t>
  </si>
  <si>
    <t>Областная целевая программа "Развитие агропромышленного комплекса и сельский территорий Ярославской области" в части софинансирования мероприятий федеральной целевой программы "Социальное развитие села до 2013 года"</t>
  </si>
  <si>
    <t>Субсидия на  улучшение жилищных условий граждан, проживающих в сельской местности на территории Ярославской области, в том числе молодых семей и молодых специалистов, за счет средств областного бюджета</t>
  </si>
  <si>
    <t>Субсидия на проведение мероприятий по улучшению жилищных условий граждан РФ, проживающих в сельской местности в части областных средств</t>
  </si>
  <si>
    <t>Федеральная целевая программа "Развитие водохозяйственного комплекса РФ в 2012-2020 годах</t>
  </si>
  <si>
    <t>Субсидия на реализацию ОЦП "Берегоукрепление"</t>
  </si>
  <si>
    <t>Федеральная целевая программа "Дети России" на 2007 - 2010 годы</t>
  </si>
  <si>
    <t>Подпрограмма "Здоровое поколение"</t>
  </si>
  <si>
    <t>Подпрограмма "Дети и семья"</t>
  </si>
  <si>
    <t>Подпрограмма "Одаренные дети"</t>
  </si>
  <si>
    <t>Федеральная целевая программа 'Молодежь России (2001 – 2005 годы)'</t>
  </si>
  <si>
    <t>Подпрограмма 'Физическое воспитание и оздоровление детей,   подростков и молодежи в Российской Федерации (2002 – 2005 годы)'</t>
  </si>
  <si>
    <t>Мероприятия по реализации федеральной целевой программы 'Молодежь России (2001 – 2005 годы)'</t>
  </si>
  <si>
    <t>Федеральная целевая программа развития образования на 2006 - 2010 годы</t>
  </si>
  <si>
    <t>Федеральная целевая программа "Русский язык (2006 - 2010 годы)"</t>
  </si>
  <si>
    <t>Федеральная программа 'Реформирование государственной службы Российской Федерации (2003 – 2005 годы)'</t>
  </si>
  <si>
    <t>Федеральная целевая программа "Реформирование системы военного образования в Российской Федерации на период до 2010 года"</t>
  </si>
  <si>
    <t>Федеральная целевая программа "Развитие уголовно-исполнительной системы (2007 - 2016 годы)"</t>
  </si>
  <si>
    <t>Подпрограмма 'Строительство и реконструкция следственных изоляторов и тюрем, а также строительство жилья для персонала указанных учреждений на 2002 – 2006 годы'</t>
  </si>
  <si>
    <t>Подпрограмма 'Реформирование промышленного сектора уголовно-исполнительной системы и содействие трудовой занятости осужденных на 2002 – 2006 годы'</t>
  </si>
  <si>
    <t>Федеральная целевая программа "Развитие судебной системы России на 2007 - 2012 годы"</t>
  </si>
  <si>
    <t>Федеральная целевая программа "Реструктуризация запасов ракет, боеприпасов и взрывчатых материалов, приведение системы их хранения и эксплуатации во взрывопожаробезопасное состояние на 2005 - 2010 годы"</t>
  </si>
  <si>
    <t>Федеральная целевая программа 'Экология и природные ресурсы России (2002 - 2010 годы)'</t>
  </si>
  <si>
    <t>Подпрограмма 'Минерально-сырьевые ресурсы'</t>
  </si>
  <si>
    <t>Подпрограмма 'Водные ресурсы и водные объекты'</t>
  </si>
  <si>
    <t>Подпрограмма 'Водные биологические ресурсы и аквакультура'</t>
  </si>
  <si>
    <t>Подпрограмма 'Сохранение редких и исчезающих видов животных и растений'</t>
  </si>
  <si>
    <t>Подпрограмма 'Охрана озера Байкал и Байкальской природной территории'</t>
  </si>
  <si>
    <t>Подпрограмма 'Гидрометеорологическое обеспечение безопасности жизнедеятельности и рационального природопользования'</t>
  </si>
  <si>
    <t>Федеральная целевая программа "Предупреждение и борьба с социально значимыми заболеваниями на (2007 - 2011 годы)"</t>
  </si>
  <si>
    <t>Подпрограмма "Сахарный диабет"</t>
  </si>
  <si>
    <t>Подпрограмма "Туберкулез"</t>
  </si>
  <si>
    <t>Подпрограмма "Вакцинопрофилактика"</t>
  </si>
  <si>
    <t>Подпрограмма "ВИЧ-инфекция"</t>
  </si>
  <si>
    <t>Подпрограмма "Онкология"</t>
  </si>
  <si>
    <t>Подпрограмма "Инфекции, передаваемые половым путем"</t>
  </si>
  <si>
    <t>Подпрограмма "Вирусные гепатиты"</t>
  </si>
  <si>
    <t>Подпрограмма "Психические расстройства"</t>
  </si>
  <si>
    <t>Подпрограмма "Артериальная гипертония"</t>
  </si>
  <si>
    <t>Федеральная целевая программа "Комплексные меры противодействия злоупотреблению наркотиками и их незаконному обороту на 2005 - 2009 годы"</t>
  </si>
  <si>
    <t>Подпрограмма 'Обращение с радиоактивными отходами и отработавшими ядерными материалами, их утилизация и захоронение'</t>
  </si>
  <si>
    <t>Подпрограмма 'Безопасность атомной промышленности России'</t>
  </si>
  <si>
    <t>Подпрограмма 'Безопасность атомных электростанций и исследовательских ядерных установок'</t>
  </si>
  <si>
    <t>Подпрограмма 'Атомные электростанции и ядерные энергетические установки нового поколения с повышенной безопасностью'</t>
  </si>
  <si>
    <t>Подпрограмма 'Совершенствование системы подготовки,    переподготовки и повышения квалификации кадров'</t>
  </si>
  <si>
    <t>Подпрограмма 'Организация системы государственного учета и контроля ядерных материалов и системы государственного учета и контроля радиоактивных веществ и радиоактивных отходов'</t>
  </si>
  <si>
    <t>Подпрограмма 'Ядерная и радиационная безопасность на   предприятиях судостроительной промышленности'</t>
  </si>
  <si>
    <t>Подпрограмма 'Защита населения и территорий от последствий возможных радиационных аварий'</t>
  </si>
  <si>
    <t>Подпрограмма 'Методическое обеспечение деятельности по  защите населения и реабилитации территорий, подвергшихся радиоактивному загрязнению'</t>
  </si>
  <si>
    <t>Подпрограмма 'Создание Единой государственной автоматизированной системы контроля радиационной обстановки на территории Российской Федерации'</t>
  </si>
  <si>
    <t>Подпрограмма 'Снижение уровня облучения населения и техногенного загрязнения окружающей среды природными радионуклидами'</t>
  </si>
  <si>
    <t>Подпрограмма 'Организация единой государственной системы  контроля и учета индивидуальных доз облучения граждан и состояние здоровья групп риска населения, подверженных повышенным уровням радиационного воздействия'</t>
  </si>
  <si>
    <t>Подпрограмма 'Организация системы медицинского обслуживания и охраны труда работников, подверженных облучению на производстве'</t>
  </si>
  <si>
    <t>Подпрограмма 'Организация системы медицинского  обслуживания лиц из групп риска населения, подверженных повышенным уровням радиационного воздействия'</t>
  </si>
  <si>
    <t>Подпрограмма 'Оказание специализированной медицинской     помощи при ликвидации последствий радиационных аварий'</t>
  </si>
  <si>
    <t>Подпрограмма 'Средства и методы исследований и анализа воздействия ядерно- и радиационно-опасных объектов на природную среду и человека'</t>
  </si>
  <si>
    <t>Подпрограмма 'Методы анализа и обоснования безопасности ядерно- и радиационно-опасных объектов'</t>
  </si>
  <si>
    <t>Подпрограмма 'Стратегия обеспечения ядерной и радиационной безопасности России'</t>
  </si>
  <si>
    <t>Подпрограмма 'Разработка федеральных норм и правил по ядерной безопасности и радиационной безопасности (технические аспекты)'</t>
  </si>
  <si>
    <t>Подпрограмма 'Разработка федеральных норм и правил по радиационной безопасности (санитарно-гигиенические аспекты)'</t>
  </si>
  <si>
    <t>Федеральная целевая программа 'Повышение плодородия почв России на 2002 - 2005 годы'</t>
  </si>
  <si>
    <t>Федеральная целевая программа "Преодоление последствий радиационных аварий на период до 2010 года"</t>
  </si>
  <si>
    <t>Федеральная целевая программа "Снижение рисков и смягчение последствий чрезвычайных ситуаций природного и техногенного характера в Российской Федерации до 2010 года"</t>
  </si>
  <si>
    <t>Президентская программа "Уничтожение запасов химического оружия в Российской Федерации"</t>
  </si>
  <si>
    <t>Федеральная целевая программа 'Международный термоядерный реактор ИТЭР' на 2002 - 2005 годы</t>
  </si>
  <si>
    <t>Федеральная космическая программа России на 2006 - 2015 годы</t>
  </si>
  <si>
    <t>Федеральная целевая программа "Создание автоматизированной системы ведения государственного земельного кадастра и государственного учета объектов недвижимости (2002 - 2008 годы)"</t>
  </si>
  <si>
    <t>Подпрограмма "Информационное обеспечение управления недвижимостью, реформирования и регулирования земельных и имущественных отношений"</t>
  </si>
  <si>
    <t>Мероприятия по реализации федеральной целевой программы "Создание автоматизированной системы ведения государственного земельного кадастра и государственного учета объектов недвижимости (2002 - 2007 годы)"</t>
  </si>
  <si>
    <t>Подпрограмма "Создание системы кадастра недвижимости (2006 - 2012 годы)"</t>
  </si>
  <si>
    <t>Расходы  общепрограммного  характера  по  федеральной  целевой программе "Создание автоматизированной системы ведения государственного земельного кадастра и государственного учета объектов недвижимости (2002 - 2007 годы)"</t>
  </si>
  <si>
    <t>Федеральная целевая программа "Глобальная навигационная система"</t>
  </si>
  <si>
    <t>Подпрограмма "Обеспечение функционирования и развития системы ГЛОНАСС"</t>
  </si>
  <si>
    <t>Подпрограмма "Разработка и подготовка производства навигационного оборудования и аппаратуры для гражданских потребителей"</t>
  </si>
  <si>
    <t>Подпрограмма "Внедрение и использование спутниковых навигационных систем в области транспорта"</t>
  </si>
  <si>
    <t>Подпрограмма "Создание высокоэффективной системы геодезического обеспечения Российской Федерации"</t>
  </si>
  <si>
    <t>Подпрограмма "Модернизация и создание перспективных средств навигации в интересах специальных потребителей"</t>
  </si>
  <si>
    <t>Федеральная целевая программа "Национальная технологическая база" на 2007 - 2011 годы</t>
  </si>
  <si>
    <t>Подпрограмма "Развитие электронной компонентной базы" на 2007 - 2011 годы</t>
  </si>
  <si>
    <t>Расходы общепрограммного характера по федеральной целевой программе "Национальная технологическая база" на 2007 - 2011 годы"</t>
  </si>
  <si>
    <t>Подпрограмма "Создание и организация производства в Российской Федерации в 2011 - 2015 годах дизельных двигателей и их компонентов нового поколения"</t>
  </si>
  <si>
    <t>Подпрограмма "Развитие отечественного станкостроения и инструментальной промышленности" на 2011 - 2016 годы</t>
  </si>
  <si>
    <t>Федеральная целевая программа "Развитие гражданской авиационной техники России на 2002 - 2010 годы и на период до 2015 года"</t>
  </si>
  <si>
    <t>Федеральная целевая программа "Развитие оборонно-промышленного комплекса Российской Федерации на 2007 - 2010 годы и на период до 2015 года"</t>
  </si>
  <si>
    <t>Подпрограмма "Создание авиационно-космических материалов и развитие специальной металлургии России с учетом восстановления производства стратегических материалов и малотоннажной химии" на 2007 - 2008 годы</t>
  </si>
  <si>
    <t>Расходы  общепрограммного  характера  по  федеральной  целевой программе "Развитие оборонно-промышленного комплекса Российской Федерации на 2007 - 2010 годы и на период до 2015 года"</t>
  </si>
  <si>
    <t>Федеральная целевая программа "Исследования и разработки по приоритетным направлениям развития научно-технологического комплекса России на 2007 - 2012 годы"</t>
  </si>
  <si>
    <t>Федеральная целевая программа 'Интеграция науки и высшего образования России на 2002 - 2006 годы'</t>
  </si>
  <si>
    <t>Федеральная целевая программа 'Развитие единой образовательной информационной среды (2001 – 2005 годы)'</t>
  </si>
  <si>
    <t>Федеральная целевая программа "Электронная Россия (2002 - 2010 годы)"</t>
  </si>
  <si>
    <t>Федеральная целевая программа развития Калининградской области на период до 2015 года</t>
  </si>
  <si>
    <t>Федеральная целевая программа "Экономическое и социальное развитие Дальнего Востока и Забайкалья на период до 2013 года"</t>
  </si>
  <si>
    <t>Развитие г. Владивостока как центра международного сотрудничества в Азиатско-Тихоокеанском регионе</t>
  </si>
  <si>
    <t>Экономическое и социальное развитие Дальнего Востока и Забайкалья на период до 2013 года</t>
  </si>
  <si>
    <t>Федеральная целевая программа "Социально-экономическое развитие Курильских островов (Сахалинская область) на 2007 - 2015 годы"</t>
  </si>
  <si>
    <t>Федеральная целевая программа "Юг России (2008-2013 годы)"</t>
  </si>
  <si>
    <t>Подпрограмма 'Сохранение и развитие исторического центра              г. Казани'</t>
  </si>
  <si>
    <t>Федеральная целевая программа "Восстановление экономики и социальной сферы Чеченской Республики (2002 год и последующие годы)"</t>
  </si>
  <si>
    <t>Федеральная целевая программа "Социально-экономическое развитие Республики Башкортостан до 2007 года"</t>
  </si>
  <si>
    <t>Федеральная целевая программа государственной поддержки развития муниципальных образований и создания условий для реализации конституционных полномочий местного самоуправления</t>
  </si>
  <si>
    <t>Федеральная целевая программа "Промышленная утилизация вооружения и военной техники (2005 - 2010 годы)"</t>
  </si>
  <si>
    <t>Подпрограмма "Промышленная утилизация атомных подводных лодок, надводных кораблей с ядерными энергетическими установками, судов атомного технологического обслуживания и реабилитация береговых технических баз (2005 - 2010 годы)"</t>
  </si>
  <si>
    <t>Подпрограмма "Промышленная утилизация ядерных боеприпасов (2005 - 2010 годы)"</t>
  </si>
  <si>
    <t>Расходы общепрограммного характера по федеральной целевой программе "Промышленная утилизация вооружения и военной техники (2005 - 2010 годы)"</t>
  </si>
  <si>
    <t>Федеральная целевая программа 'Поддержка Российской Федерацией интеграционных процессов в области образования в СНГ'</t>
  </si>
  <si>
    <t>Федеральная целевая программа "Создание системы базирования Черноморского флота на территории Российской Федерации в 2005 - 2020 годах"</t>
  </si>
  <si>
    <t>Федеральная целевая программа "Развитие российских космодромов на 2006 - 2015 годы"</t>
  </si>
  <si>
    <t>Подпрограмма "Создание обеспечивающей инфраструктуры космодрома "Восточный"</t>
  </si>
  <si>
    <t>Развитие российских космодромов на 2006 - 2015 годы</t>
  </si>
  <si>
    <t>Федеральная целевая программа "Развитие физической культуры и спорта в Российской Федерации на 2006 - 2015 годы"</t>
  </si>
  <si>
    <t>Подпрограмма "Развитие футбола в Российской Федерации на 2008 - 2015 годы"</t>
  </si>
  <si>
    <t>Расходы общепрограммного характера по федеральной целевой программе "Развитие физической культуры и спорта в Российской Федерации на 2006 - 2015 годы"</t>
  </si>
  <si>
    <t>Федеральная целевая программа "Повышение безопасности дорожного движения в 2006 - 2012 годах"</t>
  </si>
  <si>
    <t>Федеральная целевая программа "Сохранение и восстановление плодородия почв земель сельскохозяйственного назначения и агроландшафтов как национального достояния России на 2006 - 2012 годы на период до 2013 года"</t>
  </si>
  <si>
    <t>Федеральная целевая программа "Совершенствование федеральной системы разведки и контроля воздушного пространства Российской Федерации (2007 - 2010 годы)"</t>
  </si>
  <si>
    <t>Федеральная целевая программа "Развитие государственной статистики России в 2007 - 2011 годах"</t>
  </si>
  <si>
    <t>Федеральная целевая программа "Развитие ядерного оружейного комплекса Российской Федерации на 2007 - 2015 годы и на период до 2020 года"</t>
  </si>
  <si>
    <t>Федеральная целевая программа "Развитие атомного энергопромышленного комплекса России на 2007 - 2010 годы и на перспективу  до 2015 года"</t>
  </si>
  <si>
    <t>Федеральная целевая программа "Развитие г. Сочи как горноклиматического курорта (2006 - 2014 годы)"</t>
  </si>
  <si>
    <t>Федеральная целевая программа "Развитие инфраструктуры наноиндустрии в Российской Федерации" на 2008-2011 годы</t>
  </si>
  <si>
    <t>Федеральная целевая программа "Социально-экономическое и этнокультурное развитие российских немцев на 2008 - 2012 годы"</t>
  </si>
  <si>
    <t>Федеральная целевая программа "Развитие электронной компонентной базы и радиоэлектроники на 2008 - 2015 годы"</t>
  </si>
  <si>
    <t>Федеральная целевая программа "Создание и развитие системы мониторинга геофизической обстановки над территорией Российской Федерации на 2008-2015 годы"</t>
  </si>
  <si>
    <t>Федеральная целевая программа "Развитие социальной инфраструктуры космодрома "Плесецк" и города Мирный"</t>
  </si>
  <si>
    <t>Федеральная целевая программа "Обеспечение ядерной и радиационной безопасности на 2008 год и на период до 2015 года"</t>
  </si>
  <si>
    <t>Федеральная целевая программа "Социально-экономическое развитие Чеченской Республики на 2008 - 2012 годы"</t>
  </si>
  <si>
    <t>Федеральная целевая программа "Пожарная безопасность в Российской Федерации на период до 2012 года"</t>
  </si>
  <si>
    <t>Федеральная целевая программа "Развитие гражданской морской техники" на 2009 - 2016 годы</t>
  </si>
  <si>
    <t>Федеральная целевая программа "Национальная система химической и биологической безопасности Российской Федерации (2009 - 2013 годы)"</t>
  </si>
  <si>
    <t>Федеральная целевая программа "Модернизация Единой системы организации воздушного движения Российской Федерации (2009 - 2015 годы)"</t>
  </si>
  <si>
    <t>Федеральная целевая программа "Научные и научно-педагогические кадры инновационной России" на 2009 - 2013 годы</t>
  </si>
  <si>
    <t>Федеральная целевая программа "Повышение эффективности использования и развитие ресурсного потенциала рыбохозяйственного комплекса в 2009 - 2014 годах"</t>
  </si>
  <si>
    <t>Федеральная целевая программа "Разработка, восстановление и организация производства стратегических дефицитных и импортозамещающих материалов и малотоннажной химии для вооружения, военной и специальной техники на 2009 - 2011 годы и на период до 2015 года"</t>
  </si>
  <si>
    <t>Федеральная целевая программа "Совершенствование системы комплектования должностей сержантов и солдат военнослужащими, переведенными на военную службу по контракту, и осуществление перехода к комплектованию должностей сержантов (старшин) Вооруженных Сил Российской Федерации, других войск, воинских формирований и органов, а также матросов плавсостава Военно-Морского Флота военнослужащими, проходящими военную службу по контракту (2009 - 2015 годы)"</t>
  </si>
  <si>
    <t>Федеральная целевая программа "Развитие транспортной системы России (2010 - 2015 годы)"</t>
  </si>
  <si>
    <t>Подпрограмма "Развитие экспорта транспортных услуг"</t>
  </si>
  <si>
    <t>Подпрограмма "Внутренний водный транспорт"</t>
  </si>
  <si>
    <t>Расходы общепрограммного характера по федеральной целевой программе "Развитие транспортной системы России (2010 - 2015 годы)"</t>
  </si>
  <si>
    <t>Федеральная целевая программа "Повышение устойчивости жилых домов, основных объектов и систем жизнеобеспечения в сейсмических районах Российской Федерации на 2009 - 2014 годы"</t>
  </si>
  <si>
    <t>Федеральная целевая программа "Ядерные энерготехнологии нового поколения на период 2010 - 2015 годов и на перспективу до 2020 года"</t>
  </si>
  <si>
    <t>Федеральная целевая программа "Развитие телерадиовещания в Российской Федерации на 2009 - 2015 годы"</t>
  </si>
  <si>
    <t>Федеральная целевая программа "Социально-экономическое развитие Республики Ингушетия на 2010 - 2016 годы"</t>
  </si>
  <si>
    <t>Федеральная целевая программа "Преодоление последствий радиационных аварий на период до 2015 года"</t>
  </si>
  <si>
    <t>Федеральная целевая программа "Развитие фармацевтической и медицинской промышленности Российской Федерации на период до 2020 года и дальнейшую перспективу"</t>
  </si>
  <si>
    <t>Федеральная целевая программа "Жилище" на 2011 - 2015 годы</t>
  </si>
  <si>
    <t>Подпрограмма "Выполнение государственных обязательств по обеспечению жильем категорий граждан, установленных федеральным законодательством"</t>
  </si>
  <si>
    <t>Приобретение жилья гражданами, уволенными с военной службы (службы), и приравненными к ним лицами</t>
  </si>
  <si>
    <t>Приобретение жилья военнослужащими, сотрудниками органов внутренних дел, подлежащими увольнению с военной службы (службы), и приравненными к ним лицами</t>
  </si>
  <si>
    <t>Приобретение жилья гражданами, подлежащими отселению с комплекса "Байконур"</t>
  </si>
  <si>
    <t>Приобретение жилья гражданами - участниками ликвидации последствий радиационных аварий и катастроф, пострадавшими в результате этих аварий, и приравненными к ним лицами</t>
  </si>
  <si>
    <t>Приобретение жилья вынужденными переселенцами</t>
  </si>
  <si>
    <t>Приобретение жилья гражданами, выезжающими из районов Крайнего Севера и приравненных к ним местностей</t>
  </si>
  <si>
    <t>Субсидия на реализацию Подпрограммы "Обеспечение жильем молодых семей" ФЦП "Жилище"</t>
  </si>
  <si>
    <t>Подпрограмма "Обеспечение жильем молодых семей"</t>
  </si>
  <si>
    <t>Подпрограмма "Стимулирование программ развития жилищного строительства субъектов Российской Федерации"</t>
  </si>
  <si>
    <t>Подпрограмма "Модернизация объектов коммунальной инфраструктуры"</t>
  </si>
  <si>
    <t>Мероприятия по обеспечению жильем отдельных категорий граждан</t>
  </si>
  <si>
    <t>Мероприятия по обеспечению жильем федеральных государственных гражданских служащих</t>
  </si>
  <si>
    <t>Мероприятия по обеспечению жильем прокуроров и следователей</t>
  </si>
  <si>
    <t>Мероприятия по обеспечению жильем спасателей аварийно-спасательных служб и аварийно-спасательных формирований МЧС России</t>
  </si>
  <si>
    <t>Мероприятия по обеспечению жильем молодых ученых и строительство общежитий</t>
  </si>
  <si>
    <t>Мероприятия по переселению граждан из ветхого и аварийного жилья в зоне Байкало-Амурской магистрали</t>
  </si>
  <si>
    <t>Мероприятия по обеспечению жильем иных категорий граждан Управлением делами Президента Российской Федерации на основании решений Президента Российской Федерации</t>
  </si>
  <si>
    <t>Мероприятия по приведению объектов города Волгодонска в состояние, обеспечивающее безопасное проживание его жителей</t>
  </si>
  <si>
    <t>Мероприятия по переселению граждан, проживающих в городах Норильск и Дудинка, и модернизации коммунальной инфраструктуры города Норильска</t>
  </si>
  <si>
    <t>Расходы на управление Программой</t>
  </si>
  <si>
    <t>Федеральная целевая программа развития образования на 2011 - 2015 годы</t>
  </si>
  <si>
    <t>Государственная программа "Доступная среда на 2011 - 2015 годы"</t>
  </si>
  <si>
    <t>Государственная программа "Информационное общество" (2011 - 2020 годы)</t>
  </si>
  <si>
    <t>Федеральная целевая программа "Охрана озера Байкал и социально-экономическое развитие Байкальской природной территории" на 2011 - 2020 годы</t>
  </si>
  <si>
    <t>Федеральная целевая программа "Чистая вода" на 2011 - 2017 годы</t>
  </si>
  <si>
    <t>Субсидия на реализацию мероприятий по строительству и реконструкции объектов водоснабжения и водоотведения</t>
  </si>
  <si>
    <t>Федеральная целевая программа "Обеспечение безопасности полетов воздушных судов государственной авиации Российской Федерации в 2011 - 2015 годах"</t>
  </si>
  <si>
    <t>в 2011 - 2015 годах"</t>
  </si>
  <si>
    <t>Федеральная целевая программа "Снижение рисков и смягчение последствий чрезвычайных ситуаций природного и техногенного характера в Российской Федерации до 2015 года"</t>
  </si>
  <si>
    <t>Федеральная целевая программа "Промышленная утилизация вооружения и военной техники на 2011 - 2015 годы и на период до 2020 года"</t>
  </si>
  <si>
    <t>Федеральная целевая программа "Сохранность и реконструкция военно-мемориальных объектов в 2011 - 2015 годах"</t>
  </si>
  <si>
    <t>Федеральная целевая программа "Развитие внутреннего и въездного туризма в Российской Федерации (2011 - 2016 годы)"</t>
  </si>
  <si>
    <t>Федеральная целевая программа "Промышленная утилизация вооружения и военной техники ядерного комплекса на 2011 - 2015 годы и на период до 2020 года"</t>
  </si>
  <si>
    <t>Подпрограмма "Промышленная утилизация ядерных боеприпасов на 2011 - 2015 годы и на период до 2020 года"</t>
  </si>
  <si>
    <t>Подпрограмма "Промышленная утилизация атомных подводных лодок, надводных кораблей с ядерной энергетической установкой, судов атомного технологического обслуживания и реабилитация радиационно-опасных объектов на 2011 - 2015 годы и на период до 2020 года"</t>
  </si>
  <si>
    <t>Реализация мероприятий с использованием специальных методов</t>
  </si>
  <si>
    <t>Строительство объектов общегражданского назначения с использованием специальных методов</t>
  </si>
  <si>
    <t>Исследования в области разработки вооружения, военной и специальной техники в целях обеспечения государственной программы вооружения в рамках государственного оборонного заказа</t>
  </si>
  <si>
    <t>Исследования в области разработки вооружения, военной и специальной техники и иного производственно-технического оборудования в рамках государственного оборонного заказа вне государственной программы вооружения</t>
  </si>
  <si>
    <t>Другие вооружения, военная и специальная техника</t>
  </si>
  <si>
    <t>Продукция производственно-технического назначения</t>
  </si>
  <si>
    <t>Бюджетные инвестиции в объекты капитального строительства, не включенные в целевые программы</t>
  </si>
  <si>
    <t>Бюджетные инвестиции в объекты капитального строительства государственной собственности субъектов Российской Федерации (объекты капитального строительства собственности муниципальных образований)</t>
  </si>
  <si>
    <t>Бюджетные инвестиции в объекты капитального строительства государственной собственности субъектов Российской Федерации</t>
  </si>
  <si>
    <t>Бюджетные инвестиции в объекты капитального строительства собственности муниципальных образований</t>
  </si>
  <si>
    <t>Бюджетные инвестиции в объекты кап. строительства собственности муниципальных образований на переселение граждан из ветхого и аварийного жил. фонда</t>
  </si>
  <si>
    <t>Строительство и реконструкция объектов для проведения XXVII Всемирной летней Универсиады 2013 г. в г. Казани</t>
  </si>
  <si>
    <t>Строительство и реконструкция объектов для проведения V Международных спортивных игр "Дети Азии" в г. Якутске</t>
  </si>
  <si>
    <t>Строительство объектов общегражданского назначения</t>
  </si>
  <si>
    <t>Строительство объектов социального и производственного комплексов, в том числе объектов общегражданского назначения, жилья, инфраструктуры</t>
  </si>
  <si>
    <t>Строительство федеральных центров высоких медицинских технологий, осуществляемое в рамках национального проекта</t>
  </si>
  <si>
    <t>Строительство медицинских центров по оказанию специализированной медицинской помощи в области акушерства, гинекологии и неонатологии (перинатальных центров)</t>
  </si>
  <si>
    <t>Строительство объектов подразделений вневедомственной охраны</t>
  </si>
  <si>
    <t>Строительство и реконструкция объектов для размещения Высшей школы менеджмента федерального государственного образовательного учреждения высшего профессионального образования "Санкт-Петербургский государственный университет"</t>
  </si>
  <si>
    <t>Строительство объектов социального и производственных комплексов, в том числе объектов общегражданского назначения, жилья, инфраструктуры, осуществляемое в рамках Государственной программы развития сельского хозяйства и регулирования рынков сельскохозяйственной продукции, сырья и продовольствия на 2008 - 2012 годы</t>
  </si>
  <si>
    <t>Строительство и реконструкция объектов в целях организации производства новых радиофармпрепаратов и медицинских изделий и формирования сети услуг по оказанию высокотехнологичной медицинской помощи</t>
  </si>
  <si>
    <t>Строительство специальных и военных объектов</t>
  </si>
  <si>
    <t>Обеспечение военнослужащих служебным и постоянным жильем</t>
  </si>
  <si>
    <t>Обеспечение военнослужащих федеральных органов исполнительной власти, в которых законом предусмотрена военная служба, служебными жилыми помещениями и жилыми помещениями в общежитиях</t>
  </si>
  <si>
    <t>Строительство и приобретение жилых помещений для постоянного проживания военнослужащих федеральных органов исполнительной власти, в которых законом предусмотрена военная служба</t>
  </si>
  <si>
    <t>Обеспечение имеющих специальные звания сотрудников федеральных органов исполнительной власти, в которых предусмотрена служба, приравниваемая к военной, служебным и постоянным жильем</t>
  </si>
  <si>
    <t>Обеспечение имеющих специальные звания сотрудников федеральных органов исполнительной власти, в которых предусмотрена служба, приравненная к военной, служебными жилыми помещениями и жилыми помещениями в общежитиях</t>
  </si>
  <si>
    <t>Строительство и приобретение жилых помещений для постоянного проживания имеющих специальные звания сотрудников федеральных органов исполнительной власти, в которых предусмотрена служба, приравненная к военной</t>
  </si>
  <si>
    <t>Федеральная целевая программа "Жилище" на 2002 - 2010 годы</t>
  </si>
  <si>
    <t>Подпрограмма "Выполнение государственных обязательств по обеспечению жильем категорий граждан, установленных федеральным законодательством" (второй этап)</t>
  </si>
  <si>
    <t>Приобретение жилья гражданами – участниками ликвидации последствий радиационных аварий и катастроф, пострадавшими в результате этих аварий, и приравненными к ним лицами</t>
  </si>
  <si>
    <t>Переселение граждан из жилищного фонда, признанного непригодным для проживания, и (или) жилищного фонда с высоким уровнем износа (более 70 процентов)</t>
  </si>
  <si>
    <t>Подпрограмма "Обеспечение земельных участков коммунальной инфраструктурой в целях жилищного строительства"</t>
  </si>
  <si>
    <t>Мероприятия по реализации Концепции развития унифицированной системы рефинансирования ипотечных жилищных кредитов в России</t>
  </si>
  <si>
    <t>Расходы общепрограммного характера по федеральной целевой программе "Жилище" на 2002 – 2010 годы</t>
  </si>
  <si>
    <t>Мероприятия по обеспечению жильем прокуроров, следователей органов прокуратуры</t>
  </si>
  <si>
    <t>Мероприятия по обеспечению жильем иных категорий граждан на основании решений Правительства Российской Федерации</t>
  </si>
  <si>
    <t>Государственная поддержка инвестиционных проектов за счет средств Инвестиционного фонда Российской Федерации на основании решений Правительства Российской Федерации</t>
  </si>
  <si>
    <t>Государственная поддержка инвестиционных проектов</t>
  </si>
  <si>
    <t>Государственная программа "Обеспечение безопасности потерпевших, свидетелей и иных участников уголовного судопроизводства на 2006 - 2008 годы"</t>
  </si>
  <si>
    <t>Мероприятия в области социальной политики</t>
  </si>
  <si>
    <t>Обеспечение разработок, закупок и ремонта вооружений, военной и специальной техники, продукции производственно-технического назначения и имущества в рамках государственного оборонного заказа</t>
  </si>
  <si>
    <t>Специальные мероприятия</t>
  </si>
  <si>
    <t>Государственная программа по оказанию содействия добровольному переселению в Российскую Федерацию соотечественников, проживающих за рубежом</t>
  </si>
  <si>
    <t>Переселение в Российскую Федерацию соотечественников, проживающих за рубежом</t>
  </si>
  <si>
    <t>Меры государственной защиты потерпевших, свидетелей и иных участников уголовного судопроизводства</t>
  </si>
  <si>
    <t>Субсидии федеральным автономным учреждениям, созданным на базе имущества, находящегося в федеральной собственности</t>
  </si>
  <si>
    <t>Субсидии федеральному автономному учреждению "25 Государственный научно-исследовательский институт химмотологии Министерства обороны Российской Федерации"</t>
  </si>
  <si>
    <t>Субсидии федеральным автономным учреждениям на финансовое обеспечение выполнения государственного задания на оказание государственных услуг (выполнение работ)</t>
  </si>
  <si>
    <t>Субсидии федеральным автономным учреждениям на иные цели</t>
  </si>
  <si>
    <t>Субсидии федеральным бюджетным учреждениям</t>
  </si>
  <si>
    <t>Субсидии федеральным бюджетным учреждениям на финансовое обеспечение выполнения государственного задания на оказание государственных услуг (выполнение работ)</t>
  </si>
  <si>
    <t>Субсидии федеральным бюджетным учреждениям на иные цели</t>
  </si>
  <si>
    <t>Бюджетные инвестиции федеральным государственным учреждениям</t>
  </si>
  <si>
    <t>Бюджетные инвестиции федеральным автономным учреждениям</t>
  </si>
  <si>
    <t>Бюджетные инвестиции федеральным бюджетным учреждениям</t>
  </si>
  <si>
    <t>Субсидия на реализацию мероприятий по возмещению затрат организациям любых форм собственности и индивидуальным предпринимателям, занимающимся доставкой товаров в отдаленные сельские населенные пункты за счет средств областного бюджета</t>
  </si>
  <si>
    <t>Боевая подготовка</t>
  </si>
  <si>
    <t>Материально-техническое обеспечение</t>
  </si>
  <si>
    <t>Воинские формирования (органы, подразделения)</t>
  </si>
  <si>
    <t>Обеспечение равного с Министерством внутренних дел Российской Федерации повышения денежного довольствия сотрудникам и заработной платы работникам подразделений милиции общественной безопасности и социальных выплат</t>
  </si>
  <si>
    <t>Обеспечение мероприятий по защите российского морского судоходства и противодействия пиратству</t>
  </si>
  <si>
    <t>Компенсации членам семей погибших военнослужащих</t>
  </si>
  <si>
    <t>Обеспечение мероприятий по празднованию Победы советского народа в Великой Отечественной войне 1941-1945 годов</t>
  </si>
  <si>
    <t>Обеспечение деятельности военных комиссариатов</t>
  </si>
  <si>
    <t>Проведение мероприятий по медицинскому освидетельствованию в связи с исполнением гражданами воинской обязанности</t>
  </si>
  <si>
    <t>Мобилизационная подготовка и переподготовка резервов, учебно-сборовые мероприятия</t>
  </si>
  <si>
    <t>Подготовка граждан по военно-учетным специальностям</t>
  </si>
  <si>
    <t>Субсидии на совершенствование учебно-материальной базы Российской оборонной спортивно-технической организации – РОСТО (ДОСААФ) для подготовки граждан Российской Федерации, подлежащих призыву на военную службу, по военно-учетным специальностям</t>
  </si>
  <si>
    <t>Субсидии Общероссийской общественно-государственной организации "Добровольное общество содействия армии, авиации и флоту России"</t>
  </si>
  <si>
    <t>Мероприятия в области национальной обороны</t>
  </si>
  <si>
    <t>Проведение подготовки и переподготовки мобилизационного резерва и учебно-сборовые мероприятия</t>
  </si>
  <si>
    <t>Реализация государственных функций по мобилизационной подготовке экономики</t>
  </si>
  <si>
    <t>Мероприятия по обеспечению мобилизационной готовности экономики</t>
  </si>
  <si>
    <t>Участие в миротворческой деятельности</t>
  </si>
  <si>
    <t>Военно-техническое сотрудничество</t>
  </si>
  <si>
    <t>Международные обязательства в сфере военно-технического сотрудничества</t>
  </si>
  <si>
    <t>Накопительно-ипотечная система жилищного обеспечения военнослужащих</t>
  </si>
  <si>
    <t>Утилизация и ликвидация вооружений</t>
  </si>
  <si>
    <t>Промышленная утилизация и ликвидация вооружений и военной техники</t>
  </si>
  <si>
    <t>Реализация государственных функций, связанных с обеспечением национальной обороны</t>
  </si>
  <si>
    <t>Мероприятия, связанные с обеспечением функционирования организаций оборонно-промышленного комплекса</t>
  </si>
  <si>
    <t>Строительство специальных и военных объектов в рамках мероприятий в области национальной обороны</t>
  </si>
  <si>
    <t>Обеспечение мероприятий по укреплению доверия в военной области</t>
  </si>
  <si>
    <t>Субсидии казенным предприятиям оборонно-промышленного комплекса</t>
  </si>
  <si>
    <t>Субсидии организациям ядерно-оружейного комплекса</t>
  </si>
  <si>
    <t>Обеспечение государственного запаса специального сырья и делящихся материалов</t>
  </si>
  <si>
    <t>Формирование государственного запаса специального сырья и делящихся материалов</t>
  </si>
  <si>
    <t>Субсидии стратегическим организациям оборонно-промышленного комплекса с целью предупреждения банкротства</t>
  </si>
  <si>
    <t>Обеспечение деятельности вневедомственной охраны</t>
  </si>
  <si>
    <t>Строительство объектов вневедомственной охраны</t>
  </si>
  <si>
    <t>Содержание спецконтингентов</t>
  </si>
  <si>
    <t>Обеспечение деятельности договорных подразделений федеральной противопожарной службы</t>
  </si>
  <si>
    <t>Мероприятия по предупреждению и ликвидации последствий чрезвычайных ситуаций и стихийных бедствий</t>
  </si>
  <si>
    <t>Предупреждение и ликвидация последствий чрезвычайных ситуаций и стихийных бедствий природного и техногенного характера</t>
  </si>
  <si>
    <t>Мероприятия по ликвидации чрезвычайных ситуаций и стихийных бедствий, выполняемые в рамках специальных решений</t>
  </si>
  <si>
    <t>Мероприятия по защите от угрозы природного и техногенного характера, информирование и оповещение населения на транспорте</t>
  </si>
  <si>
    <t>Мероприятия по гражданской обороне</t>
  </si>
  <si>
    <t>Подготовка населения и организаций к действиям в чрезвычайной ситуации в мирное и военное время</t>
  </si>
  <si>
    <t>Мероприятия по обеспечению миграционной политики</t>
  </si>
  <si>
    <t>Мероприятия по депортации (административному выдворению)</t>
  </si>
  <si>
    <t>Прием и содержание вынужденных переселенцев</t>
  </si>
  <si>
    <t>Прием и содержание беженцев и лиц, ходатайствующих о признании их беженцами</t>
  </si>
  <si>
    <t>Содержание граждан, временно покинувших территорию Чеченской Республики</t>
  </si>
  <si>
    <t>Организация Государственной информационной системы миграционного учета</t>
  </si>
  <si>
    <t>Прием и содержание лиц в рамках выполнения международных договоров Российской Федерации о реадмиссии</t>
  </si>
  <si>
    <t>Обеспечение деятельности учреждений по реализации миграционной политики</t>
  </si>
  <si>
    <t>Иммиграционный контроль</t>
  </si>
  <si>
    <t>Мероприятия по выполнению требований международных договоров и обязательств о сокращении и ограничении вооружений и укреплению мер доверия в военной области</t>
  </si>
  <si>
    <t>Мероприятия, связанные с реализацией задач по выполнению обязательств по сокращению и ограничению вооружений и военной техники, и прочие расходы в данной области</t>
  </si>
  <si>
    <t>Прочие расходы по реализации мероприятий по обеспечению выполнения международных договоров и обязательств о сокращении и ограничении вооружений</t>
  </si>
  <si>
    <t>Обеспечение ядерной, радиационной и экологической безопасности</t>
  </si>
  <si>
    <t>Мероприятия по повышению безопасности атомной энергетики, улучшению экологии</t>
  </si>
  <si>
    <t>Субсидии на подготовку специалистов массовых технических профессий и развития технического творчества</t>
  </si>
  <si>
    <t>Субсидии на оснащение Центров военно-патриотического воспитания и подготовки граждан к военной службе</t>
  </si>
  <si>
    <t>Субсидии на развитие авиационных и технических видов спорта</t>
  </si>
  <si>
    <t>Обустройство государственной границы Российской Федерации</t>
  </si>
  <si>
    <t>Обеспечение функционирования пунктов пропуска через государственную границу Российской Федерации</t>
  </si>
  <si>
    <t>Содержание пунктов пропуска через государственную границу Российской Федерации</t>
  </si>
  <si>
    <t>Реализация других функций, связанных с обеспечением национальной безопасности и правоохранительной деятельности</t>
  </si>
  <si>
    <t>Обеспечение деятельности учреждений по правовой защите результатов интеллектуальной деятельности военного, специального и двойного назначения</t>
  </si>
  <si>
    <t>Обеспечение деятельности судебно-экспертных учреждений Министерства юстиции Российской Федерации</t>
  </si>
  <si>
    <t>Вопросы топливно-энергетического комплекса</t>
  </si>
  <si>
    <t>Мероприятия в топливно-энергетической области</t>
  </si>
  <si>
    <t>Субсидии организациям по добыче и переработке угля на возмещение части затрат, связанных с ликвидацией последствий аварий и стихийных бедствий</t>
  </si>
  <si>
    <t>Субсидии военизированным аварийно-спасательным частям на обеспечение постоянной боевой готовности</t>
  </si>
  <si>
    <t>Дополнительное пенсионное обеспечение (негосударственные пенсии) работников организаций по добыче (переработке) угля (горючих сланцев), подразделений военизированных аварийно-спасательных частей и шахтостроительных организаций в соответствии с Федеральным законом от 20 июня 1996 года № 81-ФЗ «О государственном регулировании в области добычи и использования угля, об особенностях социальной защиты работников организаций угольной промышленности</t>
  </si>
  <si>
    <t>Государственная поддержка отдельных отраслей промышленности и топливно-энергетического комплекса</t>
  </si>
  <si>
    <t>Мероприятия в области исследования и использования космического пространства в мирных целях</t>
  </si>
  <si>
    <t>Мероприятия по обеспечению функционирования и эксплуатации объектов наземной космической инфраструктуры в интересах государственных нужд</t>
  </si>
  <si>
    <t>Закупки специальной космической техники, организация запусков и управление полетами космических аппаратов</t>
  </si>
  <si>
    <t>Геологическое изучение недр</t>
  </si>
  <si>
    <t>Геолого-разведочные и другие работы в области геологического изучения недр</t>
  </si>
  <si>
    <t>Территориальные фонды информации</t>
  </si>
  <si>
    <t>Учреждения, обеспечивающие предоставление услуг, связанных с реструктуризацией угольной отрасли</t>
  </si>
  <si>
    <t>Учреждения, обеспечивающие предоставление услуг в сфере недропользования</t>
  </si>
  <si>
    <t>Повышение правовой грамотности и законопослушания населения России</t>
  </si>
  <si>
    <t>Издание за счет грантовых программ юридической литературы по правовому информированию населения и пропаганде правовых знаний</t>
  </si>
  <si>
    <t>Государственная поддержка сельского хозяйства</t>
  </si>
  <si>
    <t>Субсидии на возмещение части затрат на уплату процентов сельскохозяйственным товаропроизводителям, организациям агропромышленного комплекса независимо от их организационно-правовых форм и крестьянским (фермерским) хозяйствам, сельскохозяйственным потребительским кооперативам по инвестиционным кредитам, полученным в российских кредитных организациях, и займам, полученным в сельскохозяйственных кредитных кооперативах, в 2004 - 2009 годах на срок от 2 до 8 лет</t>
  </si>
  <si>
    <t>Субсидии на возмещение части затрат на уплату процентов по кредитам, полученным в российских кредитных организациях, и займам, полученным в сельскохозяйственных кредитных потребительских кооперативах, в  2005 - 2009 годах личным подсобным хозяйствам, сельскохозяйственным потребительским кооперативам, крестьянским (фермерским) хозяйствам на срок до 8 лет</t>
  </si>
  <si>
    <t>Субсидии на возмещение части затрат на уплату процентов по кредитам, полученным на срок до пяти лет в российских кредитных организациях на приобретение племенного скота, племенного материала рыб, техники и оборудования для животноводческих комплексов и организаций, осуществляющих промышленное рыбоводство</t>
  </si>
  <si>
    <t>Мероприятия в области сельскохозяйственного производства</t>
  </si>
  <si>
    <t>Субсидии сельскохозяйственным товаропроизводителям и организациям агропромышленного комплекса независимо от их организационно-правовых форм и крестьянским (фермерским) хозяйствам на возмещение части затрат на уплату процентов по инвестиционным кредитам, полученным в российских кредитных организациях в 2003 - 2006 годах на срок до 5 лет, включая строительство зерновых терминалов в российских портах</t>
  </si>
  <si>
    <t>Субсидии на поддержку овцеводства</t>
  </si>
  <si>
    <t>Субсидии на поддержку элитного семеноводства</t>
  </si>
  <si>
    <t>Субсидии на завоз семян для выращивания кормовых культур в северных районах страны</t>
  </si>
  <si>
    <t>Субсидии на поддержку производства льна и конопли</t>
  </si>
  <si>
    <t>Субсидии на закладку и уход за многолетними насаждениями</t>
  </si>
  <si>
    <t>Субсидии на компенсацию части затрат по страхованию урожая сельскохозяйственных культур, урожая многолетних насаждений и посадок многолетних насаждений</t>
  </si>
  <si>
    <t>Субсидии на поддержку северного оленеводства и табунного коневодства</t>
  </si>
  <si>
    <t>Субсидии на поддержку племенного животноводства</t>
  </si>
  <si>
    <t>Субсидии на возмещение части затрат на уплату процентов по кредитам, полученным в российских кредитных организациях, и займам, полученным в сельскохозяйственных кредитных потребительских кооперативах, в 2007 - 2009 годах на срок до одного года, сельскохозяйственным товаропроизводителям, организациям агропромышленного комплекса независимо от их организационно-правовых форм, крестьянским (фермерским) хозяйствам и организациям потребительской кооперации</t>
  </si>
  <si>
    <t>Субсидии на возмещение части затрат на уплату процентов организациям, осуществляющим промышленное рыбоводство, независимо от их организационно-правовых форм по инвестиционным кредитам, полученным в российских кредитных организациях в 2007-2011 годах на приобретение племенного материала рыб, техники и оборудования для промышленного рыбоводства на срок до пяти лет, на строительство, реконструкцию и модернизацию комплексов (ферм) по осуществлению промышленного рыбоводства на срок до восьми лет</t>
  </si>
  <si>
    <t>Возмещение части затрат крестьянских (фермерских) хозяйств, включая индивидуальных предпринимателей, при оформлении в собственность используемых ими земельных участков из земель сельскохозяйственного назначения</t>
  </si>
  <si>
    <t>Учреждения, обеспечивающие предоставление услуг в области сельского хозяйства, охраны и использования объектов животного мира</t>
  </si>
  <si>
    <t>Вопросы регулирования продовольственного рынка и государственных семенных фондов</t>
  </si>
  <si>
    <t>Субсидии на проведение закупочных и товарных интервенций сельскохозяйственной продукции, а также залоговых операций</t>
  </si>
  <si>
    <t>Формирование и использование государственных семенных фондов</t>
  </si>
  <si>
    <t>Учреждения, обеспечивающие предоставление услуг в области животноводства</t>
  </si>
  <si>
    <t>Охрана и использование объектов животного мира</t>
  </si>
  <si>
    <t>Охрана и использование охотничьих ресурсов</t>
  </si>
  <si>
    <t>Охрана и использование объектов животного мира (за исключением охотничьих ресурсов и водных биологических ресурсов)</t>
  </si>
  <si>
    <t>Учреждения, обеспечивающие предоставление услуг в области охраны сельских лесов, и лесные опытные хозяйства</t>
  </si>
  <si>
    <t>Учреждения, обеспечивающие предоставление услуг по информационно-методологическому обеспечению в области сельского хозяйства</t>
  </si>
  <si>
    <t>Государственная программа развития сельского хозяйства и регулирования рынков сельскохозяйственной продукции, сырья и продовольствия на 2008 - 2012 годы</t>
  </si>
  <si>
    <t>Государственная программа развития сельского хозяйства</t>
  </si>
  <si>
    <t>Мероприятия, осуществляемые в рамках Государственной программы развития сельского хозяйства и регулирования рынков сельскохозяйственной продукции, сырья и продовольствия на 2008 - 2012 годы</t>
  </si>
  <si>
    <t>Проведение закупочных и товарных интервенций сельскохозяйственной продукции, а также залоговых операций</t>
  </si>
  <si>
    <t>Государственная поддержка отраслей сельского хозяйства</t>
  </si>
  <si>
    <t>Возмещение гражданам, ведущим личное подсобное хозяйство, сельскохозяйственным потребительским кооперативам, крестьянским (фермерским) хозяйствам части затрат на уплату процентов по кредитам, полученным в российских кредитных организациях, и займам, полученным в сельскохозяйственных кредитных потребительских кооперативах в 2005 - 2011 годах на срок до 8 лет</t>
  </si>
  <si>
    <t>Поддержка овцеводства</t>
  </si>
  <si>
    <t>Поддержка элитного семеноводства</t>
  </si>
  <si>
    <t>Поддержка завоза семян для выращивания кормовых культур в районах Крайнего Севера и приравненных к ним местностях, включая производство продукции растениеводства на низкопродуктивных пашнях</t>
  </si>
  <si>
    <t>Поддержка производства льна и конопли</t>
  </si>
  <si>
    <t>Закладка и уход за многолетними насаждениями</t>
  </si>
  <si>
    <t>Компенсация части затрат по страхованию урожая сельскохозяйственных культур, урожая многолетних насаждений и посадок многолетних насаждений</t>
  </si>
  <si>
    <t>Поддержка северного оленеводства и табунного коневодства</t>
  </si>
  <si>
    <t>Поддержка племенного животноводства</t>
  </si>
  <si>
    <t>Возмещение сельскохозяйственным товаропроизводителям (кроме личных подсобных хозяйств и сельскохозяйственных потребительских кооперативов), организациям агропромышленного комплекса независимо от их организационно-правовых форм, крестьянским (фермерским) хозяйствам и организациям потребительской кооперации части затрат на уплату процентов по кредитам, полученным в российских кредитных организациях, и займам, полученным в сельскохозяйственных кредитных потребительских кооперативах в 2008 - 2011 годах на срок до 1 года</t>
  </si>
  <si>
    <t>Компенсация части затрат на приобретение средств химической защиты растений</t>
  </si>
  <si>
    <t>Возмещение сельскохозяйственным товаропроизводителям, организациям агропромышленного комплекса независимо от их организационно-правовых форм и крестьянским (фермерским) хозяйствам, сельскохозяйственным потребительским кооперативам части затрат на уплату процентов по инвестиционным кредитам, полученным в российских кредитных организациях, и займам, полученным в сельскохозяйственных кредитных потребительских кооперативах в 2004 - 2010 годах на срок от 2 до 11 лет</t>
  </si>
  <si>
    <t>Поддержка экономически значимых региональных программ</t>
  </si>
  <si>
    <t>Возмещение части затрат на закупку кормов для маточного поголовья крупного рогатого скота</t>
  </si>
  <si>
    <t>Субсидии Федеральному государственному унитарному предприятию "Главный вычислительный центр Минсельхоза России" на создание системы государственного информационного обеспечения в сфере сельского хозяйства</t>
  </si>
  <si>
    <t>Рыболовное хозяйство</t>
  </si>
  <si>
    <t>Мониторинг водных биологических ресурсов</t>
  </si>
  <si>
    <t>Мероприятия в области воспроизводства и сохранения водных биологических ресурсов и прочие мероприятия</t>
  </si>
  <si>
    <t>Мероприятия по воспроизводству водных биологических ресурсов</t>
  </si>
  <si>
    <t>Организация, регулирование и охрана водных биологических ресурсов</t>
  </si>
  <si>
    <t>Субсидии на возмещение рыбохозяйственным организациям и индивидуальным предпринимателям части затрат на уплату процентов по кредитам, полученным в российских кредитных организациях, на материально-техническое снабжение и снаряжение рыбопромысловых судов на срок до 1 года</t>
  </si>
  <si>
    <t>Субсидии на возмещение рыбохозяйственным организациям и индивидуальным предпринимателям части затрат на уплату процентов по инвестиционным кредитам, полученным в российских кредитных организациях, на строительство и модернизацию рыбопромысловых судов сроком до 5 лет</t>
  </si>
  <si>
    <t>Субсидии на возмещение рыбохозяйственным организациям и индивидуальным предпринимателям части затрат на уплату процентов по инвестиционным кредитам, полученным в российских кредитных организациях, на строительство и модернизацию объектов рыбоперерабатывающей инфраструктуры, объектов хранения рыбной продукции сроком до 5 лет</t>
  </si>
  <si>
    <t>Учреждения, обеспечивающие предоставление услуг в сфере рыбохозяйственной деятельности</t>
  </si>
  <si>
    <t>Обеспечение деятельности аварийно-спасательного флота</t>
  </si>
  <si>
    <t>Водохозяйственные мероприятия</t>
  </si>
  <si>
    <t>Мероприятия в области использования, охраны водных объектов и гидротехнических сооружений</t>
  </si>
  <si>
    <t>Мероприятия по информационному обеспечению и другие работы в области водных ресурсов</t>
  </si>
  <si>
    <t>Осуществление капитального ремонта гидротехнических сооружений, находящихся в собственности субъектов Российской Федерации, муниципальной собственности, и бесхозяйных гидротехнических сооружений</t>
  </si>
  <si>
    <t>Осуществление отдельных полномочий в области водных отношений</t>
  </si>
  <si>
    <t>Субсидии на содержание комплекса защитных сооружений г. Санкт-Петербурга от наводнений</t>
  </si>
  <si>
    <t>Водоохранные и водохозяйственные учреждения</t>
  </si>
  <si>
    <t>Учреждения, обеспечивающие предоставление услуг в сфере лесных отношений</t>
  </si>
  <si>
    <t>Вопросы в области лесных отношений</t>
  </si>
  <si>
    <t>Реализация отдельных полномочий в области лесных отношений</t>
  </si>
  <si>
    <t>Приобретение специализированной лесопожарной техники и оборудования</t>
  </si>
  <si>
    <t>Воздушный транспорт</t>
  </si>
  <si>
    <t>Государственная поддержка воздушного транспорта</t>
  </si>
  <si>
    <t>Содержание служб поисково- и аварийно-спасательного обеспечения полетов</t>
  </si>
  <si>
    <t>Субсидии на проведение мероприятий по поисковому и аварийно-спасательному обеспечению полетов</t>
  </si>
  <si>
    <t>Субсидии на возмещение расходов за аэронавигационное обслуживание полетов воздушных судов пользователей воздушного пространства, освобожденных в соответствии с законодательством Российской Федерации от платы за аэронавигационное обслуживание</t>
  </si>
  <si>
    <t>Субсидии авиационным предприятиям и организациям экспериментальной авиации на возмещение затрат при осуществлении ими поисково-спасательных операций (работ) и участии в их обеспечении</t>
  </si>
  <si>
    <t>Мероприятия по модернизации аэропортового комплекса Минеральные Воды</t>
  </si>
  <si>
    <t>Отдельные мероприятия в области воздушного транспорта</t>
  </si>
  <si>
    <t>Субсидии аэропортам, расположенным в районах Крайнего Севера и приравненных к ним местностях</t>
  </si>
  <si>
    <t>Субсидии на функционирование координационного центра Россия-НАТО</t>
  </si>
  <si>
    <t>Субсидии на возмещение российским авиакомпаниям части затрат на уплату лизинговых платежей за воздушные суда отечественного производства, получаемые российскими авиакомпаниями от российских лизинговых компаний по договорам лизинга в 2002 - 2010 годах, и части затрат на уплату процентов по кредитам, полученным в российских кредитных организациях в 2002 - 2005 годах на приобретение российских воздушных судов</t>
  </si>
  <si>
    <t>Субсидии на возмещение затрат за аэронавигационное обслуживание полетов в интересах Российской Федерации</t>
  </si>
  <si>
    <t>Обеспечение доступности воздушных перевозок пассажиров с Дальнего Востока в европейскую часть страны и в обратном направлении</t>
  </si>
  <si>
    <t>Субсидии коммерческим банкам на возмещение затрат и недополученных доходов по сделкам кредитования авиакомпаний в части, не компенсируемой доходами от продажи имущества, предоставленного по договору залога в обеспечение кредита</t>
  </si>
  <si>
    <t>Субсидии авиационным перевозчикам для возмещения недополученных ими доходов в связи с обеспечением перевозки пассажиров, заключивших договор воздушной перевозки с авиационным перевозчиком, в отношении которого принято решение о приостановлении действия сертификата эксплуатанта</t>
  </si>
  <si>
    <t>Субсидии федеральным казенным предприятиям, расположенным в районах Крайнего Севера и приравненных к ним местностях</t>
  </si>
  <si>
    <t>Обеспечение доступности воздушных перевозок пассажиров - жителей Калининградской области из г. Калининграда в европейскую часть страны и в обратном направлении</t>
  </si>
  <si>
    <t>Обеспечение транспортной безопасности воздушных транспортных средств в федеральных государственных образовательных учреждениях Федерального агентства воздушного транспорта</t>
  </si>
  <si>
    <t>Водный транспорт</t>
  </si>
  <si>
    <t>Государственная поддержка водного транспорта</t>
  </si>
  <si>
    <t>Государственные бассейновые управления водных путей и судоходства</t>
  </si>
  <si>
    <t>Поиск и спасание</t>
  </si>
  <si>
    <t>Поисковые и аварийно-спасательные учреждения</t>
  </si>
  <si>
    <t>Субсидии на выполнение мероприятий по несению аварийно-спасательной готовности на море</t>
  </si>
  <si>
    <t>Отдельные мероприятия в области морского и речного транспорта</t>
  </si>
  <si>
    <t>Субсидии на обеспечение безопасности судоходства на канале имени Москвы</t>
  </si>
  <si>
    <t>Субсидии на обеспечение мероприятий по обводнению</t>
  </si>
  <si>
    <t>Субсидии на навигационно-гидрографическое обеспечение судоходства на трассах Севморпути</t>
  </si>
  <si>
    <t>Мероприятия по реализации Федерального закона от 9 февраля 2007 г. № 16-ФЗ «О транспортной безопасности» в сфере водного транспорта</t>
  </si>
  <si>
    <t>Субсидии организациям на проведение оздоровительных и реабилитационных мероприятий</t>
  </si>
  <si>
    <t>Железнодорожный транспорт</t>
  </si>
  <si>
    <t>Государственная поддержка железнодорожного транспорта</t>
  </si>
  <si>
    <t>Субсидии организациям железнодорожного транспорта на компенсацию потерь в доходах от выравнивания тарифов при перевозке пассажиров в сообщении из (в) Калининградской области в (из) другие регионы Российской Федерации</t>
  </si>
  <si>
    <t>Субсидии организациям железнодорожного транспорта на компенсацию потерь в доходах, возникающих в результате государственного регулирования тарифов на перевозку пассажиров в поездах дальнего следования в плацкартных и общих вагонах</t>
  </si>
  <si>
    <t>Субсидии открытому акционерному обществу "Российские железные дороги" на перевозки новых автомобилей, произведенных на территории Российской Федерации, на железнодорожные станции, расположенные на территории Дальневосточного федерального округа, и в обратном направлении</t>
  </si>
  <si>
    <t>Субсидии открытому акционерному обществу "Российские железные дороги" на компенсацию потерь в доходах, возникающих в результате государственного регулирования тарифов, сборов и платежей за грузовые железнодорожные перевозки</t>
  </si>
  <si>
    <t xml:space="preserve">Субсидии российским транспортным компаниям на возмещение части затрат на уплату процентов по кредитам, полученным в российских кредитных организациях в 2009 году и используемым на приобретение нового железнодорожного подвижного состава российского производства, а также уплату лизинговых платежей по договорам лизинга, заключенным в 2009 году с российскими лизинговыми компаниями на приобретение нового железнодорожного подвижного состава российского производства </t>
  </si>
  <si>
    <t>Субсидии открытому акционерному обществу "Российские железные дороги" на компенсацию потерь в доходах, связанных с установлением исключительных тарифов на перевозку нефелинового концентрата</t>
  </si>
  <si>
    <t>Субсидии организациям железнодорожного транспорта на компенсацию потерь в доходах, возникающих в результате установления льгот по тарифам на перевозку обучающихся и воспитанников общеобразовательных учреждений старше 10 лет железнодорожным транспортом общего пользования в общих и плацкартных вагонах в поездах дальнего следования всех категорий</t>
  </si>
  <si>
    <t>Компенсация части потерь в доходах организациям железнодорожного транспорта в связи с принятием субъектами Российской Федерации решений об установлении льгот по тарифам на проезд обучающихся и воспитанников общеобразовательных учреждений, учащихся очной формы обучения образовательных учреждений начального профессионального, среднего профессионального и высшего профессионального образования железнодорожным транспортом общего пользования в пригородном сообщении</t>
  </si>
  <si>
    <t>Субсидии открытому акционерному обществу "Российские железные дороги" на компенсацию потерь в доходах, связанных с установлением исключительных тарифов на перевозку зерна, продуктов мукомольно-крупяной промышленности, сои и соевого шрота</t>
  </si>
  <si>
    <t>Субсидии открытому акционерному обществу "Российские железные дороги" на компенсацию потерь в доходах, возникающих в результате государственного регулирования тарифов на услуги по использованию инфраструктуры железнодорожного транспорта общего пользования, оказываемые при осуществлении перевозок пассажиров в пригородном сообщении</t>
  </si>
  <si>
    <t>Реализация Комплексной программы обеспечения безопасности населения на транспорте</t>
  </si>
  <si>
    <t>Субсидии открытому акционерному обществу "Российские железные дороги" на реализацию Комплексной программы обеспечения безопасности населения на транспорте</t>
  </si>
  <si>
    <t>Субсидии федеральному государственному унитарному предприятию "Администрация гражданских аэропортов (аэродромов)" на реализацию Комплексной программы обеспечения безопасности населения на транспорте</t>
  </si>
  <si>
    <t>Реализация мероприятий по обеспечению безопасности населения на метрополитене в рамках Комплексной программы обеспечения безопасности населения на транспорте</t>
  </si>
  <si>
    <t>Реализация мероприятий по обеспечению безопасности населения на автомобильном транспорте в рамках Комплексной программы обеспечения безопасности населения на транспорте</t>
  </si>
  <si>
    <t>Геодезия и картография</t>
  </si>
  <si>
    <t>Государственная поддержка геодезии и картографии</t>
  </si>
  <si>
    <t>Картографо-геодезические и картографические работы</t>
  </si>
  <si>
    <t>Содержание и управление дорожным хозяйством</t>
  </si>
  <si>
    <t>Содержание учреждений, осуществляющих управление федеральными автомобильными дорогами</t>
  </si>
  <si>
    <t>Ремонт и содержание федеральных автомобильных дорог</t>
  </si>
  <si>
    <t>Поддержка дорожного хозяйства</t>
  </si>
  <si>
    <t>Строительство, модернизация, ремонт и содержание автомобильных дорог общего пользования, в том числе дорог в поселениях (за исключением автомобильных дорог федерального значения)</t>
  </si>
  <si>
    <t>Обеспечение автомобильными дорогами новых микрорайонов</t>
  </si>
  <si>
    <t>Софинансирование строительства автомобильной дороги "Западный скоростной диаметр" в г. Санкт-Петербурге</t>
  </si>
  <si>
    <t>Софинансирование инвестиционного проекта по строительству примыкания к автомобильной дороге М-52 "Чуйский тракт" на км 651 в районе урочища реки Урсул</t>
  </si>
  <si>
    <t>Софинансирование реконструкции автомобильной дороги Саяногорск - Майнская ГЭС - Черемушки и искусственных сооружений на ней</t>
  </si>
  <si>
    <t>Капитальный ремонт и ремонт автомобильных дорог общего пользования административных центров субъектов Российской Федерации и административных центров муниципальных районов Московской и Ленинградской областей</t>
  </si>
  <si>
    <t>Отдельные мероприятия в области дорожного хозяйства</t>
  </si>
  <si>
    <t>Содержание и обеспечение деятельности учреждения, обеспечивающего функционирование системы весового контроля автотранспортных средств</t>
  </si>
  <si>
    <t>Мероприятия по реализации Федерального закона от 9 февраля 2007 г. № 16-ФЗ «О транспортной безопасности» в сфере дорожного хозяйства</t>
  </si>
  <si>
    <t>Другие виды транспорта</t>
  </si>
  <si>
    <t>Субсидии на проведение отдельных мероприятий по другим видам транспорта</t>
  </si>
  <si>
    <t>Субсидии организациям транспорта, осуществляющим приобретение автотехники для пополнения подвижного состава автоколонн войскового типа</t>
  </si>
  <si>
    <t>Субсидии организациям автомобильного транспорта на возмещение убытков, возникающих в результате государственного регулирования тарифов на перевозку пассажиров в межмуниципальном сообщении</t>
  </si>
  <si>
    <t>Информационные технологии и связь</t>
  </si>
  <si>
    <t>Государственная поддержка почтовой связи</t>
  </si>
  <si>
    <t>Субсидии на покрытие части расходов, связанных с функционирование почтовых отделений, расположенных в районах Крайнего Севера</t>
  </si>
  <si>
    <t>Субсидии ФГУП "Почта России" на компенсацию потерь в доходах, связанных со сдерживанием указанным предприятием роста тарифов на услуги по распространению периодических печатных изданий</t>
  </si>
  <si>
    <t>Отдельные мероприятия в области информационно-коммуникационных технологий и связи</t>
  </si>
  <si>
    <t>Конверсия радиочастотного спектра</t>
  </si>
  <si>
    <t>Субсидии на осуществление контроля за излучением радиоэлектронных средств и (или) высокочастотных устройств (радиоконтроль)</t>
  </si>
  <si>
    <t>Субсидирование процентных ставок по привлеченным организациями связи кредитам в целях финансирования и изготовления космических аппаратов серии "Экспресс"</t>
  </si>
  <si>
    <t>Развитие группировки космической связи</t>
  </si>
  <si>
    <t>Субсидии на возмещение операторам связи убытков, причиняемых оказанием универсальных услуг связи</t>
  </si>
  <si>
    <t>Субсидии организациям, осуществляющим ведение федеральных информационных фондов, баз и банков данных</t>
  </si>
  <si>
    <t>Мероприятия в области информационно-коммуникационных и телекоммуникационных технологий для подготовки и проведения ХХVII Всемирной летней Универсиады 2013 г. в г. Казани</t>
  </si>
  <si>
    <t>Технопарки в сфере высоких технологий</t>
  </si>
  <si>
    <t>Создание технопарков</t>
  </si>
  <si>
    <t>Субсидии организациям связи на закупку космических аппаратов</t>
  </si>
  <si>
    <t>Субсидии на закупку космических аппаратов "Экспресс – МД1", "Экспресс – МД2" и "Экспресс – АМ4"</t>
  </si>
  <si>
    <t>Субсидии на возмещение организациям связи части затрат на уплату процентов по кредитам, полученным в российских кредитных организациях в 2001-2004 годах, на обеспечение финансирования изготовления космических аппаратов серии "Экспресс"</t>
  </si>
  <si>
    <t>Эксплуатация инфраструктуры электронного правительства</t>
  </si>
  <si>
    <t>Субсидии на проведение мероприятий по строительству технологических дорог (подъездных путей) к объектам связи федеральной автомобильной дороги "Амур" Чита - Хабаровск</t>
  </si>
  <si>
    <t>Услуги, связанные с реализацией работы разделения, содержащейся в стоимости низкообогащенного урана, полученного из высокообогащенного урана, извлеченного из ядерного оружия</t>
  </si>
  <si>
    <t>Оплата услуг организаций по переработке высокообогащенного урана, извлеченного из ядерного оружия, в низкообогащенный уран</t>
  </si>
  <si>
    <t>Исследования и разработки в сфере использования атомной энергии в интересах развития национальной экономики</t>
  </si>
  <si>
    <t>Мероприятия по возмещению расходов по содержанию объектов, связанных с использованием атомной энергии</t>
  </si>
  <si>
    <t>Субсидии федеральному государственному унитарному предприятию «Атомфлот» на возмещение расходов по содержанию объектов, связанных с использованием атомной энергии</t>
  </si>
  <si>
    <t>Учреждения, обеспечивающие предоставление услуг в сфере гидрометеорологии и мониторинга окружающей среды</t>
  </si>
  <si>
    <t>Земельные кадастровые палаты</t>
  </si>
  <si>
    <t>Реализация государственных функций в области национальной экономики</t>
  </si>
  <si>
    <t>Техническое регулирование и обеспечение единства измерений</t>
  </si>
  <si>
    <t>Техническое регулирование</t>
  </si>
  <si>
    <t>Обеспечение единства измерений</t>
  </si>
  <si>
    <t>Каталогизация продукции для федеральных государственных нужд</t>
  </si>
  <si>
    <t>Премия Правительства Российской Федерации в области качества</t>
  </si>
  <si>
    <t>Субсидии организациям на создание и ведение Федерального информационного фонда технических регламентов и стандартов</t>
  </si>
  <si>
    <t>Субсидии организациям на осуществление расходов в области обеспечения единства измерений</t>
  </si>
  <si>
    <t>Мероприятия в области гражданской промышленности</t>
  </si>
  <si>
    <t>Субсидии организациям народных художественных промыслов на поддержку производства и реализации изделий народных художественных промыслов</t>
  </si>
  <si>
    <t>Ликвидация межтерриториального перекрестного субсидирования в электроэнергетике</t>
  </si>
  <si>
    <t>Закупка для государственных нужд техники, производимой на территории Российской Федерации</t>
  </si>
  <si>
    <t>Закупка для государственных нужд автомобильной техники, производимой на территории Российской Федерации</t>
  </si>
  <si>
    <t>Закупка автотранспортных средств и коммунальной техники</t>
  </si>
  <si>
    <t>Реализация российской части обязательств по проекту создания российско-индийского многоцелевого транспортного самолета</t>
  </si>
  <si>
    <t xml:space="preserve">Субсидии открытому акционерному обществу ""Научно-производственное объединение ""Сатурн"" (г. Рыбинск, Ярославская область) на поддержку производства в связи с обеспечением работ по изготовлению специальной продукции </t>
  </si>
  <si>
    <t>Субсидии федеральному государственному унитарному предприятию "Уфимское агрегатное предприятие "Гидравлика" на поддержку производства в связи с обеспечением работ по изготовлению специальной продукции</t>
  </si>
  <si>
    <t>Мероприятия по реализации проектов Комиссии при Президенте Российской Федерации по модернизации и технологическому развитию экономики России</t>
  </si>
  <si>
    <t xml:space="preserve">Реализация мероприятий по завершению работ по созданию специальной техники в интересах национальной обороны </t>
  </si>
  <si>
    <t>Субсидии на возмещение потерь в доходах торговых организаций при продаже новых автотранспортных средств со скидкой физическим лицам, сдавшим вышедшее из эксплуатации автотранспортное средство на утилизацию</t>
  </si>
  <si>
    <t>Организация проведения эксперимента по стимулированию приобретения новых автотранспортных средств взамен вышедших из эксплуатации и сдаваемых на утилизацию автотранспортных средств</t>
  </si>
  <si>
    <t>Возмещение затрат торговых организаций, возникших при перевозке на пункты утилизации вышедших из эксплуатации автотранспортных средств</t>
  </si>
  <si>
    <t>Субсидии открытому акционерному обществу "РОСНАНО" на возмещение расходов по оплате целевого взноса на строительство установки Европейского рентгеновского лазера на свободных электронах</t>
  </si>
  <si>
    <t>Субсидии российским организациям - экспортерам промышленной продукции на возмещение части затрат на уплату процентов по кредитам, полученным в российских кредитных организациях и в государственной корпорации "Банк развития и внешнеэкономической деятельности (Внешэкономбанк)" в 2005 - 2013 годах</t>
  </si>
  <si>
    <t>Субсидии организациям топливно-энергетического комплекса на возмещение части затрат на уплату процентов по кредитам, полученным в российских кредитных организациях в 2010 – 2011 годах, на осуществление сезонных заготовок топлива на электростанциях, включая атомные, закачку газа в подземные хранилища, проведение мероприятий по текущему ремонту энергооборудования, а также по обеспечению населения топливом</t>
  </si>
  <si>
    <t>Субсидии организациям легкой и текстильной промышленности на возмещение части затрат на уплату процентов по кредитам, полученным в российских кредитных организациях в 2010 – 2011 годах, на осуществление сезонных закупок сырья и материалов для производства товаров народного потребления и продукции производственно-технического назначения</t>
  </si>
  <si>
    <t>Субсидии организациям легкой и текстильной промышленности на возмещение части затрат на уплату процентов по кредитам, полученным в российских кредитных организациях в 2006 - 2011 годах, на осуществление технического перевооружения</t>
  </si>
  <si>
    <t>Субсидии ФГУП "Гознак" на возмещение части затрат на уплату процентов по кредитам, полученным в российских кредитных организациях в 2005 - 2010 годах, на приобретение специального оборудования, предназначенного для производства защищенной от подделок бумаги, полиграфической и монетно-орденской продукции</t>
  </si>
  <si>
    <t>Субсидии российским транспортным компаниям и пароходствам на возмещение части затрат на уплату процентов по кредитам, полученным в российских кредитных организациях и в государственной корпорации "Банк развития и внешнеэкономической деятельности (Внешэкономбанк)" в 2008 - 2011 годах, и организациям рыбохозяйственного комплекса на возмещение части затрат на уплату процентов по кредитам, полученным в российских кредитных организациях и в государственной корпорации "Банк развития и внешнеэкономической деятельности (Внешэкономбанк)" в 2009 - 2011 годах, на закупку гражданских судов, изготовленных на российских верфях, на срок до 5 лет</t>
  </si>
  <si>
    <t>Субсидии российским транспортным компаниям и пароходствам, а также организациям рыбохозяйственного комплекса на возмещение части затрат на уплату лизинговых платежей по договорам лизинга, заключенным в 2008 - 2012 годах с российскими лизинговыми компаниями на приобретение гражданских судов, изготовленных на российских верфях</t>
  </si>
  <si>
    <t>Субсидии российским производителям самолетов и вертолетов на возмещение части затрат на уплату процентов по кредитам, полученным в российских кредитных организациях и в государственной корпорации "Банк развития и внешнеэкономической деятельности (Внешэкономбанк)" в 2008 - 2011 годах на техническое перевооружение на срок до 5 лет, а также части затрат на уплату лизинговых платежей за технологическое оборудование, поставляемое российскими лизинговыми компаниями по договорам лизинга, заключенным с 2006 года</t>
  </si>
  <si>
    <t>Субсидии российским лизинговым компаниям на возмещение части затрат на уплату процентов по кредитам, полученным в российских кредитных организациях и в государственной корпорации "Банк развития и внешнеэкономической деятельности (Внешэкономбанк)" в 2008 - 2011 годах на закупку воздушных судов отечественного производства с последующей передачей их российским авиакомпаниям по договорам лизинга</t>
  </si>
  <si>
    <t>Субсидии организациям угольной промышленности на возмещение части затрат на уплату процентов по кредитам, полученным в российских кредитных организациях в 2005 - 2007 годах, на осуществление инвестиционных проектов</t>
  </si>
  <si>
    <t>Субсидии российским производителям авиационных двигателей на возмещение части затрат на уплату процентов по кредитам, полученным в российских кредитных организациях и в государственной корпорации "Банк развития и внешнеэкономической деятельности (Внешэкономбанк)" в 2008 - 2011 годах на техническое перевооружение на срок до 5 лет, а также части затрат на уплату лизинговых платежей за технологическое оборудование, поставляемое российскими лизинговыми компаниями по договорам лизинга, заключенным с 2006 года</t>
  </si>
  <si>
    <t>Субсидии организациям оборонно-промышленного комплекса на возмещение части затрат на уплату процентов по кредитам, полученным в российских кредитных организациях и государственной корпорации "Банк развития и внешнеэкономической деятельности (Внешэкономбанк)" на осуществление инновационных и инвестиционных проектов по выпуску высокотехнологичной продукции</t>
  </si>
  <si>
    <t>Субсидии российским организациям сельскохозяйственного и тракторного машиностроения, лесопромышленного комплекса, машиностроения для нефтегазового комплекса и станкоинструментальной промышленности и предприятиям спецметаллургии на возмещение части затрат на уплату процентов по кредитам, полученным в российских кредитных организациях и в государственной корпорации "Банк развития и внешнеэкономической деятельности (Внешэкономбанк)" в 2008 - 2011 годах на техническое перевооружение на срок до 5 лет</t>
  </si>
  <si>
    <t>Субсидии российским организациям автомобилестроения и транспортного машиностроения на возмещение части затрат на уплату процентов по кредитам, полученным в 2008 - 2009 годах в российских кредитных организациях, а также в международных финансовых организациях, созданных в соответствии с международными договорами, в которых участвует Российская Федерация, направленным на технологическое перевооружение</t>
  </si>
  <si>
    <t>Субсидии на возмещение части затрат на уплату процентов по кредитам, полученным организациями лесопромышленного комплекса в российских кредитных организациях в 2010 - 2011 годах на создание межсезонных запасов древесины, сырья и топлива</t>
  </si>
  <si>
    <t xml:space="preserve">Субсидии российским лизинговым компаниям на возмещение части затрат на уплату процентов по кредитам, полученным в российских кредитных организациях в 2009 году на срок не более 5 лет для приобретения автотранспортных средств российского производства с последующей передачей их в лизинг </t>
  </si>
  <si>
    <t>Субсидии организациям оборонно-промышленного комплекса - головным исполнителям (исполнителям) государственного оборонного заказа на возмещение части затрат на уплату процентов по кредитам, полученным в российских кредитных организациях и в государственной корпорации "Банк развития и внешнеэкономической деятельности (Внешэкономбанк)"</t>
  </si>
  <si>
    <t>Субсидии российским организациям автомобилестроения, в том числе их дочерним организациям, на возмещение части затрат на уплату процентов по кредитам, полученным на реализацию инвестиционных и инновационных проектов и (или) выплату купонного дохода по облигациям, выпущенным для осуществления расходов инвестиционного характера, а также на возмещение части затрат на уплату процентов по кредитам, привлеченным в 2009 - 2010 годах и обеспеченным государственными гарантиями Российской Федерации</t>
  </si>
  <si>
    <t>Субсидии открытому акционерному обществу "Газпром" на покрытие разницы между ценой приобретения газа у оператора проекта "Сахалин-2" и ценой на газ, установленной на входе в газотранспортную систему "Сахалин - Хабаровск - Владивосток", в целях его поставки энергосбытовым организациям Дальневосточного региона</t>
  </si>
  <si>
    <t>Субсидии российским организациям транспортного машиностроения на возмещение части затрат на уплату процентов по кредитам, полученным в российских кредитных организациях и в государственной корпорации "Банк развития и внешнеэкономической деятельности (Внешэкономбанк)", а также в международных финансовых организациях, созданных в соответствии с международными договорами, в которых участвует Российская Федерация, в 2008 - 2011 годах на технологическое перевооружение</t>
  </si>
  <si>
    <t>Возмещение недополученных доходов открытому акционерному обществу "Росагролизинг" от реализации сельскохозяйственной техники, оборудования и автомобильной техники сельскохозяйственным товаропроизводителям</t>
  </si>
  <si>
    <t>Российская антарктическая и арктическая экспедиции</t>
  </si>
  <si>
    <t>Малое и среднее предпринимательство</t>
  </si>
  <si>
    <t>Субсидии на государственную поддержку малого и среднего предпринимательства, включая крестьянские (фермерские) хозяйства</t>
  </si>
  <si>
    <t>Поддержка жилищного хохяйства</t>
  </si>
  <si>
    <t>Субсидии российским кредитным организациям на возмещение выпадающих доходов по кредитам, выданным российскими кредитными организациями в 2009 - 2011 годах физическим лицам на приобретение автомобилей</t>
  </si>
  <si>
    <t>Капитальный ремонт муниципального жилищного фонда</t>
  </si>
  <si>
    <t xml:space="preserve">Взносы в уставные капиталы кредитных организаций, осуществляемые путем обмена государственных ценных бумаг Российской Федерации на акции кредитных организаций </t>
  </si>
  <si>
    <t>Мероприятия в области жилищного хозяйства в целях создания благоприятных условий для организации и деятельности товариществ собственников жилья в ТМР</t>
  </si>
  <si>
    <t>Поддержка коммунального хозяйства</t>
  </si>
  <si>
    <t>Компенсация выпадающих доходов организациям, предоставляющим населению услуги электроснабжения по тарифам, необеспечивающим возмещение издержек</t>
  </si>
  <si>
    <t>Компенсация выпадающих доходов организациям, предоставляющим населению услуги теплоснабжения по тарифам, не обеспечивающим возмещение издержек</t>
  </si>
  <si>
    <t>Компенсация выпадающих доходов организациям, предоставляющим населению услуги водоснабжения и водоотведения по тарифам, не обеспечивающим возмещение издержек</t>
  </si>
  <si>
    <t>Мероприятия в области коммунального хозяйства</t>
  </si>
  <si>
    <t>Мероприятия в области коммунального хозяйства, связанные с выполнением переданных полномочий по теплоснабжению</t>
  </si>
  <si>
    <t>Мероприятия в области коммунального хозяйства, связанные с выполнением переданных полномочий  по газоснабжению населения (газификация жилых домов левый берег)</t>
  </si>
  <si>
    <t>Субсидия на возмещение затрат организациям - исполнителям коммунальных услуг для населения и социальной сферы Тутаевского муниципального района</t>
  </si>
  <si>
    <t>Субсидия на реализацию мероприятий по подготовке к зиме объектов коммунального назначения</t>
  </si>
  <si>
    <t>Мероприятия в области коммунального хозяйства  на реализацию  Программы комплексного развития систем коммунальной инфраструктуры ТМР на 2011-2015 годы с перспективой до 2030 года</t>
  </si>
  <si>
    <t>Приобретение школьных автобусов, производимых на территории Российской Федерации, для общеобразовательных учреждений</t>
  </si>
  <si>
    <t>Реализация проектов Комиссии при Президенте Российской Федерации по модернизации и технологическому развитию экономики России</t>
  </si>
  <si>
    <t>Стратегические компьютерные технологии и программное обеспечение</t>
  </si>
  <si>
    <t>ИКТ-услуги в области медицины и здравоохранения и социального обеспечения</t>
  </si>
  <si>
    <t>Развитие суперкомпьютеров и грид-технологий</t>
  </si>
  <si>
    <t>Развитие электронных образовательных интернет-ресурсов нового поколения, включая культурно-познавательные сервисы, а также систем дистанционного общего и профессионального обучения (e-learning)</t>
  </si>
  <si>
    <t>Создание системы распознавания речи и системы комбинированной обработки речевых сигналов, повышения разборчивости речи, синтеза и голосовой биометрии</t>
  </si>
  <si>
    <t>Обеспечение видеонаблюдения, автоматического обнаружения и распознавания целей и тревожных ситуаций в режиме реального времени по видеоизображению и формирование в режиме реального времени базы данных распознанных целей</t>
  </si>
  <si>
    <t>Космос и телекоммуникации</t>
  </si>
  <si>
    <t>Создание транспортно-энергетического модуля на основе ядерной энергодвигательной установки мегаваттного класса</t>
  </si>
  <si>
    <t>Обеспечение высокоскоростного доступа к информационным сетям через системы спутниковой связи</t>
  </si>
  <si>
    <t>Создание системы экстренного реагирования при авариях (ЭРА - ГЛОНАСС)</t>
  </si>
  <si>
    <t>Создание системы слежения и мониторинга подвижных объектов</t>
  </si>
  <si>
    <t>Создание интеллектуальных систем мониторинга и контроля состояния технически сложных объектов</t>
  </si>
  <si>
    <t>Медицинская техника и фармацевтика</t>
  </si>
  <si>
    <t>Организация опытно-промышленного производства субстанций и лекарственных средств на основе моноклональных антител</t>
  </si>
  <si>
    <t>Энергоэффективность</t>
  </si>
  <si>
    <t>Проект "Инновационная энергетика"</t>
  </si>
  <si>
    <t>Организация мониторинга разрабатываемых и реализуемых высокотехнологичных проектов модернизации экономики Российской Федерации</t>
  </si>
  <si>
    <t>Состояние окружающей среды и природопользования</t>
  </si>
  <si>
    <t>Природоохранные мероприятия</t>
  </si>
  <si>
    <t>Природоохранные учреждения</t>
  </si>
  <si>
    <t>Государственные природные заповедники</t>
  </si>
  <si>
    <t>Детские дошкольные учреждения</t>
  </si>
  <si>
    <t>Реализация комплексных программ поддержки развития дошкольных образовательных учреждений в субъектах Российской Федерации</t>
  </si>
  <si>
    <t>Школы - детские сады, школы начальные, неполные средние и средние</t>
  </si>
  <si>
    <t>Школы-интернаты</t>
  </si>
  <si>
    <t>Учреждения по внешкольной работе с детьми</t>
  </si>
  <si>
    <t>Совершенствование организации питания учащихся в общеобразовательных учреждениях</t>
  </si>
  <si>
    <t>Детские дома</t>
  </si>
  <si>
    <t>Проведение диспансеризации находящихся в стационарных учреждениях детей-сирот и детей, оставшихся без попечения родителей</t>
  </si>
  <si>
    <t>Профессионально-технические училища</t>
  </si>
  <si>
    <t>Специальные профессионально-технические училища</t>
  </si>
  <si>
    <t>Средние специальные учебные заведения</t>
  </si>
  <si>
    <t>Пособия и компенсации военнослужащим, приравненным к ним лицам, а также уволенным из их числа</t>
  </si>
  <si>
    <t>Институты повышения квалификации</t>
  </si>
  <si>
    <t>Государственный заказ на профессиональную переподготовку и повышение квалификации государственных служащих</t>
  </si>
  <si>
    <t>Дополнительная подготовка участковых врачей</t>
  </si>
  <si>
    <t>Переподготовка и повышение квалификации кадров</t>
  </si>
  <si>
    <t>Учебные заведения и курсы по переподготовке кадров</t>
  </si>
  <si>
    <t>Высшие учебные заведения</t>
  </si>
  <si>
    <t>Развитие сети национальных университетов и других образовательных учреждений</t>
  </si>
  <si>
    <t>Субсидии на поддержку образовательного кредитования</t>
  </si>
  <si>
    <t>Субсидии на возмещение части затрат по невозвращенным кредитам</t>
  </si>
  <si>
    <t>Субсидии на возмещение части затрат на уплату процентов по кредитам, предоставляемым студентам образовательных учреждений высшего профессионального образования в рамках эксперимента по государственной поддержке предоставления образовательных кредитов</t>
  </si>
  <si>
    <t>Обучение в высших учебных заведениях лиц, прошедших военную службу по контракту</t>
  </si>
  <si>
    <t>Субсидии на государственную поддержку развития кооперации российских образовательных учреждений высшего профессионального образования</t>
  </si>
  <si>
    <t>Субсидии на предоставление грантов Правительства Российской Федерации, выделяемых для государственной поддержки научных исследований, проводимых под руководством ведущих ученых в российских образовательных учреждениях высшего профессионального образования</t>
  </si>
  <si>
    <t>Организационно-воспитательная работа с молодежью</t>
  </si>
  <si>
    <t>Проведение мероприятий для детей и молодежи</t>
  </si>
  <si>
    <t>Расходы на реализацию мероприятий по патриотическому воспитанию молодежи ЯО</t>
  </si>
  <si>
    <t>Проведение мероприятий для детей и молодежи в части реализ.ведомст.целевой программы "Патриотическое воспитание молодежи Я,О"</t>
  </si>
  <si>
    <t>Мероприятия по проведению оздоровительной кампании детей</t>
  </si>
  <si>
    <t>Мероприятия по организации оздоровительной кампании детей</t>
  </si>
  <si>
    <t>Оздоровление детей</t>
  </si>
  <si>
    <t xml:space="preserve">Оздоровление детей </t>
  </si>
  <si>
    <t>Оздоровление детей в трудной жизненной ситуации</t>
  </si>
  <si>
    <t>Оздоровление детей погибших сотрудников правоохр.органов и военнослужащих</t>
  </si>
  <si>
    <t>Учреждения, обеспечивающие предоставление услуг в сфере образования</t>
  </si>
  <si>
    <t>Мероприятия в области образования</t>
  </si>
  <si>
    <t>Внедрение инновационных образовательных программ</t>
  </si>
  <si>
    <t>Внедрение современных образовательных технологий</t>
  </si>
  <si>
    <t>Государственная поддержка талантливой молодежи</t>
  </si>
  <si>
    <t>Начальное профессиональное образование военнослужащих, проходящих военную службу по призыву</t>
  </si>
  <si>
    <t>Приобретение автобусов для государственных и муниципальных  школ в сельской местности</t>
  </si>
  <si>
    <t>Оснащение общеобразовательных учреждений учебным оборудованием</t>
  </si>
  <si>
    <t>Подготовка рабочих кадров и специалистов для высокотехнологичных производств, включая приобретение современного учебно-лабораторного и учебно-производственного оборудования</t>
  </si>
  <si>
    <t>Поощрение лучших учителей</t>
  </si>
  <si>
    <t>Дистанционное образование детей-инвалидов</t>
  </si>
  <si>
    <t>Проведение противоаварийных мероприятий в зданиях государственных и муниципальных общеобразовательных учреждений</t>
  </si>
  <si>
    <t>Развитие сети национальных исследовательских университетов</t>
  </si>
  <si>
    <t>Организационно-аналитическое сопровождение мероприятий приоритетного национального проекта "Образование"</t>
  </si>
  <si>
    <t>Подготовка управленческих кадров для организаций народного хозяйства Российской Федерации</t>
  </si>
  <si>
    <t>Государственная поддержка развития инновационной инфраструктуры образовательных учреждений</t>
  </si>
  <si>
    <t>Поддержка программ развития инновационной инфраструктуры, включая поддержку малого инновационного предпринимательства, в федеральных образовательных учреждениях высшего профессионального образования</t>
  </si>
  <si>
    <t>Организационно-техническое, информационное и методическое обеспечение конкурса и методическое сопровождение государственной поддержки развития инновационной инфраструктуры образовательных учреждений</t>
  </si>
  <si>
    <t>Оснащение школьных библиотек учебниками и литературой на русском языке и языках народов Кавказа</t>
  </si>
  <si>
    <t>Модернизация региональных систем общего образования</t>
  </si>
  <si>
    <t>Учреждения культуры и мероприятия в сфере культуры и кинематографии</t>
  </si>
  <si>
    <t>Мероприятия в сфере культуры и кинематографии</t>
  </si>
  <si>
    <t>Комплектование книжных фондов библиотек муниципальных образований</t>
  </si>
  <si>
    <t>Субсидии благотворительному фонду по восстановлению Воскресенского Ново-Иерусалимского ставропигиального мужского монастыря Русской Православной Церкви на воссоздание исторического облика монастыря</t>
  </si>
  <si>
    <t>Мероприятия по реализации комплексного проекта "Культурное наследие - остров-град Свияжск и древний Болгар"</t>
  </si>
  <si>
    <t>Субсидии творческим союзам</t>
  </si>
  <si>
    <t>Субсидии творческим союзам на оказание материальной помощи членам творческих союзов</t>
  </si>
  <si>
    <t>Субсидии творческим союзам на поддержку развития театральной деятельности</t>
  </si>
  <si>
    <t>Оснащение общедоступных библиотек субъектов Российской Федерации, входящих в состав Северо-Кавказского Федерального округа, литературой и компьютерами с выходом в Интернет</t>
  </si>
  <si>
    <t>Подключение общедоступных библиотек Российской Федерации к сети Интернет</t>
  </si>
  <si>
    <t>Музеи и постоянные выставки</t>
  </si>
  <si>
    <t>Библиотеки</t>
  </si>
  <si>
    <t>Создание Президентской библиотеки имени Б.Н. Ельцина</t>
  </si>
  <si>
    <t>Театры, цирки, концертные и другие организации исполнительских искусств</t>
  </si>
  <si>
    <t>Субсидии государственным цирковым организациям</t>
  </si>
  <si>
    <t>Государственная поддержка в сфере культуры, кинематографии и средств массовой информации</t>
  </si>
  <si>
    <t>Средства массовой информации</t>
  </si>
  <si>
    <t>Мероприятия в сфере средств массовой информации</t>
  </si>
  <si>
    <t>Государственная поддержка в сфере средств массовой информации</t>
  </si>
  <si>
    <t>Мероприятия в сфере культуры, кинематографии и средств массовой информации</t>
  </si>
  <si>
    <t>Субсидии на поддержку социально значимых проектов в сфере периодической печати</t>
  </si>
  <si>
    <t>Субсидии Благотворительному фонду по восстановлению Воскресенского Ново-Иерусалимского ставропигиального мужского монастыря Русской Православной Церкви на воссоздание исторического облика монастыря</t>
  </si>
  <si>
    <t>Информационные агентства</t>
  </si>
  <si>
    <t>Субсидии информационным агентствам</t>
  </si>
  <si>
    <t>Субсидии федеральному государственному унитарному предприятию "Российское агентство международной информации "РИА Новости" на финансовое обеспечение расходов по организации информационно-пропагандистского сопровождения внешней и внутренней политики Российской Федерации в рамках единого информационного пространства России и участию в международном обмене (в том числе в рамках осуществления международной деятельности), по организации мероприятий по повышению интереса основных целевых аудиторий к российской общественной и политической жизни и формированию благоприятного образа России за рубежом</t>
  </si>
  <si>
    <t>Субсидии федеральному государственному унитарному предприятию "Информационное телеграфное агентство России (ИТАР - ТАСС)" на финансовое обеспечение расходов по организации мероприятий по освещению государственной политики и общественной жизни в Российской Федерации, сбора и оперативного распространения информации о событиях в сфере политики, экономики, культуры, науки, спорта в целях обеспечения органов государственной власти необходимой информацией, а также расходов для обеспечения международной деятельности</t>
  </si>
  <si>
    <t>Учебно-методические кабинеты, централизованные бухгалтерии, группы хозяйственного обслуживания, учебные фильмотеки, межшкольные учебно-производственные комбинаты, логопедические пункты</t>
  </si>
  <si>
    <t>Телерадиокомпании и телеорганизации</t>
  </si>
  <si>
    <t>Субсидии телерадиокомпаниям и телерадиоорганизациям</t>
  </si>
  <si>
    <t>Субсидии организациям, осуществляющим производство, распространение и тиражирование социально значимых программ в области электронных средств массовой информации, на создание и поддержание в сети Интернет сайтов, имеющих социальное или образовательное значение</t>
  </si>
  <si>
    <t>Субсидии федеральному государственному унитарному предприятию "Всероссийская государственная телевизионная и радиовещательная компания" на финансовое обеспечение деятельности, а также на покрытие расходов, связанных с производством программного продукта, наполнением им телерадиоэфира и с обеспечением мероприятий по доведению его до телезрителей и радиослушателей, на обеспечение международной деятельности, на содержание зарубежных корреспондентских пунктов</t>
  </si>
  <si>
    <t>Субсидии автономной некоммерческой организации "ТВ-Новости" на создание и вещание телевизионных каналов на английском, арабском и испанском языках, покрытие расходов, связанных с производством программного продукта, наполнением им телеэфира и с обеспечением мероприятий по доведению его до телезрителей, с продвижением телеканалов на российском и международном рынках телевизионных услуг, а также расходов на обеспечение международной деятельности и содержание корреспондентских пунктов</t>
  </si>
  <si>
    <t>Субсидии открытому акционерному обществу "Первый канал" и открытому акционерному обществу "Телекомпания НТВ" на оплату услуг связи, предоставляемых федеральным государственным унитарным предприятием "Российская телевизионная и радиовещательная сеть" на основе договоров, заключенных на распространение и трансляцию программ в населенных пунктах с численностью населения менее 200 тысяч человек</t>
  </si>
  <si>
    <t>Субсидии открытому акционерному обществу "Единая телерадиовещательная система Вооруженных Сил Российской Федерации "ЗВЕЗДА"</t>
  </si>
  <si>
    <t>Субсидии федеральному государственному унитарному предприятию «Телевизионный технический центр «Останкино» на проведение капитального ремонта инженерного оборудования и техническое перевооружение производственно - технологического оборудования</t>
  </si>
  <si>
    <t>Субсидии открытому акционерному обществу "Первый канал", открытому акционерному обществу "Телекомпания НТВ" и открытому акционерному обществу "Телерадиокомпания "Петербург" на оплату предоставленных федеральным государственным унитарным предприятием "Российская телевизионная и радиовещательная сеть" услуг по распространению и трансляции их программ в населенных пунктах с численностью населения менее 100 тысяч человек</t>
  </si>
  <si>
    <t>Субсидии федеральному государственному унитарному предприятию "Российская телевизионная и радиовещательная сеть"</t>
  </si>
  <si>
    <t>Субсидии автономной некоммерческой организации "Спортивное вещание" на освещение мероприятий, связанных с подготовкой и проведением XXVII Всемирной летней Универсиады 2013 г. в г. Казани</t>
  </si>
  <si>
    <t>Издательства</t>
  </si>
  <si>
    <t>Субсидии издательствам и издающим организациям на реализацию социально значимых проектов, выпуск книг, изданий для инвалидов</t>
  </si>
  <si>
    <t>Субсидии издательствам и издающим организациям на реализацию социально значимых проектов, выпуск книг, изданий для инвалидов по зрению</t>
  </si>
  <si>
    <t>Субсидии издательствам и издающим организациям на реализацию социально значимых проектов, государственную поддержку непериодических изданий</t>
  </si>
  <si>
    <t>Периодическая печать</t>
  </si>
  <si>
    <t>Субсидии на поддержку периодической печати для инвалидов, на реализацию социально значимых проектов, изданий для инвалидов по зрению</t>
  </si>
  <si>
    <t>Субсидии редакциям печатных средств массовой информации и издающим организациям для инвалидов по зрению</t>
  </si>
  <si>
    <t>Субсидии редакциям печатных средств массовой информации и издающим организациям для инвалидов</t>
  </si>
  <si>
    <t>Периодические издания, учрежденные органами законодательной и исполнительной власти</t>
  </si>
  <si>
    <t>Субсидии автономной некоммерческой организации «Редакция журнала «Российская Федерация сегодня», автономной некоммерческой организации «Парламентская газета</t>
  </si>
  <si>
    <t>Плазмацентры</t>
  </si>
  <si>
    <t>Учреждения, обеспечивающие предоставление услуг в сфере здравоохранения</t>
  </si>
  <si>
    <t>Больницы, клиники, госпитали, медико-санитарные части</t>
  </si>
  <si>
    <t>Денежные выплаты врачам и медицинским сестрам, оказывающим первичную медико-санитарную помощь в федеральных учреждениях здравоохранения ведомственного подчинения, выполняющих государственное задание по оказанию дополнительной медицинской помощи при условии размещения в этих медицинских учреждениях муниципального заказа</t>
  </si>
  <si>
    <t>Высокотехнологичные виды медицинской помощи</t>
  </si>
  <si>
    <t>Денежные выплаты медицинскому персоналу фельдшерско-акушерских пунктов, врачам, фельдшерам и медицинским сестрам станций (отделений) скорой медицинской помощи федеральных учреждений здравоохранения, подведомственных Федеральному медико-биологическому агентству</t>
  </si>
  <si>
    <t>Поликлиники, амбулатории, диагностические центры</t>
  </si>
  <si>
    <t>Центры, станции и отделения переливания крови</t>
  </si>
  <si>
    <t>Санатории для больных туберкулезом</t>
  </si>
  <si>
    <t>Санатории для детей и подростков</t>
  </si>
  <si>
    <t>Санатории, пансионаты, дома отдыха и турбазы</t>
  </si>
  <si>
    <t>Дезинфекционные станции</t>
  </si>
  <si>
    <t>Органы, осуществляющие государственный санитарно-эпидемиологический надзор</t>
  </si>
  <si>
    <t>Мероприятия в области санитарно-эпидемиологического надзора</t>
  </si>
  <si>
    <t>Мероприятия по профилактике ВИЧ-инфекции, гепатитов В, С</t>
  </si>
  <si>
    <t>Мероприятия по предупреждению распространения в Российской Федерации заболеваний, вызванных высокопатогенным вирусом гриппа</t>
  </si>
  <si>
    <t>Мероприятия, направленные на обследование населения с целью выявления туберкулеза, лечения больных туберкулезом, профилактические мероприятия</t>
  </si>
  <si>
    <t>Централизованные закупки медикаментов и медицинского оборудования</t>
  </si>
  <si>
    <t>Центры спортивной подготовки (сборные команды)</t>
  </si>
  <si>
    <t>Противочумные организации</t>
  </si>
  <si>
    <t>Учреждения, обеспечивающие государственный санитарно-эпидемиологический надзор</t>
  </si>
  <si>
    <t>Реализация государственных функций в области здравоохранения</t>
  </si>
  <si>
    <t>Приобретение оборудования для быстровозводимых физкультурно-оздоровительных комплексов</t>
  </si>
  <si>
    <t>Меры по оказанию медицинской помощи гражданам Российской Федерации за рубежом</t>
  </si>
  <si>
    <t>Развитие новых высоких медицинских технологий в федеральных специализированных медицинских учреждениях и государственных образовательных учреждениях высшего профессионального и послевузовского образования, имеющих лицензии на осуществление медицинской деятельности</t>
  </si>
  <si>
    <t>Финансовое обеспечение закупок диагностических средств и антивирусных препаратов для профилактики, выявления, мониторинга лечения и лечения лиц, инфицированных вирусами иммунодефицита человека и гепатитов B и C</t>
  </si>
  <si>
    <t>Закупки оборудования и расходных материалов для неонатального и аудиологического скрининга</t>
  </si>
  <si>
    <t>Централизованные закупки в рамках национального календаря профилактических прививок</t>
  </si>
  <si>
    <t>Совершенствование организации медицинской помощи пострадавшим при дорожно-транспортных происшествиях</t>
  </si>
  <si>
    <t>Совершенствование медицинской помощи больным с сосудистыми заболеваниями</t>
  </si>
  <si>
    <t>Закупки лекарственных препаратов, предназначенных для лечения больных злокачественными новообразованиями лимфоидной, кроветворной и родственных им тканей, гемофилией, муковисцидозом, гипофизарным нанизмом, болезнью Гоше, рассеянным склерозом, а также после трансплантации органов и (или) тканей</t>
  </si>
  <si>
    <t>Мероприятия по развитию службы крови</t>
  </si>
  <si>
    <t>Осуществление организационных мероприятий по обеспечению граждан лекарственными препаратами, предназначенными для лечения больных злокачественными новообразованиями лимфоидной, кроветворной и родственных им тканей, гемофилией, муковисцидозом, гипофизарным нанизмом, болезнью Гоше, рассеянным склерозом, а также после трансплантации органов и (или) тканей</t>
  </si>
  <si>
    <t>Мероприятия, направленные на совершенствование медицинской помощи больным с онкологическими заболеваниями</t>
  </si>
  <si>
    <t>Мероприятия, направленные на формирование здорового образа жизни у населения Российской Федерации, включая сокращение потребления алкоголя и табака</t>
  </si>
  <si>
    <t>Финансовое обеспечение создания информационной системы в здравоохранении</t>
  </si>
  <si>
    <t>Подготовка и повышение квалификации медицинских работников федеральных центров высоких медицинских технологий, в том числе модернизация образовательного процесса</t>
  </si>
  <si>
    <t>Мероприятия по пренатальной (дородовой) диагностике</t>
  </si>
  <si>
    <t>Финансовое обеспечение развития неонатальной хирургии</t>
  </si>
  <si>
    <t>Реализация комплекса мер по выхаживанию новорожденных с низкой и экстремально низкой массой тела</t>
  </si>
  <si>
    <t>Финансовое обеспечение мероприятий по созданию обучающих симуляционных центров</t>
  </si>
  <si>
    <t>Закупки лекарственных препаратов и медицинского оборудования</t>
  </si>
  <si>
    <t>Реализация государственных функций в области физической культуры и спорта</t>
  </si>
  <si>
    <t>Оказание адресной финансовой поддержки спортивным организациям, осуществляющим подготовку спортивного резерва для сборных команд Российской Федерации</t>
  </si>
  <si>
    <t>Реализация государственных функций в области туризма</t>
  </si>
  <si>
    <t>Пенсии</t>
  </si>
  <si>
    <t>Закон Российской Федерации от 12 февраля 1993 года № 4468-I "О пенсионном обеспечении лиц, проходивших военную службу, службу в органах внутренних дел, Государственной противопожарной службе, органах по контролю за оборотом наркотических средств и психотропных веществ, учреждениях и органах уголовно-исполнительной системы, и их семей"</t>
  </si>
  <si>
    <t>Пенсии военнослужащим, членам их семей и лицам, приравненным к ним по пенсионному обеспечению, а также пособия и иные выплаты в рамках пенсионного обеспечения</t>
  </si>
  <si>
    <t>Закон Российской Федерации от 26 июня 1992 года № 3132-1 "О статусе судей в Российской Федерации" и Федеральный закон от 10 января 1996 года № 6-ФЗ "О дополнительных гарантиях социальной защиты судей и работников аппаратов судов Российской Федерации"</t>
  </si>
  <si>
    <t>Пожизненное содержание судей</t>
  </si>
  <si>
    <t>Указ Президента Российской Федерации от 23 августа 2000 года № 1563 "О неотложных мерах социальной поддержки специалистов ядерного оружейного комплекса Российской Федерации"</t>
  </si>
  <si>
    <t>Материальное обеспечение специалистов ядерного оружейного комплекса Российской Федерации</t>
  </si>
  <si>
    <t>Выплата региональной доплаты к пенсии</t>
  </si>
  <si>
    <t>Указ Президента Российской Федерации от 18 февраля 2005 года № 176 "Об установлении ежемесячной доплаты к пенсиям отдельным категориям пенсионеров"</t>
  </si>
  <si>
    <t>Ежемесячная доплата к пенсиям отдельным категориям пенсионеров</t>
  </si>
  <si>
    <t>Доплаты к пенсиям, дополнительное пенсионное обеспечение</t>
  </si>
  <si>
    <t xml:space="preserve">Доплаты к пенсиям государственных служащих субъектов Российской Федерации и муниципальных служащих </t>
  </si>
  <si>
    <t>Медико-социальная экспертная комиссия</t>
  </si>
  <si>
    <t>Дома-интернаты для престарелых и инвалидов</t>
  </si>
  <si>
    <t>Учреждения по обучению инвалидов</t>
  </si>
  <si>
    <t>Социальная помощь</t>
  </si>
  <si>
    <t>Закон Российской Федерации от 15 мая 1991 года № 1244-1 "О социальной защите граждан, подвергшихся воздействию радиации вследствие катастрофы на Чернобыльской АЭС"</t>
  </si>
  <si>
    <t>Меры социальной поддержки граждан, подвергшихся воздействию радиации вследствие радиационных аварий и ядерных испытаний</t>
  </si>
  <si>
    <t>Осуществление ежемесячной денежной выплаты гражданам, подвергшимся воздействию радиации вследствие радиационных аварий и ядерных испытаний</t>
  </si>
  <si>
    <t>Пособие по уходу за ребенком гражданам, подвергшимся воздействию радиации вследствие радиационных аварий</t>
  </si>
  <si>
    <t>Пособия гражданам, подвергшимся воздействию радиации вследствие радиационных аварий и ядерных испытаний</t>
  </si>
  <si>
    <t>Компенсация в возмещение вреда гражданам, подвергшимся воздействию радиации вследствие радиационных аварий</t>
  </si>
  <si>
    <t>Федеральный закон от 24 ноября 1995 года № 181-ФЗ "О социальной защите инвалидов в Российской Федерации"</t>
  </si>
  <si>
    <t>Обеспечение инвалидов техническими средствами реабилитации, включая изготовление и ремонт протезно-ортопедических изделий</t>
  </si>
  <si>
    <t>Осуществление ежемесячной денежной выплаты инвалидам</t>
  </si>
  <si>
    <t>Федеральный закон от 17 июля 1999 года № 178-ФЗ «О государственной социальной помощи»</t>
  </si>
  <si>
    <t>Оказание государственной социальной помощи отдельным категориям граждан в части оплаты санаторно-курортного лечения, а также проезда на междугородном транспорте к месту лечения и обратно</t>
  </si>
  <si>
    <t>Оказание отдельным категориям граждан государственной социальной помощи по обеспечению лекарственными препаратами, изделиями медицинского назначения, а также специализированными продуктами лечебного питания для детей-инвалидов</t>
  </si>
  <si>
    <t>Оказание государственной социальной помощи отдельным категориям граждан по проезду на транспорте пригородного сообщения</t>
  </si>
  <si>
    <t>Выплата федеральной социальной доплаты к пенсии</t>
  </si>
  <si>
    <t>Федеральный закон от 12 января 1995 года № 5-ФЗ "О ветеранах"</t>
  </si>
  <si>
    <t>Осуществление ежемесячной денежной выплаты ветеранам</t>
  </si>
  <si>
    <t>Федеральный закон от 19 мая 1995 года № 81-ФЗ "О государственных пособиях гражданам, имеющим детей"</t>
  </si>
  <si>
    <t>Выплата пособий по уходу за ребенком до достижения им возраста полутора лет гражданам, не подлежащим обязательному социальному страхованию на случай временной нетрудоспособности и в связи с материнством</t>
  </si>
  <si>
    <t>Выплата единовременного пособия при всех формах устройства детей, лишенных родительского попечения, в семью</t>
  </si>
  <si>
    <t>Пособие по уходу за ребенком до достижения им возраста полутора лет гражданам, подлежащим обязательному социальному страхованию на случай временной нетрудоспособности и в связи с материнством</t>
  </si>
  <si>
    <t>Пособия при рождении ребенка гражданам, подлежащим обязательному социальному страхованию на случай временной нетрудоспособности и в связи с материнством</t>
  </si>
  <si>
    <t>Единовременные пособия женщинам, вставшим на учет в медицинских учреждениях в ранние сроки беременности, подлежащим обязательному социальному страхованию на случай временной нетрудоспособности и в связи с материнством</t>
  </si>
  <si>
    <t>Пособия при усыновлении ребенка</t>
  </si>
  <si>
    <t>Выплата пособий при рождении ребенка гражданам, не подлежащим обязательному социальному страхованию на случай временной нетрудоспособности и в связи с материнством</t>
  </si>
  <si>
    <t>Выплата единовременных пособий женщинам, вставшим на учет в медицинских учреждениях в ранние сроки беременности, уволенным в связи с ликвидацией организаций, прекращением деятельности (полномочий) физическими лицами в установленном порядке</t>
  </si>
  <si>
    <t>Выплата пособий по беременности и родам женщинам, уволенным в связи с ликвидацией организаций, прекращением деятельности (полномочий) физическими лицами в установленном порядке</t>
  </si>
  <si>
    <t>Федеральный закон от 10 января 2002 года № 2-ФЗ "О социальных гарантиях гражданам, подвергшимся радиационному воздействию вследствие ядерных испытаний на Семипалатинском полигоне"</t>
  </si>
  <si>
    <t>Федеральный закон от 26 ноября 1998 № 175-ФЗ "О социальной защите граждан Российской Федерации, подвергшихся воздействию радиации вследствие аварии в 1957 году на производственном объединении "Маяк" и сбросов радиоактивных отходов в реку Теча"</t>
  </si>
  <si>
    <t>Закон Российской Федерации от 15 января 1993 года № 4301-1 "О статусе Героев Советского Союза, Героев Российской Федерации и полных кавалеров ордена Славы"</t>
  </si>
  <si>
    <t>Осуществление ежемесячной денежной выплаты Героям Советского Союза, Героям Российской Федерации и полным кавалерам ордена Славы</t>
  </si>
  <si>
    <t>Социальная поддержка Героев Советского Союза, Героев Российской Федерации и полных кавалеров ордена Славы</t>
  </si>
  <si>
    <t>Федеральный закон от 9 января 1997 года № 5-ФЗ" О предоставлении социальных гарантий Героям Социалистического Труда и полным кавалерам ордена Трудовой Славы"</t>
  </si>
  <si>
    <t>Осуществление ежемесячной денежной выплаты Героям Социалистического Труда и полным кавалерам ордена Трудовой Славы</t>
  </si>
  <si>
    <t>Социальная поддержка Героев Социалистического Труда и полных кавалеров ордена Трудовой Славы</t>
  </si>
  <si>
    <t>Закон Российской Федерации от 19 февраля 1993 года № 4520-1 "О государственных гарантиях и компенсациях для лиц, работающих и проживающих в районах Крайнего Севера и приравненных к ним местностях"</t>
  </si>
  <si>
    <t>Оплата стоимости проезда пенсионерам к месту отдыха и обратно один раз в два года</t>
  </si>
  <si>
    <t>Указ Президента Российской Федерации от 30 марта 2005 года № 363 "О мерах по улучшению материального положения некоторых категорий граждан Российской Федерации в связи с 60-летеим Победы в Великой Отечественной войне 1941-1945 годов"</t>
  </si>
  <si>
    <t>Дополнительное ежемесячное материальное обеспечение некоторым категориям граждан Российской Федерации в связи с 60-летием Победы в Великой Отечественной войне 1941-1945 годов</t>
  </si>
  <si>
    <t>Указ Президента Российской Федерации от 1 августа 2005 года № 887 "О мерах по улучшению материального положения инвалидов вследствие военной травмы"</t>
  </si>
  <si>
    <t>Дополнительное ежемесячное материальное обеспечение инвалидов вследствие военной травмы</t>
  </si>
  <si>
    <t>Федеральный закон от 17 декабря 2001 года № 173-ФЗ "О трудовых пенсиях в Российской Федерации"</t>
  </si>
  <si>
    <t>Выплата базовой части трудовой пенсии</t>
  </si>
  <si>
    <t>Выплата страховой части трудовой пенсии</t>
  </si>
  <si>
    <t>Выплата накопительной части трудовой пенсии</t>
  </si>
  <si>
    <t>Выплаты правопреемникам умерших застрахованных лиц</t>
  </si>
  <si>
    <t>Федеральный закон от 15 декабря 2001 года № 166-ФЗ "О государственном пенсионном обеспечении в Российской Федерации"</t>
  </si>
  <si>
    <t>Выплата пенсий по государственному пенсионному обеспечению</t>
  </si>
  <si>
    <t>Федеральный закон от 4 марта 2002 года № 21-ФЗ "О дополнительном ежемесячном материальном обеспечении граждан Российской Федерации за выдающиеся достижения и особые заслуги перед Российской Федерацией"</t>
  </si>
  <si>
    <t>Выплата дополнительного материального обеспечения, доплат к пенсиям, пособий и компенсаций</t>
  </si>
  <si>
    <t>Указ Президента Российской Федерации от 28 августа 2003 года № 995 "О дополнительном ежемесячном материальном обеспечении лиц, замещавших должности первых заместителей и заместителей министров Союза ССР и РСФСР, первых заместителей и заместителей председателей государственных комитетов Союза ССР и РСФСР, заместителей управляющих делами Советов Министров Союза ССР и РСФСР и заместителей председателей комитетов народного контроля Союза ССР и РСФСР"</t>
  </si>
  <si>
    <t>Выплата доплат к пенсиям</t>
  </si>
  <si>
    <t>Закон Российской Федерации от 28 июня 1991 года № 1499-I «О медицинском страховании граждан в Российской Федерации»</t>
  </si>
  <si>
    <t>Обязательное медицинское страхование неработающего населения (детей)</t>
  </si>
  <si>
    <t>Выполнение территориальной программы обязательного медицинского страхования в рамках базовой программы обязательного медицинского страхования</t>
  </si>
  <si>
    <t>Выравнивание финансовых условий деятельности территориальных фондов обязательного медицинского страхования за счет средств нормированного страхового запаса Федерального фонда обязательного медицинского страхования</t>
  </si>
  <si>
    <t>Реализация мероприятий в рамках базовой программы обязательного медицинского страхования</t>
  </si>
  <si>
    <t>Обеспечение проведения ремонта индивидуальных жилых домов, принадлежащих членам семей военнослужащих, потерявшим кормильца</t>
  </si>
  <si>
    <t>Единовременное пособие беременной жене военнослужащего, проходящего военную службу по призыву, а также ежемесячное пособие на ребенка военнослужащего, проходящего военную службу по призыву</t>
  </si>
  <si>
    <t>Указ Президента Российской Федерации от 26 декабря 2006 года № 1455 "О компенсационных выплатах лицам, осуществляющим уход за нетрудоспособными гражданами"</t>
  </si>
  <si>
    <t>Компенсационные выплаты лицам, осуществляющим уход за нетрудоспособными гражданами</t>
  </si>
  <si>
    <t>Федеральный закон от 21 декабря 1996 года № 159-ФЗ "О дополнительных гарантиях по социальной поддержке детей-сирот и детей, оставшихся без попечения родителей"</t>
  </si>
  <si>
    <t>Обеспечение жилыми помещениями детей-сирот, детей, оставшихся без попечения родителей, а также детей, находящихся под опекой (попечительством), не имеющих закрепленного жилого помещения</t>
  </si>
  <si>
    <t>Федеральный закон от 12 января 1996 года № 8-ФЗ "О погребении и похоронном деле"</t>
  </si>
  <si>
    <t>Выплата социального пособия на погребение и оказание услуг по погребению согласно гарантированному перечню услуг за умерших, получавших пенсии по государственному пенсионному обеспечению</t>
  </si>
  <si>
    <t>Выплата социального пособия на погребение и оказание услуг по погребению согласно гарантированному перечню услуг за умерших, получавших трудовую пенсию</t>
  </si>
  <si>
    <t>Выплата социального пособия на погребение умерших не работающих пенсионеров, досрочно оформивших пенсию по предложению органов службы занятости, и оказание услуг по погребению согласно гарантированному перечню этих услуг</t>
  </si>
  <si>
    <t>Возмещение стоимости гарантированного перечня услуг и социальные пособия на погребение за счет средств Фонда социального страхования Российской Федерации</t>
  </si>
  <si>
    <t>Возмещение федеральными органами исполнительной власти расходов на погребение</t>
  </si>
  <si>
    <t>Федеральный закон от 24 июля 2002 года № 111-ФЗ "Об инвестировании средств для финансирования накопительной части трудовой пенсии в Российской Федерации"</t>
  </si>
  <si>
    <t>Обеспечение ведения специальной части индивидуальных лицевых счетов застрахованных лиц, формирование средств пенсионных накоплений</t>
  </si>
  <si>
    <t>Передача средств пенсионных накоплений в негосударственные пенсионные фонды</t>
  </si>
  <si>
    <t>Проведение дополнительной диспансеризации работающих граждан</t>
  </si>
  <si>
    <t>Федеральный закон от 27 ноября 2001 года № 155-ФЗ "О дополнительном социальном обеспечении членов летных экипажей воздушных судов гражданской авиации"</t>
  </si>
  <si>
    <t>Доплата к пенсии членам летных экипажей воздушных судов гражданской авиации</t>
  </si>
  <si>
    <t>Постановление Правительства Российской Федерации от 4 августа 2006 года № 472 "О финансировании ежемесячных компенсационных выплат нетрудоустроенным женщинам, имеющим детей в возрасте до 3 лет, уволенным в связи с ликвидацией организации"</t>
  </si>
  <si>
    <t>Компенсации женщинам, имеющим детей в возрасте до трех лет, уволенным в связи с ликвидацией организаций</t>
  </si>
  <si>
    <t>Постановление Правительства Российской Федерации от 30 апреля 1997 года № 510 "О Порядке выплаты компенсаций за утраченное жилье и/или имущество гражданам, пострадавшим в результате разрешения кризиса в Чеченской Республике и покинувшим ее безвозвратно"</t>
  </si>
  <si>
    <t>Компенсация за утраченное жилье и (или) имущество гражданам, пострадавшим в результате разрешения кризиса в Чеченской Республике и покинувшим ее безвозвратно</t>
  </si>
  <si>
    <t>Обеспечение инвалидов транспортными средствами</t>
  </si>
  <si>
    <t>Закон Российской Федерации от 9 июня 1993 года № 5142-I "О донорстве крови и ее компонентов"</t>
  </si>
  <si>
    <t>Обеспечение мер социальной поддержки для лиц, награжденных знаком "Почетный донор СССР", "Почетный донор России"</t>
  </si>
  <si>
    <t>Не используется</t>
  </si>
  <si>
    <t>Федеральный закон от 29 декабря 2006 года № 255-ФЗ "Об обязательном социальном страховании на случай временной нетрудоспособности и в связи с материнством"</t>
  </si>
  <si>
    <t>Пособия по временной нетрудоспособности по обязательному социальному страхованию на случай временной нетрудоспособности и в связи с материнством</t>
  </si>
  <si>
    <t>Пособия по беременности и родам гражданам, подлежащим обязательному социальному страхованию на случай временной нетрудоспособности и в связи с материнством</t>
  </si>
  <si>
    <t>Пособия по беременности и родам отдельным категориям граждан в связи с зачетом в страховой стаж нестраховых периодов</t>
  </si>
  <si>
    <t>Пособия по временной нетрудоспособности отдельным категориям граждан в связи с зачетом в страховой стаж нестраховых периодов</t>
  </si>
  <si>
    <t>Компенсация стоимости санаторно-курортных путевок лицам, нуждающимся в санаторно-курортном лечении</t>
  </si>
  <si>
    <t>Мероприятия по организации социальной защиты</t>
  </si>
  <si>
    <t>Обеспечение жильем инвалидов войны и инвалидов боевых действий, участников Великой Отечественной войны, ветеранов боевых действий, военнослужащих, проходивших военную службу в период с 22 июня 1941 года по 3 сентября 1945 года, граждан, награжденных знаком "Жителю блокадного Ленинграда", лиц, работавших на военных объектах в период Великой Отечественной войны, членов семей погибших (умерших) инвалидов войны, участников Великой Отечественной войны, ветеранов боевых действий, инвалидов и семей, имеющих детей-инвалидов</t>
  </si>
  <si>
    <t>Обеспечение жильем отдельных категорий граждан, установленных Федеральным законом от 12 января 1995 года N 5-ФЗ "О ветеранах", в соответствии с Указом Президента Российской Федерации от 7 мая 2008 года N 714 "Об обеспечении жильем ветеранов Великой Отечественной войны 1941 - 1945 годов"</t>
  </si>
  <si>
    <t>Обеспечение жильем отдельных категорий граждан, установленных Федеральными законами от 12 января 1995 года № 5-ФЗ "О ветеранах" и от 24 ноября 1995 года № 181-ФЗ "О социальной защите инвалидов в Российской Федерации"</t>
  </si>
  <si>
    <t>Оплата медицинской помощи женщинам в период беременности, родов и послеродовом периоде, а также диспансерного наблюдения ребенка в течение первого года жизни</t>
  </si>
  <si>
    <t>Обеспечение жилыми помещениями детей-сирот, детей, оставшихся без попечения родителей, а также детей, находящихся под опекой (попечительством), не имеющих закрепленного жилого помещения за счет областных средств</t>
  </si>
  <si>
    <t>Обеспечение равной доступности услуг общественного транспорта на территории соответствующего субъекта Российской Федерации для отдельных категорий граждан, оказание мер социальной поддержки которым относится к ведению Российской Федерации и субъектов Российской Федерации</t>
  </si>
  <si>
    <t>Реализация иных мер социальной поддержки отдельных категорий граждан</t>
  </si>
  <si>
    <t>Единовременная выплата отдельным категориям граждан в связи с празднованием 65-летия Победы в Великой Отечественной войне</t>
  </si>
  <si>
    <t>Федеральный закон от 24 июля 1998 года № 125-ФЗ "Об обязательном социальном страховании от несчастных случаев на производстве и профессиональных заболеваний"</t>
  </si>
  <si>
    <t>Пособия по временной нетрудоспособности по обязательному социальному страхованию от несчастных случаев на производстве и профессиональных заболеваний</t>
  </si>
  <si>
    <t>Единовременные страховые выплаты</t>
  </si>
  <si>
    <t>Ежемесячные страховые выплаты</t>
  </si>
  <si>
    <t>Медицинская, социальная и профессиональная реабилитация пострадавших, обеспечение предупредительных мер по сокращению производственного травматизма и профессиональных заболеваний</t>
  </si>
  <si>
    <t>Доставка и пересылка страховых выплат</t>
  </si>
  <si>
    <t>Осуществление мероприятий по обучению по охране труда отдельных категорий застрахованных</t>
  </si>
  <si>
    <t>Проведение научно-исследовательских работ по охране труда</t>
  </si>
  <si>
    <t>Проведение углубленных медицинских осмотров работников, занятых на работах с вредными и (или) опасными производственными факторами</t>
  </si>
  <si>
    <t>Финансовое обеспечение государственного задания в соответствии с программой государственных гарантий оказания гражданам Российской Федерации бесплатной медицинской помощи на оказание дополнительной бесплатной медицинской помощи, оказываемой врачами-терапевтами участковыми, врачами-педиатрами участковыми, врачами общей практики (семейными врачами), медицинскими сестрами участковыми врачей-терапевтов участковых, врачей-педиатров участковых, медицинскими сестрами врачей общей практики (семейных врачей)</t>
  </si>
  <si>
    <t>Федеральный закон от 29 декабря 2006 года № 256-ФЗ "О дополнительных мерах государственной поддержки семей, имеющих детей"</t>
  </si>
  <si>
    <t>Предоставление материнского (семейного) капитала</t>
  </si>
  <si>
    <t>Направление средств материнского (семейного) капитала, ранее направленных на формирование накопительной части трудовой пенсии, на улучшение жилищных условий и получение образования ребенком (детьми)</t>
  </si>
  <si>
    <t>Федеральный закон от 16 июля 1999 года № 165-ФЗ "Об основах обязательного социального страхования"</t>
  </si>
  <si>
    <t>Оплата путевок на санаторно-курортное лечение работников</t>
  </si>
  <si>
    <t>Федеральный закон от 17 сентября 1998 года № 157-ФЗ "Об иммунопрофилактике инфекционных болезней"</t>
  </si>
  <si>
    <t>Государственные единовременные пособия и ежемесячные денежные компенсации гражданам при возникновении поствакцинальных осложнений</t>
  </si>
  <si>
    <t>Выплаты инвалидам компенсаций страховых премий по договорам обязательного страхования гражданской ответственности владельцев транспортных средств</t>
  </si>
  <si>
    <t>Оплата жилищно-коммунальных услуг отдельным категориям граждан</t>
  </si>
  <si>
    <t>Предоставление гражданам субсидий на оплату жилого помещения и коммунальных услуг</t>
  </si>
  <si>
    <t>Закон Российской Федерации от 18 октября 1991 года № 1761-1 "О реабилитации жертв политических репрессий"</t>
  </si>
  <si>
    <t>Единовременные денежные компенсации реабилитированным лицам</t>
  </si>
  <si>
    <t>Оплата четырех дополнительных выходных дней работающим родителям (опекунам, попечителям) для ухода за детьми-инвалидами</t>
  </si>
  <si>
    <t>Закон Российской Федерации от 19 апреля 1991 года № 1032-1 "О занятости населения в Российской Федерации"</t>
  </si>
  <si>
    <t>Выплата пенсий, назначенных досрочно гражданам, признанным безработными</t>
  </si>
  <si>
    <t>Федеральный закон от 10 мая 2010 года № 84-ФЗ "О дополнительном социальном обеспечении отдельных категорий работников организаций угольной промышленности"</t>
  </si>
  <si>
    <t>Доплаты к пенсии работникам организаций угольной промышленности</t>
  </si>
  <si>
    <t>Компенсационные выплаты за утраченное жилье и имущество пострадавшим в результате разрешения кризиса в Чеченской Республике гражданам, постоянно проживающим на ее территории</t>
  </si>
  <si>
    <t>Федеральный закон от 30 апреля 2008 года № 56-ФЗ "О дополнительных страховых взносах на накопительную часть трудовой пенсии и государственной поддержке формирования пенсионных накоплений"</t>
  </si>
  <si>
    <t>Обеспечение ведения специальной части индивидуальных лицевых счетов застрахованных лиц, добровольно вступивших в правоотношения по обязательному пенсионному страхованию в целях уплаты дополнительных страховых взносов на накопительную часть трудовой пенсии</t>
  </si>
  <si>
    <t>Реализация мер социальной поддержки отдельных категорий граждан</t>
  </si>
  <si>
    <t>Ежемесячное пособие на ребенка</t>
  </si>
  <si>
    <t>Обеспечение мер социальной поддержки ветеранов труда и тружеников тыла</t>
  </si>
  <si>
    <t>Обеспечение мер социальной поддержки ветеранов труда</t>
  </si>
  <si>
    <t>Обеспечение мер социальной поддержки тружеников тыла</t>
  </si>
  <si>
    <t>Обеспечение мер социальной поддержки реабилитированных лиц и лиц, признанных пострадавшими от политических репрессий</t>
  </si>
  <si>
    <t>Выплата пенсий иностранным гражданам, проживающим на территории Российской Федерации</t>
  </si>
  <si>
    <t>Выплата пенсий гражданам Эстонской Республики</t>
  </si>
  <si>
    <t>Выплата пенсий гражданам Латвийской Республики</t>
  </si>
  <si>
    <t>Выплата пенсий гражданам Республики Белоруссия</t>
  </si>
  <si>
    <t>Выплата пенсий гражданам Республики Болгария</t>
  </si>
  <si>
    <t>Выплата доплат к пенсиям за счет средств бюджета субъекта</t>
  </si>
  <si>
    <t>Выплата доплат к пенсиям за счет средств бюджета Чеченской Республики</t>
  </si>
  <si>
    <t>Указ Президента Российской Федерации от 27 декабря 1999 года № 1708 "О дополнительных мерах социальной поддержки Героев Советского Союза, Героев Российской Федерации и полных кавалеров ордена Славы - участников Великой Отечественной войны 1941 - 1945 годов"</t>
  </si>
  <si>
    <t>Дополнительное пожизненное ежемесячное материальное обеспечение Героям Советского Союза, Героям Российской Федерации и полным кавалерам ордена Славы - участникам Великой Отечественной войны 1941 - 1945 годов</t>
  </si>
  <si>
    <t>Оказание других видов социальной помощи</t>
  </si>
  <si>
    <t>Оказание других видов социальной помощи по решению суда</t>
  </si>
  <si>
    <t>Покрытие дефицита бюджетов государственных внебюджетных фондов</t>
  </si>
  <si>
    <t>Покрытие дефицита бюджета Фонда социального страхования Российской Федерации"</t>
  </si>
  <si>
    <t>Покрытие дефицита бюджета Пенсионного фонда Российской Федерации</t>
  </si>
  <si>
    <t>Дополнительные средства на покрытие дефицитов бюджетов государственных внебюджетных фондов Российской Федерации</t>
  </si>
  <si>
    <t>Мероприятия в области государственной семейной политики</t>
  </si>
  <si>
    <t>Единовременное денежное поощрение при награждении орденом "Родительская слава"</t>
  </si>
  <si>
    <t>Учреждения социального обслуживание  населения</t>
  </si>
  <si>
    <t>Премии, стипендии за выдающиеся заслуги</t>
  </si>
  <si>
    <t>Указ Президента Российской Федерации от 30 июля 2008 года № 1144 "О премии Президента Российской Федерации в области науки и инноваций для молодых ученых"</t>
  </si>
  <si>
    <t>Премия Президента Российской Федерации в области науки и инноваций для молодых ученых</t>
  </si>
  <si>
    <t>Указ Президента Российской Федерации от 21 июня 2004 года № 785 "О совершенствовании системы государственного премирования за достижения в области науки и техники, образования и культуры"</t>
  </si>
  <si>
    <t>Государственные премии Российской Федерации в области науки и техники, образования и культуры</t>
  </si>
  <si>
    <t>Указ Президента Российской Федерации от 20 марта 2006 года № 233 "О Государственной премии Российской Федерации за выдающиеся достижения в области гуманитарной деятельности"</t>
  </si>
  <si>
    <t>Государственная премия Российской Федерации за выдающиеся достижения в области гуманитарной деятельности</t>
  </si>
  <si>
    <t>Указ Президента Российской Федерации от 24 февраля 2004 года № 233 "О мерах государственной поддержки работников организаций оборонно-промышленного комплекса Российской Федерации"</t>
  </si>
  <si>
    <t>Ежемесячная стипендия работникам организаций оборонно-промышленного комплекса Российской Федерации за выдающиеся заслуги в области создания вооружения, военной и специальной техники</t>
  </si>
  <si>
    <t>Указ Президента Российской Федерации от 6 июля 2002 года № 692 "О стипендиях Президента Российской Федерации спортсменам - членам спортивных сборных команд Российской Федерации и их тренерам, чемпионам Олимпийских игр, чемпионам Паралимпийских игр и чемпионам Сурдлимпийских игр, входившим в состав сборных команд СССР и (или) Российской Федерации"</t>
  </si>
  <si>
    <t>Стипендия Президента Российской Федерации членам спортивных сборных команд Российской Федерации и их тренерам, а также чемпионам Олимпийских игр, чемпионам Паралимпийских игр и чемпионам Сурдлимпийских игр, входившим в состав сборных команд СССР и (или) Российской Федерации</t>
  </si>
  <si>
    <t>Указ Президента Российской Федерации от 16 сентября 1993 года № 1372 "О мерах по материальной поддержке ученых России"</t>
  </si>
  <si>
    <t>Государственные научные стипендии для выдающихся ученых России и для талантливых молодых ученых России</t>
  </si>
  <si>
    <t>Постановление Правительства Российской Федерации от 26 августа 2004 года № 439 "О премиях Правительства Российской Федерации в области науки и техники"</t>
  </si>
  <si>
    <t>Премии Правительства Российской Федерации в области науки и техники ученым и специалистам</t>
  </si>
  <si>
    <t>Постановление Правительства Российской Федерации от 15 декабря 2004 года № 793 "О премиях Правительства Российской Федерации в области науки и техники для молодых ученых"</t>
  </si>
  <si>
    <t>Премии Правительства Российской Федерации в области науки и техники для молодых ученых</t>
  </si>
  <si>
    <t>Указ Президента Российской Федерации от 29 апреля 2010 года № 518 "О мерах государственной поддержки молодых работников организаций оборонно-промышленного комплекса Российской Федерации"</t>
  </si>
  <si>
    <t>Стипендии молодым работникам организаций оборонно-промышленного комплекса</t>
  </si>
  <si>
    <t>Постановление Правительства Российской Федерации от 19 января 2005 года № 29 "О премиях Правительства Российской Федерации в области культуры"</t>
  </si>
  <si>
    <t>Премии Правительства Российской Федерации в области культуры</t>
  </si>
  <si>
    <t>Постановление Правительства Российской Федерации от 26 августа 2004 года № 440 "О премиях Правительства Российской Федерации в области образования"</t>
  </si>
  <si>
    <t>Премии Правительства Российской Федерации в области образования</t>
  </si>
  <si>
    <t>Постановление Правительства Российской Федерации от 19 января 2005 года № 28 "О премиях Правительства Российской Федерации в области печатных средств массовой информации"</t>
  </si>
  <si>
    <t>Премии Правительства Российской Федерации в области печатных средств массовой информации</t>
  </si>
  <si>
    <t>Постановление Правительства Российской Федерации от 4 апреля 2011 года N 240 "О премиях Правительства Российской Федерации имени Ю.А. Гагарина в области космической деятельности"</t>
  </si>
  <si>
    <t>Премии Правительства Российской Федерации имени Ю.А. Гагарина в области космической деятельности</t>
  </si>
  <si>
    <t>Реализация государственной политики занятости населения</t>
  </si>
  <si>
    <t>Организация альтернативной гражданской службы</t>
  </si>
  <si>
    <t>Осуществление полномочий Российской Федерации в области содействия занятости населения, включая расходы по осуществлению этих полномочий</t>
  </si>
  <si>
    <t>Реализация дополнительных мероприятий, направленных на снижение напряженности на рынке труда субъектов Российской Федерации</t>
  </si>
  <si>
    <t>Мероприятия по борьбе с беспризорностью, по опеке и попечительству</t>
  </si>
  <si>
    <t>Перевозка несовершеннолетних, самовольно ушедших из семей, детских домов, школ-интернатов, специальных учебно-воспитательных и иных детских учреждений</t>
  </si>
  <si>
    <t>Физкультурно-оздоровительная работа и спортивные мероприятия</t>
  </si>
  <si>
    <t>Поддержка туристической деятельности</t>
  </si>
  <si>
    <t>Реализация государственных функций в области социальной политики</t>
  </si>
  <si>
    <t>не используется</t>
  </si>
  <si>
    <t>ВЦП "Развитие системы мер социальной поддержки населения ЯО"</t>
  </si>
  <si>
    <t>Господдержка опеки и попечительства</t>
  </si>
  <si>
    <t>Субсидии стационарам сложного протезирования на оплату дней пребывания инвалидов в стационарах</t>
  </si>
  <si>
    <t>Переселение граждан в другую местность</t>
  </si>
  <si>
    <t>Субсидии на государственную поддержку общероссийских общественных организаций инвалидов</t>
  </si>
  <si>
    <t>Субсидии отдельным общественным организациям и иным некоммерческим объединениям</t>
  </si>
  <si>
    <t>Субсидии федеральным государственным унитарным протезно-ортопедическим предприятиям на возмещение убытков, связанных с реализацией протезно-ортопедических изделий и услуг по протезированию по ценам ниже себестоимости</t>
  </si>
  <si>
    <t>Реформирование системы оплаты труда работников федеральных бюджетных учреждений</t>
  </si>
  <si>
    <t>Разработка и реализация комплекса мер по оказанию поддержки детям, оказавшимся в трудной жизненной ситуации</t>
  </si>
  <si>
    <t>Финансовое обеспечение единовременного денежного поощрения лучших врачей</t>
  </si>
  <si>
    <t>Приобретение жилья гражданами, уволенными с военной службы, проживающими совместно с членами их семей в Мурманской и Архангельской областях и не вставшими до 1 января 2005 года на учет в качестве нуждающихся в жилых помещениях в органах местного самоуправления по избранному месту постоянного жительства</t>
  </si>
  <si>
    <t>Ежемесячные денежные выплаты, назначаемые в случае рождения третьего ребенка или последующих детей до достижения ребенком возраста трех лет</t>
  </si>
  <si>
    <t>Осуществление мероприятий по снижению профессионального риска застрахованного по обязательному социальному страхованию от несчастных случаев на производстве и профессиональных заболеваний и оптимизации страховых тарифов</t>
  </si>
  <si>
    <t>Развитие подведомственных центров реабилитации Фонда социального страхования Российской Федерации</t>
  </si>
  <si>
    <t>Федеральный закон от 27 мая 1998 года № 76-ФЗ "О статусе военнослужащих"</t>
  </si>
  <si>
    <t>Пособия, выплаты и компенсации членам семей военнослужащих, а также лицам, уволенным с военной службы без права на пенсию</t>
  </si>
  <si>
    <t>Пособия, выплаты и компенсации лицам, уволенным с военной службы с правом на пенсию, а также членам их семей</t>
  </si>
  <si>
    <t>Закон Российской Федерации от 18 апреля 1991 года № 1026-I "О милиции"</t>
  </si>
  <si>
    <t>Пособия лицам, являвшимся сотрудниками милиции, получившим телесные повреждения, исключающие возможность дальнейшего прохождения службы, а также семьям и иждивенцам сотрудников милиции, погибших (умерших) в связи с осуществлением служебной деятельности</t>
  </si>
  <si>
    <t>Постановление Верховного Совета Российской Федерации от 23 декабря 1992 года № 4202-I "Об утверждении Положения о службе в органах внутренних дел Российской Федерации и текста Присяги сотрудника органов внутренних дел Российской Федерации"</t>
  </si>
  <si>
    <t>Пособия, выплаты и компенсации лицам, уволенным со службы в органах внутренних дел с правом на пенсию, а также членам их семей</t>
  </si>
  <si>
    <t>Федеральный закон от 21 июля 1997 года № 114-ФЗ "О службе в таможенных органах Российской Федерации"</t>
  </si>
  <si>
    <t>Пособия, выплаты и компенсации лицам, уволенным со службы в таможенных органах, а также членам их семей</t>
  </si>
  <si>
    <t>Федеральный закон от 21 декабря 1994 года № 69-ФЗ "О пожарной безопасности"</t>
  </si>
  <si>
    <t>Пособия лицам, досрочно уволенным из органов федеральной противопожарной службы, и членам семей погибших (умерших) сотрудников и работников федеральной противопожарной службы</t>
  </si>
  <si>
    <t>Федеральный закон "О прокуратуре Российской Федерации"</t>
  </si>
  <si>
    <t>Компенсации лицам, являвшимся прокурорами и следователями, утратившим возможность заниматься профессиональной деятельностью, и членам семей погибших (умерших) прокуроров и следователей</t>
  </si>
  <si>
    <t>Федеральный закон от 21 июля 1997 года № 118-ФЗ "О судебных приставах"</t>
  </si>
  <si>
    <t>Компенсации лицам, являвшимся судебными приставами, утратившим возможность заниматься профессиональной деятельностью, и нетрудоспособным членам семей погибших (умерших) судебных приставов</t>
  </si>
  <si>
    <t>Таможенный кодекс Российской Федерации</t>
  </si>
  <si>
    <t>Пособия гражданам, являвшимся должностными лицами таможенных органов, утратившим возможность заниматься профессиональной деятельностью, и членам семьи и иждивенцам должностного лица таможенных органов в случае его гибели в связи с исполнением служебных обязанностей</t>
  </si>
  <si>
    <t>Федеральный закон "О беженцах"</t>
  </si>
  <si>
    <t>Пособие лицам, ходатайствующим о признании их беженцами на территории Российской Федерации, и прибывшим с ними членам их семей</t>
  </si>
  <si>
    <t>Закон Российской Федерации от 19 февраля 1993 года № 4530-I "О вынужденных переселенцах"</t>
  </si>
  <si>
    <t>Пособие лицам, ходатайствующим о признании их вынужденными переселенцами, и прибывшим с ними членам их семей</t>
  </si>
  <si>
    <t>Указ Президента Российской Федерации от 30 мая 1994 года № 1110 "О размере компенсационных выплат отдельным категориям граждан"</t>
  </si>
  <si>
    <t>Компенсационные выплаты отдельным категориям граждан</t>
  </si>
  <si>
    <t>Указ Президента Российской Федерации от 30 октября 2009 года № 1225 "О дополнительных гарантиях и компенсациях работникам органов прокуратуры Российской Федерации, осуществляющим служебную деятельность на территории Северо-Кавказского региона Российской Федерации, и членам их семей"</t>
  </si>
  <si>
    <t>Пособие детям погибших (пропавших без вести) работников органов прокуратуры</t>
  </si>
  <si>
    <t>Указ Президента Российской Федерации от 29 октября 2009 года № 1219 "О дополнительных мерах по усилению социальной защиты детей военнослужащих и сотрудников некоторых федеральных органов исполнительной власти, погибших (умерших), пропавших без вести при исполнении обязанностей военной службы (служебных обязанностей)"</t>
  </si>
  <si>
    <t>Ежемесячное пособие детям отдельных категорий военнослужащих и сотрудников некоторых федеральных органов исполнительной власти, погибших (умерших), пропавших без вести при исполнении обязанностей военной службы (служебных обязанностей)</t>
  </si>
  <si>
    <t>Указ Президента Российской Федерации от 5 июня 2003 года № 613 "О правоохранительной службе в органах по контролю за оборотом наркотических средств и психотропных веществ"</t>
  </si>
  <si>
    <t>Ежемесячные социальные пособия лицам, уволенным из органов по контролю за оборотом наркотических средств и психотропных веществ без права на пенсию</t>
  </si>
  <si>
    <t>Постановление Правительства Российской Федерации от 29 декабря 2008 года № 1051 "О порядке предоставления пособий на проведение летнего оздоровительного отдыха детей отдельных категорий военнослужащих и сотрудников некоторых федеральных органов исполнительной власти, погибших (умерших), пропавших без вести, ставших инвалидами в связи с выполнением задач в условиях вооруженного конфликта немеждународного характера в Чеченской Республике и на непосредственно прилегающих к ней территориях Северного Кавказа, отнесенных к зоне вооруженного конфликта, а также в связи с выполнением задач в ходе контртеррористических операций на территории Северо-Кавказского региона, пенсионное обеспечение которых осуществляется Пенсионным фондом Российской Федерации"</t>
  </si>
  <si>
    <t>Пособие на проведение летнего оздоровительного отдыха детей отдельных категорий военнослужащих и сотрудников некоторых федеральных органов исполнительной власти, погибших (умерших), пропавших без вести, ставших инвалидами в связи с выполнением задач в условиях вооруженного конфликта немеждународного характера, а также в связи с выполнением задач в ходе контртеррористических операций</t>
  </si>
  <si>
    <t>Федеральный закон от 17 декабря 1994 года № 67-ФЗ "О федеральной фельдъегерской связи"</t>
  </si>
  <si>
    <t>Пособия лицам, являвшимся сотрудниками федеральной фельдъегерской связи, получившим телесные повреждения, исключающие для них возможность дальнейшего осуществления служебной деятельности, а также семьям и иждивенцам погибших (умерших) сотрудников федеральной фельдъегерской связи</t>
  </si>
  <si>
    <t>Софинансирование социальных программ субъектов Российской Федерации, связанных с укреплением материально-технической базы учреждений социального обслуживания населения и оказанием адресной социальной помощи неработающим пенсионерам</t>
  </si>
  <si>
    <t>Реализация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t>
  </si>
  <si>
    <t>Выравнивание бюджетной обеспеченности</t>
  </si>
  <si>
    <t xml:space="preserve">Выравнивание бюджетной обеспеченности поселений из районного фонда финансовой поддержки </t>
  </si>
  <si>
    <t>Дотации</t>
  </si>
  <si>
    <t>Дотации бюджетам закрытых административно-территориальных образований</t>
  </si>
  <si>
    <t>Поддержка мер по обеспечению сбалансированности бюджетов</t>
  </si>
  <si>
    <t>Дотация на сбалансированность бюджетов поселений</t>
  </si>
  <si>
    <t>Содержание объектов инфраструктуры города Байконура, связанных с арендой космодрома Байконур</t>
  </si>
  <si>
    <t>Дотация бюджету Красноярского края</t>
  </si>
  <si>
    <t>Поддержка мер по обеспечению сбалансированности бюджетов закрытых административно-территориальных образований</t>
  </si>
  <si>
    <t>Поощрение достижения наилучших значений показателей деятельности органов исполнительной власти</t>
  </si>
  <si>
    <t>Дотация на реализацию мероприятий, предусмотренных нормативными правовыми актами органов государственной власти, в рамках статьи 8 Закона Ярославской области от 7 октября 2008 г. №40-з "О межбюджетных отношениях"</t>
  </si>
  <si>
    <t>Реформирование региональных и муниципальных финансов</t>
  </si>
  <si>
    <t>Реформирование региональных финансов</t>
  </si>
  <si>
    <t>Софинансирование реформирования региональных финансов</t>
  </si>
  <si>
    <t>Реформирование муниципальных финансов</t>
  </si>
  <si>
    <t>Осуществление полномочий по резервированию земель и изъятию земельных участков для федеральных нужд</t>
  </si>
  <si>
    <t>Осуществление Краснодарским краем полномочий по резервированию земель и изъятию земельных участков для федеральных нужд</t>
  </si>
  <si>
    <t>Иные безвозмездные и безвозвратные перечисления</t>
  </si>
  <si>
    <t>Реализация программ местного развития и обеспечение занятости для шахтерских городов и поселков</t>
  </si>
  <si>
    <t>Развитие и поддержка инфраструктуры города Байконура</t>
  </si>
  <si>
    <t>Развитие и поддержка социальной и инженерной инфраструктуры закрытых административно-территориальных образований</t>
  </si>
  <si>
    <t>Иные межбюджетные трансферты на развитие и поддержку социальной и инженерной инфраструктуры закрытых административно-территориальных образований</t>
  </si>
  <si>
    <t>Развитие и поддержка социальной, инженерной и инновационной инфраструктуры наукоградов Российской Федерации</t>
  </si>
  <si>
    <t>Иные межбюджетные трансферты на развитие и поддержку социальной, инженерной и инновационной инфраструктуры наукоградов Российской Федерации</t>
  </si>
  <si>
    <t>Переселение граждан Российской Федерации из города Байконура</t>
  </si>
  <si>
    <t>Переселение граждан из закрытых административно-территориальных образований</t>
  </si>
  <si>
    <t>Приобретение автотранспортных средств повышенной проходимости для развития межпоселкового пассажирского сообщения наземным транспортом на территории Корякского округа</t>
  </si>
  <si>
    <t>Государственная поддержка деятельности Комитета ветеранов подразделений особого риска Российской Федерации</t>
  </si>
  <si>
    <t>Ежемесячное денежное вознаграждение за классное руководство</t>
  </si>
  <si>
    <t>Компенсация части родительской платы за содержание ребенка в государственных и муниципальных образовательных учреждениях, реализующих основную общеобразовательную программу дошкольного образования</t>
  </si>
  <si>
    <t>Компенсация расходов на содержание ребенка в дошкольной образовательной организации</t>
  </si>
  <si>
    <t>Государственная поддержка внедрения комплексных мер модернизации образования</t>
  </si>
  <si>
    <t>Содержание ребенка в семье опекуна и приемной семье, а также вознаграждение, причитающееся приемному родителю</t>
  </si>
  <si>
    <t>Выплаты приемной семье на содержание подопечных детей</t>
  </si>
  <si>
    <t>Оплата труда приемного родителя</t>
  </si>
  <si>
    <t>Выплаты семьям опекунов на содержание подопечных детей</t>
  </si>
  <si>
    <t>Премирование победителей Всероссийского конкурса на звание "Самый благоустроенный город России"</t>
  </si>
  <si>
    <t>Средства, передаваемые для компенсации дополнительных расходов, возникших а результате решений, принятых органами власти другого уровня</t>
  </si>
  <si>
    <t>Выполнение Читинской областью комплекса мероприятий по развитию транспортной и социальной инфраструктуры Читинской области и Агинского Бурятского автономного округа</t>
  </si>
  <si>
    <t>Денежные выплаты медицинскому персоналу фельдшерско-акушерских пунктов, врачам, фельдшерам и медицинским сестрам скорой медицинской помощи</t>
  </si>
  <si>
    <t>Отдельные полномочия в области лекарственного обеспечения</t>
  </si>
  <si>
    <t>Финансовое обеспечение оказания дополнительной медицинской помощи, оказываемой врачами-терапевтами участковыми, врачами-педиатрами участковыми, врачами общей практики (семейными врачами), медицинскими сестрами участковыми врачей-терапевтов участковых, врачей-педиатров участковых, медицинскими сестрами врачей общей практики (семейных врачей)</t>
  </si>
  <si>
    <t>Проведение капитального ремонта многоквартирных домов и переселение граждан из аварийного фонда</t>
  </si>
  <si>
    <t>Реализация региональных программ повышения эффективности бюджетных расходов</t>
  </si>
  <si>
    <t>Премирование победителей Всероссийского конкурса на звание "Самое благоустроенное городское (сельское) поселение России"</t>
  </si>
  <si>
    <t>Финансовое обеспечение единовременного денежного поощрения лучших социальных работников</t>
  </si>
  <si>
    <t>Капитальный ремонт и ремонт дворовых территорий многоквартирных домов, проездов к дворовым территориям многоквартирных домов административных центров субъектов Российской Федерации и административных центров муниципальных районов Московской и Ленинградской областей</t>
  </si>
  <si>
    <t>Повышение пожарной безопасности торфяников</t>
  </si>
  <si>
    <t>Материальное обеспечение патронатной семьи</t>
  </si>
  <si>
    <t>Оплата труда патронатного родителя</t>
  </si>
  <si>
    <t>Межбюджетные трансферты</t>
  </si>
  <si>
    <t>Субсидия для софинансирования расходных обязательств, возникающих при выполнении полномочий органов местного самоуправления по вопросам местного значения</t>
  </si>
  <si>
    <t>Субсидия на реализацию мероприятий патриотического воспитания молодежи ЯО</t>
  </si>
  <si>
    <t>Субсидия на подготовку к зиме объектов коммунального назначения</t>
  </si>
  <si>
    <t>Субсидия на финансирование убытков предприятий ЖКХ в результате предоставления ЖКУ населению городского пос Тутаев</t>
  </si>
  <si>
    <t>Субсидия на реализацию ЦМП "Соц развитие ТМР на период 2007 - 2010 гг."</t>
  </si>
  <si>
    <t>Субсидия на компенсацию части затрат по организации внутримуниципального сообщения водным транспортом с использованием переправ</t>
  </si>
  <si>
    <t>Субсидия на содержание органов местного самоуправления</t>
  </si>
  <si>
    <t>Иные межбюджетные трансферты бюджетам бюджетной системы</t>
  </si>
  <si>
    <t>Межбюджетные трансферты на обеспечение сбалансированности бюджетов поселений</t>
  </si>
  <si>
    <t>Межбюджетные трансферты на снижение тарифов на жилищно-коммунальные услуги для населения органами местного самоуправления</t>
  </si>
  <si>
    <t>Межбюджетные трансферты на финансирование убытков предприятиям ЖКХ в результате предоставления ЖКУ населению городского пос.Тутаев</t>
  </si>
  <si>
    <t>Региональные целевые программы</t>
  </si>
  <si>
    <t>Областная целевая программа "Развитие сельского хозяйства, пищевой и перерабатывающей промышленности ЯО"</t>
  </si>
  <si>
    <t xml:space="preserve">Областная целевая программа "Социальное развитие села до 2012 года" </t>
  </si>
  <si>
    <t>Проведение мероприятий по улучшению жилищных условий граждан Российской Федерации,  проживающих и работающих в сельской местности</t>
  </si>
  <si>
    <t>ОЦП " Обеспечение территорий МО ЯО градостроительной документацией и ПЗЗ"</t>
  </si>
  <si>
    <t>Областная целевая программа "Государственная поддержка молодых семей Ярославской области в приобретении (строительстве) жилья"</t>
  </si>
  <si>
    <t>Подпрограмма  "Отдых, оздоровление и занятость детей"</t>
  </si>
  <si>
    <t>Программа "Обеспечение доступного дошкольного образования"</t>
  </si>
  <si>
    <t>Программа "Обеспечение доступного дошкольного образования" в части проведения ремонтных работ</t>
  </si>
  <si>
    <t>Программа "Обеспечение доступного дошкольного образования" в части мероприятий по строительству дошкольных образовательных учреждений</t>
  </si>
  <si>
    <t>Областная комплексная целевая программа "Семья и дети Ярославии"</t>
  </si>
  <si>
    <t>Реализация подпрограмм "Семья", "Дети-сироты", Дети-инвалиды", "Одаренные дети"</t>
  </si>
  <si>
    <t>Подпрограмма "Ярославские каникулы" в части оздоровления и отдыха</t>
  </si>
  <si>
    <t>Подпрограмма "Ярославские каникулы" оплата стоимости наборов продуктов питания в лагерях с дневной формой пребывания</t>
  </si>
  <si>
    <t>Подпрограмма "Ярославские каникулы" профильные лагеря</t>
  </si>
  <si>
    <t>Подпрограмма "Ярославские каникулы" победители ежегодного конкурса соц. знач. проектов сфере организации отдыха</t>
  </si>
  <si>
    <t>Оказание господ. поддержки победителям конкурса проект. иннов. моделей по выявл. и поддержке одарен. детей</t>
  </si>
  <si>
    <t>Подпрограмма "Ярославские каникулы" в части компенсации стоимости санаторно-курортной путевки лицам, нуждающимся в санаторно-курортном лечении</t>
  </si>
  <si>
    <t>Оказание гос. поддержки  побед конкурса мун. модел. по сопр. семей восп. детей-инвалидов</t>
  </si>
  <si>
    <t>ОЦП "Развитие туризма и отдыха в Ярославской области"</t>
  </si>
  <si>
    <t>Субсидия на реализацию муниципальных программ  развития туризма и отдыха</t>
  </si>
  <si>
    <t xml:space="preserve">ОЦП "Развитие образования" </t>
  </si>
  <si>
    <t>Областная целевая программа "Развитие материально-технической базы общеобразовательных учреждений Ярославской области"</t>
  </si>
  <si>
    <t xml:space="preserve">Областная целевая программа "Развитие материально-технической базы общеобразовательных учреждений Ярославской области" в части проведения модернизации пищеблоков общеобразовательных учреждений  </t>
  </si>
  <si>
    <t>Областная целевая программа "Комплексные меры противодействия злоупотреблению наркотиками и их незаконному обороту"</t>
  </si>
  <si>
    <t>ОЦП Развития субъектов малого и среднего предпринимательства ЯО</t>
  </si>
  <si>
    <t xml:space="preserve">ОЦП Развития субъектов малого и среднего предпринимательства ЯО в части создания бизнес-инкубаторов </t>
  </si>
  <si>
    <t>ОЦП Развития субъектов малого и среднего предпринимательства ЯО в части реализации МП развития субъектов малого и среднего предпринимательства</t>
  </si>
  <si>
    <t>ОЦП Развития субъектов малого и среднего предпринимательства ЯО в части реализации МП включенных в перечень монопрофильных муниципальных районов</t>
  </si>
  <si>
    <t>ОЦП"Патриотеческое воспитание граждан РФ"</t>
  </si>
  <si>
    <t>ОЦП "Поддержка потребительского рынка на селе"</t>
  </si>
  <si>
    <t>ОЦП "Развитие и совершенствование бытового обслуживания населения и торговли в Ярославской области" в части возмещения части затрат организациям любых форм собственности и индивидуальным предпринимателям, занимающихся доставкой товаров</t>
  </si>
  <si>
    <t>Областная целевая программа "Государственная поддержка граждан, проживающих на территории Ярославской области, в сфере ипотечного жилищного кредитования"</t>
  </si>
  <si>
    <t>Областная целевая программа "Профилактика правонарушений в Ярославской области"</t>
  </si>
  <si>
    <t xml:space="preserve">Субсидия на реализацию областной целевой программы "Модернизация объектов коммунальной инфраструктуры Ярославской области" </t>
  </si>
  <si>
    <t>ОЦП "Модернизация объектов коммунальной инфраструктуры в ЯО на 2008-2010гг" в части мероприятий по газификации,теплоснабжению,водоснабжению и водоотведению</t>
  </si>
  <si>
    <t>Программа"Энергоресурсосбережений"</t>
  </si>
  <si>
    <t>Программа "Энергоресурсосбережений"</t>
  </si>
  <si>
    <t xml:space="preserve">Областная целевая программа "Развитие физической культуры и спорта в Ярославской области" </t>
  </si>
  <si>
    <t xml:space="preserve">Областная целевая программа "Развитие материально-технической базы физической культуры и спорта Ярославской области" </t>
  </si>
  <si>
    <t>Областной целевой программы "Развитие материально-технической базы физической культуры и спорта Ярославской области" в части строительства (реконструкции) спортивных объектов</t>
  </si>
  <si>
    <t>Областной целевой программы "Развитие материально-технической базы физической культуры и спорта Ярославской области" в части обустройства плоскостных спортивных сооружений в муниципальных образовательных учреждениях области</t>
  </si>
  <si>
    <t>Областная целевая программа "Повышение эффективности и результативности деятельности органов исполнительной власти "</t>
  </si>
  <si>
    <t>Субсидия на реализацию программ развития муниципальной службы муниципальных образований ЯО.</t>
  </si>
  <si>
    <t>ОЦП "Чистая вода Ярославской области"</t>
  </si>
  <si>
    <t>ОЦП "Чистая вода Ярославской области" в части мероприятий по строительству и реконструкции систем и объектов водоснабжения и водоотведения</t>
  </si>
  <si>
    <t>ОЦП "Чистая вода Ярославской области" в части мероприятий по реконструкции и строительству шахтных колодцев</t>
  </si>
  <si>
    <t>ОЦП "Обеспечение муниципальных районов документацией территориального планирования"</t>
  </si>
  <si>
    <t>ОЦП "Развитие агропромышленного комплекса и сельских территорий ЯО"</t>
  </si>
  <si>
    <t>Субсидия на проведение мероприятий по улучшению жилищных условий граждан РФ проживающих в сельской местности</t>
  </si>
  <si>
    <t>Областная целевая программа "Комплексная программа модернизации и реформирования жилищно-коммунального хозяйства"</t>
  </si>
  <si>
    <t>Субсидия на реализацию ОЦП "Комплексная программа модернизации и реформирования ЖКХ ЯО" в части мероприятий по строительству и реконструкции систем и объектов теплоснабжения и газификации</t>
  </si>
  <si>
    <t>Субсидия на реализацию ОЦП "О господдержке отдельных категорий граждан, проживающих в ЯО, по проведению ремонта жилых помещений и (или) работ, направленных на повышение уровня обеспеченности их коммунальными услугами на 2010-2013годы"</t>
  </si>
  <si>
    <t>ОЦП "О господдержке отдельных категорий граждан, проживающих в ЯО, по проведению ремонта жилых помещений и (или) работ, направленных на повышение уровня обеспеченности их коммунальными услугами на 2010-2013 годы"</t>
  </si>
  <si>
    <t xml:space="preserve">Региональная программа "Стимулирование развития жилищного строительства на территории Ярославской области" </t>
  </si>
  <si>
    <t>Субсидия на реализацию подпрограммы "Государственная поддержка граждан, проживающих на территории ЯО, в сфере ипотечного кредитования"</t>
  </si>
  <si>
    <t>Субсидия на реализацию подпрограммы "Государственная поддержка молодых семей ЯО в приобретении (строительстве) жилья"</t>
  </si>
  <si>
    <t>Субсидия на реализацию подпрограммы "Улучшение условий проживания отдельных категорий граждан, нуждающихся в специальной социальной защите"</t>
  </si>
  <si>
    <t>ОЦП "развитие МТБ учреждений культуры ЯО"</t>
  </si>
  <si>
    <t>ОЦП "Развитие МТБ учреждений культуры ЯО"</t>
  </si>
  <si>
    <t>ОЦП "Обращение с твердыми бытовыми отходами на территории ЯО"</t>
  </si>
  <si>
    <t>Субсидия ОЦП "Обращение с ТБО на территории ЯО" , в части мероприятий обеспечения МО генеральными схемами очистки территорий</t>
  </si>
  <si>
    <t>Субсидия на реализацию мероприятий ОЦП "Обращение с твердыми бытовыми отходами на территории Ярославской области" в части модернизации инфраструктуры в сфере обращения с ТБО</t>
  </si>
  <si>
    <t>Региональная программа "Социальная поддержка пожилых граждан в Ярославской области"</t>
  </si>
  <si>
    <t>Региональная программа "Социальная поддержка пожилых граждан в Ярославской области" мероприятия по соц. поддержке ветеранов, инвалидов и малообеспеч. пенсионеров</t>
  </si>
  <si>
    <t>Региональная программа "Социальная поддержка пожилых граждан в Ярославской области" в сфере культуры</t>
  </si>
  <si>
    <t>Региональная программа "Социальная поддержка пожилых граждан в Ярославской области" в сфере молодежной политики</t>
  </si>
  <si>
    <t>Областная целевая программа "Доступная среда"</t>
  </si>
  <si>
    <t>Мероприятия по реализации областной целевой программы "Доступная среда"</t>
  </si>
  <si>
    <t>Адаптация учреждений социального обслуживания населения для обеспечения доступности для инвалидов и других маломобильных групп населения</t>
  </si>
  <si>
    <t>Реализацию областной целевой программы "Доступная среда" в сфере образования</t>
  </si>
  <si>
    <t>Областная целевая программа "Обеспечение безопасности граждан на водных объектах Ярославской области"</t>
  </si>
  <si>
    <t>Субсидия на реализацию мероприятий ОЦП "Обеспечение безопасности граждан на водных объектах Ярославской области"</t>
  </si>
  <si>
    <t>Развитие социальной и инженерной инфраструктуры субъектов Российской Федерации и муниципальных образований</t>
  </si>
  <si>
    <t>Развитие социальной и инженерной инфраструктуры</t>
  </si>
  <si>
    <t>Обеспечение создания, эксплуатации государственной системы изготовления, оформления и контроля паспортно-визовых документов нового поколения</t>
  </si>
  <si>
    <t>Обеспечение создания государственной системы изготовления, оформления и контроля паспортно-визовых документов нового поколения</t>
  </si>
  <si>
    <t>Эксплуатация государственной системы изготовления, оформления и контроля паспортно-визовых документов нового поколения</t>
  </si>
  <si>
    <t>Поддержка экономического и социального развития коренных малочисленных народов Севера, Сибири и Дальнего Востока</t>
  </si>
  <si>
    <t>Софинансирование социальных программ субъектов Российской Федерации, связанных с предоставлением субсидий бюджетам субъектов Российской Федерации на социальные программы субъектов Российской Федерации, связанные с укреплением материально-технической базы учреждений социального обслуживания населения и оказанием адресной социальной помощи неработающим пенсионерам</t>
  </si>
  <si>
    <t>Областная целевая социальная программа дополнительных мер поддержки людей пожилого возраста</t>
  </si>
  <si>
    <t>Организация и проведение ХХII Олимпийских зимних игр и ХI Паралимпийских зимних игр 2014 года в городе Сочи, развитие города Сочи как горноклиматического курорта</t>
  </si>
  <si>
    <t>Субсидии автономным некоммерческим организациям</t>
  </si>
  <si>
    <t>Субсидии автономной некоммерческой организации "Спортивное вещание"</t>
  </si>
  <si>
    <t>Субсидии автономной некоммерческой организации "Транспортная дирекция Олимпийских игр"</t>
  </si>
  <si>
    <t>Субсидии автономной некоммерческой организации "Организационный комитет ХХII Олимпийских зимних игр и ХI Паралимпийских зимних игр 2014 года в г. Сочи"</t>
  </si>
  <si>
    <t>Развитие города Сочи как горноклиматического курорта</t>
  </si>
  <si>
    <t>Реализация мероприятий по развитию инфраструктуры г. Сочи</t>
  </si>
  <si>
    <t>Уличное освещение</t>
  </si>
  <si>
    <t>Содержание автомобильных дорог и инженерных сооружений на них в границах городских округов и поселений в рамках благоустройства</t>
  </si>
  <si>
    <t>Озеленение</t>
  </si>
  <si>
    <t>Организация и содержание  мест захоронения</t>
  </si>
  <si>
    <t>Прочие мероприятия по благоустройству городских округов и поселений</t>
  </si>
  <si>
    <t>Ведомственная целевая программа "Создание второй очереди информационной системы обеспечения надзора за исполнением законов Российской Федерации"</t>
  </si>
  <si>
    <t>Обращение с радиоактивными отходами</t>
  </si>
  <si>
    <t>Субсидии на возмещение затрат на обращение с радиоактивными отходами</t>
  </si>
  <si>
    <t>Разработка, закупка и ремонт вооружений, военной и специальной техники, продукции производственно-технического назначения и имущества в рамках государственного оборонного заказа</t>
  </si>
  <si>
    <t>Фундаментальные исследования в интересах национальной обороны, национальной безопасности и правоохранительной деятельности в целях обеспечения государственной программы вооружения в рамках государственного оборонного заказа</t>
  </si>
  <si>
    <t>Закупки вооружений, военной и специальной техники, продукции производственно-технического назначения и имущества в целях обеспечения государственной программы вооружения в рамках государственного оборонного заказа</t>
  </si>
  <si>
    <t>Авиационная техника</t>
  </si>
  <si>
    <t>Корабли и катера</t>
  </si>
  <si>
    <t>Автобронетанковая техника</t>
  </si>
  <si>
    <t>Артиллерия</t>
  </si>
  <si>
    <t>Стрелковое и холодное оружие</t>
  </si>
  <si>
    <t>Электронная техника и средства связи</t>
  </si>
  <si>
    <t>Боеприпасы</t>
  </si>
  <si>
    <t>Прочая продукция производственно-технического назначения</t>
  </si>
  <si>
    <t>Закупки вооружений, военной и специальной техники, продукции производственно-технического назначения и имущества в рамках государственного оборонного заказа вне рамок государственной программы вооружения</t>
  </si>
  <si>
    <t>Ремонт вооружений, военной и специальной техники, продукции производственно-технического назначения и имущества в целях обеспечения государственной программы вооружения в рамках государственного оборонного заказа</t>
  </si>
  <si>
    <t>Ремонт вооружений, военной и специальной техники, продукции производственно-технического назначения и имущества в рамках государственного оборонного заказа вне государственной программы вооружения</t>
  </si>
  <si>
    <t>Целевые программы муниципальных образований</t>
  </si>
  <si>
    <t>Программа развития сельского хозяйства в ТМР на 2008 - 2012 гг.</t>
  </si>
  <si>
    <t>МП "организация круглогодичной переправы в Тутаевском муниципальном районе"</t>
  </si>
  <si>
    <t>МП "Поддержка садоводческих, огороднических и дачных некоммерческих объединений на территории ТМР на 2009 - 2011 годы"</t>
  </si>
  <si>
    <t>МП "О дополнительных мерах реализации 185-ФЗ "О фонде содействия реформированию ЖКХ" на территории ТМР ЯО на 2009 - 2011 годы"</t>
  </si>
  <si>
    <t>Комплексная программа профилактики правонарушений и усиления борьбы с преступностью в Тутаевском муниципальном районе на 2012-2013 годы</t>
  </si>
  <si>
    <t>МЦП "Развитие субъектов малого и среднего предпринимательства Тутаевского муниципального района на 2009 - 2011 годы"</t>
  </si>
  <si>
    <t>МЦП "Ликвидация последствий аварии на битумной установке, расположенной в урочище Марфино ТМР"</t>
  </si>
  <si>
    <t>МЦП "Чистая вода" на территории  ТМР на период 2011-2014годов</t>
  </si>
  <si>
    <t>МП"Повышение безопасности дорожного движения на территории ТМР на 2010-2012 годы"</t>
  </si>
  <si>
    <t>МЦП "Развитие жилищного строительства в ТМР ЯО на 2011 - 2015 гг"</t>
  </si>
  <si>
    <t>МЦП "Развитие жилищного строительства в ТМР ЯО на 2011 - 2015 гг" подпрограмма "Переселение граждан из аварийного (непригодного для проживания) жилищного фонда в ТМР"</t>
  </si>
  <si>
    <t>МЦП "Развитие жилищного строительства в ТМР ЯО на 2011 - 2015 гг" подпрограмма "Улучшения условий проживания отдельных категорий граждан, нуждающихся в социальной защите, проживающих на территории ТМР"</t>
  </si>
  <si>
    <t>МЦП "Развитие жилищного строительства в ТМР ЯО на 2011 - 2015 гг" подпрограмма "Жилье для молодежи (поддержка молодых семей в решении жилищной проблемы)"</t>
  </si>
  <si>
    <t>МЦП "Развитие жилищного строительства в ТМР ЯО на 2011 - 2015 гг" подпрограмма "Поддержка граждан проживающих на территории ТМР ЯО, в сфере ипотечного жилищного кредитования"</t>
  </si>
  <si>
    <t>Программа развтия систем коммунальной инфраструктуры Тутаевского муниципального района на 2011-2015 годы с перспективой до 2030 года</t>
  </si>
  <si>
    <t>МЦП "Развитие информатизации Тутаевского муниципального района Ярославской области" на 2011-2013 годы</t>
  </si>
  <si>
    <t>МЦП "Развитие потребительского рынка ТМР" на 2012-2014 годы</t>
  </si>
  <si>
    <t>МЦП "Об энергосбережении и повышении энергетической эффективности Тутаевского муниципального района на 2011-2013годы"</t>
  </si>
  <si>
    <t>Субсидия на реализацию подпрограммы (господдержка граждан, проживающих на территории ЯО в сфере ипотечного жилищного кредитования)</t>
  </si>
  <si>
    <t>Прочие мероприятия, осуществляемые за счет межбюджетных трансфертов прошлых лет из федерального бюджета</t>
  </si>
  <si>
    <t>Расходы на выплаты персоналу казенных учреждений</t>
  </si>
  <si>
    <t>Фонд оплаты труда и страховые взносы</t>
  </si>
  <si>
    <t>Иные выплаты персоналу, за исключением фонда оплаты труда</t>
  </si>
  <si>
    <t>Расходы на выплаты персоналу государственных органов</t>
  </si>
  <si>
    <t>Расходы на выплаты персоналу в сфере национальной безопасности, правоохранительной деятельности и обороны</t>
  </si>
  <si>
    <t>Денежное довольствие военнослужащих и приравненных к ним лиц</t>
  </si>
  <si>
    <t>Дополнительное денежное стимулирование военнослужащих и приравненных к ним лиц</t>
  </si>
  <si>
    <t>Расходы на выплаты, зависящие от размера денежного довольствия</t>
  </si>
  <si>
    <t>Иные выплаты персоналу, за исключением денежного довольствия</t>
  </si>
  <si>
    <t>Расходы на выплаты персоналу государственных внебюджетных фондов</t>
  </si>
  <si>
    <t>Иные выплаты персоналу, за исключением фонда оплаты труда труда и командировочные расходы, а также на страховые взносы с указанных выплат в установленных законодательством случаях.</t>
  </si>
  <si>
    <t>Разработка, закупка и ремонт вооружений, военной и специальной техники, продукции производственно-технического назначения и имущества</t>
  </si>
  <si>
    <t>Закупка вооружений, военной и специальной техники, продукции производственно-технического назначения и имущества в рамках государственного оборонного заказа в целях обеспечения государственной программы вооружения</t>
  </si>
  <si>
    <t>Закупка вооружений, военной и специальной техники, продукции производственно-технического назначения и имущества в рамках государственного оборонного заказа вне рамок государственной программы вооружения</t>
  </si>
  <si>
    <t xml:space="preserve"> Закупка вооружений, военной и специальной техники, продукции производственно-технического назначения и имущества вне рамок государственного оборонного заказа</t>
  </si>
  <si>
    <t>Ремонт вооружений, военной и специальной техники, продукции производственно-технического назначения и имущества в рамках государственного оборонного заказа в целях обеспечения государственной программы вооружения</t>
  </si>
  <si>
    <t>Ремонт вооружений, военной и специальной техники, продукции производственно-технического назначения и имущества в рамках государственного оборонного заказа вне рамок государственной программы вооружения</t>
  </si>
  <si>
    <t>Фундаментальные исследования в интересах национальной обороны, национальной безопасности и правоохранительной деятельности в рамках государственного оборонного заказа в целях обеспечения государственной программы вооружения</t>
  </si>
  <si>
    <t>Исследования в области разработки вооружений, военной и специальной техники, продукции производственно-технического назначения и имущества в рамках государственного оборонного заказа в целях обеспечения государственной программы вооружения</t>
  </si>
  <si>
    <t>Исследования в области разработки вооружений, военной и специальной техники, продукции производственно-технического назначения и имущества в рамках государственного оборонного заказа вне рамок государственной программы вооружения</t>
  </si>
  <si>
    <t>Закупка работ и услуг в целях обеспечения мероприятий в рамках государственного оборонного заказа</t>
  </si>
  <si>
    <t>Закупка товаров, работ и услуг для обеспечения специальным топливом и горюче-смазочными материалами, продовольственного и вещевого обеспечения органов в сфере национальной безопасности, правоохранительной деятельности и обороны</t>
  </si>
  <si>
    <t>Обеспечение специальным топливом и горюче-смазочными материалами в рамках государственного оборонного заказа</t>
  </si>
  <si>
    <t>Обеспечение специальным топливом и горюче-смазочными материалами вне рамок государственного оборонного заказа</t>
  </si>
  <si>
    <t>Закупка товаров, работ, услуг в целях формирования государственного материального резерва</t>
  </si>
  <si>
    <t>Иные закупки товаров, работ и услуг для государственных нужд</t>
  </si>
  <si>
    <t>Научно-исследовательские и опытно-конструкторские работы</t>
  </si>
  <si>
    <t>Закупка товаров, работ, услуг в сфере информационно-коммуникационных технологий</t>
  </si>
  <si>
    <t xml:space="preserve">Закупка товаров, работ, услуг в целях капитального ремонта государственного имущества </t>
  </si>
  <si>
    <t>Публичные нормативные социальные выплаты гражданам</t>
  </si>
  <si>
    <t>Пенсии, выплачиваемые по пенсионному страхованию населения</t>
  </si>
  <si>
    <t>Пенсии, выплачиваемые организациями сектора государственного управления</t>
  </si>
  <si>
    <t>Пособия и компенсации по публичным нормативным обязательствам</t>
  </si>
  <si>
    <t>Меры социальной поддержки населения по публичным нормативным обязательствам</t>
  </si>
  <si>
    <t>Социальные выплаты гражданам, кроме публичных нормативных социальных выплат</t>
  </si>
  <si>
    <t>Пособия и компенсации гражданам и иные социальные выплаты, кроме публичных нормативных обязательств</t>
  </si>
  <si>
    <t>Субсидии гражданам на приобретение жилья</t>
  </si>
  <si>
    <t>Приобретение товаров, работ, услуг в пользу граждан</t>
  </si>
  <si>
    <t xml:space="preserve">Публичные нормативные выплаты гражданам несоциального характера </t>
  </si>
  <si>
    <t>Стипендии</t>
  </si>
  <si>
    <t>Премии и гранты</t>
  </si>
  <si>
    <t>Иные выплаты населению</t>
  </si>
  <si>
    <t>Бюджетные инвестиции в объекты государственной собственности федеральным государственным учреждениям</t>
  </si>
  <si>
    <t>Бюджетные инвестиции в объекты государственной собственности казенным учреждениям вне рамок государственного оборонного заказа</t>
  </si>
  <si>
    <t>Бюджетные инвестиции в объекты государственной собственности казенным учреждениям в рамках государственного оборонного заказа</t>
  </si>
  <si>
    <t>Бюджетные инвестиции в объекты государственной собственности бюджетным учреждениям вне рамок государственного оборонного заказа</t>
  </si>
  <si>
    <t>Бюджетные инвестиции в объекты государственной собственности бюджетным учреждениям в рамках государственного оборонного заказа</t>
  </si>
  <si>
    <t>Бюджетные инвестиции в объекты государственной собственности автономным учреждениям</t>
  </si>
  <si>
    <t>Бюджетные инвестиции в объекты государственной собственности государственным унитарным предприятиям</t>
  </si>
  <si>
    <t>Бюджетные инвестиции в объекты государственной собственности государственным унитарным предприятиям, основанным на праве оперативного управления</t>
  </si>
  <si>
    <t>Бюджетные инвестиции в объекты государственной собственности государственным унитарным предприятиям, основанным на праве хозяйственного ведения</t>
  </si>
  <si>
    <t>Бюджетные инвестиции в объекты государственных внебюджетных фондов</t>
  </si>
  <si>
    <t>Бюджетные инвестиции иным юридическим лицам</t>
  </si>
  <si>
    <t>Дотации на выравнивание бюджетной обеспеченности субъектов Российской Федерации</t>
  </si>
  <si>
    <t>Дотации бюджетам субъектов Российской Федерации на поддержку мер по обеспечению сбалансированности бюджетов</t>
  </si>
  <si>
    <t>Дотации бюджетам закрытых административно-территориальных образований, связанные со статусом закрытых административно- территориальных образований</t>
  </si>
  <si>
    <t>Дотации бюджету города Байконура</t>
  </si>
  <si>
    <t>Субсидии, за исключением субсидий на софинансирование объектов капитального строительства государственной собственности и муниципальной собственности</t>
  </si>
  <si>
    <t>Субсидии на софинансирование объектов капитального строительства государственной (муниципальной) собственности</t>
  </si>
  <si>
    <t>Субвенции</t>
  </si>
  <si>
    <t xml:space="preserve">Иные межбюджетные трансферты </t>
  </si>
  <si>
    <t>Межбюджетные трансферты бюджету Федерального фонда обязательного медицинского страхования</t>
  </si>
  <si>
    <t>Межбюджетные трансферты бюджету Пенсионного фонда Российской Федерации</t>
  </si>
  <si>
    <t>Межбюджетные трансферты бюджетам территориальных фондов обязательного медицинского страхования</t>
  </si>
  <si>
    <t>Субсидии бюджетным учреждениям</t>
  </si>
  <si>
    <t>Субсидии бюджетным учреждениям на иные цели</t>
  </si>
  <si>
    <t>Субсидии автономным учреждениям</t>
  </si>
  <si>
    <t>Субсидии автономным учреждениям на финансовое обеспечение государственного задания на оказание государственных услуг (выполнение работ)</t>
  </si>
  <si>
    <t>Субсидии автономным учреждениям на иные цели 630 Субсидии некоммерческим организациям (за исключением государственных учреждений)</t>
  </si>
  <si>
    <t>Субсидии некоммерческим организациям (за исключением государственных учреждений)</t>
  </si>
  <si>
    <t>Субсидии юридическим лицам (кроме государственных учреждений) и физическим лицам - производителям товаров, работ, услуг</t>
  </si>
  <si>
    <t>Субсидии государственным корпорациям (компаниям)</t>
  </si>
  <si>
    <t>Субсидии государственным корпорациям (компаниям) в виде имущественного взноса</t>
  </si>
  <si>
    <t>Субсидии государственным корпорациям (компаниям) на выполнение возложенных на них государственных полномочий</t>
  </si>
  <si>
    <t>Иные субсидии государственным корпорациям (компаниям)</t>
  </si>
  <si>
    <t>Исполнение судебных актов</t>
  </si>
  <si>
    <t>Исполнение судебных актов Российской Федерации и мировых соглашений по возмещению вреда, причиненного в результате незаконных действий (бездействия) органов государственной власти (государственных органов), либо должностных лиц этих органов, а также в результате деятельности казенных учреждений</t>
  </si>
  <si>
    <t>Исполнение судебных актов судебных органов иностранных государств, международных судов и арбитражей, определяемых международными договорами Российской Федерации, в результате незаконных действий (бездействия) органов государственной власти (государственных органов) либо должностных лиц этих органов, мировых соглашений, заключенных в рамках судебных процессов в судебных органах иностранных государств, в международных судах и арбитражах</t>
  </si>
  <si>
    <t>Исполнение судебных актов Российской Федерации и мировых соглашений по делам о банкротстве и процедурам банкротства</t>
  </si>
  <si>
    <t>Исполнение государственных гарантий без права регрессного требования гаранта к принципалу или уступки гаранту прав требования бенефициара к принципалу</t>
  </si>
  <si>
    <t>Исполнение государственных гарантий Российской Федерацией</t>
  </si>
  <si>
    <t>Уплата налогов, сборов и иных обязательных платежей в бюджетную систему Российской Федерации</t>
  </si>
  <si>
    <t>Уплата налога на имущество организаций и земельного налога</t>
  </si>
  <si>
    <t>Уплата прочих налогов, сборов и иных обязательных платежей</t>
  </si>
  <si>
    <t>Предоставление платежей, взносов, безвозмездных перечислений субъектам международного права</t>
  </si>
  <si>
    <t>Безвозмездные перечисления субъектам международного права</t>
  </si>
  <si>
    <t xml:space="preserve"> Взносы в международные организации</t>
  </si>
  <si>
    <t>Платежи в целях обеспечения реализации соглашений с правительствами иностранных государств и международными организациями</t>
  </si>
  <si>
    <t>Резервные средства</t>
  </si>
  <si>
    <t>Специальные расходы</t>
  </si>
  <si>
    <t>Распределение иных межбюджетных трансфертов  бюджетам поселений Тутаевского муниципального района на 2013 год</t>
  </si>
  <si>
    <t>1. Межбюджетные трансферты на</t>
  </si>
  <si>
    <t>7-я редакция</t>
  </si>
  <si>
    <t>Приложение 21</t>
  </si>
  <si>
    <t>Распределение иных межбюджетных трансфертов  бюджетам поселений Тутаевского муниципального района на плановый период 2014 - 2015 годов</t>
  </si>
  <si>
    <t>2014 год        ( руб.)</t>
  </si>
  <si>
    <t>2015 год        ( руб.)</t>
  </si>
  <si>
    <t>Порядок (методика) и условия распределения межбюджетных трансфертов бюджетам поселений Тутаевского муниципального района.</t>
  </si>
  <si>
    <t xml:space="preserve">1.  Порядок  (методика) и условия  распределения  межбюджетных трансфертов на </t>
  </si>
  <si>
    <t>3-я редакция</t>
  </si>
  <si>
    <t>Савичев</t>
  </si>
  <si>
    <t>J126</t>
  </si>
  <si>
    <t>28.07.2014 16:00:17</t>
  </si>
  <si>
    <t>Пр1</t>
  </si>
  <si>
    <t>Приложение 17</t>
  </si>
  <si>
    <t>2018 год                                                                               Сумма, руб.</t>
  </si>
  <si>
    <t>1-я редакция</t>
  </si>
  <si>
    <t>Органы прокуратуры</t>
  </si>
  <si>
    <t>Органы внутренних дел</t>
  </si>
  <si>
    <t>Код направления</t>
  </si>
  <si>
    <t>значение</t>
  </si>
  <si>
    <t>09502</t>
  </si>
  <si>
    <t xml:space="preserve">Субсидия на обеспечение мероприятий по переселению граждан из аварийного жилищного фонда за счет средств, поступивших от государственной корпарации -Фонда содействия реформированию ЖКХ </t>
  </si>
  <si>
    <t>09602</t>
  </si>
  <si>
    <t xml:space="preserve">Субсидия на обеспечение мероприятий по переселению граждан из аварийного жилищного фонда за счет средств областного бюджета местных бюджетов </t>
  </si>
  <si>
    <t>Бюджетные инвестиции на приобретение недвижимого имущества в муниципальную собственность</t>
  </si>
  <si>
    <t>Расходы на мероприятия по газификации поселений</t>
  </si>
  <si>
    <t>Расходы на финансирование мероприятий на разработку и экспертизу проектно-сметной документации на строительство и реконструкцию</t>
  </si>
  <si>
    <t>Бюджетные инвестиции в объекты капитального строительства и реконструкцию дорожного хозяйства муниципальной собственности</t>
  </si>
  <si>
    <t>Капитальный ремонт автомобильных дорог общего пользования</t>
  </si>
  <si>
    <t>Иные мероприятия в отношении дорог общего пользования</t>
  </si>
  <si>
    <t>Расходы по предупреждению и ликвидации последствий чрезвычайных ситуаций на территории района</t>
  </si>
  <si>
    <t>Мероприятия в области градостроительства</t>
  </si>
  <si>
    <t>Мероприятия направленные на возмещение части затрат за доставку товаров в отдаленные сельские населенные  пункты</t>
  </si>
  <si>
    <t>Расходы на развитие правовой грамотности и правосознания граждан на территории ЯО</t>
  </si>
  <si>
    <t>Расходы на организацию присмотра и ухода за детьми в образовательных учреждениях</t>
  </si>
  <si>
    <t>Расходы на обеспечение оздоровления и отдыха детей</t>
  </si>
  <si>
    <t>Расходы на государственную поддержку материально-технической базы образовательных учреждений</t>
  </si>
  <si>
    <t>Расходы на обеспечение бесплатным питанием обучающихся муниципальных образовательных учреждений за счет средств областного бюджета</t>
  </si>
  <si>
    <t>Расходы на реализацию мероприятий по строительству и реконструкции дошкольных образовательных учреждений</t>
  </si>
  <si>
    <t>Мероприятия по строительству, реконструкции и ремонту спортивных объектов</t>
  </si>
  <si>
    <t>Расходы на укрепление социальной защищенности пожилых людей</t>
  </si>
  <si>
    <t>Расходы на повышение социальной активности пожилых людей в части организации культурных программ</t>
  </si>
  <si>
    <t xml:space="preserve">Расходы на комплектование книжных фондов библиотек </t>
  </si>
  <si>
    <t>Обеспечение мероприятий,  связанные с выполнением полномочий ОМС МО  по тепло-, водоснабжению и водоотведению</t>
  </si>
  <si>
    <t xml:space="preserve">Обеспечение мероприятий по строительству и реконструкции объектов теплоснабжения </t>
  </si>
  <si>
    <t>Обеспечение   мероприятий в области  дорожного хозяйства  на строительство и  модернизацию автомобильных дорог</t>
  </si>
  <si>
    <t>Обеспечение   мероприятий в области  дорожного хозяйства  на  ремонт и содержание автомобильных дорог</t>
  </si>
  <si>
    <t>Обеспечение   мероприятий в области  дорожного хозяйства  по повышению безопасности дорожного движения</t>
  </si>
  <si>
    <t xml:space="preserve">Обеспечение мероприятий в области дорожного хозяйства по строительству светофорных объектов </t>
  </si>
  <si>
    <t>Обеспечение  мероприятий подпрограммы "Улучшение условий проживания отдельных категорий граждан, нуждающихся в специальной социальной защите</t>
  </si>
  <si>
    <t xml:space="preserve">Обеспечение мероприятий по переселению граждан из аварийного жилищного фонда с учетом необходимости развития малоэтажного жилищного строительства, за счет средств бюджета поселения  </t>
  </si>
  <si>
    <t>Обеспечение мероприятий по улучшение жилищных условий молодых семей , проживающих и на территории Ярославскойобласти</t>
  </si>
  <si>
    <t>обеспечение мероприятий по переселению граждан из аварийного жилищного фонда за счет средств бюджета поселения</t>
  </si>
  <si>
    <t>Обеспечение мероприятий в сфере ипотечного жилищного кредитования</t>
  </si>
  <si>
    <t>Обеспечение мероприятий по осуществлению грузопассажирских  перевозок на речном транспорте</t>
  </si>
  <si>
    <t>Обеспечение мероприятий по  предупреждению и ликвидации последствий чрезвычайных ситуаций в границах поселения</t>
  </si>
  <si>
    <t>Обеспечение   первичных мер пожарной безопасности в границах населенных пунктов поселения</t>
  </si>
  <si>
    <t xml:space="preserve">Обеспечение культурно-досуговых мероприятий </t>
  </si>
  <si>
    <t>Обеспечение  физкультурно-спортивных мероприятий</t>
  </si>
  <si>
    <t>Обеспечение мероприятий по уличному освещению</t>
  </si>
  <si>
    <t>Обеспечение мероприятий по техническому содержанию, текущему и капитальному ремонту сетей уличного освещения</t>
  </si>
  <si>
    <t>Обеспечение мероприятий  по землеустройству и землепользованию,   определению кадастровой стоимости и приобретению прав собственности</t>
  </si>
  <si>
    <t>Обеспечение мероприятий по внесению изменений в документы территориального планирования</t>
  </si>
  <si>
    <t>Обеспечение мероприятий по выдаче градостроительных документов</t>
  </si>
  <si>
    <t>Обеспечение мероприятий по установке приборов учета потребляемых ресурсов</t>
  </si>
  <si>
    <t>Обеспечение мероприятий по  содержанию мест захоронения</t>
  </si>
  <si>
    <t>Обеспечение мероприятий по обеспечению безопасности людей на водных объектах, охране их жизни и здоровья</t>
  </si>
  <si>
    <t>Обеспечение мероприятий для развития субъектов малого и среднего предпринимательства</t>
  </si>
  <si>
    <t>Обеспечение мероприятий  по работе с детьми и молодежью</t>
  </si>
  <si>
    <t>Обеспечение мероприятий по поддержке СМИ</t>
  </si>
  <si>
    <t>Обеспечение мероприятий посодержанию,  реконструкции и капитальному ремонту муниципального жилищного фонда</t>
  </si>
  <si>
    <t>Обеспечение мероприятий по осуществлению внешнего муниципального контроля</t>
  </si>
  <si>
    <t>Обеспечение мероприятий по  определению  поставщиков (подрядчиков, исполнителей), в порядке установленном Федеральным законом от 05.04.2013 года № 44-ФЗ</t>
  </si>
  <si>
    <t>Обеспечение мероприятий по переселению граждан из аварийного жилищного фонда, непригодного для проживания, с высоким уровнем износа  за счет средств бюджета поселения</t>
  </si>
  <si>
    <t>Обеспечение мероприятий по доведению до сведения жителей МО официальной информации о социально-экономическом и культурном  развитии  МО, о развитии его общественной инфраструктуры и иной официальной информации</t>
  </si>
  <si>
    <t>Обеспечение мероприятий по строительству  спортивных объектов</t>
  </si>
  <si>
    <t xml:space="preserve">Обеспечение мероприятий по начислению и сбору платы за найм муниципального жилищного фонда </t>
  </si>
  <si>
    <t>Обеспечение мероприятий  по капитальному ремонту лифтов в МКД, в части жилых помещений находящихся в муниципальной собственности</t>
  </si>
  <si>
    <t>Обеспечение мероприятий по защите от чрезвычайных ситуаций природного и техногенного характера</t>
  </si>
  <si>
    <t>Обеспечение деятельности народных дружин</t>
  </si>
  <si>
    <t xml:space="preserve">Обеспечение мероприятий в области дорожного хозяйства по ремонту дворовых территорий </t>
  </si>
  <si>
    <t>Обеспечение мероприятий по строительству, реконструкции и ремонту общественных туалетов</t>
  </si>
  <si>
    <t>Расходы на осуществление полномочий РФ по государственной регистрации актов гражданского состояния, производимые за счет средств федерального бюджета</t>
  </si>
  <si>
    <t xml:space="preserve">Расходы на комплектование книжных фондов библиотек муниципальных образований Ярославской области </t>
  </si>
  <si>
    <t>Расходы на выплату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t>
  </si>
  <si>
    <t>Оплата труда работников сферы образования</t>
  </si>
  <si>
    <t>Расходы на капитальный ремонт зданий, возвращенных системе образования и функционирующих дошкольных и общеобразовательных учреждений</t>
  </si>
  <si>
    <t>Расходы на реализацию мероприятий по строительству дошкольных образовательных учреждений за счет средств областного бюджета</t>
  </si>
  <si>
    <t>Расходы на реализацию мероприятий патриотического воспитания молодежи Ярославской области за счет средств областного бюджета</t>
  </si>
  <si>
    <t>Оплата труда работников сферы молодежной политики</t>
  </si>
  <si>
    <t>Расходы на повышение социальной активности пожилых людей в части организации культурных программ за счет средств областного бюджета</t>
  </si>
  <si>
    <t>Расходы на оздоровление и отдых детей за счет средств областного бюджета</t>
  </si>
  <si>
    <t>Расходы на организацию профильных лагерей за счет средств областного бюджета</t>
  </si>
  <si>
    <t>Расходы на оборудование социально-значимых объектов сферы образования с целью обеспечения доступности для инвалидов</t>
  </si>
  <si>
    <t>Расходы на оборудование социально-значимых объектов сферы культуры с целью обеспечения доступности для инвалидов за счет средств областного бюджета</t>
  </si>
  <si>
    <t>Расходы на оборудование социально-значимых объектов сферы молодежная политика с целью обеспечения доступности для инвалидов за счет средств областного бюджета</t>
  </si>
  <si>
    <t xml:space="preserve">Субсидия на реализацию мероприятий подпрограммы «Государственная поддержка  молодых семьей Ярославской области в  приобретении (строительстве) жилья» </t>
  </si>
  <si>
    <t>Субсидия на реализацию подпрограммы «Государственная  поддержка граждан, проживающих на территории Ярославской области,  в сфере ипотечного жилищного кредитования»</t>
  </si>
  <si>
    <t>Субсидия на реализацию мероприятий по обеспечению безопасности граждан на водных объектах</t>
  </si>
  <si>
    <t>Оплата труда работников сферы культуры</t>
  </si>
  <si>
    <t>Субсидия на мероприятия, направленные на  капитальный ремонт гидротехнических сооружений, расположенных на территории Ярославской области и находящихся в муниципальной собственности, за счет средств областного бюджета</t>
  </si>
  <si>
    <t>Субсидия на реализацию мероприятий по строительству и реконструкции объектов теплоснабжения и газификации</t>
  </si>
  <si>
    <t>Субсидия на реализацию мероприятий на строительство и реконструкцию объектов водоснабжения и водоотведения за счет средств областного бюджета</t>
  </si>
  <si>
    <t>Расходы на содействие развитию малого и среднего предпринимательства за счет средств областного бюджета</t>
  </si>
  <si>
    <t>Субсидия на реализацию муниципальных программ развития малого и среднего предпринимательства  за счет средств областного бюджета</t>
  </si>
  <si>
    <t>Расходы на развитие органов местного самоуправления на территории ЯО</t>
  </si>
  <si>
    <t>Расходы на реализацию ОЦП "Развитие органов местного самоуправления на территории ЯО"</t>
  </si>
  <si>
    <t xml:space="preserve">Субсидия на осуществление бюджетных  инвестиций в объекты капитального строительства и реконструкцию дорожного хозяйства муниципальной собственности </t>
  </si>
  <si>
    <t>Субсидия на улучшение жилищных условий граждан, проживающих в сельской местности на территории Ярославской области, в том числе молодых семей и молодых специалистов, за счет средств областного бюджета</t>
  </si>
  <si>
    <t>Мероприятия по повышению энергоэффективности и энергосбережению за счет средств областного бюджета</t>
  </si>
  <si>
    <t>Расходы на обеспечение казначейской системы исполнения областного и местных бюджетов в муниципальных районах (городских округах) Ярославской области</t>
  </si>
  <si>
    <t>Расходы на организацию присмотра и ухода за детьми в образовательных организациях</t>
  </si>
  <si>
    <t>Субсидия на благоустройство населенных пунктов Ярославской  области</t>
  </si>
  <si>
    <t>Резервные фонды исполнительных органов государственной власти субъектов Российской Федерации</t>
  </si>
  <si>
    <t>Значение</t>
  </si>
  <si>
    <t>R0840</t>
  </si>
  <si>
    <t>19.0.00</t>
  </si>
  <si>
    <t>19.0.01</t>
  </si>
  <si>
    <t>Дополнительное образование детей</t>
  </si>
  <si>
    <t>Молодежная политика</t>
  </si>
  <si>
    <t xml:space="preserve">Молодежная политика </t>
  </si>
  <si>
    <t>R0160</t>
  </si>
  <si>
    <t>L0160</t>
  </si>
  <si>
    <t>Расходы на капитальный ремонт плотины на р.Костромка</t>
  </si>
  <si>
    <t>Субсидия на реализацию мероприятий, направленных на капитальный ремонт гидротехнических сооружений</t>
  </si>
  <si>
    <t>Субвенция на на компенсацию отдельным категориям граждан оплаты взноса на капитальный ремонт общего имущества в многоквартирном доме</t>
  </si>
  <si>
    <t>1. Межбюджетные трансферты на организацию  в границах поселения водоснабжения населения</t>
  </si>
  <si>
    <t>на 01.01.2019</t>
  </si>
  <si>
    <t>на 01.01.2020</t>
  </si>
  <si>
    <t>03.2.03</t>
  </si>
  <si>
    <t>Специальная оценка условий труда работающих в организациях расположенных на территории Тутаевского муниципального района</t>
  </si>
  <si>
    <t>Обучение по охране труда работников организаций Тутаевского муниципального района</t>
  </si>
  <si>
    <t>20.0.00</t>
  </si>
  <si>
    <t>Муниципальная программа "Охрана окружающей среды и рациональное природопользование в Тутаевском муниципальном районе"</t>
  </si>
  <si>
    <t>20.0.01</t>
  </si>
  <si>
    <t>Организация системы подготовки, планирования, информационного сопровождения и осуществления муниципальных закупок</t>
  </si>
  <si>
    <t>20.0.02</t>
  </si>
  <si>
    <t>Повышение профессионального уровня специалистов, занятых в цикле размещения муниципальных закупок и совершенствование профессионализма специалистов в сфере закупок и стимулирование повышения их квалификации</t>
  </si>
  <si>
    <t>21.0.00</t>
  </si>
  <si>
    <t>21.0.01</t>
  </si>
  <si>
    <t>Содержание Главы местной админситрации</t>
  </si>
  <si>
    <t>Субсидия на мероприятия по  содействию развития малого и среднего предпринимательства</t>
  </si>
  <si>
    <t>Субсидия на возмещение затрат по содержанию и ремонту  объектов находящихся в муниципальной собственности</t>
  </si>
  <si>
    <t>Субсидия на предоставление бесплатного проезда лицам, находящимся под диспансерным наблюдением в связи с туберкулезом, и больным туберкулезом за счет средств областного бюджета</t>
  </si>
  <si>
    <t>Субсидия на предоставление бесплатного проезда детям из многодетных семей, обучающимся в общеобразовательных учреждениях, за счет средств областного бюджета</t>
  </si>
  <si>
    <t>Субсидия на обеспечение мероприятий по организации населению услуг бань  в общих отделениях</t>
  </si>
  <si>
    <t>Субсидия на возмещение затрат по пассажирским перевозкам внутримуниципальным транспортом общего пользования</t>
  </si>
  <si>
    <t>Субсидия  на возмещение части затрат по обеспечению населения твердым топливом</t>
  </si>
  <si>
    <t>Обеспечение качества и доступности образовательных услуг в сфере дошкольного образования</t>
  </si>
  <si>
    <t>Обеспечение качества и доступности образовательных услуг в сфере общего образования</t>
  </si>
  <si>
    <t>Обеспечение качества и доступности образовательных услуг в сфере дополнительного образования</t>
  </si>
  <si>
    <t>02.1.07</t>
  </si>
  <si>
    <t>Обеспечение реализации мероприятий в рамках областных целевых программ</t>
  </si>
  <si>
    <t>Повышение мотивации участников образовательного процесса</t>
  </si>
  <si>
    <t>02.1.09</t>
  </si>
  <si>
    <t>Обеспечение доступности и качества услуг в сфере психолого и медико- социального сопровождения детей, методической и консультационной помощи педагогическим работникам</t>
  </si>
  <si>
    <t>Обеспечение качества реализации мер по социальной поддержке детей-сирот и детей, оставшихся без попечения родителей</t>
  </si>
  <si>
    <t>02.1.08</t>
  </si>
  <si>
    <t>Обеспечение компенсационных выплат</t>
  </si>
  <si>
    <t>Муниципальная программа "Обеспечение муниципальных закупок в Тутаевском муниципальном районе"</t>
  </si>
  <si>
    <t>Обеспечение мероприятий по ремонту муниципальных квартир</t>
  </si>
  <si>
    <t>Обеспечение деятельности учреждений спорта</t>
  </si>
  <si>
    <t>S4880</t>
  </si>
  <si>
    <t>Мероприятия по патриотическому воспитанию граждан</t>
  </si>
  <si>
    <t>19.0.02</t>
  </si>
  <si>
    <t>Информационное обеспечение реализации мероприятий программы</t>
  </si>
  <si>
    <t>002</t>
  </si>
  <si>
    <t>20</t>
  </si>
  <si>
    <t>29</t>
  </si>
  <si>
    <t>35</t>
  </si>
  <si>
    <t>250</t>
  </si>
  <si>
    <t>220</t>
  </si>
  <si>
    <t>118</t>
  </si>
  <si>
    <t>260</t>
  </si>
  <si>
    <t>30</t>
  </si>
  <si>
    <t>270</t>
  </si>
  <si>
    <t>462</t>
  </si>
  <si>
    <t>380</t>
  </si>
  <si>
    <t>137</t>
  </si>
  <si>
    <t>40</t>
  </si>
  <si>
    <t xml:space="preserve">2 02 20051 05 0000 151 </t>
  </si>
  <si>
    <t>2 02 29999 05 0000 151</t>
  </si>
  <si>
    <t>2 02 35930 05 0000 151</t>
  </si>
  <si>
    <t>2 02 35120 05 0000 151</t>
  </si>
  <si>
    <t>2 02 30024 05 0000 151</t>
  </si>
  <si>
    <t>Субвенции бюджетам муниципальных районов на государственную регистрацию актов гражданского состояния</t>
  </si>
  <si>
    <t>Субвенции бюджетам муниципальных районов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</si>
  <si>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2 02 40014 05 0000 151</t>
  </si>
  <si>
    <t xml:space="preserve">2 02 49999 05 0000 151 </t>
  </si>
  <si>
    <t xml:space="preserve">2 02 29999 05 0000 151 </t>
  </si>
  <si>
    <t>2 02 20051 05 0000 151</t>
  </si>
  <si>
    <t>2 02 35260 05 0000 151</t>
  </si>
  <si>
    <t>2 02 45457 05 0000 151</t>
  </si>
  <si>
    <t>2 02 49999 05 0000 151</t>
  </si>
  <si>
    <t xml:space="preserve">2 02 25027 05 0000 151 </t>
  </si>
  <si>
    <t>2 02 35250 05 0000 151</t>
  </si>
  <si>
    <t>2 02 35220 05 0000 151</t>
  </si>
  <si>
    <t xml:space="preserve">Субвенции бюджетам муниципальных районов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
</t>
  </si>
  <si>
    <t>2 02 35240 05 0000 151</t>
  </si>
  <si>
    <t>2 02 35270 05 0000 151</t>
  </si>
  <si>
    <t xml:space="preserve">2 02 35084 05 0000 151 </t>
  </si>
  <si>
    <t>2 02 35380 05 0000 151</t>
  </si>
  <si>
    <t xml:space="preserve">2 02 35137 05 0000 151 </t>
  </si>
  <si>
    <t>2 02 15001 05 0000 151</t>
  </si>
  <si>
    <t>2 02 15001 13 0000 151</t>
  </si>
  <si>
    <t>2 02 15002 05 0000 151</t>
  </si>
  <si>
    <t>2 02 19999 05 0000 151</t>
  </si>
  <si>
    <t>2 02 19999 13 0000 151</t>
  </si>
  <si>
    <t>2 02 35118 05 0000 151</t>
  </si>
  <si>
    <t>2 02 45146 05 0000 151</t>
  </si>
  <si>
    <t xml:space="preserve">2 02 45147 05 0000 151 </t>
  </si>
  <si>
    <t>2 02 45148 05 0000 151</t>
  </si>
  <si>
    <t>2 02 45144 05 0000 151</t>
  </si>
  <si>
    <t>2 02 20077 05 0000 151</t>
  </si>
  <si>
    <t>2 02 20216 05 0000 151</t>
  </si>
  <si>
    <t xml:space="preserve">2 02 40014 05 0000 151 </t>
  </si>
  <si>
    <t>2 18 60010 05 0000 151</t>
  </si>
  <si>
    <t>Доходы бюджетов муниципальных районов от возврата прочих остатков субсидий, субвенций и иных межбюджетных трансфертов, имеющих целевое назначение, прошлых лет из бюджетов поселений</t>
  </si>
  <si>
    <t>2 19 25020 05 0000 151</t>
  </si>
  <si>
    <t xml:space="preserve">Возврат остатков субсидий на мероприятия подпрограммы 
"Стимулирование программ развития жилищного
 строительства субъектов Российской Федерации"
 федеральной целевой программы "Жилище"
 на 2015 - 2020 годы из бюджетов муниципальных районов
</t>
  </si>
  <si>
    <t>2 19 25021 05 0000 151</t>
  </si>
  <si>
    <t xml:space="preserve">Возврат остатков субсидий на государственную поддержку
 малого и среднего предпринимательства, включая 
крестьянские (фермерские) хозяйства,  
из бюджетов муниципальных районов
</t>
  </si>
  <si>
    <t>2 19 25064 05 0000 151</t>
  </si>
  <si>
    <t xml:space="preserve">Возврат остатков субсидий на мероприятия
 по поддержке социально ориентированных 
некоммерческих организаций из
 бюджетов муниципальных районов
</t>
  </si>
  <si>
    <t>2 19 25085 05 0000 151</t>
  </si>
  <si>
    <t xml:space="preserve">Возврат прочих остатков субсидий, субвенций 
и иных межбюджетных трансфертов, имеющих
 целевое назначение, прошлых лет из бюджетов 
муниципальных районов
</t>
  </si>
  <si>
    <t>2 19 60010 05 0000 151</t>
  </si>
  <si>
    <t>Возврат прочих остатков субсидий, субвенций и иных межбюджетных трансфертов, имеющих целевое назначение, прошлых лет из бюджетов муниципальных районов</t>
  </si>
  <si>
    <t xml:space="preserve">Возврат остатков иных  межбюджетных трансфертов
 на финансовое обеспечение мероприятий, связанных с
 отдыхом и оздоровлением детей, находящихся в трудной 
жизненной ситуации, из бюджетов муниципальных районов
</t>
  </si>
  <si>
    <t>2 19 45457 05 0000 151</t>
  </si>
  <si>
    <t xml:space="preserve">Возврат остатков субсидий на мероприятия 
государственной программы Российской Федерации
 "Доступная среда" на 2011 - 2020 годы 
из бюджетов муниципальных районов
</t>
  </si>
  <si>
    <t>2 19 25027 05 0000 151</t>
  </si>
  <si>
    <t xml:space="preserve">Возврат остатков иных межбюджетных трансфертов 
на подключение общедоступных библиотек Российской 
Федерации к сети "Интернет" и развитие системы 
библиотечного дела с учетом задачи расширения
 информационных технологий и оцифровки из 
бюджетов муниципальных районов
</t>
  </si>
  <si>
    <t>2 19 45146 05 0000 151</t>
  </si>
  <si>
    <t xml:space="preserve">Возврат остатков иных межбюджетных трансфертов на
 государственную поддержку муниципальных
 учреждений культуры из бюджетов муниципальных районов
</t>
  </si>
  <si>
    <t>2 19 45147 05 0000 151</t>
  </si>
  <si>
    <t xml:space="preserve">Возврат остатков иных межбюджетных трансфертов 
на государственную поддержку лучших работников
 муниципальных учреждений культуры, находящихся 
на территориях сельских поселений, из бюджетов 
муниципальных районов
</t>
  </si>
  <si>
    <t>2 19 45148 05 0000 151</t>
  </si>
  <si>
    <t xml:space="preserve">Возврат остатков субсидий на мероприятия подпрограммы
 "Модернизация объектов коммунальной инфраструктуры"
 федеральной целевой программы "Жилище"
 на 2015 - 2020 годы из бюджетов муниципальных районов
</t>
  </si>
  <si>
    <t>2 19 25022 05 0000 151</t>
  </si>
  <si>
    <t xml:space="preserve">Возврат остатков субсидий на мероприятия подпрограммы 
"Обеспечение жильем молодых семей" 
федеральной целевой программы "Жилище" 
на 2015 - 2020 годы из бюджетов муниципальных районов
</t>
  </si>
  <si>
    <t>Обеспечение надежного снабжения  твердым топливом  сельского населения, путем частичного возмещения расходов</t>
  </si>
  <si>
    <t>Создание финансовых механизмом, обеспечивающих надежную, качественную и бесперебойную работу  теплоснабжающих предприятий, созданных с участием Администрации Тутаевского мунимципального района</t>
  </si>
  <si>
    <t>Повышение уровня газификации и модернизации объектов социальной сферы</t>
  </si>
  <si>
    <t>Гарантированное обеспечение населения питьевой водой, очистки сточных вод, охраны источников питьевого водоснабжения от загрязнения</t>
  </si>
  <si>
    <t>Повышение уровня газификации жилищного фонда населенных пунктов, путем строительства  межпоселковых газопроводов и распределительных газовых сетей</t>
  </si>
  <si>
    <t>2 02 35462 05 0000 151</t>
  </si>
  <si>
    <t>Субвенции бюджетам муниципальных районов на компенсацию отдельным категориям граждан оплаты взноса на капитальный ремонт общего имущества в многоквартирном доме</t>
  </si>
  <si>
    <t>Развитие водохозяйственного комплекса Тутаевского муниципального района</t>
  </si>
  <si>
    <t>Проведение мероприятий по охране окружающей среды и природопользованию на территории Тутаевского муниципального района</t>
  </si>
  <si>
    <t>Развитие сети плоскостных спортивных сооружений</t>
  </si>
  <si>
    <t>Муниципальная целевая программа "Духовно-нравственное воспитание и просвещение населения Тутаевского муниципального района"</t>
  </si>
  <si>
    <t>01.1.02</t>
  </si>
  <si>
    <t>Обеспечение качества и доступности услуг(работ) в сфере молодежной политики</t>
  </si>
  <si>
    <t>Муниципальная программа "Поддержки гражданских инициатив, социально ориентированных некоммерческих организаций и территориального общественного самоуправления Тутаевского муниципального района"</t>
  </si>
  <si>
    <t>Доходы от возмещения  ущерба при возникновении иных страховых случаев, когда выгодоприобретателями выступают получатели средств бюджетов сельских поселений</t>
  </si>
  <si>
    <t>3013</t>
  </si>
  <si>
    <t>3015</t>
  </si>
  <si>
    <t>3028</t>
  </si>
  <si>
    <t>3003</t>
  </si>
  <si>
    <t>3004</t>
  </si>
  <si>
    <t>3005</t>
  </si>
  <si>
    <t>3029</t>
  </si>
  <si>
    <t>3030</t>
  </si>
  <si>
    <t>3031</t>
  </si>
  <si>
    <t>3019</t>
  </si>
  <si>
    <t>3021</t>
  </si>
  <si>
    <t>3022</t>
  </si>
  <si>
    <t>3023</t>
  </si>
  <si>
    <t>3010</t>
  </si>
  <si>
    <t>3008</t>
  </si>
  <si>
    <t>3014</t>
  </si>
  <si>
    <t>3009</t>
  </si>
  <si>
    <t>3020</t>
  </si>
  <si>
    <t>3007</t>
  </si>
  <si>
    <t>3017</t>
  </si>
  <si>
    <t>3033</t>
  </si>
  <si>
    <t>3006</t>
  </si>
  <si>
    <t>3027</t>
  </si>
  <si>
    <t>3026</t>
  </si>
  <si>
    <t>2009</t>
  </si>
  <si>
    <t>2015</t>
  </si>
  <si>
    <t>2018</t>
  </si>
  <si>
    <t>077</t>
  </si>
  <si>
    <t>Межбюджетные трансферты, передаваемые бюджетам муниципальных районов  на государственную поддержку муниципальных учреждений культуры, находящихся на территориях сельских поселений</t>
  </si>
  <si>
    <t>Межбюджетные трансферты, передаваемые бюджетам муниципальных районов  на государственную поддержку лучших работников муниципальных учреждений культуры, находящихся на территориях сельских поселений</t>
  </si>
  <si>
    <t>2 02 20302 05 0000 151</t>
  </si>
  <si>
    <t>2 02 20299 05 0000 151</t>
  </si>
  <si>
    <t>Расходы на развитие взаимодействия органов местного самоуправления Тутаевского муниципального района, СОНКО и ТОС</t>
  </si>
  <si>
    <t xml:space="preserve">Стимулирование и поддержка реализации социально-значимых проектов и программ, реализуемых гражданскими активистами, СОНКО ИТОС, реализуемых на территории ТМР </t>
  </si>
  <si>
    <t>Развитие взаимодействия органов местного самоуправления Тутаевского муниципального района, СОНКО и ТОС</t>
  </si>
  <si>
    <t>Расходы на поддержку общественного самоуправления и некоммерческих организаций</t>
  </si>
  <si>
    <t xml:space="preserve">Дотации бюджетам муниципальным районов на выравнивание бюджетной обеспеченности </t>
  </si>
  <si>
    <t>Распределение дотаций бюджетам поселений Тутаевского муниципального района  на 2018год</t>
  </si>
  <si>
    <t>от "____"______________ 2017 г. № ______</t>
  </si>
  <si>
    <t>от "____"______________ 2017 г.№ ______</t>
  </si>
  <si>
    <t>Распределение дотаций бюджетам поселений Тутаевского муниципального района на  плановый период 2019-2020 годов</t>
  </si>
  <si>
    <t>2020 год                                                                               Сумма, руб.</t>
  </si>
  <si>
    <t>Распределение субсидий бюджетам поселений Тутаевского муниципального района на 2018год</t>
  </si>
  <si>
    <t xml:space="preserve">1. Субсидия на </t>
  </si>
  <si>
    <t>Распределение субсидий бюджетам поселений Тутаевского муниципального района на плановый период 2019-2020 годов</t>
  </si>
  <si>
    <t>Распределение субвенций бюджетам поселений Тутаевского муниципального района наплановый период 2019 -2020годов</t>
  </si>
  <si>
    <t>Распределение иных межбюджетных трансфертов бюджетам поселений Тутаевского муниципального района на 2018 год</t>
  </si>
  <si>
    <t>2 02 20041 05 0000 151</t>
  </si>
  <si>
    <t>Субсидии бюджетам муниципальных районов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поступивших от государственной корпорации - Фонда содействия реформированию жилищно-коммунального хозяйства</t>
  </si>
  <si>
    <t>Субсидии бюджетам муниципальных районов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бюджетов</t>
  </si>
  <si>
    <t>2 02 25527 05 0000 151</t>
  </si>
  <si>
    <t>2 02 25555 05 0000 151</t>
  </si>
  <si>
    <t>2 18 25064 05 0000 151</t>
  </si>
  <si>
    <t>Субсидии бюджетам муниципальных районов на государственную поддержку малого и среднего предпринимательства, включая крестьянские (фермерские) хозяйства, а также на реализацию мероприятий по поддержке молодежного предпринимательства</t>
  </si>
  <si>
    <t>Субсидия бюджетам муниципальных районов на поддержку государственных программ субъектов Российской Федерации и муниципальных программ формирования современной городской среды</t>
  </si>
  <si>
    <t>Субсидии бюджетам муниципальных районов на строительство, модернизацию, ремонт и содержание автомобильных дорог в поселениях (за исключением автомобильных дорог федерального значения)</t>
  </si>
  <si>
    <t xml:space="preserve">Субсидии бюджетам муниципальных районов на
осуществление дорожной деятельности в отношении
автомобильных дорог общего пользования, а также
капитального ремонта и ремонта дворовых территорий многоквартирных домов, проездов к дворовым территориям многоквартирных домов населенных пунктов
</t>
  </si>
  <si>
    <t>Доходы бюджетов муниципальных районов от возврата остатков субсидий на государственную поддержку малого и среднего предпринимательства, включая крестьянские (фермерские) хозяйства, из бюджетов поселений</t>
  </si>
  <si>
    <t>Доходы бюджетов муниципальных районов от возврата остатков субсидий на мероприятия по поддержке социально ориентированных некоммерческих организаций из бюджетов поселений</t>
  </si>
  <si>
    <t xml:space="preserve">2 18 25085 05 0000 151 </t>
  </si>
  <si>
    <t>1 11 05013 05 0000 120</t>
  </si>
  <si>
    <t>1 14 06013 05 0000 430</t>
  </si>
  <si>
    <t>2 02 25519 05 0000 151</t>
  </si>
  <si>
    <t>Субсидия бюджетам муниципальных районов на поддержку отрасли культуры</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</si>
  <si>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 а также средства от продажи права на заключение договоров аренды указанных земельных участков</t>
  </si>
  <si>
    <t>Доходы от продажи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t>
  </si>
  <si>
    <t>2 02 25097 05 0000 151</t>
  </si>
  <si>
    <t>Субсидии бюджетам муниципальных районов на создание в общеобразовательных организациях, расположенных в сельской местности, условий для занятий физической культурой и спортом</t>
  </si>
  <si>
    <t>Поступления сумм в возмещение вреда, причиняемого автомобильным дорогам местного значения транспортными средствами, осуществляющими перевозки тяжеловесных и (или) крупногабаритных грузов, зачисляемые в бюджеты муниципальных районов</t>
  </si>
  <si>
    <t>Поступления сумм в возмещение вреда, причиняемого автомобильным дорогам местного значения транспортными средствами, осуществляющими перевозки тяжеловесных и (или) крупногабаритных грузов, зачисляемые в бюджеты городских поселений</t>
  </si>
  <si>
    <t>Поступления сумм в возмещение вреда, причиняемого автомобильным дорогам местного значения транспортными средствами, осуществляющими перевозки тяжеловесных и (или) крупногабаритных грузов, зачисляемые в бюджеты сельских поселений</t>
  </si>
  <si>
    <t>Содержание и организация деятельности аварийно-спасательных служб</t>
  </si>
  <si>
    <t>Поддержки деятельности социально-ориентированных некоммерческих организаций</t>
  </si>
  <si>
    <t xml:space="preserve"> Прогнозируемые доходы бюджета Тутаевского муниципального района   в соответствии с классификацией доходов бюджетов Российской Федерации на плановый период 2019-2020 годов</t>
  </si>
  <si>
    <t>Расходы бюджета Тутаевского муниципального района по разделам и подразделам классификации расходов бюджетов Российской Федерации на плановый период 2019-2020 годов</t>
  </si>
  <si>
    <t>Источники внутреннего финансирования дефицита  бюджета Тутаевского муниципального района на плановый период 2019-2020 годов</t>
  </si>
  <si>
    <t>1. Муниципальные внутренние заимствования, осуществляемые Тутаевским муниципальным районом в 2018 году</t>
  </si>
  <si>
    <t>* В связи с отсутствием принятых решений Администрацией Тутаевского муниципального района о предоставлении муниципальных гарантий конкретным заемщикам, сумма муниципальных гарантий ТМР на 2018-2020 годы не планируется.</t>
  </si>
  <si>
    <t>от "___"_____________ 2017 г.№______</t>
  </si>
  <si>
    <t>от "____"_____________ 2017 г.№______</t>
  </si>
  <si>
    <t>2020 Сумма, руб.</t>
  </si>
  <si>
    <t>от "_____"______________ 2017 г.№ ______</t>
  </si>
  <si>
    <t>от "____"____________ 2017 г. №_____</t>
  </si>
  <si>
    <t xml:space="preserve">муниципальных внутренних заимствований Тутаевского муниципального района на плановый период 2019-2020 годов </t>
  </si>
  <si>
    <t>1. Муниципальные внутренние заимствования, осуществляемые Тутаевским муниципальным районом на плановый период 2019-2020 годов</t>
  </si>
  <si>
    <t>2. Предельные размеры на 2019 -2020 годы</t>
  </si>
  <si>
    <t>на 01.01.2021</t>
  </si>
  <si>
    <t>на 2020 год</t>
  </si>
  <si>
    <t>на 01.01.2020 (пргноз)</t>
  </si>
  <si>
    <t>на 01.01.2021 (прогноз)</t>
  </si>
  <si>
    <t>от "____"___________ 2017 г.№ ______</t>
  </si>
  <si>
    <t>Нормативы                                                                                                                                распределения доходов между бюджетом Тутаевского муниципального района, бюджетом городского поселения Тутаев и бюджетами Константиновского, Артемьевского, Чебаковского и Левобережного сельских поселений на 2018 год и на плановый период 2019-2020 годов, %</t>
  </si>
  <si>
    <t>Ведомственная структура расходов бюджета Тутаевского муниципального района на плановый период 2019-2020 годов</t>
  </si>
  <si>
    <t>Распределение бюджетных ассигнований по программам и непрограммным расходам бюджета Тутаевского муниципального района на плановый период 2019-2020 годов</t>
  </si>
  <si>
    <t>Расходы на природоохранные мероприятия</t>
  </si>
  <si>
    <t>Прочая закупка товаров, работ и услуг для обеспечения государственных (муниципальных) нужд</t>
  </si>
  <si>
    <t xml:space="preserve">Закупка товаров, работ и услуг для обеспечения государственных (муниципальных) нужд
</t>
  </si>
  <si>
    <t xml:space="preserve">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
</t>
  </si>
  <si>
    <t>Капитальные вложения в объекты государственной (муниципальной) собственности</t>
  </si>
  <si>
    <t>Обеспечение условий для исполнения функций финансового органа</t>
  </si>
  <si>
    <t>21.0.02</t>
  </si>
  <si>
    <t>Организационно-техническое обеспечение бюджетного процесса</t>
  </si>
  <si>
    <t>21.0.03</t>
  </si>
  <si>
    <t>Нормативно-методическое обеспечение бюджетного процесса</t>
  </si>
  <si>
    <t>22.0.00</t>
  </si>
  <si>
    <t>Муниципальная программа "Формирование  современной городской среды"  Тутаевского муниципального района</t>
  </si>
  <si>
    <t>Повышение уровня благоустройства дворовых территорий</t>
  </si>
  <si>
    <t>Повышение  уровня благоустройства  мест массового отдыха людей</t>
  </si>
  <si>
    <t>Повышение безопасности движения пешеходов и транспортных средств на придомовых территориях и проездах к дворовым территориям МКД</t>
  </si>
  <si>
    <t>23.0.00</t>
  </si>
  <si>
    <t>Муниципальная программа "Внедрение и развитие аппаратно-программного комплекса "Безопасный город"</t>
  </si>
  <si>
    <t>23.0.01</t>
  </si>
  <si>
    <t>Мероприятия по обеспечению безопасности жителей района</t>
  </si>
  <si>
    <t>Представительские расходы орагнов местного самоуправления</t>
  </si>
  <si>
    <t>Расходы на обеспечение безопасности жителей района</t>
  </si>
  <si>
    <t>Субвенция на освобождение от оплаты стоимости  проезда детей из многодетных семей</t>
  </si>
  <si>
    <t>Субвенция местным бюджетам на ежемесячную денежную выплату, назначаемую при рождении третьего ребенка или последующих детей до достижения ребенком возраста трех лет</t>
  </si>
  <si>
    <t>084</t>
  </si>
  <si>
    <t>3036</t>
  </si>
  <si>
    <t>3037</t>
  </si>
  <si>
    <t xml:space="preserve">Субвенция бюджетам муниципальных образований на ежемесячную денежную выплату, назначаемую при рождении третьего ребенка или последующих детей до достижения ребенком возраста трех лет, в части расходов по доставке выплат </t>
  </si>
  <si>
    <t>Субвенция на компенсацию отдельным категориям граждан оплаты взноса на капитальный ремонт  общего имущества в многоквартирном доме в части расходов по доставке</t>
  </si>
  <si>
    <t>930</t>
  </si>
  <si>
    <t>2021</t>
  </si>
  <si>
    <t>Субвенция на освобождение от оплаты стоимости  проезда на транспорте детей из многодетных семей</t>
  </si>
  <si>
    <t>Субвенция на обеспечение отдыха и оздоровления детей, находящихся в трудной жизненной ситуации, детей погибших сотрудников правоохранительных органов и военнослужащих, безнадзорных детей</t>
  </si>
  <si>
    <t>R4620</t>
  </si>
  <si>
    <t xml:space="preserve">Обеспечение мероприятий по строительству,  реконструкции и ремонту  объектов водоснабжения и водоотведения </t>
  </si>
  <si>
    <t xml:space="preserve">Строительство и реконструкция  объектов  газификации </t>
  </si>
  <si>
    <t>Содержание и организация деятельности по благоустройству на территории поселения</t>
  </si>
  <si>
    <t>Обеспечение мероприятий в области благоустройства и озеленения</t>
  </si>
  <si>
    <t>Обеспечение мероприятий по строительству и реконструкции  памятников</t>
  </si>
  <si>
    <t>22.0.01</t>
  </si>
  <si>
    <t>22.0.02</t>
  </si>
  <si>
    <t>22.0.03</t>
  </si>
  <si>
    <t>Субвенция на компенсацию отдельным категориям граждан оплаты взноса на капитальный ремонт общего имущества в многоквартирном доме</t>
  </si>
  <si>
    <t>Субвенция на компенсацию отдельным категориям граждан оплаты взноса на капитальный ремонт общего имущества в многоквартирном доме, в части расходов по доставке выплат получателям</t>
  </si>
  <si>
    <t>1. Субсидия на финансирование дорожного хозяйства</t>
  </si>
  <si>
    <t>2. Субсидия на реализацию мероприятий по обеспечению безопасности граждан на водных объектах</t>
  </si>
  <si>
    <t>Предоставление субсидий социально ориентированным некомерческим организациям на конкурсной основе</t>
  </si>
  <si>
    <t>S3140</t>
  </si>
  <si>
    <t>S5800</t>
  </si>
  <si>
    <t>Субсидия на реализацию мероприятий по информационному обеспечению муниципальных закупок</t>
  </si>
  <si>
    <t>Организация и проведение физкультурно-оздоровительной и спортивно-массовой работы среди детей, обучающейся молодежи, населения и людей с ограниченными возможностями здоровья</t>
  </si>
  <si>
    <t>Строительство и реконструкция спортивных сооружений и укрепление материальной базы</t>
  </si>
  <si>
    <t>Мероприятия  направленные на развитие агропромышленного комплекса</t>
  </si>
  <si>
    <t>Субсидия на возмещение части затрат сельхозтоваропроиизводителям на реализованное молоко</t>
  </si>
  <si>
    <t xml:space="preserve">Субсидия на возмещение части затрат сельхозтоваропроиизводителям на содержание маточного поголовья овец романовской породы </t>
  </si>
  <si>
    <t>Бесперебойное функционирование информационных систем</t>
  </si>
  <si>
    <t>Ежемесячная денежная выплата, назначаемая в случае рождения третьего ребенка или последующих детей до достижения ребенком возраста трех лет, в части расходов по доставке выплат получателям</t>
  </si>
  <si>
    <t>03.1.04</t>
  </si>
  <si>
    <t>на 2019 год</t>
  </si>
  <si>
    <t>Субвенция на осуществление полномочий Российской Федерации по государственной регистрации актов гражданского состояния</t>
  </si>
  <si>
    <t>13310</t>
  </si>
  <si>
    <t>Гранты, в форме субсидий, на выплату  вознаграждения сельхозтоваропроизхводителям - победителям конкурса</t>
  </si>
  <si>
    <t>958 Департамент жилищно- коммунального хозяйства и транспорта Администрации Тутаевского муниципального района</t>
  </si>
  <si>
    <t>Субсидия на капитальный ремонт и ремонт дорожных объектов муниципальной собственности</t>
  </si>
  <si>
    <t>Межбюджетные трансферты на обеспечение мероприятий в области дорожного хозяйства по строительству, реконструкции и ремонту светофорных объектов</t>
  </si>
  <si>
    <t>2913</t>
  </si>
  <si>
    <t>Межбюджетные трансферты на обеспечение мероприятий по улучшение жилищных условий молодых семей, проживающих  на территории Ярославской области</t>
  </si>
  <si>
    <t>Межбюджетные трансферты на обеспечение мероприятий в области благоустройства и озеленения</t>
  </si>
  <si>
    <t>Межбюджетные трансферты на содержание и организацию деятельности по благоустройству на территории поселения</t>
  </si>
  <si>
    <t>Межбюджетные трансферты на обеспечение мероприятий по содержанию мест захоронения</t>
  </si>
  <si>
    <t>2949</t>
  </si>
  <si>
    <t>Межбюджетные трансферты на обеспечение мероприятий в области дорожного хозяйства по ремонту дворовых территорий</t>
  </si>
  <si>
    <t>2951</t>
  </si>
  <si>
    <t>Межбюджетные трансферты на оказание поддержки социально ориентированным некоммерческим организациям</t>
  </si>
  <si>
    <t>2952</t>
  </si>
  <si>
    <t>Межбюджетные трансферты на обеспечение мероприятий по организации населению услуг торговли</t>
  </si>
  <si>
    <t>2956</t>
  </si>
  <si>
    <t>Межбюджетные трансферты на содержание и организация деятельности аварийно-спасательных служб и (или) аварийно-спасательных формирований на территории поселения</t>
  </si>
  <si>
    <t>2960</t>
  </si>
  <si>
    <t>Межбюджетные трансферты на обеспечение мероприятий по  строительству канатной дороги через р.Волга</t>
  </si>
  <si>
    <t>2964</t>
  </si>
  <si>
    <t>Межбюджетные трансферты на обеспечение мероприятий по  формированию современной  городской среды в области дорожного хозяйства</t>
  </si>
  <si>
    <t>2965</t>
  </si>
  <si>
    <t>Межбюджетные трансферты на обеспечение мероприятий по  формированию современной городской среды в области благоустройства</t>
  </si>
  <si>
    <t>2037</t>
  </si>
  <si>
    <t>Субсидия на повышение оплаты труда отдельных категорий работников муниципальных учреждений в сфере образования</t>
  </si>
  <si>
    <t>573</t>
  </si>
  <si>
    <t>Субвенции бюджетам муниципальных районов на выполнение полномочий Российской Федерации по осуществлению ежемесячной выплаты в связи с рождением (усыновлением) первого ребенка</t>
  </si>
  <si>
    <t>2038</t>
  </si>
  <si>
    <t>Субсидия на повышение оплаты труда работников муниципальных учреждений в сфере культуры</t>
  </si>
  <si>
    <t>2921</t>
  </si>
  <si>
    <t>Межбюджетные трансферты на обеспечение культурно - досуговых мероприятий</t>
  </si>
  <si>
    <t>2947</t>
  </si>
  <si>
    <t>Межбюджетные трансферты на обеспечение мероприятий по строительству и реконструкции памятников</t>
  </si>
  <si>
    <t>2948</t>
  </si>
  <si>
    <t>Межбюджетные трансферты на обеспечение деятельности народных дружин</t>
  </si>
  <si>
    <t>2968</t>
  </si>
  <si>
    <t>Межбюджетные трансферты на обеспечение мероприятий по содержанию военно-мемориального комплекса пл.Юности</t>
  </si>
  <si>
    <t xml:space="preserve">Субсидия на реализацию мероприятий по строительству объектов газификации </t>
  </si>
  <si>
    <t>2904</t>
  </si>
  <si>
    <t>Межбюджетные трансферты на обеспечение мероприятий на строительство и реконструкцию объектов водоснабжения и водоотведения</t>
  </si>
  <si>
    <t>Межбюджетные трансферты на обеспечение мероприятий по осуществлению грузопассажирских  перевозок на речном транспорте</t>
  </si>
  <si>
    <t>Межбюджетные трансферты на обеспечение мероприятий по осуществлению пассажирских  перевозок на автомобильном  транспорте</t>
  </si>
  <si>
    <t>Межбюджетные трансферты на обеспечение мероприятий по установке приборов учета потребляемых ресурсов</t>
  </si>
  <si>
    <t>2937</t>
  </si>
  <si>
    <t>Межбюджетные трансферты на обеспечение мероприятий по содержанию, реконструкции и ремонту муниципального жилищного фонда</t>
  </si>
  <si>
    <t>2961</t>
  </si>
  <si>
    <t>Межбюджетные трансферты на обеспечение мероприятий  по переработке и утилизации ливневых стоков</t>
  </si>
  <si>
    <t>Обеспечение мероприятий по организации населению услуг торговли</t>
  </si>
  <si>
    <t>L0206</t>
  </si>
  <si>
    <t xml:space="preserve">Обеспечение мероприятий по улучшению жилищных условий молодых семей, проживающих на территории ЯО </t>
  </si>
  <si>
    <t>S1236</t>
  </si>
  <si>
    <t>Субсидия на возмещение части затрат по вводу земель сельскохозяйственного назначения</t>
  </si>
  <si>
    <t>R0740</t>
  </si>
  <si>
    <t>R0750</t>
  </si>
  <si>
    <t>R0841</t>
  </si>
  <si>
    <t>R0860</t>
  </si>
  <si>
    <t>R3040</t>
  </si>
  <si>
    <t>R0890</t>
  </si>
  <si>
    <t>R5490</t>
  </si>
  <si>
    <t>R4450</t>
  </si>
  <si>
    <t>R4420</t>
  </si>
  <si>
    <t>Расходы на мероприятия по содержанию мунициальных мест захоронений</t>
  </si>
  <si>
    <t>L5556</t>
  </si>
  <si>
    <t>Обеспечение надежного теплоснабжения жилищного фонда городского поселения Тутаев</t>
  </si>
  <si>
    <t>Содержание и организация деятельности дорожного хозяйства</t>
  </si>
  <si>
    <t>Обеспечение мероприятий  в рамках реализации проекта «Сохранение и развитие малых исторических городов и поселений»</t>
  </si>
  <si>
    <t>Обеспечение мероприятий  в области сохранения и восстановления   исторического облика населенных пунктов поселений, объектов культурного наследия</t>
  </si>
  <si>
    <t>Обеспечение мероприятий по содержанию  военно-мемориального комплекса пл.Юности</t>
  </si>
  <si>
    <t>Обеспечение мероприятий  по разработке программы транспортной инфраструктуры</t>
  </si>
  <si>
    <t>Обеспечение мероприятий по обустройству мест массового отдыха в рамках реализации губернаторского проекта «Решаем вместе!»</t>
  </si>
  <si>
    <t>Обеспечение мероприятий по строительству канатной дороги через   р. Волга</t>
  </si>
  <si>
    <t>Обеспечение мероприятий по  формированию современной городской среды в области дорожного хозяйства</t>
  </si>
  <si>
    <t>Обеспечение мероприятий по актуализации схем водоснабжения и водоотведения</t>
  </si>
  <si>
    <t>Обеспечение мероприятий по оптимизации  теплоснабжения с переводом объектов на индивидуальное газовое отопление</t>
  </si>
  <si>
    <t>Обеспечение мероприятий  по переработке и утилизации ливневых стоков</t>
  </si>
  <si>
    <t>Обеспечение мероприятий по актуализации  границ  особо охраняемых объектов- памятников природы</t>
  </si>
  <si>
    <t>16.2.04</t>
  </si>
  <si>
    <t>Обеспечение мероприятий по обследованию жилых домов</t>
  </si>
  <si>
    <t>R5260</t>
  </si>
  <si>
    <t>S5260</t>
  </si>
  <si>
    <t>Субсидия на реализацию мероприятий по строительству объектов газификации</t>
  </si>
  <si>
    <t>Обеспечение софинансирования по строительству объектов газификации</t>
  </si>
  <si>
    <t>R0190</t>
  </si>
  <si>
    <t>R0200</t>
  </si>
  <si>
    <t>R1450</t>
  </si>
  <si>
    <t>19</t>
  </si>
  <si>
    <t>1003</t>
  </si>
  <si>
    <t>Дотация на реализацию мероприятий, предусмотренных нормативными правовыми актами органов государственной власти Ярославской области</t>
  </si>
  <si>
    <t>022</t>
  </si>
  <si>
    <t>15.0.04</t>
  </si>
  <si>
    <t>L5276</t>
  </si>
  <si>
    <t>Субсидия  на реализацию муниципальных программ (подпрограмм) развития малого и среднего предпринимательства, в том числе монопрофильных муниципальных образований</t>
  </si>
  <si>
    <t>R2446</t>
  </si>
  <si>
    <t>Мероприятия по финансированию дорожного хозяйства</t>
  </si>
  <si>
    <t>S2446</t>
  </si>
  <si>
    <t>R5626</t>
  </si>
  <si>
    <t>Субсидия на ремонт дорожных объектов муниципальной собственности</t>
  </si>
  <si>
    <t>R2440</t>
  </si>
  <si>
    <t>Субсидия на финансирование дорожного хозяйства за счет средств областного бюджета</t>
  </si>
  <si>
    <t>R5620</t>
  </si>
  <si>
    <t xml:space="preserve">3.Субсидия  на капитальный ремонт и ремонт дорожных объектов муниципальной собственности из бюджета  Ярославской области </t>
  </si>
  <si>
    <t>Муниципальная программа "Развитие муниципальной службы и повышение квалификации руководителей муниципальных учреждений в  Тутаевском муниципальном районе"</t>
  </si>
  <si>
    <t xml:space="preserve">Профессиональное развитие  муниципальных служащих и повышение квалификации руководителей муниципальных учреждений </t>
  </si>
  <si>
    <t>Организация предоставления транспортных услуг по перевозке пассажиров речным транспортом</t>
  </si>
  <si>
    <t>Обеспечение мероприятий по разработке программ транспортной инфраструктуры сельских поселений</t>
  </si>
  <si>
    <t>R0510</t>
  </si>
  <si>
    <t>R0520</t>
  </si>
  <si>
    <t>R3110</t>
  </si>
  <si>
    <t>R0530</t>
  </si>
  <si>
    <t>R1000</t>
  </si>
  <si>
    <t>R1060</t>
  </si>
  <si>
    <t>R5160</t>
  </si>
  <si>
    <t>R1430</t>
  </si>
  <si>
    <t>R0550</t>
  </si>
  <si>
    <t>R4390</t>
  </si>
  <si>
    <t>R0460</t>
  </si>
  <si>
    <t>R0500</t>
  </si>
  <si>
    <t>R0430</t>
  </si>
  <si>
    <t>R0850</t>
  </si>
  <si>
    <t>R5480</t>
  </si>
  <si>
    <t>R0870</t>
  </si>
  <si>
    <t>Субвенция на осуществление переданных полномочий РФ по назначению и осуществлению ежемесячной выплаты в связи с рождением (усыновлением) первого ребенка</t>
  </si>
  <si>
    <t>R0650</t>
  </si>
  <si>
    <t xml:space="preserve">Иная дотация </t>
  </si>
  <si>
    <t>от "____"______________ 2018 г.№ ______</t>
  </si>
  <si>
    <t>R2550</t>
  </si>
  <si>
    <t>R2560</t>
  </si>
  <si>
    <t>R5556</t>
  </si>
  <si>
    <t xml:space="preserve">Субсидия на формирование современной городской среды </t>
  </si>
  <si>
    <t>4.Субсидия  на мероприятия по формированию современной городской среды</t>
  </si>
  <si>
    <t>Мероприятия по актуализации схем теплоснабжения</t>
  </si>
  <si>
    <t>S5626</t>
  </si>
  <si>
    <t>R5550</t>
  </si>
  <si>
    <t>2969</t>
  </si>
  <si>
    <t>Межбюджетные трансферты на содержание и организацию деятельности дорожного хозяйства</t>
  </si>
  <si>
    <t>49</t>
  </si>
  <si>
    <t>4006</t>
  </si>
  <si>
    <t>Межбюджетные трансферты на реализацию мероприятий по поощрению достижения наилучших значений показателей по отдельным направлениям развития муниципальных образований Ярославской области</t>
  </si>
  <si>
    <t>2950</t>
  </si>
  <si>
    <t>Межбюджетные трансферты на обеспечение мероприятий по строительству, реконструкции и ремонту общественных туалетов</t>
  </si>
  <si>
    <t>2905</t>
  </si>
  <si>
    <t>Межбюджетные трансферты на обеспечение мероприятий по строительству и реконструкции объектов теплоснабжения</t>
  </si>
  <si>
    <t>2953</t>
  </si>
  <si>
    <t>Межбюджетные трансферты на обеспечение мероприятий по актуализации схем теплоснабжения</t>
  </si>
  <si>
    <t>2962</t>
  </si>
  <si>
    <t>Межбюджетные трансферты на обеспечение мероприятий  по разработке программы транспортной инфраструктуры</t>
  </si>
  <si>
    <t>2963</t>
  </si>
  <si>
    <t>Межбюджетные трансферты на обеспечение мероприятий по актуализации схем водоснабжения и водоотведения</t>
  </si>
  <si>
    <t>2970</t>
  </si>
  <si>
    <t>Межбюджетные трансферты на обеспечение надежного теплоснабжения жилищного фонда городского поселения Тутаев</t>
  </si>
  <si>
    <t>Мероприятия по реконструкции и капитальному ремонту учреждения социальной защиты</t>
  </si>
  <si>
    <t>На реализацию мероприятий по поощрению достижения наилучших значений показателей по отдельным направлениям развития муниципальных образований Ярославской области</t>
  </si>
  <si>
    <t>2. Межбюджетные трансферты на реализацию мероприятий по поощрению достижения наилучших значений показателей по отдельным направлениям развития муниципальных образований Ярославской области</t>
  </si>
  <si>
    <t xml:space="preserve">на 01.01.2018 </t>
  </si>
  <si>
    <t>R5356</t>
  </si>
  <si>
    <t>Мероприятия по ремонту дворовых территорий в рамках инициативного бюджетирования</t>
  </si>
  <si>
    <t>S5356</t>
  </si>
  <si>
    <t>Обеспечение софинансирования по ремонту дворовых территорий в рамках инициативного бюджетирования</t>
  </si>
  <si>
    <t>Обеспечение мероприятий по разработке комплексных схем организации дорожного движения в рамках агломерации "Ярославская"</t>
  </si>
  <si>
    <t>Обеспечение мероприятий по разработке программы коммунальной инфраструктуры</t>
  </si>
  <si>
    <t>R2880</t>
  </si>
  <si>
    <t>Субсидия на реализацию мероприятий по возмещению части затрат организациям и индивидуальным предпринимателям,занимающимся доставкой товаров в отдаленные сельские населенные пункты за счет средств областного бюджета</t>
  </si>
  <si>
    <t>Субсидия на обеспечение мероприятий по переселению граждан из ааврийного жилищного фонда на приобретение жилых помещений, площадь которых больше площади занимаемых помещений</t>
  </si>
  <si>
    <t>Обеспечение  мероприятий по формированию современной городской среды</t>
  </si>
  <si>
    <t>L5606</t>
  </si>
  <si>
    <t>Обеспечение  мероприятий по формированию современной городской среды в области благоустройства мест массового отдыха</t>
  </si>
  <si>
    <t>L4976</t>
  </si>
  <si>
    <t>Субсидии на мероприятия по господдержке молодых семей в приобретении (строительстве) жилья</t>
  </si>
  <si>
    <t>R1750</t>
  </si>
  <si>
    <t xml:space="preserve">Субсидия на реализацию мероприятий по созданию условий для развития инфраструктуры </t>
  </si>
  <si>
    <t xml:space="preserve">5. Субсидия на реализацию мероприятий по созданию условий для развития инфраструктуры </t>
  </si>
  <si>
    <t>6. Субсидия на обеспечение мероприятий по переселению граждан из ааврийного жилищного фонда на приобретение жилых помещений, площадь которых больше площади занимаемых помещений</t>
  </si>
  <si>
    <t>302</t>
  </si>
  <si>
    <t>2004</t>
  </si>
  <si>
    <t>Субсидия на реализацию мероприятий  по возмещению части затрат организациям любых форм собственности и индивидуальным предпринимателям, занимающимся доставкой товаров в отдаленные сельские населенные пункты</t>
  </si>
  <si>
    <t>2032</t>
  </si>
  <si>
    <t>Субсидия на реализацию мероприятий инициативного бюджетирования на территории Ярославской области (поддержка местных инициатив)</t>
  </si>
  <si>
    <t>2034</t>
  </si>
  <si>
    <t>Субсидия на реализацию муниципальных программ поддержки социально ориентированнх некоммереских организаций</t>
  </si>
  <si>
    <t>2035</t>
  </si>
  <si>
    <t>2967</t>
  </si>
  <si>
    <t>Межбюджетные трансферты на обеспечение мероприятий по обустройству мест массового отдыха в рамках реализации губернаторского проекта "Решаем вместе!"</t>
  </si>
  <si>
    <t>2972</t>
  </si>
  <si>
    <t>Межбюджетные трансферты на обеспечение мероприятий по разработке схем организации дорожного движения в рамках агломерации "Ярославская"</t>
  </si>
  <si>
    <t>2973</t>
  </si>
  <si>
    <t>Межбюджетные трансферты на обеспечение мероприятий в области дорожного хозяйства по инициативному бюджетированию</t>
  </si>
  <si>
    <t>2974</t>
  </si>
  <si>
    <t>Межбюджетные трансферты на обеспечение мероприятий в области благоустройства по инициативному бюджетированию</t>
  </si>
  <si>
    <t>2006</t>
  </si>
  <si>
    <t>Субсидия на проведение капитального ремонта муниципальных учреждений культуры</t>
  </si>
  <si>
    <t>2040</t>
  </si>
  <si>
    <t>Субсидия на обеспечение трудоустройства несовершеннолетних граждан на временные рабочие места</t>
  </si>
  <si>
    <t>2944</t>
  </si>
  <si>
    <t>Межбюджетные трансферты на расходы на обеспечение мероприятий  по капитальному ремонту лифтов в МКД, в части жилых помещений находящихся в муниципальной собственности</t>
  </si>
  <si>
    <t>2971</t>
  </si>
  <si>
    <t>Межбюджетные трансферты на обеспечение мероприятий по разработке программы коммунальной инфраструктуры</t>
  </si>
  <si>
    <t>R3140</t>
  </si>
  <si>
    <t>Поддержка деятельности социально-ориентированным некоммерческим организациям на конкурсной основе</t>
  </si>
  <si>
    <t>R5800</t>
  </si>
  <si>
    <t>Расходы на реализацию мероприятий по информационному обеспечению муниципальных закупок</t>
  </si>
  <si>
    <t>Субсидия на реализацию мероприятий по созданию условий для развития инфраструктуры досуга и отдыха на территории муниципальных образований области</t>
  </si>
  <si>
    <t>2020</t>
  </si>
  <si>
    <t>R5350</t>
  </si>
  <si>
    <t>Расходы на реализацию мероприятий инициативного бюджетирования на территории Ярославской области</t>
  </si>
  <si>
    <t>R1690</t>
  </si>
  <si>
    <t xml:space="preserve">7. Субсидия на реализацию мероприятий инициативного бюджетирования на территории Ярославской области  </t>
  </si>
  <si>
    <t>Расходы на обеспечение трудоустройства несовершеннолетних граждан на временные рабочие места</t>
  </si>
  <si>
    <t>Субсидия  на создание условий для развития  инфраструктуры досуга и отдыха</t>
  </si>
  <si>
    <t>Субсидия на мероприятия по строительству межпоселеченских газопроводов</t>
  </si>
  <si>
    <t>Субсидия на формирование современной городской среды  (кредиторская задолженность)</t>
  </si>
  <si>
    <t>Субсидия на капитальный ремонт и ремонт дорожных объектов мунициальной собственности  из бюджета ЯО</t>
  </si>
  <si>
    <t>Субсидия на реализацию мероприятий по возмещению части затрат организациям любых форм собственности и индивидуальным предпринимателям, занимающимся доставкой товаров в отдаленные сельские населенные пункты за счет средств областного бюджета</t>
  </si>
  <si>
    <t>Обеспечение мероприятий в сфере ипотечного жилищного кредитования за счет средств поселений</t>
  </si>
  <si>
    <t>Мероприятия, направленные на реализацию задачи по государственной поддержке граждан, проживающих на территории ЯО, в сфере ипотечного жилищного кредитования</t>
  </si>
  <si>
    <t>Мероприятия по благоустройству и ремонту дворовых территории в рамках софинансирования инициативного бюджетирования</t>
  </si>
  <si>
    <t>Расходы на комплексное развитие транспортной инфраструктуры городской агломерации "Ярославская"</t>
  </si>
  <si>
    <t>Субсидия на комплексное развитие транспортной инфраструктуры городской агломерации "Ярославская" за счет средств областного бюджета</t>
  </si>
  <si>
    <t>Мероприятия по благоустройству и ремонту дворовых  территории в рамках софинансирования инициативного бюджетирования</t>
  </si>
  <si>
    <t>Обеспечение доп.финансирования мероприятий  по формированию современной городской среды</t>
  </si>
  <si>
    <t>Обеспечение мероприятий по  формированию современной  городской среды в области обустройства мест массового отдыха</t>
  </si>
  <si>
    <t>Обеспечение мероприятий по благоустргойству территории , предкусмотренных по НПА ЯО</t>
  </si>
  <si>
    <t>Бюджетные инвестиции на строительство межпоселенческих газопроводов</t>
  </si>
  <si>
    <t>Содержание и ремонт бесхозяйных стационарных объектов и сетей</t>
  </si>
  <si>
    <t xml:space="preserve"> редакция 7</t>
  </si>
  <si>
    <t>2. Межбюджетные трансферты нареализацию мероприятий по поощрению достижений наилучших значений показателей по отдельным направлениям развития муниципальных образований Ярославской области</t>
  </si>
  <si>
    <t>городское поселение Тутаев</t>
  </si>
  <si>
    <t>8. Субсидия на комплексное развитие транспортной инфраструктуры городской агломерации "Ярославская"</t>
  </si>
  <si>
    <t xml:space="preserve">9.Субсидия  на реализацию государственной поддержки граждан, проживающих на территории Ярославской области, в сфере ипотечного жилищного кредитования </t>
  </si>
  <si>
    <t>25</t>
  </si>
  <si>
    <t>552</t>
  </si>
  <si>
    <t>Субсидии бюджетам муниципальных районов на реализацию мероприятий приоритетного проекта "Безопасные и качественные дороги"</t>
  </si>
  <si>
    <t>2005</t>
  </si>
  <si>
    <t>Субсидия на реализацию задачи по государственной поддержке граждан, проживающих на территории Ярославской области, в сфере ипотечного жилищного кредитования</t>
  </si>
  <si>
    <t>2010</t>
  </si>
  <si>
    <t>Субсидия на реализацию мероприятий по патриотическому воспитанию граждан</t>
  </si>
  <si>
    <t>Расходы на реализацию меропритий по строительству (реконструкции) учреждений социального обслуживания населения</t>
  </si>
  <si>
    <t>R0970</t>
  </si>
  <si>
    <t>Расходы на создание в общеобразовательных организациях, расположенных в сельской местности, условий для занятий физической культурой и спортом</t>
  </si>
  <si>
    <t>Приложение 5</t>
  </si>
  <si>
    <t>ДЕФИЦИТ</t>
  </si>
  <si>
    <t>Обеспечение мероприятий по осуществлению межсезонных пассажирских  перевозок на автомобильном  транспорте</t>
  </si>
  <si>
    <t>2. Дотация на реализацию мероприятий, предусмотренных нормативными правовыми актами органов государственной власти Ярославской области</t>
  </si>
  <si>
    <t>2955</t>
  </si>
  <si>
    <t>Межбюджетные трансферты на обеспечение  других обязательств в рамках передаваемых полномочий по содержанию казны  поселения</t>
  </si>
  <si>
    <t>519</t>
  </si>
  <si>
    <t>Обеспечение софинансирования мероприятий по  по разработке комплексных схем организации дорожного движения в рамках агломерации "Ярославская"</t>
  </si>
  <si>
    <t>Распределение иных межбюджетных трансфертов бюджетам поселений Тутаевского муниципального района на 2019 год</t>
  </si>
  <si>
    <t>1. Межбюджетные трансферты на организацию  в границах поселения дорожной деятельности в части содержания автомобильных дорог местного значения</t>
  </si>
  <si>
    <t>Обеспечение других обязательств в рамках передаваемых полномочий по содержанию имущества казны городского поселения Тутаев</t>
  </si>
  <si>
    <t>L5190</t>
  </si>
  <si>
    <t>Расходы на поддержку отрасли культуры</t>
  </si>
  <si>
    <t xml:space="preserve">                                                                     Сумма, руб.</t>
  </si>
  <si>
    <t>2975</t>
  </si>
  <si>
    <t>Межбюджетные трансферты на дополнительное пенсионное обеспечение муниципальных служащих городского поселения Тутаев</t>
  </si>
  <si>
    <t xml:space="preserve">Мероприятия по содержанию территории города  из средств гранта района </t>
  </si>
  <si>
    <t>R5190</t>
  </si>
  <si>
    <t>6. Субсидия на обеспечение мероприятий по переселению граждан из аврийного жилищного фонда на приобретение жилых помещений, площадь которых больше площади занимаемых помещений</t>
  </si>
  <si>
    <t>Исполнение доходов бюджета Тутаевского муниципального района за  2018 год  в соответствии с классификацией доходов бюджетов Российской Федерации</t>
  </si>
  <si>
    <t>Исполнение расходов бюджета Тутаевского муниципального района по разделам и подразделам классификации расходов бюджетов Российской Федерации за 2018 год</t>
  </si>
  <si>
    <t>Исполнение источников внутреннего финансирования дефицита муниципального района за 2018 год</t>
  </si>
  <si>
    <t xml:space="preserve">Исполнение Программы муниципальных внутренних заимствований Тутаевского муниципального района за 2018 год </t>
  </si>
  <si>
    <t>2. Информация о фактических объемах за 2018 год</t>
  </si>
  <si>
    <t>1. Фактический объем муниципального долга</t>
  </si>
  <si>
    <t>2. Фактический объем расходов на обслуживание муниципального долга</t>
  </si>
  <si>
    <t>3. Фактический объем муниципальных заимствований</t>
  </si>
  <si>
    <t>4. Фактический объем предоставляемых муниципальных гарантий</t>
  </si>
  <si>
    <t>Ведомственная структура расходов бюджета Тутаевского муниципального района за 2018 год</t>
  </si>
  <si>
    <t>Распределение бюджетных ассигнований по программам и непрограммным расходам бюджета Тутаевского муниципального района за 2018 год</t>
  </si>
  <si>
    <t>Распределение дотаций бюджетам поселений Тутаевского муниципального района  за 2018год</t>
  </si>
  <si>
    <t>Распределение субсидий бюджетам поселений Тутаевского муниципального района за 2018 год</t>
  </si>
  <si>
    <t>Распределение субвенций бюджетам поселений Тутаевского муниципального района за 2018 год</t>
  </si>
  <si>
    <t>Распределение иных межбюджетных трансфертов бюджетам поселений Тутаевского муниципального района за 2018 год</t>
  </si>
  <si>
    <t>Затраты на денежное содержание, руб.</t>
  </si>
  <si>
    <t>Муниципальные служащие органов местного самоуправления</t>
  </si>
  <si>
    <t>Работники муниципальных учреждений</t>
  </si>
  <si>
    <t>Исполнено, руб.</t>
  </si>
  <si>
    <t>в том числе:</t>
  </si>
  <si>
    <t xml:space="preserve"> на оказание материальной помощи пострадавшим от пожара</t>
  </si>
  <si>
    <t>замена дымовой трубы с капремонтом фундамента под дымосос и замена дымососа на новой котельной п. Чебаково</t>
  </si>
  <si>
    <t xml:space="preserve"> на выполнение работ по прочистке ливневой канализации по ул. Дементьева г. Тутаев от д. №18 до перекрестка с ул. Комсомольской г. Тутаев.</t>
  </si>
  <si>
    <t xml:space="preserve"> на выполнение работ по ремонту погружного фекального насоса на локальных очистных сооружениях по адресу г. Тутаев, ул. 2-я Овражная, д.32 А</t>
  </si>
  <si>
    <t>на приобретение насоса для МУП ТМР"Тутаевские коммунальные системы"</t>
  </si>
  <si>
    <t>Сведения о численности муниципальных служащих органов местного самоуправления, работников муниципальных учреждений, фактические затраты на их денежное содержание  по Тутаевскому муниципальному району за 2018  год</t>
  </si>
  <si>
    <t xml:space="preserve">      О Т Ч ЕТ                                                                                                                                                       о расходовании средств резервного фонда Администрации Тутаевского муниципального района за  2018 год</t>
  </si>
  <si>
    <t>прочистка ливневой канализации в поселке Красный бор</t>
  </si>
  <si>
    <t>замена участка водопровода ХВС по адресу г. Тутаев ул. Ленина от колодца до ПЧ 26 и замене участка водопровода ХВС по адресу г. тутаев ул. Ленина д.61</t>
  </si>
  <si>
    <t xml:space="preserve">Исполнено, руб.                                                                             </t>
  </si>
  <si>
    <t xml:space="preserve">                                                                          Исполнено, руб.</t>
  </si>
  <si>
    <t xml:space="preserve">                                                              Исполнено, руб.</t>
  </si>
  <si>
    <t>Платежи при пользовании недрами</t>
  </si>
  <si>
    <t>18</t>
  </si>
  <si>
    <t>Доходы бюджетов бюджетной системы Российской Федерации от возврата бюджетами бюджетной системы Российской Федерации и организациями остатков субсидий, субвенций и иных межбюджетных трансфертов, имеющих целевое назначение, прошлых лет</t>
  </si>
  <si>
    <t>Возврат остатков субсидий,субвенций и иных межбюджетных трансфертов, имеющих целевое назначение, прошлых лет</t>
  </si>
  <si>
    <t xml:space="preserve">                                                                             Сумма, руб.</t>
  </si>
  <si>
    <t>Среднесписочная численность,чел.</t>
  </si>
  <si>
    <t>Приобретение трубы для замены трубопровода системы теплоснабжения около МОУ СОШ №1</t>
  </si>
  <si>
    <t>от 25.04.2019 г.№ 51-г</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</si>
</sst>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164" formatCode="_-* #,##0.00&quot;р.&quot;_-;\-* #,##0.00&quot;р.&quot;_-;_-* &quot;-&quot;??&quot;р.&quot;_-;_-@_-"/>
    <numFmt numFmtId="165" formatCode="_-* #,##0.00_р_._-;\-* #,##0.00_р_._-;_-* &quot;-&quot;??_р_._-;_-@_-"/>
    <numFmt numFmtId="166" formatCode="0000"/>
    <numFmt numFmtId="167" formatCode="0.0%"/>
    <numFmt numFmtId="168" formatCode="000"/>
    <numFmt numFmtId="169" formatCode=";;"/>
    <numFmt numFmtId="170" formatCode="#,##0_р_."/>
    <numFmt numFmtId="171" formatCode="0000000"/>
    <numFmt numFmtId="172" formatCode="_-* #,##0_р_._-;\-* #,##0_р_._-;_-* &quot;-&quot;??_р_._-;_-@_-"/>
  </numFmts>
  <fonts count="68" x14ac:knownFonts="1">
    <font>
      <sz val="10"/>
      <color theme="1"/>
      <name val="Arial Cyr"/>
    </font>
    <font>
      <sz val="11"/>
      <color theme="1"/>
      <name val="Calibri"/>
      <family val="2"/>
      <charset val="204"/>
      <scheme val="minor"/>
    </font>
    <font>
      <sz val="10"/>
      <color theme="1"/>
      <name val="Arial"/>
      <family val="2"/>
      <charset val="204"/>
    </font>
    <font>
      <sz val="12"/>
      <color theme="1"/>
      <name val="Times New Roman"/>
      <family val="1"/>
      <charset val="204"/>
    </font>
    <font>
      <sz val="12"/>
      <color theme="1"/>
      <name val="Arial Cyr"/>
    </font>
    <font>
      <b/>
      <sz val="12"/>
      <color theme="1"/>
      <name val="Times New Roman"/>
      <family val="1"/>
      <charset val="204"/>
    </font>
    <font>
      <b/>
      <sz val="14"/>
      <color theme="1"/>
      <name val="Times New Roman"/>
      <family val="1"/>
      <charset val="204"/>
    </font>
    <font>
      <b/>
      <sz val="10"/>
      <color theme="1"/>
      <name val="Times New Roman"/>
      <family val="1"/>
      <charset val="204"/>
    </font>
    <font>
      <sz val="10"/>
      <color theme="1"/>
      <name val="Times New Roman"/>
      <family val="1"/>
      <charset val="204"/>
    </font>
    <font>
      <b/>
      <sz val="12"/>
      <color theme="1"/>
      <name val="Arial Cyr"/>
    </font>
    <font>
      <b/>
      <sz val="10"/>
      <color indexed="64"/>
      <name val="Times New Roman"/>
      <family val="1"/>
      <charset val="204"/>
    </font>
    <font>
      <b/>
      <sz val="12"/>
      <color indexed="64"/>
      <name val="Times New Roman"/>
      <family val="1"/>
      <charset val="204"/>
    </font>
    <font>
      <sz val="10"/>
      <color indexed="64"/>
      <name val="Times New Roman"/>
      <family val="1"/>
      <charset val="204"/>
    </font>
    <font>
      <sz val="12"/>
      <color indexed="64"/>
      <name val="Times New Roman"/>
      <family val="1"/>
      <charset val="204"/>
    </font>
    <font>
      <sz val="12"/>
      <color indexed="2"/>
      <name val="Times New Roman"/>
      <family val="1"/>
      <charset val="204"/>
    </font>
    <font>
      <sz val="8"/>
      <color theme="1"/>
      <name val="Times New Roman"/>
      <family val="1"/>
      <charset val="204"/>
    </font>
    <font>
      <i/>
      <sz val="10"/>
      <color theme="1"/>
      <name val="Times New Roman"/>
      <family val="1"/>
      <charset val="204"/>
    </font>
    <font>
      <i/>
      <sz val="12"/>
      <color theme="1"/>
      <name val="Times New Roman"/>
      <family val="1"/>
      <charset val="204"/>
    </font>
    <font>
      <b/>
      <sz val="12"/>
      <color theme="1"/>
      <name val="Times New Roman Cyr"/>
    </font>
    <font>
      <b/>
      <sz val="13"/>
      <color theme="1"/>
      <name val="Times New Roman"/>
      <family val="1"/>
      <charset val="204"/>
    </font>
    <font>
      <sz val="11"/>
      <color theme="1"/>
      <name val="Times New Roman"/>
      <family val="1"/>
      <charset val="204"/>
    </font>
    <font>
      <b/>
      <sz val="10"/>
      <color theme="1"/>
      <name val="Arial Cyr"/>
    </font>
    <font>
      <sz val="12"/>
      <color theme="1"/>
      <name val="Times New Roman Cyr"/>
    </font>
    <font>
      <b/>
      <sz val="14"/>
      <color theme="1"/>
      <name val="Times New Roman Cyr"/>
    </font>
    <font>
      <sz val="10"/>
      <color theme="1"/>
      <name val="Times New Roman Cyr"/>
    </font>
    <font>
      <sz val="12"/>
      <color theme="1"/>
      <name val="Times New Roman CYR"/>
    </font>
    <font>
      <b/>
      <i/>
      <sz val="12"/>
      <color theme="1"/>
      <name val="Times New Roman Cyr"/>
    </font>
    <font>
      <i/>
      <sz val="12"/>
      <color theme="1"/>
      <name val="Times New Roman Cyr"/>
    </font>
    <font>
      <i/>
      <sz val="12"/>
      <color theme="1"/>
      <name val="Times New Roman CYR"/>
    </font>
    <font>
      <sz val="12"/>
      <color indexed="2"/>
      <name val="Times New Roman Cyr"/>
    </font>
    <font>
      <i/>
      <sz val="10"/>
      <color theme="1"/>
      <name val="Arial Cyr"/>
    </font>
    <font>
      <i/>
      <sz val="12"/>
      <color indexed="64"/>
      <name val="Times New Roman"/>
      <family val="1"/>
      <charset val="204"/>
    </font>
    <font>
      <sz val="14"/>
      <color theme="1"/>
      <name val="Times New Roman"/>
      <family val="1"/>
      <charset val="204"/>
    </font>
    <font>
      <b/>
      <sz val="10"/>
      <color theme="1"/>
      <name val="Arial"/>
      <family val="2"/>
      <charset val="204"/>
    </font>
    <font>
      <b/>
      <sz val="11"/>
      <color theme="1"/>
      <name val="Times New Roman"/>
      <family val="1"/>
      <charset val="204"/>
    </font>
    <font>
      <sz val="11"/>
      <color indexed="64"/>
      <name val="Times New Roman"/>
      <family val="1"/>
      <charset val="204"/>
    </font>
    <font>
      <sz val="10"/>
      <color theme="1"/>
      <name val="Arial Cyr"/>
    </font>
    <font>
      <sz val="12"/>
      <color theme="1"/>
      <name val="Times New Roman"/>
      <family val="1"/>
      <charset val="204"/>
    </font>
    <font>
      <sz val="12"/>
      <name val="Times New Roman"/>
      <family val="1"/>
      <charset val="204"/>
    </font>
    <font>
      <b/>
      <sz val="12"/>
      <color theme="1"/>
      <name val="Times New Roman"/>
      <family val="1"/>
      <charset val="204"/>
    </font>
    <font>
      <sz val="12"/>
      <name val="Times New Roman"/>
      <family val="1"/>
    </font>
    <font>
      <b/>
      <sz val="12"/>
      <name val="Times New Roman"/>
      <family val="1"/>
    </font>
    <font>
      <b/>
      <sz val="14"/>
      <name val="Times New Roman"/>
      <family val="1"/>
    </font>
    <font>
      <sz val="12"/>
      <color indexed="72"/>
      <name val="Times New Roman"/>
      <family val="1"/>
    </font>
    <font>
      <sz val="10"/>
      <name val="Arial"/>
      <family val="2"/>
      <charset val="204"/>
    </font>
    <font>
      <b/>
      <sz val="12"/>
      <color indexed="72"/>
      <name val="Times New Roman"/>
      <family val="1"/>
    </font>
    <font>
      <b/>
      <sz val="10"/>
      <name val="Arial"/>
      <family val="2"/>
      <charset val="204"/>
    </font>
    <font>
      <b/>
      <sz val="12"/>
      <name val="Times New Roman"/>
      <family val="1"/>
      <charset val="204"/>
    </font>
    <font>
      <i/>
      <sz val="12"/>
      <name val="Times New Roman"/>
      <family val="1"/>
      <charset val="204"/>
    </font>
    <font>
      <sz val="12"/>
      <color rgb="FFFF0000"/>
      <name val="Times New Roman"/>
      <family val="1"/>
      <charset val="204"/>
    </font>
    <font>
      <b/>
      <i/>
      <sz val="12"/>
      <color theme="1"/>
      <name val="Times New Roman"/>
      <family val="1"/>
      <charset val="204"/>
    </font>
    <font>
      <b/>
      <sz val="12"/>
      <color theme="1"/>
      <name val="Times New Roman Cyr"/>
      <charset val="204"/>
    </font>
    <font>
      <sz val="12"/>
      <name val="Times New Roman Cyr"/>
    </font>
    <font>
      <sz val="10"/>
      <color rgb="FFFF0000"/>
      <name val="Arial Cyr"/>
    </font>
    <font>
      <sz val="10"/>
      <name val="Times New Roman"/>
      <family val="1"/>
      <charset val="204"/>
    </font>
    <font>
      <sz val="12"/>
      <name val="Arial Cyr"/>
    </font>
    <font>
      <sz val="12"/>
      <color theme="1"/>
      <name val="Times New Roman Cyr"/>
      <charset val="204"/>
    </font>
    <font>
      <b/>
      <sz val="10"/>
      <color theme="1"/>
      <name val="Arial Cyr"/>
      <charset val="204"/>
    </font>
    <font>
      <sz val="10"/>
      <name val="Arial Cyr"/>
    </font>
    <font>
      <b/>
      <sz val="10"/>
      <name val="Times New Roman"/>
      <family val="1"/>
      <charset val="204"/>
    </font>
    <font>
      <sz val="10"/>
      <color indexed="72"/>
      <name val="Times New Roman"/>
      <family val="1"/>
      <charset val="204"/>
    </font>
    <font>
      <b/>
      <sz val="10"/>
      <color indexed="72"/>
      <name val="Times New Roman"/>
      <family val="1"/>
      <charset val="204"/>
    </font>
    <font>
      <b/>
      <sz val="14"/>
      <name val="Times New Roman"/>
      <family val="1"/>
      <charset val="204"/>
    </font>
    <font>
      <sz val="14"/>
      <name val="Times New Roman"/>
      <family val="1"/>
      <charset val="204"/>
    </font>
    <font>
      <sz val="14"/>
      <name val="Arial Cyr"/>
      <charset val="204"/>
    </font>
    <font>
      <sz val="14"/>
      <color theme="1"/>
      <name val="Calibri"/>
      <family val="2"/>
      <charset val="204"/>
      <scheme val="minor"/>
    </font>
    <font>
      <b/>
      <sz val="9"/>
      <color theme="1"/>
      <name val="Times New Roman"/>
      <family val="1"/>
      <charset val="204"/>
    </font>
    <font>
      <b/>
      <sz val="10"/>
      <color theme="1"/>
      <name val="Times New Roman Cyr"/>
      <charset val="204"/>
    </font>
  </fonts>
  <fills count="38">
    <fill>
      <patternFill patternType="none"/>
    </fill>
    <fill>
      <patternFill patternType="gray125"/>
    </fill>
    <fill>
      <patternFill patternType="solid">
        <fgColor theme="0"/>
        <bgColor theme="0"/>
      </patternFill>
    </fill>
    <fill>
      <patternFill patternType="solid">
        <fgColor indexed="55"/>
        <bgColor indexed="55"/>
      </patternFill>
    </fill>
    <fill>
      <patternFill patternType="solid">
        <fgColor indexed="65"/>
      </patternFill>
    </fill>
    <fill>
      <patternFill patternType="solid">
        <fgColor theme="0" tint="-0.34998626667073579"/>
        <bgColor theme="0" tint="-0.34998626667073579"/>
      </patternFill>
    </fill>
    <fill>
      <patternFill patternType="solid">
        <fgColor theme="0" tint="-0.249977111117893"/>
        <bgColor theme="0" tint="-0.249977111117893"/>
      </patternFill>
    </fill>
    <fill>
      <patternFill patternType="solid">
        <fgColor theme="0" tint="-0.14999847407452621"/>
        <bgColor theme="0" tint="-0.14999847407452621"/>
      </patternFill>
    </fill>
    <fill>
      <patternFill patternType="solid">
        <fgColor theme="0" tint="-0.14996795556505021"/>
        <bgColor theme="0" tint="-0.14996795556505021"/>
      </patternFill>
    </fill>
    <fill>
      <patternFill patternType="solid">
        <fgColor theme="0" tint="-0.24994659260841701"/>
        <bgColor theme="0" tint="-0.24994659260841701"/>
      </patternFill>
    </fill>
    <fill>
      <patternFill patternType="solid">
        <fgColor theme="2" tint="-9.9948118533890809E-2"/>
        <bgColor theme="2" tint="-9.9948118533890809E-2"/>
      </patternFill>
    </fill>
    <fill>
      <patternFill patternType="solid">
        <fgColor theme="0" tint="-4.9989318521683403E-2"/>
        <bgColor theme="0" tint="-4.9989318521683403E-2"/>
      </patternFill>
    </fill>
    <fill>
      <patternFill patternType="solid">
        <fgColor theme="3" tint="0.59999389629810485"/>
        <bgColor theme="3" tint="0.59999389629810485"/>
      </patternFill>
    </fill>
    <fill>
      <patternFill patternType="solid">
        <fgColor theme="3" tint="0.59996337778862885"/>
        <bgColor theme="3" tint="0.59996337778862885"/>
      </patternFill>
    </fill>
    <fill>
      <patternFill patternType="solid">
        <fgColor theme="3" tint="0.79998168889431442"/>
        <bgColor theme="3" tint="0.79998168889431442"/>
      </patternFill>
    </fill>
    <fill>
      <patternFill patternType="solid">
        <fgColor theme="4" tint="0.79998168889431442"/>
        <bgColor theme="4" tint="0.79998168889431442"/>
      </patternFill>
    </fill>
    <fill>
      <patternFill patternType="solid">
        <fgColor theme="0" tint="-0.14999847407452621"/>
        <bgColor indexed="64"/>
      </patternFill>
    </fill>
    <fill>
      <patternFill patternType="solid">
        <fgColor theme="0"/>
        <bgColor theme="3" tint="0.59999389629810485"/>
      </patternFill>
    </fill>
    <fill>
      <patternFill patternType="solid">
        <fgColor theme="0" tint="-0.249977111117893"/>
        <bgColor indexed="64"/>
      </patternFill>
    </fill>
    <fill>
      <patternFill patternType="solid">
        <fgColor theme="0"/>
        <bgColor theme="0" tint="-0.34998626667073579"/>
      </patternFill>
    </fill>
    <fill>
      <patternFill patternType="solid">
        <fgColor theme="0" tint="-0.14999847407452621"/>
        <bgColor theme="0"/>
      </patternFill>
    </fill>
    <fill>
      <patternFill patternType="solid">
        <fgColor theme="0"/>
        <bgColor theme="0" tint="-0.14999847407452621"/>
      </patternFill>
    </fill>
    <fill>
      <patternFill patternType="solid">
        <fgColor theme="0"/>
        <bgColor indexed="64"/>
      </patternFill>
    </fill>
    <fill>
      <patternFill patternType="solid">
        <fgColor theme="2"/>
        <bgColor indexed="64"/>
      </patternFill>
    </fill>
    <fill>
      <patternFill patternType="solid">
        <fgColor theme="0"/>
        <bgColor theme="3" tint="0.59996337778862885"/>
      </patternFill>
    </fill>
    <fill>
      <patternFill patternType="solid">
        <fgColor theme="0"/>
        <bgColor indexed="55"/>
      </patternFill>
    </fill>
    <fill>
      <patternFill patternType="solid">
        <fgColor theme="0"/>
        <bgColor theme="0" tint="-0.14996795556505021"/>
      </patternFill>
    </fill>
    <fill>
      <patternFill patternType="solid">
        <fgColor theme="0"/>
        <bgColor theme="0" tint="-0.24994659260841701"/>
      </patternFill>
    </fill>
    <fill>
      <patternFill patternType="solid">
        <fgColor theme="0"/>
        <bgColor theme="0" tint="-0.249977111117893"/>
      </patternFill>
    </fill>
    <fill>
      <patternFill patternType="solid">
        <fgColor theme="0"/>
        <bgColor theme="2" tint="-9.9948118533890809E-2"/>
      </patternFill>
    </fill>
    <fill>
      <patternFill patternType="solid">
        <fgColor theme="0"/>
        <bgColor theme="0" tint="-4.9989318521683403E-2"/>
      </patternFill>
    </fill>
    <fill>
      <patternFill patternType="solid">
        <fgColor theme="0"/>
        <bgColor theme="3" tint="0.79998168889431442"/>
      </patternFill>
    </fill>
    <fill>
      <patternFill patternType="solid">
        <fgColor rgb="FFFFFFFF"/>
        <bgColor indexed="64"/>
      </patternFill>
    </fill>
    <fill>
      <patternFill patternType="solid">
        <fgColor rgb="FFFFFFFF"/>
        <bgColor theme="0" tint="-0.249977111117893"/>
      </patternFill>
    </fill>
    <fill>
      <patternFill patternType="solid">
        <fgColor theme="0" tint="-0.14999847407452621"/>
        <bgColor theme="0" tint="-0.14996795556505021"/>
      </patternFill>
    </fill>
    <fill>
      <patternFill patternType="solid">
        <fgColor theme="3" tint="0.59999389629810485"/>
        <bgColor indexed="64"/>
      </patternFill>
    </fill>
    <fill>
      <patternFill patternType="solid">
        <fgColor theme="0" tint="-0.14999847407452621"/>
        <bgColor theme="0" tint="-0.34998626667073579"/>
      </patternFill>
    </fill>
    <fill>
      <patternFill patternType="solid">
        <fgColor theme="3" tint="0.79998168889431442"/>
        <bgColor theme="3" tint="0.59999389629810485"/>
      </patternFill>
    </fill>
  </fills>
  <borders count="5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bottom/>
      <diagonal/>
    </border>
    <border>
      <left style="thin">
        <color indexed="64"/>
      </left>
      <right style="thin">
        <color indexed="64"/>
      </right>
      <top style="medium">
        <color indexed="64"/>
      </top>
      <bottom/>
      <diagonal/>
    </border>
    <border>
      <left style="thin">
        <color theme="1"/>
      </left>
      <right style="thin">
        <color theme="1"/>
      </right>
      <top/>
      <bottom/>
      <diagonal/>
    </border>
    <border>
      <left style="thin">
        <color indexed="64"/>
      </left>
      <right/>
      <top style="thin">
        <color indexed="64"/>
      </top>
      <bottom style="medium">
        <color indexed="64"/>
      </bottom>
      <diagonal/>
    </border>
    <border>
      <left/>
      <right style="thin">
        <color indexed="64"/>
      </right>
      <top/>
      <bottom/>
      <diagonal/>
    </border>
  </borders>
  <cellStyleXfs count="21">
    <xf numFmtId="0" fontId="0" fillId="0" borderId="0"/>
    <xf numFmtId="164" fontId="36" fillId="0" borderId="0"/>
    <xf numFmtId="0" fontId="1" fillId="0" borderId="0"/>
    <xf numFmtId="0" fontId="2" fillId="0" borderId="0"/>
    <xf numFmtId="0" fontId="3" fillId="0" borderId="0"/>
    <xf numFmtId="165" fontId="36"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cellStyleXfs>
  <cellXfs count="1130">
    <xf numFmtId="0" fontId="0" fillId="0" borderId="0" xfId="0"/>
    <xf numFmtId="0" fontId="4" fillId="0" borderId="0" xfId="0" applyFont="1"/>
    <xf numFmtId="0" fontId="4" fillId="0" borderId="0" xfId="0" applyFont="1" applyAlignment="1">
      <alignment horizontal="center"/>
    </xf>
    <xf numFmtId="0" fontId="4" fillId="0" borderId="0" xfId="0" applyFont="1" applyAlignment="1">
      <alignment horizontal="left"/>
    </xf>
    <xf numFmtId="0" fontId="3" fillId="0" borderId="0" xfId="0" applyFont="1" applyAlignment="1">
      <alignment horizontal="left"/>
    </xf>
    <xf numFmtId="0" fontId="3" fillId="0" borderId="0" xfId="0" applyFont="1" applyAlignment="1">
      <alignment horizontal="center"/>
    </xf>
    <xf numFmtId="0" fontId="5" fillId="0" borderId="0" xfId="0" applyFont="1" applyAlignment="1">
      <alignment horizontal="center" vertical="center" wrapText="1"/>
    </xf>
    <xf numFmtId="0" fontId="6" fillId="0" borderId="0" xfId="0" applyFont="1" applyAlignment="1">
      <alignment horizontal="left" vertical="center" wrapText="1"/>
    </xf>
    <xf numFmtId="0" fontId="6" fillId="0" borderId="0" xfId="0" applyFont="1" applyAlignment="1">
      <alignment horizontal="center" vertical="center" wrapText="1"/>
    </xf>
    <xf numFmtId="0" fontId="3" fillId="0" borderId="1" xfId="0" applyFont="1" applyBorder="1" applyAlignment="1">
      <alignment horizontal="center" vertical="center" wrapText="1"/>
    </xf>
    <xf numFmtId="0" fontId="4" fillId="0" borderId="0" xfId="0" applyFont="1" applyAlignment="1">
      <alignment vertical="distributed"/>
    </xf>
    <xf numFmtId="49" fontId="7" fillId="0" borderId="1" xfId="0" applyNumberFormat="1" applyFont="1" applyBorder="1" applyAlignment="1">
      <alignment horizontal="center" vertical="distributed"/>
    </xf>
    <xf numFmtId="0" fontId="5" fillId="0" borderId="1" xfId="0" applyFont="1" applyBorder="1" applyAlignment="1">
      <alignment horizontal="left" vertical="top" wrapText="1"/>
    </xf>
    <xf numFmtId="3" fontId="5" fillId="0" borderId="1" xfId="1" applyNumberFormat="1" applyFont="1" applyBorder="1" applyAlignment="1">
      <alignment horizontal="right" vertical="center"/>
    </xf>
    <xf numFmtId="3" fontId="5" fillId="0" borderId="1" xfId="1" applyNumberFormat="1" applyFont="1" applyBorder="1" applyAlignment="1">
      <alignment horizontal="right" vertical="center" wrapText="1"/>
    </xf>
    <xf numFmtId="49" fontId="8" fillId="0" borderId="1" xfId="0" applyNumberFormat="1" applyFont="1" applyBorder="1" applyAlignment="1">
      <alignment horizontal="center" vertical="distributed"/>
    </xf>
    <xf numFmtId="0" fontId="3" fillId="0" borderId="1" xfId="0" applyFont="1" applyBorder="1" applyAlignment="1">
      <alignment horizontal="left" vertical="top" wrapText="1"/>
    </xf>
    <xf numFmtId="3" fontId="3" fillId="0" borderId="1" xfId="0" applyNumberFormat="1" applyFont="1" applyBorder="1" applyAlignment="1">
      <alignment horizontal="right" vertical="center"/>
    </xf>
    <xf numFmtId="49" fontId="7" fillId="0" borderId="1" xfId="0" applyNumberFormat="1" applyFont="1" applyBorder="1" applyAlignment="1">
      <alignment horizontal="center" vertical="justify"/>
    </xf>
    <xf numFmtId="49" fontId="7" fillId="0" borderId="1" xfId="0" applyNumberFormat="1" applyFont="1" applyBorder="1" applyAlignment="1">
      <alignment horizontal="center" vertical="justify" wrapText="1"/>
    </xf>
    <xf numFmtId="3" fontId="5" fillId="0" borderId="1" xfId="0" applyNumberFormat="1" applyFont="1" applyBorder="1" applyAlignment="1">
      <alignment horizontal="right" vertical="center"/>
    </xf>
    <xf numFmtId="49" fontId="8" fillId="0" borderId="1" xfId="0" applyNumberFormat="1" applyFont="1" applyBorder="1" applyAlignment="1">
      <alignment horizontal="center" vertical="justify"/>
    </xf>
    <xf numFmtId="49" fontId="8" fillId="0" borderId="1" xfId="0" applyNumberFormat="1" applyFont="1" applyBorder="1" applyAlignment="1">
      <alignment horizontal="center" vertical="justify" wrapText="1"/>
    </xf>
    <xf numFmtId="3" fontId="3" fillId="0" borderId="1" xfId="1" applyNumberFormat="1" applyFont="1" applyBorder="1" applyAlignment="1">
      <alignment horizontal="right" vertical="center" wrapText="1"/>
    </xf>
    <xf numFmtId="0" fontId="9" fillId="0" borderId="0" xfId="0" applyFont="1"/>
    <xf numFmtId="49" fontId="10" fillId="0" borderId="1" xfId="0" applyNumberFormat="1" applyFont="1" applyBorder="1" applyAlignment="1">
      <alignment horizontal="center" vertical="justify" wrapText="1"/>
    </xf>
    <xf numFmtId="0" fontId="11" fillId="0" borderId="1" xfId="0" applyFont="1" applyBorder="1" applyAlignment="1">
      <alignment horizontal="left" vertical="top" wrapText="1"/>
    </xf>
    <xf numFmtId="49" fontId="12" fillId="0" borderId="1" xfId="0" applyNumberFormat="1" applyFont="1" applyBorder="1" applyAlignment="1">
      <alignment horizontal="center" vertical="justify" wrapText="1"/>
    </xf>
    <xf numFmtId="0" fontId="13" fillId="0" borderId="1" xfId="0" applyFont="1" applyBorder="1" applyAlignment="1">
      <alignment horizontal="left" vertical="top" wrapText="1"/>
    </xf>
    <xf numFmtId="49" fontId="8" fillId="2" borderId="1" xfId="0" applyNumberFormat="1" applyFont="1" applyFill="1" applyBorder="1" applyAlignment="1">
      <alignment horizontal="center" vertical="justify"/>
    </xf>
    <xf numFmtId="0" fontId="3" fillId="2" borderId="1" xfId="0" applyFont="1" applyFill="1" applyBorder="1" applyAlignment="1">
      <alignment horizontal="left" vertical="top" wrapText="1"/>
    </xf>
    <xf numFmtId="0" fontId="3" fillId="0" borderId="1" xfId="4" applyFont="1" applyBorder="1" applyAlignment="1">
      <alignment horizontal="left" vertical="top" wrapText="1"/>
    </xf>
    <xf numFmtId="0" fontId="3" fillId="0" borderId="0" xfId="0" applyFont="1"/>
    <xf numFmtId="0" fontId="8" fillId="0" borderId="1" xfId="0" applyFont="1" applyBorder="1" applyAlignment="1">
      <alignment horizontal="center" vertical="top"/>
    </xf>
    <xf numFmtId="49" fontId="8" fillId="0" borderId="1" xfId="0" applyNumberFormat="1" applyFont="1" applyBorder="1" applyAlignment="1">
      <alignment horizontal="center" vertical="top"/>
    </xf>
    <xf numFmtId="49" fontId="12" fillId="2" borderId="1" xfId="0" applyNumberFormat="1" applyFont="1" applyFill="1" applyBorder="1" applyAlignment="1">
      <alignment horizontal="center" vertical="justify" wrapText="1"/>
    </xf>
    <xf numFmtId="3" fontId="3" fillId="0" borderId="1" xfId="0" applyNumberFormat="1" applyFont="1" applyBorder="1" applyAlignment="1">
      <alignment vertical="center"/>
    </xf>
    <xf numFmtId="0" fontId="3" fillId="0" borderId="0" xfId="0" applyFont="1" applyAlignment="1">
      <alignment horizontal="left" vertical="top" wrapText="1"/>
    </xf>
    <xf numFmtId="0" fontId="0" fillId="3" borderId="0" xfId="0" applyFill="1"/>
    <xf numFmtId="49" fontId="8" fillId="0" borderId="0" xfId="0" applyNumberFormat="1" applyFont="1" applyAlignment="1">
      <alignment horizontal="center" vertical="justify"/>
    </xf>
    <xf numFmtId="49" fontId="12" fillId="0" borderId="0" xfId="0" applyNumberFormat="1" applyFont="1" applyAlignment="1">
      <alignment horizontal="center" vertical="justify" wrapText="1"/>
    </xf>
    <xf numFmtId="49" fontId="7" fillId="0" borderId="0" xfId="0" applyNumberFormat="1" applyFont="1" applyAlignment="1">
      <alignment horizontal="center" vertical="justify"/>
    </xf>
    <xf numFmtId="49" fontId="10" fillId="0" borderId="0" xfId="0" applyNumberFormat="1" applyFont="1" applyAlignment="1">
      <alignment horizontal="center" vertical="justify" wrapText="1"/>
    </xf>
    <xf numFmtId="0" fontId="11" fillId="0" borderId="0" xfId="0" applyFont="1" applyAlignment="1">
      <alignment horizontal="left" vertical="top" wrapText="1"/>
    </xf>
    <xf numFmtId="0" fontId="3" fillId="0" borderId="0" xfId="4" applyFont="1" applyAlignment="1">
      <alignment horizontal="left" vertical="top" wrapText="1"/>
    </xf>
    <xf numFmtId="0" fontId="0" fillId="2" borderId="0" xfId="0" applyFill="1"/>
    <xf numFmtId="0" fontId="3" fillId="2" borderId="0" xfId="0" applyFont="1" applyFill="1"/>
    <xf numFmtId="49" fontId="3" fillId="0" borderId="0" xfId="0" applyNumberFormat="1" applyFont="1"/>
    <xf numFmtId="0" fontId="3" fillId="0" borderId="0" xfId="0" applyFont="1" applyAlignment="1">
      <alignment wrapText="1"/>
    </xf>
    <xf numFmtId="49" fontId="3" fillId="0" borderId="0" xfId="0" applyNumberFormat="1" applyFont="1" applyAlignment="1">
      <alignment horizontal="right" wrapText="1"/>
    </xf>
    <xf numFmtId="0" fontId="3" fillId="0" borderId="0" xfId="0" applyFont="1" applyAlignment="1">
      <alignment horizontal="right" wrapText="1"/>
    </xf>
    <xf numFmtId="0" fontId="5" fillId="0" borderId="0" xfId="0" applyFont="1" applyAlignment="1">
      <alignment horizontal="center" wrapText="1"/>
    </xf>
    <xf numFmtId="49" fontId="3" fillId="0" borderId="0" xfId="0" applyNumberFormat="1" applyFont="1" applyAlignment="1">
      <alignment horizontal="justify" wrapText="1"/>
    </xf>
    <xf numFmtId="49" fontId="5" fillId="0" borderId="3" xfId="0" applyNumberFormat="1" applyFont="1" applyBorder="1" applyAlignment="1">
      <alignment horizontal="center" vertical="center" wrapText="1"/>
    </xf>
    <xf numFmtId="0" fontId="5" fillId="0" borderId="3" xfId="0" applyFont="1" applyBorder="1" applyAlignment="1">
      <alignment horizontal="center" vertical="center" wrapText="1"/>
    </xf>
    <xf numFmtId="0" fontId="5" fillId="0" borderId="0" xfId="0" applyFont="1"/>
    <xf numFmtId="166" fontId="5" fillId="0" borderId="3" xfId="0" applyNumberFormat="1" applyFont="1" applyBorder="1" applyAlignment="1">
      <alignment horizontal="left" vertical="center" wrapText="1"/>
    </xf>
    <xf numFmtId="0" fontId="5" fillId="0" borderId="3" xfId="0" applyFont="1" applyBorder="1" applyAlignment="1">
      <alignment vertical="top" wrapText="1"/>
    </xf>
    <xf numFmtId="3" fontId="5" fillId="0" borderId="3" xfId="0" applyNumberFormat="1" applyFont="1" applyBorder="1"/>
    <xf numFmtId="166" fontId="3" fillId="0" borderId="3" xfId="0" applyNumberFormat="1" applyFont="1" applyBorder="1" applyAlignment="1">
      <alignment horizontal="center" vertical="center" wrapText="1"/>
    </xf>
    <xf numFmtId="0" fontId="3" fillId="0" borderId="3" xfId="0" applyFont="1" applyBorder="1" applyAlignment="1">
      <alignment vertical="top" wrapText="1"/>
    </xf>
    <xf numFmtId="3" fontId="3" fillId="0" borderId="3" xfId="0" applyNumberFormat="1" applyFont="1" applyBorder="1"/>
    <xf numFmtId="0" fontId="3" fillId="0" borderId="3" xfId="0" applyFont="1" applyBorder="1" applyAlignment="1">
      <alignment horizontal="left" vertical="top" wrapText="1"/>
    </xf>
    <xf numFmtId="0" fontId="11" fillId="0" borderId="3" xfId="0" applyFont="1" applyBorder="1" applyAlignment="1">
      <alignment horizontal="left" vertical="top" wrapText="1"/>
    </xf>
    <xf numFmtId="0" fontId="13" fillId="0" borderId="3" xfId="0" applyFont="1" applyBorder="1" applyAlignment="1">
      <alignment horizontal="left" vertical="top" wrapText="1"/>
    </xf>
    <xf numFmtId="0" fontId="5" fillId="0" borderId="3" xfId="0" applyFont="1" applyBorder="1" applyAlignment="1">
      <alignment horizontal="left" vertical="top" wrapText="1"/>
    </xf>
    <xf numFmtId="166" fontId="13" fillId="0" borderId="3" xfId="0" applyNumberFormat="1" applyFont="1" applyBorder="1" applyAlignment="1">
      <alignment horizontal="center" vertical="center" wrapText="1"/>
    </xf>
    <xf numFmtId="0" fontId="13" fillId="0" borderId="3" xfId="0" applyFont="1" applyBorder="1" applyAlignment="1">
      <alignment vertical="top" wrapText="1"/>
    </xf>
    <xf numFmtId="0" fontId="3" fillId="0" borderId="3" xfId="0" applyFont="1" applyBorder="1" applyAlignment="1">
      <alignment horizontal="justify" vertical="top" wrapText="1"/>
    </xf>
    <xf numFmtId="3" fontId="18" fillId="0" borderId="3" xfId="0" applyNumberFormat="1" applyFont="1" applyBorder="1" applyAlignment="1">
      <alignment horizontal="right" vertical="center"/>
    </xf>
    <xf numFmtId="0" fontId="5" fillId="0" borderId="0" xfId="0" applyFont="1" applyAlignment="1">
      <alignment horizontal="center"/>
    </xf>
    <xf numFmtId="0" fontId="3" fillId="0" borderId="3" xfId="0" applyFont="1" applyBorder="1" applyAlignment="1">
      <alignment horizontal="center" vertical="center" wrapText="1"/>
    </xf>
    <xf numFmtId="49" fontId="5" fillId="0" borderId="3" xfId="0" applyNumberFormat="1" applyFont="1" applyBorder="1" applyAlignment="1">
      <alignment vertical="center" wrapText="1"/>
    </xf>
    <xf numFmtId="3" fontId="5" fillId="0" borderId="3" xfId="1" applyNumberFormat="1" applyFont="1" applyBorder="1" applyAlignment="1">
      <alignment vertical="center" wrapText="1"/>
    </xf>
    <xf numFmtId="49" fontId="3" fillId="0" borderId="3" xfId="0" applyNumberFormat="1" applyFont="1" applyBorder="1" applyAlignment="1">
      <alignment vertical="center" wrapText="1"/>
    </xf>
    <xf numFmtId="3" fontId="3" fillId="0" borderId="3" xfId="1" applyNumberFormat="1" applyFont="1" applyBorder="1" applyAlignment="1">
      <alignment vertical="center" wrapText="1"/>
    </xf>
    <xf numFmtId="49" fontId="3" fillId="0" borderId="5" xfId="2" applyNumberFormat="1" applyFont="1" applyBorder="1" applyAlignment="1">
      <alignment vertical="center" wrapText="1"/>
    </xf>
    <xf numFmtId="3" fontId="5" fillId="0" borderId="3" xfId="0" applyNumberFormat="1" applyFont="1" applyBorder="1" applyAlignment="1">
      <alignment vertical="center"/>
    </xf>
    <xf numFmtId="0" fontId="0" fillId="0" borderId="0" xfId="0"/>
    <xf numFmtId="0" fontId="0" fillId="4" borderId="0" xfId="0" applyFill="1"/>
    <xf numFmtId="0" fontId="0" fillId="0" borderId="0" xfId="0" applyAlignment="1">
      <alignment horizontal="center"/>
    </xf>
    <xf numFmtId="49" fontId="20" fillId="0" borderId="3" xfId="0" applyNumberFormat="1" applyFont="1" applyBorder="1" applyAlignment="1">
      <alignment vertical="center" wrapText="1"/>
    </xf>
    <xf numFmtId="0" fontId="5" fillId="0" borderId="3" xfId="0" applyFont="1" applyBorder="1" applyAlignment="1">
      <alignment horizontal="justify" vertical="justify" wrapText="1"/>
    </xf>
    <xf numFmtId="0" fontId="3" fillId="0" borderId="3" xfId="0" applyFont="1" applyBorder="1" applyAlignment="1">
      <alignment horizontal="justify" vertical="justify" wrapText="1"/>
    </xf>
    <xf numFmtId="3" fontId="3" fillId="2" borderId="3" xfId="1" applyNumberFormat="1" applyFont="1" applyFill="1" applyBorder="1" applyAlignment="1">
      <alignment vertical="center" wrapText="1"/>
    </xf>
    <xf numFmtId="3" fontId="5" fillId="2" borderId="3" xfId="1" applyNumberFormat="1" applyFont="1" applyFill="1" applyBorder="1" applyAlignment="1">
      <alignment vertical="center" wrapText="1"/>
    </xf>
    <xf numFmtId="0" fontId="13" fillId="0" borderId="3" xfId="0" applyFont="1" applyBorder="1" applyAlignment="1">
      <alignment horizontal="center" wrapText="1"/>
    </xf>
    <xf numFmtId="0" fontId="13" fillId="0" borderId="8" xfId="0" applyFont="1" applyBorder="1" applyAlignment="1">
      <alignment horizontal="center" wrapText="1"/>
    </xf>
    <xf numFmtId="0" fontId="13" fillId="0" borderId="9" xfId="0" applyFont="1" applyBorder="1" applyAlignment="1">
      <alignment horizontal="center" wrapText="1"/>
    </xf>
    <xf numFmtId="0" fontId="11" fillId="0" borderId="9" xfId="0" applyFont="1" applyBorder="1" applyAlignment="1">
      <alignment wrapText="1"/>
    </xf>
    <xf numFmtId="0" fontId="3" fillId="0" borderId="9" xfId="0" applyFont="1" applyBorder="1" applyAlignment="1">
      <alignment horizontal="left" vertical="top" wrapText="1" indent="3"/>
    </xf>
    <xf numFmtId="0" fontId="3" fillId="0" borderId="9" xfId="0" applyFont="1" applyBorder="1" applyAlignment="1">
      <alignment horizontal="right" vertical="center" wrapText="1"/>
    </xf>
    <xf numFmtId="0" fontId="11" fillId="0" borderId="9" xfId="0" applyFont="1" applyBorder="1" applyAlignment="1">
      <alignment vertical="top" wrapText="1"/>
    </xf>
    <xf numFmtId="0" fontId="13" fillId="0" borderId="9" xfId="0" applyFont="1" applyBorder="1" applyAlignment="1">
      <alignment horizontal="left" vertical="top" wrapText="1" indent="1"/>
    </xf>
    <xf numFmtId="0" fontId="11" fillId="0" borderId="9" xfId="0" applyFont="1" applyBorder="1" applyAlignment="1">
      <alignment horizontal="left" vertical="top" wrapText="1" indent="1"/>
    </xf>
    <xf numFmtId="0" fontId="5" fillId="0" borderId="3" xfId="0" applyFont="1" applyBorder="1" applyAlignment="1">
      <alignment horizontal="center" wrapText="1"/>
    </xf>
    <xf numFmtId="0" fontId="3" fillId="0" borderId="9" xfId="0" applyFont="1" applyBorder="1" applyAlignment="1">
      <alignment horizontal="center" wrapText="1"/>
    </xf>
    <xf numFmtId="0" fontId="3" fillId="0" borderId="9" xfId="0" applyFont="1" applyBorder="1" applyAlignment="1">
      <alignment horizontal="left" vertical="center" wrapText="1"/>
    </xf>
    <xf numFmtId="0" fontId="3" fillId="0" borderId="10" xfId="0" applyFont="1" applyBorder="1" applyAlignment="1">
      <alignment horizontal="left" vertical="center" wrapText="1"/>
    </xf>
    <xf numFmtId="0" fontId="3" fillId="0" borderId="3" xfId="0" applyFont="1" applyBorder="1" applyAlignment="1">
      <alignment horizontal="left" vertical="center" wrapText="1"/>
    </xf>
    <xf numFmtId="0" fontId="13" fillId="0" borderId="20" xfId="0" applyFont="1" applyBorder="1" applyAlignment="1">
      <alignment horizontal="center" wrapText="1"/>
    </xf>
    <xf numFmtId="0" fontId="13" fillId="0" borderId="9" xfId="0" applyFont="1" applyBorder="1" applyAlignment="1">
      <alignment wrapText="1"/>
    </xf>
    <xf numFmtId="3" fontId="13" fillId="0" borderId="20" xfId="0" applyNumberFormat="1" applyFont="1" applyBorder="1" applyAlignment="1">
      <alignment horizontal="right" wrapText="1"/>
    </xf>
    <xf numFmtId="167" fontId="13" fillId="0" borderId="20" xfId="0" applyNumberFormat="1" applyFont="1" applyBorder="1" applyAlignment="1">
      <alignment horizontal="right" wrapText="1"/>
    </xf>
    <xf numFmtId="3" fontId="3" fillId="0" borderId="20" xfId="0" applyNumberFormat="1" applyFont="1" applyBorder="1" applyAlignment="1">
      <alignment horizontal="right" wrapText="1"/>
    </xf>
    <xf numFmtId="0" fontId="15" fillId="0" borderId="0" xfId="0" applyFont="1" applyAlignment="1">
      <alignment horizontal="center"/>
    </xf>
    <xf numFmtId="0" fontId="3" fillId="0" borderId="1" xfId="0" applyFont="1" applyBorder="1" applyAlignment="1">
      <alignment horizontal="left" vertical="top"/>
    </xf>
    <xf numFmtId="168" fontId="3" fillId="0" borderId="1" xfId="0" applyNumberFormat="1" applyFont="1" applyBorder="1" applyAlignment="1">
      <alignment horizontal="left" vertical="top" wrapText="1"/>
    </xf>
    <xf numFmtId="0" fontId="3" fillId="0" borderId="21" xfId="0" applyFont="1" applyBorder="1" applyAlignment="1">
      <alignment horizontal="left" vertical="top" wrapText="1"/>
    </xf>
    <xf numFmtId="0" fontId="5" fillId="0" borderId="25" xfId="0" applyFont="1" applyBorder="1" applyAlignment="1">
      <alignment horizontal="center" vertical="top" wrapText="1"/>
    </xf>
    <xf numFmtId="0" fontId="3" fillId="0" borderId="24" xfId="0" applyFont="1" applyBorder="1" applyAlignment="1">
      <alignment horizontal="left" vertical="top" wrapText="1"/>
    </xf>
    <xf numFmtId="168" fontId="3" fillId="0" borderId="1" xfId="0" applyNumberFormat="1" applyFont="1" applyBorder="1" applyAlignment="1">
      <alignment horizontal="center" vertical="top" wrapText="1"/>
    </xf>
    <xf numFmtId="0" fontId="3" fillId="0" borderId="1" xfId="0" applyFont="1" applyBorder="1" applyAlignment="1">
      <alignment horizontal="center" vertical="top" wrapText="1"/>
    </xf>
    <xf numFmtId="0" fontId="6" fillId="0" borderId="0" xfId="0" applyFont="1" applyAlignment="1">
      <alignment horizontal="center"/>
    </xf>
    <xf numFmtId="0" fontId="3" fillId="0" borderId="1" xfId="0" applyFont="1" applyBorder="1" applyAlignment="1">
      <alignment vertical="top" wrapText="1"/>
    </xf>
    <xf numFmtId="0" fontId="3" fillId="0" borderId="1" xfId="0" applyFont="1" applyBorder="1" applyAlignment="1">
      <alignment horizontal="center" vertical="top"/>
    </xf>
    <xf numFmtId="0" fontId="3" fillId="0" borderId="1" xfId="0" applyFont="1" applyBorder="1" applyAlignment="1">
      <alignment wrapText="1"/>
    </xf>
    <xf numFmtId="0" fontId="5" fillId="0" borderId="3" xfId="0" applyFont="1" applyBorder="1" applyAlignment="1">
      <alignment horizontal="center"/>
    </xf>
    <xf numFmtId="0" fontId="15" fillId="3" borderId="0" xfId="0" applyFont="1" applyFill="1"/>
    <xf numFmtId="0" fontId="3" fillId="0" borderId="9" xfId="0" applyFont="1" applyBorder="1" applyAlignment="1">
      <alignment wrapText="1"/>
    </xf>
    <xf numFmtId="0" fontId="3" fillId="0" borderId="10" xfId="0" applyFont="1" applyBorder="1" applyAlignment="1">
      <alignment vertical="top" wrapText="1"/>
    </xf>
    <xf numFmtId="0" fontId="3" fillId="0" borderId="3" xfId="0" applyFont="1" applyBorder="1" applyAlignment="1">
      <alignment wrapText="1"/>
    </xf>
    <xf numFmtId="0" fontId="0" fillId="5" borderId="0" xfId="0" applyFill="1"/>
    <xf numFmtId="168" fontId="3" fillId="0" borderId="21" xfId="0" applyNumberFormat="1" applyFont="1" applyBorder="1" applyAlignment="1">
      <alignment horizontal="left" vertical="top" wrapText="1"/>
    </xf>
    <xf numFmtId="0" fontId="0" fillId="6" borderId="0" xfId="0" applyFill="1"/>
    <xf numFmtId="0" fontId="0" fillId="0" borderId="0" xfId="0" applyAlignment="1">
      <alignment horizontal="center" vertical="top"/>
    </xf>
    <xf numFmtId="0" fontId="3" fillId="0" borderId="1" xfId="0" applyFont="1" applyBorder="1" applyAlignment="1">
      <alignment horizontal="center" vertical="center"/>
    </xf>
    <xf numFmtId="0" fontId="5" fillId="0" borderId="1" xfId="0" applyFont="1" applyBorder="1" applyAlignment="1">
      <alignment horizontal="center" wrapText="1"/>
    </xf>
    <xf numFmtId="0" fontId="5" fillId="0" borderId="1" xfId="0" applyFont="1" applyBorder="1" applyAlignment="1">
      <alignment wrapText="1"/>
    </xf>
    <xf numFmtId="0" fontId="3" fillId="0" borderId="14" xfId="0" applyFont="1" applyBorder="1" applyAlignment="1">
      <alignment horizontal="center" vertical="center"/>
    </xf>
    <xf numFmtId="0" fontId="4" fillId="0" borderId="1" xfId="0" applyFont="1" applyBorder="1" applyAlignment="1">
      <alignment horizontal="center" vertical="center"/>
    </xf>
    <xf numFmtId="0" fontId="22" fillId="0" borderId="0" xfId="0" applyFont="1"/>
    <xf numFmtId="0" fontId="22" fillId="0" borderId="0" xfId="0" applyFont="1" applyAlignment="1">
      <alignment wrapText="1"/>
    </xf>
    <xf numFmtId="49" fontId="22" fillId="0" borderId="0" xfId="0" applyNumberFormat="1" applyFont="1" applyAlignment="1">
      <alignment horizontal="center"/>
    </xf>
    <xf numFmtId="168" fontId="22" fillId="0" borderId="0" xfId="0" applyNumberFormat="1" applyFont="1" applyAlignment="1">
      <alignment horizontal="center"/>
    </xf>
    <xf numFmtId="166" fontId="22" fillId="0" borderId="0" xfId="0" applyNumberFormat="1" applyFont="1" applyAlignment="1">
      <alignment horizontal="center"/>
    </xf>
    <xf numFmtId="0" fontId="22" fillId="0" borderId="0" xfId="0" applyFont="1" applyAlignment="1">
      <alignment horizontal="right" wrapText="1"/>
    </xf>
    <xf numFmtId="49" fontId="22" fillId="0" borderId="0" xfId="0" applyNumberFormat="1" applyFont="1" applyAlignment="1">
      <alignment horizontal="right"/>
    </xf>
    <xf numFmtId="168" fontId="22" fillId="0" borderId="0" xfId="0" applyNumberFormat="1" applyFont="1" applyAlignment="1">
      <alignment horizontal="right"/>
    </xf>
    <xf numFmtId="166" fontId="22" fillId="0" borderId="0" xfId="0" applyNumberFormat="1" applyFont="1" applyAlignment="1">
      <alignment horizontal="right"/>
    </xf>
    <xf numFmtId="0" fontId="23" fillId="0" borderId="0" xfId="0" applyFont="1" applyAlignment="1">
      <alignment horizontal="center" wrapText="1"/>
    </xf>
    <xf numFmtId="0" fontId="22" fillId="0" borderId="1" xfId="0" applyFont="1" applyBorder="1" applyAlignment="1">
      <alignment horizontal="center" vertical="center" wrapText="1"/>
    </xf>
    <xf numFmtId="0" fontId="25" fillId="0" borderId="1" xfId="0" applyFont="1" applyBorder="1" applyAlignment="1">
      <alignment horizontal="center" vertical="center" wrapText="1"/>
    </xf>
    <xf numFmtId="0" fontId="22" fillId="0" borderId="0" xfId="0" applyFont="1" applyAlignment="1">
      <alignment horizontal="center" vertical="center" wrapText="1"/>
    </xf>
    <xf numFmtId="168" fontId="24" fillId="0" borderId="1" xfId="0" applyNumberFormat="1" applyFont="1" applyBorder="1" applyAlignment="1">
      <alignment horizontal="center" vertical="center" wrapText="1"/>
    </xf>
    <xf numFmtId="166" fontId="24" fillId="0" borderId="1" xfId="0" applyNumberFormat="1" applyFont="1" applyBorder="1" applyAlignment="1">
      <alignment horizontal="center" vertical="center" wrapText="1"/>
    </xf>
    <xf numFmtId="0" fontId="26" fillId="0" borderId="0" xfId="0" applyFont="1"/>
    <xf numFmtId="0" fontId="18" fillId="0" borderId="1" xfId="0" applyFont="1" applyBorder="1" applyAlignment="1">
      <alignment horizontal="left" vertical="top" wrapText="1" indent="2"/>
    </xf>
    <xf numFmtId="1" fontId="18" fillId="0" borderId="1" xfId="0" applyNumberFormat="1" applyFont="1" applyBorder="1" applyAlignment="1">
      <alignment horizontal="center" vertical="center"/>
    </xf>
    <xf numFmtId="166" fontId="22" fillId="0" borderId="1" xfId="0" applyNumberFormat="1" applyFont="1" applyBorder="1" applyAlignment="1">
      <alignment horizontal="center" vertical="center"/>
    </xf>
    <xf numFmtId="49" fontId="22" fillId="0" borderId="1" xfId="0" applyNumberFormat="1" applyFont="1" applyBorder="1" applyAlignment="1">
      <alignment horizontal="center" vertical="center"/>
    </xf>
    <xf numFmtId="168" fontId="22" fillId="0" borderId="1" xfId="0" applyNumberFormat="1" applyFont="1" applyBorder="1" applyAlignment="1">
      <alignment horizontal="center" vertical="center"/>
    </xf>
    <xf numFmtId="3" fontId="18" fillId="0" borderId="1" xfId="0" applyNumberFormat="1" applyFont="1" applyBorder="1" applyAlignment="1">
      <alignment horizontal="right" vertical="center"/>
    </xf>
    <xf numFmtId="0" fontId="25" fillId="0" borderId="1" xfId="0" applyFont="1" applyBorder="1" applyAlignment="1">
      <alignment horizontal="left" vertical="top" wrapText="1" indent="2"/>
    </xf>
    <xf numFmtId="1" fontId="22" fillId="0" borderId="1" xfId="0" applyNumberFormat="1" applyFont="1" applyBorder="1" applyAlignment="1">
      <alignment horizontal="center" vertical="center"/>
    </xf>
    <xf numFmtId="3" fontId="25" fillId="0" borderId="1" xfId="0" applyNumberFormat="1" applyFont="1" applyBorder="1" applyAlignment="1">
      <alignment horizontal="right" vertical="center"/>
    </xf>
    <xf numFmtId="3" fontId="25" fillId="7" borderId="1" xfId="0" applyNumberFormat="1" applyFont="1" applyFill="1" applyBorder="1" applyAlignment="1">
      <alignment horizontal="right" vertical="center"/>
    </xf>
    <xf numFmtId="3" fontId="22" fillId="0" borderId="1" xfId="0" applyNumberFormat="1" applyFont="1" applyBorder="1" applyAlignment="1">
      <alignment horizontal="right" vertical="center"/>
    </xf>
    <xf numFmtId="3" fontId="22" fillId="7" borderId="1" xfId="0" applyNumberFormat="1" applyFont="1" applyFill="1" applyBorder="1" applyAlignment="1">
      <alignment horizontal="right" vertical="center"/>
    </xf>
    <xf numFmtId="3" fontId="22" fillId="8" borderId="1" xfId="0" applyNumberFormat="1" applyFont="1" applyFill="1" applyBorder="1" applyAlignment="1">
      <alignment horizontal="right" vertical="center"/>
    </xf>
    <xf numFmtId="3" fontId="22" fillId="9" borderId="1" xfId="0" applyNumberFormat="1" applyFont="1" applyFill="1" applyBorder="1" applyAlignment="1">
      <alignment horizontal="right" vertical="center"/>
    </xf>
    <xf numFmtId="3" fontId="22" fillId="2" borderId="1" xfId="0" applyNumberFormat="1" applyFont="1" applyFill="1" applyBorder="1" applyAlignment="1">
      <alignment horizontal="right" vertical="center"/>
    </xf>
    <xf numFmtId="3" fontId="22" fillId="6" borderId="1" xfId="0" applyNumberFormat="1" applyFont="1" applyFill="1" applyBorder="1" applyAlignment="1">
      <alignment horizontal="right" vertical="center"/>
    </xf>
    <xf numFmtId="3" fontId="22" fillId="10" borderId="1" xfId="0" applyNumberFormat="1" applyFont="1" applyFill="1" applyBorder="1" applyAlignment="1">
      <alignment horizontal="right" vertical="center"/>
    </xf>
    <xf numFmtId="3" fontId="25" fillId="2" borderId="1" xfId="0" applyNumberFormat="1" applyFont="1" applyFill="1" applyBorder="1" applyAlignment="1">
      <alignment horizontal="right" vertical="center"/>
    </xf>
    <xf numFmtId="3" fontId="25" fillId="6" borderId="1" xfId="0" applyNumberFormat="1" applyFont="1" applyFill="1" applyBorder="1" applyAlignment="1">
      <alignment horizontal="right" vertical="center"/>
    </xf>
    <xf numFmtId="0" fontId="27" fillId="0" borderId="0" xfId="0" applyFont="1"/>
    <xf numFmtId="1" fontId="3" fillId="0" borderId="1" xfId="0" applyNumberFormat="1" applyFont="1" applyBorder="1" applyAlignment="1">
      <alignment horizontal="center" vertical="center" wrapText="1"/>
    </xf>
    <xf numFmtId="166" fontId="3" fillId="0" borderId="1" xfId="0" applyNumberFormat="1" applyFont="1" applyBorder="1" applyAlignment="1">
      <alignment horizontal="center" vertical="center" wrapText="1"/>
    </xf>
    <xf numFmtId="168" fontId="3" fillId="0" borderId="1" xfId="0" applyNumberFormat="1" applyFont="1" applyBorder="1" applyAlignment="1">
      <alignment horizontal="center" vertical="center" wrapText="1"/>
    </xf>
    <xf numFmtId="49" fontId="3" fillId="0" borderId="1" xfId="0" applyNumberFormat="1" applyFont="1" applyBorder="1" applyAlignment="1">
      <alignment horizontal="center" vertical="center" wrapText="1"/>
    </xf>
    <xf numFmtId="3" fontId="25" fillId="8" borderId="1" xfId="0" applyNumberFormat="1" applyFont="1" applyFill="1" applyBorder="1" applyAlignment="1">
      <alignment horizontal="right" vertical="center"/>
    </xf>
    <xf numFmtId="49" fontId="28" fillId="0" borderId="1" xfId="0" applyNumberFormat="1" applyFont="1" applyBorder="1" applyAlignment="1">
      <alignment horizontal="center" vertical="center"/>
    </xf>
    <xf numFmtId="166" fontId="28" fillId="0" borderId="1" xfId="0" applyNumberFormat="1" applyFont="1" applyBorder="1" applyAlignment="1">
      <alignment horizontal="center" vertical="center"/>
    </xf>
    <xf numFmtId="49" fontId="25" fillId="0" borderId="1" xfId="0" applyNumberFormat="1" applyFont="1" applyBorder="1" applyAlignment="1">
      <alignment horizontal="center" vertical="center"/>
    </xf>
    <xf numFmtId="166" fontId="25" fillId="0" borderId="1" xfId="0" applyNumberFormat="1" applyFont="1" applyBorder="1" applyAlignment="1">
      <alignment horizontal="center" vertical="center"/>
    </xf>
    <xf numFmtId="168" fontId="28" fillId="0" borderId="1" xfId="0" applyNumberFormat="1" applyFont="1" applyBorder="1" applyAlignment="1">
      <alignment horizontal="center" vertical="center"/>
    </xf>
    <xf numFmtId="168" fontId="25" fillId="0" borderId="1" xfId="0" applyNumberFormat="1" applyFont="1" applyBorder="1" applyAlignment="1">
      <alignment horizontal="center" vertical="center"/>
    </xf>
    <xf numFmtId="0" fontId="18" fillId="0" borderId="0" xfId="0" applyFont="1"/>
    <xf numFmtId="166" fontId="29" fillId="0" borderId="1" xfId="0" applyNumberFormat="1" applyFont="1" applyBorder="1" applyAlignment="1">
      <alignment horizontal="center" vertical="center"/>
    </xf>
    <xf numFmtId="1" fontId="25" fillId="0" borderId="1" xfId="0" applyNumberFormat="1" applyFont="1" applyBorder="1" applyAlignment="1">
      <alignment horizontal="center" vertical="center"/>
    </xf>
    <xf numFmtId="3" fontId="22" fillId="11" borderId="1" xfId="0" applyNumberFormat="1" applyFont="1" applyFill="1" applyBorder="1" applyAlignment="1">
      <alignment horizontal="right" vertical="center"/>
    </xf>
    <xf numFmtId="0" fontId="25" fillId="0" borderId="1" xfId="0" applyFont="1" applyBorder="1" applyAlignment="1">
      <alignment horizontal="left" wrapText="1" indent="2"/>
    </xf>
    <xf numFmtId="166" fontId="18" fillId="0" borderId="1" xfId="0" applyNumberFormat="1" applyFont="1" applyBorder="1" applyAlignment="1">
      <alignment horizontal="center" vertical="center"/>
    </xf>
    <xf numFmtId="49" fontId="18" fillId="0" borderId="1" xfId="0" applyNumberFormat="1" applyFont="1" applyBorder="1" applyAlignment="1">
      <alignment horizontal="center" vertical="center"/>
    </xf>
    <xf numFmtId="168" fontId="18" fillId="0" borderId="1" xfId="0" applyNumberFormat="1" applyFont="1" applyBorder="1" applyAlignment="1">
      <alignment horizontal="center" vertical="center"/>
    </xf>
    <xf numFmtId="0" fontId="18" fillId="0" borderId="1" xfId="0" applyFont="1" applyBorder="1" applyAlignment="1">
      <alignment horizontal="left" vertical="top" wrapText="1"/>
    </xf>
    <xf numFmtId="3" fontId="22" fillId="0" borderId="0" xfId="0" applyNumberFormat="1" applyFont="1"/>
    <xf numFmtId="168" fontId="0" fillId="3" borderId="0" xfId="0" applyNumberFormat="1" applyFill="1"/>
    <xf numFmtId="166" fontId="0" fillId="3" borderId="0" xfId="0" applyNumberFormat="1" applyFill="1"/>
    <xf numFmtId="3" fontId="25" fillId="12" borderId="1" xfId="0" applyNumberFormat="1" applyFont="1" applyFill="1" applyBorder="1" applyAlignment="1">
      <alignment horizontal="right" vertical="center"/>
    </xf>
    <xf numFmtId="3" fontId="25" fillId="13" borderId="1" xfId="0" applyNumberFormat="1" applyFont="1" applyFill="1" applyBorder="1" applyAlignment="1">
      <alignment horizontal="right" vertical="center"/>
    </xf>
    <xf numFmtId="0" fontId="21" fillId="3" borderId="0" xfId="0" applyFont="1" applyFill="1"/>
    <xf numFmtId="3" fontId="25" fillId="14" borderId="1" xfId="0" applyNumberFormat="1" applyFont="1" applyFill="1" applyBorder="1" applyAlignment="1">
      <alignment horizontal="right" vertical="center"/>
    </xf>
    <xf numFmtId="49" fontId="22" fillId="0" borderId="1" xfId="0" applyNumberFormat="1" applyFont="1" applyBorder="1"/>
    <xf numFmtId="166" fontId="22" fillId="0" borderId="1" xfId="0" applyNumberFormat="1" applyFont="1" applyBorder="1"/>
    <xf numFmtId="0" fontId="5" fillId="0" borderId="1" xfId="0" applyFont="1" applyBorder="1" applyAlignment="1">
      <alignment vertical="top" wrapText="1"/>
    </xf>
    <xf numFmtId="49" fontId="3" fillId="0" borderId="1" xfId="0" applyNumberFormat="1" applyFont="1" applyBorder="1" applyAlignment="1">
      <alignment horizontal="center" vertical="center"/>
    </xf>
    <xf numFmtId="166" fontId="3" fillId="0" borderId="1" xfId="0" applyNumberFormat="1" applyFont="1" applyBorder="1" applyAlignment="1">
      <alignment horizontal="center" vertical="center"/>
    </xf>
    <xf numFmtId="0" fontId="5" fillId="0" borderId="1" xfId="0" applyFont="1" applyBorder="1"/>
    <xf numFmtId="49" fontId="5" fillId="0" borderId="1" xfId="0" applyNumberFormat="1" applyFont="1" applyBorder="1"/>
    <xf numFmtId="166" fontId="5" fillId="0" borderId="1" xfId="0" applyNumberFormat="1" applyFont="1" applyBorder="1"/>
    <xf numFmtId="168" fontId="0" fillId="0" borderId="0" xfId="0" applyNumberFormat="1"/>
    <xf numFmtId="166" fontId="0" fillId="0" borderId="0" xfId="0" applyNumberFormat="1"/>
    <xf numFmtId="49" fontId="0" fillId="6" borderId="0" xfId="0" applyNumberFormat="1" applyFill="1"/>
    <xf numFmtId="49" fontId="3" fillId="0" borderId="0" xfId="0" applyNumberFormat="1" applyFont="1" applyAlignment="1">
      <alignment horizontal="justify"/>
    </xf>
    <xf numFmtId="0" fontId="5" fillId="0" borderId="18" xfId="0" applyFont="1" applyBorder="1" applyAlignment="1">
      <alignment horizontal="center" wrapText="1"/>
    </xf>
    <xf numFmtId="0" fontId="21" fillId="6" borderId="0" xfId="0" applyFont="1" applyFill="1"/>
    <xf numFmtId="49" fontId="5" fillId="0" borderId="3" xfId="0" applyNumberFormat="1" applyFont="1" applyBorder="1" applyAlignment="1">
      <alignment horizontal="left" vertical="top" wrapText="1"/>
    </xf>
    <xf numFmtId="3" fontId="5" fillId="0" borderId="3" xfId="0" applyNumberFormat="1" applyFont="1" applyBorder="1" applyAlignment="1">
      <alignment horizontal="right" vertical="top" wrapText="1"/>
    </xf>
    <xf numFmtId="0" fontId="30" fillId="6" borderId="0" xfId="0" applyFont="1" applyFill="1"/>
    <xf numFmtId="49" fontId="17" fillId="0" borderId="3" xfId="0" applyNumberFormat="1" applyFont="1" applyBorder="1" applyAlignment="1">
      <alignment horizontal="right" vertical="top" wrapText="1"/>
    </xf>
    <xf numFmtId="0" fontId="31" fillId="0" borderId="3" xfId="0" applyFont="1" applyBorder="1" applyAlignment="1">
      <alignment horizontal="left" vertical="top" wrapText="1"/>
    </xf>
    <xf numFmtId="49" fontId="3" fillId="0" borderId="3" xfId="0" applyNumberFormat="1" applyFont="1" applyBorder="1" applyAlignment="1">
      <alignment horizontal="right" vertical="top" wrapText="1"/>
    </xf>
    <xf numFmtId="3" fontId="3" fillId="0" borderId="3" xfId="0" applyNumberFormat="1" applyFont="1" applyBorder="1" applyAlignment="1">
      <alignment horizontal="right" vertical="top" wrapText="1"/>
    </xf>
    <xf numFmtId="49" fontId="17" fillId="4" borderId="3" xfId="0" applyNumberFormat="1" applyFont="1" applyFill="1" applyBorder="1" applyAlignment="1">
      <alignment horizontal="right" vertical="top" wrapText="1"/>
    </xf>
    <xf numFmtId="49" fontId="3" fillId="4" borderId="3" xfId="0" applyNumberFormat="1" applyFont="1" applyFill="1" applyBorder="1" applyAlignment="1">
      <alignment horizontal="right" vertical="top" wrapText="1"/>
    </xf>
    <xf numFmtId="49" fontId="17" fillId="0" borderId="3" xfId="0" applyNumberFormat="1" applyFont="1" applyBorder="1" applyAlignment="1">
      <alignment horizontal="left" vertical="top" wrapText="1"/>
    </xf>
    <xf numFmtId="49" fontId="3" fillId="0" borderId="3" xfId="0" applyNumberFormat="1" applyFont="1" applyBorder="1" applyAlignment="1">
      <alignment horizontal="left" vertical="top" wrapText="1"/>
    </xf>
    <xf numFmtId="49" fontId="5" fillId="0" borderId="3" xfId="0" applyNumberFormat="1" applyFont="1" applyBorder="1" applyAlignment="1">
      <alignment horizontal="right" vertical="top" wrapText="1"/>
    </xf>
    <xf numFmtId="49" fontId="3" fillId="2" borderId="14" xfId="0" applyNumberFormat="1" applyFont="1" applyFill="1" applyBorder="1" applyAlignment="1">
      <alignment horizontal="center" vertical="top" wrapText="1"/>
    </xf>
    <xf numFmtId="168" fontId="5" fillId="0" borderId="3" xfId="0" applyNumberFormat="1" applyFont="1" applyBorder="1" applyAlignment="1">
      <alignment horizontal="right" vertical="top" wrapText="1"/>
    </xf>
    <xf numFmtId="168" fontId="0" fillId="6" borderId="0" xfId="0" applyNumberFormat="1" applyFill="1"/>
    <xf numFmtId="0" fontId="3" fillId="0" borderId="0" xfId="0" applyFont="1" applyAlignment="1">
      <alignment horizontal="justify" wrapText="1"/>
    </xf>
    <xf numFmtId="0" fontId="4" fillId="0" borderId="0" xfId="0" applyFont="1" applyAlignment="1">
      <alignment wrapText="1"/>
    </xf>
    <xf numFmtId="168" fontId="3" fillId="0" borderId="3" xfId="0" applyNumberFormat="1" applyFont="1" applyBorder="1" applyAlignment="1">
      <alignment horizontal="center" vertical="top" wrapText="1"/>
    </xf>
    <xf numFmtId="168" fontId="22" fillId="0" borderId="3" xfId="0" applyNumberFormat="1" applyFont="1" applyBorder="1" applyAlignment="1">
      <alignment horizontal="center" vertical="center" wrapText="1"/>
    </xf>
    <xf numFmtId="168" fontId="5" fillId="0" borderId="3" xfId="0" applyNumberFormat="1" applyFont="1" applyBorder="1" applyAlignment="1">
      <alignment horizontal="center" vertical="top" wrapText="1"/>
    </xf>
    <xf numFmtId="0" fontId="3" fillId="0" borderId="0" xfId="0" applyFont="1" applyAlignment="1">
      <alignment horizontal="center" vertical="center" wrapText="1"/>
    </xf>
    <xf numFmtId="169" fontId="3" fillId="0" borderId="1" xfId="0" applyNumberFormat="1" applyFont="1" applyBorder="1" applyAlignment="1">
      <alignment wrapText="1"/>
    </xf>
    <xf numFmtId="3" fontId="3" fillId="0" borderId="1" xfId="0" applyNumberFormat="1" applyFont="1" applyBorder="1" applyAlignment="1">
      <alignment horizontal="right"/>
    </xf>
    <xf numFmtId="3" fontId="3" fillId="0" borderId="1" xfId="0" applyNumberFormat="1" applyFont="1" applyBorder="1" applyAlignment="1">
      <alignment horizontal="right" wrapText="1"/>
    </xf>
    <xf numFmtId="3" fontId="3" fillId="0" borderId="0" xfId="0" applyNumberFormat="1" applyFont="1" applyAlignment="1">
      <alignment horizontal="right"/>
    </xf>
    <xf numFmtId="169" fontId="5" fillId="0" borderId="1" xfId="0" applyNumberFormat="1" applyFont="1" applyBorder="1" applyAlignment="1">
      <alignment wrapText="1"/>
    </xf>
    <xf numFmtId="170" fontId="5" fillId="0" borderId="1" xfId="0" applyNumberFormat="1" applyFont="1" applyBorder="1" applyAlignment="1">
      <alignment vertical="center"/>
    </xf>
    <xf numFmtId="170" fontId="5" fillId="0" borderId="0" xfId="0" applyNumberFormat="1" applyFont="1" applyAlignment="1">
      <alignment vertical="center"/>
    </xf>
    <xf numFmtId="0" fontId="4" fillId="4" borderId="0" xfId="0" applyFont="1" applyFill="1"/>
    <xf numFmtId="0" fontId="3" fillId="4" borderId="0" xfId="0" applyFont="1" applyFill="1"/>
    <xf numFmtId="0" fontId="3" fillId="0" borderId="32" xfId="0" applyFont="1" applyBorder="1" applyAlignment="1">
      <alignment horizontal="center" vertical="center" wrapText="1"/>
    </xf>
    <xf numFmtId="3" fontId="5" fillId="0" borderId="1" xfId="0" applyNumberFormat="1" applyFont="1" applyBorder="1" applyAlignment="1">
      <alignment vertical="center"/>
    </xf>
    <xf numFmtId="0" fontId="5" fillId="0" borderId="14" xfId="0" applyFont="1" applyBorder="1" applyAlignment="1">
      <alignment horizontal="center" vertical="top" wrapText="1"/>
    </xf>
    <xf numFmtId="0" fontId="5" fillId="0" borderId="17" xfId="0" applyFont="1" applyBorder="1" applyAlignment="1">
      <alignment horizontal="center" vertical="top" wrapText="1"/>
    </xf>
    <xf numFmtId="0" fontId="5" fillId="0" borderId="32" xfId="0" applyFont="1" applyBorder="1" applyAlignment="1">
      <alignment horizontal="center" vertical="top" wrapText="1"/>
    </xf>
    <xf numFmtId="0" fontId="3" fillId="0" borderId="25" xfId="0" applyFont="1" applyBorder="1" applyAlignment="1">
      <alignment vertical="top" wrapText="1"/>
    </xf>
    <xf numFmtId="0" fontId="32" fillId="0" borderId="25" xfId="0" applyFont="1" applyBorder="1" applyAlignment="1">
      <alignment horizontal="center" vertical="center" wrapText="1"/>
    </xf>
    <xf numFmtId="0" fontId="32" fillId="0" borderId="1" xfId="0" applyFont="1" applyBorder="1" applyAlignment="1">
      <alignment horizontal="center" vertical="center" wrapText="1"/>
    </xf>
    <xf numFmtId="0" fontId="32" fillId="0" borderId="1" xfId="0" applyFont="1" applyBorder="1" applyAlignment="1">
      <alignment horizontal="center" vertical="top" wrapText="1"/>
    </xf>
    <xf numFmtId="49" fontId="5" fillId="0" borderId="6" xfId="0" applyNumberFormat="1" applyFont="1" applyBorder="1" applyAlignment="1">
      <alignment horizontal="right" vertical="top" wrapText="1"/>
    </xf>
    <xf numFmtId="0" fontId="11" fillId="0" borderId="28" xfId="0" applyFont="1" applyBorder="1" applyAlignment="1">
      <alignment horizontal="left" vertical="top" wrapText="1"/>
    </xf>
    <xf numFmtId="49" fontId="5" fillId="0" borderId="36" xfId="0" applyNumberFormat="1" applyFont="1" applyBorder="1" applyAlignment="1">
      <alignment horizontal="center" vertical="center" wrapText="1"/>
    </xf>
    <xf numFmtId="3" fontId="5" fillId="0" borderId="36" xfId="0" applyNumberFormat="1" applyFont="1" applyBorder="1" applyAlignment="1">
      <alignment horizontal="right" vertical="center" wrapText="1"/>
    </xf>
    <xf numFmtId="3" fontId="5" fillId="0" borderId="37" xfId="0" applyNumberFormat="1" applyFont="1" applyBorder="1" applyAlignment="1">
      <alignment horizontal="right" vertical="center" wrapText="1"/>
    </xf>
    <xf numFmtId="49" fontId="3" fillId="4" borderId="6" xfId="0" applyNumberFormat="1" applyFont="1" applyFill="1" applyBorder="1" applyAlignment="1">
      <alignment horizontal="right" vertical="top" wrapText="1"/>
    </xf>
    <xf numFmtId="0" fontId="31" fillId="0" borderId="26" xfId="0" applyFont="1" applyBorder="1" applyAlignment="1">
      <alignment horizontal="left" vertical="top" wrapText="1"/>
    </xf>
    <xf numFmtId="49" fontId="27" fillId="0" borderId="32" xfId="0" applyNumberFormat="1" applyFont="1" applyBorder="1" applyAlignment="1">
      <alignment horizontal="center" vertical="center"/>
    </xf>
    <xf numFmtId="3" fontId="17" fillId="0" borderId="32" xfId="0" applyNumberFormat="1" applyFont="1" applyBorder="1" applyAlignment="1">
      <alignment horizontal="right" vertical="center" wrapText="1"/>
    </xf>
    <xf numFmtId="3" fontId="17" fillId="0" borderId="38" xfId="0" applyNumberFormat="1" applyFont="1" applyBorder="1" applyAlignment="1">
      <alignment horizontal="right" vertical="center" wrapText="1"/>
    </xf>
    <xf numFmtId="0" fontId="13" fillId="0" borderId="5" xfId="0" applyFont="1" applyBorder="1" applyAlignment="1">
      <alignment horizontal="left" vertical="top" wrapText="1"/>
    </xf>
    <xf numFmtId="3" fontId="3" fillId="0" borderId="1" xfId="0" applyNumberFormat="1" applyFont="1" applyBorder="1" applyAlignment="1">
      <alignment horizontal="right" vertical="center" wrapText="1"/>
    </xf>
    <xf numFmtId="3" fontId="3" fillId="0" borderId="39" xfId="0" applyNumberFormat="1" applyFont="1" applyBorder="1" applyAlignment="1">
      <alignment horizontal="right" vertical="center" wrapText="1"/>
    </xf>
    <xf numFmtId="0" fontId="31" fillId="0" borderId="5" xfId="0" applyFont="1" applyBorder="1" applyAlignment="1">
      <alignment horizontal="left" vertical="top" wrapText="1"/>
    </xf>
    <xf numFmtId="49" fontId="17" fillId="0" borderId="1" xfId="0" applyNumberFormat="1" applyFont="1" applyBorder="1" applyAlignment="1">
      <alignment horizontal="center" vertical="center" wrapText="1"/>
    </xf>
    <xf numFmtId="3" fontId="17" fillId="0" borderId="1" xfId="0" applyNumberFormat="1" applyFont="1" applyBorder="1" applyAlignment="1">
      <alignment horizontal="right" vertical="center" wrapText="1"/>
    </xf>
    <xf numFmtId="3" fontId="17" fillId="0" borderId="39" xfId="0" applyNumberFormat="1" applyFont="1" applyBorder="1" applyAlignment="1">
      <alignment horizontal="right" vertical="center" wrapText="1"/>
    </xf>
    <xf numFmtId="49" fontId="3" fillId="0" borderId="6" xfId="0" applyNumberFormat="1" applyFont="1" applyBorder="1" applyAlignment="1">
      <alignment horizontal="left" vertical="top" wrapText="1"/>
    </xf>
    <xf numFmtId="49" fontId="3" fillId="0" borderId="6" xfId="0" applyNumberFormat="1" applyFont="1" applyBorder="1" applyAlignment="1">
      <alignment horizontal="right" vertical="top" wrapText="1"/>
    </xf>
    <xf numFmtId="49" fontId="17" fillId="0" borderId="6" xfId="0" applyNumberFormat="1" applyFont="1" applyBorder="1" applyAlignment="1">
      <alignment horizontal="right" vertical="top" wrapText="1"/>
    </xf>
    <xf numFmtId="0" fontId="13" fillId="0" borderId="27" xfId="0" applyFont="1" applyBorder="1" applyAlignment="1">
      <alignment horizontal="left" vertical="top" wrapText="1"/>
    </xf>
    <xf numFmtId="49" fontId="3" fillId="0" borderId="14" xfId="0" applyNumberFormat="1" applyFont="1" applyBorder="1" applyAlignment="1">
      <alignment horizontal="center" vertical="center" wrapText="1"/>
    </xf>
    <xf numFmtId="3" fontId="3" fillId="0" borderId="14" xfId="0" applyNumberFormat="1" applyFont="1" applyBorder="1" applyAlignment="1">
      <alignment horizontal="right" vertical="center" wrapText="1"/>
    </xf>
    <xf numFmtId="3" fontId="3" fillId="0" borderId="35" xfId="0" applyNumberFormat="1" applyFont="1" applyBorder="1" applyAlignment="1">
      <alignment horizontal="right" vertical="center" wrapText="1"/>
    </xf>
    <xf numFmtId="49" fontId="17" fillId="0" borderId="32" xfId="0" applyNumberFormat="1" applyFont="1" applyBorder="1" applyAlignment="1">
      <alignment horizontal="center" vertical="center" wrapText="1"/>
    </xf>
    <xf numFmtId="0" fontId="13" fillId="0" borderId="29" xfId="0" applyFont="1" applyBorder="1" applyAlignment="1">
      <alignment horizontal="left" vertical="top" wrapText="1"/>
    </xf>
    <xf numFmtId="49" fontId="3" fillId="0" borderId="40" xfId="0" applyNumberFormat="1" applyFont="1" applyBorder="1" applyAlignment="1">
      <alignment horizontal="center" vertical="center" wrapText="1"/>
    </xf>
    <xf numFmtId="3" fontId="3" fillId="0" borderId="40" xfId="0" applyNumberFormat="1" applyFont="1" applyBorder="1" applyAlignment="1">
      <alignment horizontal="right" vertical="center" wrapText="1"/>
    </xf>
    <xf numFmtId="3" fontId="3" fillId="0" borderId="41" xfId="0" applyNumberFormat="1" applyFont="1" applyBorder="1" applyAlignment="1">
      <alignment horizontal="right" vertical="center" wrapText="1"/>
    </xf>
    <xf numFmtId="0" fontId="13" fillId="0" borderId="26" xfId="0" applyFont="1" applyBorder="1" applyAlignment="1">
      <alignment horizontal="left" vertical="top" wrapText="1"/>
    </xf>
    <xf numFmtId="49" fontId="3" fillId="0" borderId="32" xfId="0" applyNumberFormat="1" applyFont="1" applyBorder="1" applyAlignment="1">
      <alignment horizontal="center" vertical="center" wrapText="1"/>
    </xf>
    <xf numFmtId="3" fontId="3" fillId="0" borderId="32" xfId="0" applyNumberFormat="1" applyFont="1" applyBorder="1" applyAlignment="1">
      <alignment horizontal="right" vertical="center" wrapText="1"/>
    </xf>
    <xf numFmtId="3" fontId="3" fillId="0" borderId="38" xfId="0" applyNumberFormat="1" applyFont="1" applyBorder="1" applyAlignment="1">
      <alignment horizontal="right" vertical="center" wrapText="1"/>
    </xf>
    <xf numFmtId="49" fontId="3" fillId="0" borderId="14" xfId="0" applyNumberFormat="1" applyFont="1" applyBorder="1" applyAlignment="1">
      <alignment horizontal="center" wrapText="1"/>
    </xf>
    <xf numFmtId="3" fontId="3" fillId="0" borderId="14" xfId="0" applyNumberFormat="1" applyFont="1" applyBorder="1" applyAlignment="1">
      <alignment horizontal="right" vertical="top" wrapText="1"/>
    </xf>
    <xf numFmtId="3" fontId="3" fillId="0" borderId="35" xfId="0" applyNumberFormat="1" applyFont="1" applyBorder="1" applyAlignment="1">
      <alignment horizontal="right" vertical="top" wrapText="1"/>
    </xf>
    <xf numFmtId="49" fontId="5" fillId="2" borderId="36" xfId="0" applyNumberFormat="1" applyFont="1" applyFill="1" applyBorder="1" applyAlignment="1">
      <alignment horizontal="center" wrapText="1"/>
    </xf>
    <xf numFmtId="3" fontId="5" fillId="0" borderId="36" xfId="0" applyNumberFormat="1" applyFont="1" applyBorder="1" applyAlignment="1">
      <alignment horizontal="right" vertical="top" wrapText="1"/>
    </xf>
    <xf numFmtId="3" fontId="5" fillId="0" borderId="37" xfId="0" applyNumberFormat="1" applyFont="1" applyBorder="1" applyAlignment="1">
      <alignment horizontal="right" vertical="top" wrapText="1"/>
    </xf>
    <xf numFmtId="49" fontId="17" fillId="2" borderId="32" xfId="0" applyNumberFormat="1" applyFont="1" applyFill="1" applyBorder="1" applyAlignment="1">
      <alignment horizontal="center" wrapText="1"/>
    </xf>
    <xf numFmtId="3" fontId="17" fillId="0" borderId="32" xfId="0" applyNumberFormat="1" applyFont="1" applyBorder="1" applyAlignment="1">
      <alignment horizontal="right" vertical="top" wrapText="1"/>
    </xf>
    <xf numFmtId="3" fontId="17" fillId="0" borderId="38" xfId="0" applyNumberFormat="1" applyFont="1" applyBorder="1" applyAlignment="1">
      <alignment horizontal="right" vertical="top" wrapText="1"/>
    </xf>
    <xf numFmtId="49" fontId="3" fillId="2" borderId="1" xfId="0" applyNumberFormat="1" applyFont="1" applyFill="1" applyBorder="1" applyAlignment="1">
      <alignment horizontal="center" wrapText="1"/>
    </xf>
    <xf numFmtId="3" fontId="3" fillId="0" borderId="1" xfId="0" applyNumberFormat="1" applyFont="1" applyBorder="1" applyAlignment="1">
      <alignment horizontal="right" vertical="top" wrapText="1"/>
    </xf>
    <xf numFmtId="3" fontId="3" fillId="0" borderId="39" xfId="0" applyNumberFormat="1" applyFont="1" applyBorder="1" applyAlignment="1">
      <alignment horizontal="right" vertical="top" wrapText="1"/>
    </xf>
    <xf numFmtId="49" fontId="17" fillId="2" borderId="1" xfId="0" applyNumberFormat="1" applyFont="1" applyFill="1" applyBorder="1" applyAlignment="1">
      <alignment horizontal="center" wrapText="1"/>
    </xf>
    <xf numFmtId="3" fontId="17" fillId="0" borderId="1" xfId="0" applyNumberFormat="1" applyFont="1" applyBorder="1" applyAlignment="1">
      <alignment horizontal="right" vertical="top" wrapText="1"/>
    </xf>
    <xf numFmtId="3" fontId="17" fillId="0" borderId="39" xfId="0" applyNumberFormat="1" applyFont="1" applyBorder="1" applyAlignment="1">
      <alignment horizontal="right" vertical="top" wrapText="1"/>
    </xf>
    <xf numFmtId="49" fontId="3" fillId="2" borderId="14" xfId="0" applyNumberFormat="1" applyFont="1" applyFill="1" applyBorder="1" applyAlignment="1">
      <alignment horizontal="center" wrapText="1"/>
    </xf>
    <xf numFmtId="49" fontId="5" fillId="0" borderId="36" xfId="0" applyNumberFormat="1" applyFont="1" applyBorder="1" applyAlignment="1">
      <alignment horizontal="center" wrapText="1"/>
    </xf>
    <xf numFmtId="49" fontId="3" fillId="2" borderId="40" xfId="0" applyNumberFormat="1" applyFont="1" applyFill="1" applyBorder="1" applyAlignment="1">
      <alignment horizontal="center" wrapText="1"/>
    </xf>
    <xf numFmtId="3" fontId="3" fillId="0" borderId="40" xfId="0" applyNumberFormat="1" applyFont="1" applyBorder="1" applyAlignment="1">
      <alignment horizontal="right" vertical="top" wrapText="1"/>
    </xf>
    <xf numFmtId="3" fontId="3" fillId="0" borderId="41" xfId="0" applyNumberFormat="1" applyFont="1" applyBorder="1" applyAlignment="1">
      <alignment horizontal="right" vertical="top" wrapText="1"/>
    </xf>
    <xf numFmtId="49" fontId="5" fillId="0" borderId="36" xfId="0" applyNumberFormat="1" applyFont="1" applyBorder="1" applyAlignment="1">
      <alignment horizontal="center" vertical="top" wrapText="1"/>
    </xf>
    <xf numFmtId="0" fontId="11" fillId="0" borderId="31" xfId="0" applyFont="1" applyBorder="1" applyAlignment="1">
      <alignment horizontal="left" vertical="top" wrapText="1"/>
    </xf>
    <xf numFmtId="168" fontId="5" fillId="0" borderId="44" xfId="0" applyNumberFormat="1" applyFont="1" applyBorder="1" applyAlignment="1">
      <alignment horizontal="right" vertical="top" wrapText="1"/>
    </xf>
    <xf numFmtId="3" fontId="5" fillId="2" borderId="44" xfId="0" applyNumberFormat="1" applyFont="1" applyFill="1" applyBorder="1"/>
    <xf numFmtId="169" fontId="5" fillId="0" borderId="0" xfId="0" applyNumberFormat="1" applyFont="1" applyAlignment="1">
      <alignment wrapText="1"/>
    </xf>
    <xf numFmtId="0" fontId="3" fillId="3" borderId="0" xfId="0" applyFont="1" applyFill="1"/>
    <xf numFmtId="3" fontId="5" fillId="0" borderId="1" xfId="0" applyNumberFormat="1" applyFont="1" applyBorder="1" applyAlignment="1">
      <alignment horizontal="right"/>
    </xf>
    <xf numFmtId="0" fontId="5" fillId="0" borderId="16" xfId="0" applyFont="1" applyBorder="1" applyAlignment="1">
      <alignment horizontal="center" vertical="center" wrapText="1"/>
    </xf>
    <xf numFmtId="0" fontId="3" fillId="0" borderId="16" xfId="0" applyFont="1" applyBorder="1"/>
    <xf numFmtId="3" fontId="5" fillId="2" borderId="1" xfId="0" applyNumberFormat="1" applyFont="1" applyFill="1" applyBorder="1"/>
    <xf numFmtId="0" fontId="3" fillId="0" borderId="30" xfId="0" applyFont="1" applyBorder="1" applyAlignment="1">
      <alignment horizontal="center" vertical="center" wrapText="1"/>
    </xf>
    <xf numFmtId="0" fontId="3" fillId="0" borderId="33" xfId="0" applyFont="1" applyBorder="1" applyAlignment="1">
      <alignment horizontal="center" vertical="center" wrapText="1"/>
    </xf>
    <xf numFmtId="169" fontId="3" fillId="0" borderId="5" xfId="0" applyNumberFormat="1" applyFont="1" applyBorder="1" applyAlignment="1">
      <alignment wrapText="1"/>
    </xf>
    <xf numFmtId="3" fontId="2" fillId="0" borderId="1" xfId="0" applyNumberFormat="1" applyFont="1" applyBorder="1" applyAlignment="1">
      <alignment horizontal="right" vertical="center" wrapText="1"/>
    </xf>
    <xf numFmtId="3" fontId="2" fillId="0" borderId="39" xfId="0" applyNumberFormat="1" applyFont="1" applyBorder="1" applyAlignment="1">
      <alignment horizontal="right" vertical="center"/>
    </xf>
    <xf numFmtId="169" fontId="5" fillId="0" borderId="46" xfId="0" applyNumberFormat="1" applyFont="1" applyBorder="1" applyAlignment="1">
      <alignment wrapText="1"/>
    </xf>
    <xf numFmtId="3" fontId="33" fillId="0" borderId="47" xfId="0" applyNumberFormat="1" applyFont="1" applyBorder="1" applyAlignment="1">
      <alignment horizontal="right" vertical="center"/>
    </xf>
    <xf numFmtId="3" fontId="33" fillId="0" borderId="39" xfId="0" applyNumberFormat="1" applyFont="1" applyBorder="1" applyAlignment="1">
      <alignment horizontal="right" vertical="center"/>
    </xf>
    <xf numFmtId="0" fontId="3" fillId="6" borderId="0" xfId="0" applyFont="1" applyFill="1"/>
    <xf numFmtId="0" fontId="5" fillId="0" borderId="0" xfId="0" applyFont="1" applyAlignment="1">
      <alignment horizontal="left" vertical="center" wrapText="1"/>
    </xf>
    <xf numFmtId="3" fontId="3" fillId="0" borderId="1" xfId="0" applyNumberFormat="1" applyFont="1" applyBorder="1" applyAlignment="1">
      <alignment horizontal="center" wrapText="1"/>
    </xf>
    <xf numFmtId="3" fontId="3" fillId="0" borderId="39" xfId="0" applyNumberFormat="1" applyFont="1" applyBorder="1" applyAlignment="1">
      <alignment horizontal="right"/>
    </xf>
    <xf numFmtId="170" fontId="5" fillId="0" borderId="47" xfId="0" applyNumberFormat="1" applyFont="1" applyBorder="1" applyAlignment="1">
      <alignment horizontal="center" vertical="center"/>
    </xf>
    <xf numFmtId="3" fontId="5" fillId="0" borderId="48" xfId="0" applyNumberFormat="1" applyFont="1" applyBorder="1" applyAlignment="1">
      <alignment horizontal="right" vertical="center"/>
    </xf>
    <xf numFmtId="0" fontId="32" fillId="0" borderId="0" xfId="0" applyFont="1" applyAlignment="1">
      <alignment horizontal="justify"/>
    </xf>
    <xf numFmtId="0" fontId="0" fillId="0" borderId="0" xfId="0" applyAlignment="1">
      <alignment wrapText="1"/>
    </xf>
    <xf numFmtId="0" fontId="20" fillId="0" borderId="32" xfId="0" applyFont="1" applyBorder="1" applyAlignment="1">
      <alignment horizontal="center" wrapText="1"/>
    </xf>
    <xf numFmtId="0" fontId="3" fillId="0" borderId="32" xfId="0" applyFont="1" applyBorder="1" applyAlignment="1">
      <alignment horizontal="left" wrapText="1"/>
    </xf>
    <xf numFmtId="3" fontId="20" fillId="0" borderId="32" xfId="0" applyNumberFormat="1" applyFont="1" applyBorder="1" applyAlignment="1">
      <alignment horizontal="right" wrapText="1"/>
    </xf>
    <xf numFmtId="3" fontId="20" fillId="15" borderId="32" xfId="0" applyNumberFormat="1" applyFont="1" applyFill="1" applyBorder="1" applyAlignment="1">
      <alignment horizontal="right" wrapText="1"/>
    </xf>
    <xf numFmtId="0" fontId="13" fillId="0" borderId="1" xfId="0" applyFont="1" applyBorder="1" applyAlignment="1">
      <alignment wrapText="1"/>
    </xf>
    <xf numFmtId="3" fontId="20" fillId="0" borderId="1" xfId="0" applyNumberFormat="1" applyFont="1" applyBorder="1" applyAlignment="1">
      <alignment horizontal="right" wrapText="1"/>
    </xf>
    <xf numFmtId="3" fontId="20" fillId="15" borderId="1" xfId="0" applyNumberFormat="1" applyFont="1" applyFill="1" applyBorder="1" applyAlignment="1">
      <alignment horizontal="right" wrapText="1"/>
    </xf>
    <xf numFmtId="0" fontId="20" fillId="4" borderId="1" xfId="0" applyFont="1" applyFill="1" applyBorder="1" applyAlignment="1">
      <alignment horizontal="center" wrapText="1"/>
    </xf>
    <xf numFmtId="3" fontId="20" fillId="4" borderId="1" xfId="0" applyNumberFormat="1" applyFont="1" applyFill="1" applyBorder="1" applyAlignment="1">
      <alignment horizontal="right" wrapText="1"/>
    </xf>
    <xf numFmtId="0" fontId="20" fillId="0" borderId="1" xfId="0" applyFont="1" applyBorder="1" applyAlignment="1">
      <alignment horizontal="center" wrapText="1"/>
    </xf>
    <xf numFmtId="0" fontId="20" fillId="0" borderId="1" xfId="0" applyFont="1" applyBorder="1" applyAlignment="1">
      <alignment horizontal="right" wrapText="1"/>
    </xf>
    <xf numFmtId="0" fontId="20" fillId="0" borderId="14" xfId="0" applyFont="1" applyBorder="1" applyAlignment="1">
      <alignment horizontal="center" wrapText="1"/>
    </xf>
    <xf numFmtId="0" fontId="35" fillId="0" borderId="14" xfId="0" applyFont="1" applyBorder="1" applyAlignment="1">
      <alignment wrapText="1"/>
    </xf>
    <xf numFmtId="4" fontId="20" fillId="0" borderId="14" xfId="0" applyNumberFormat="1" applyFont="1" applyBorder="1" applyAlignment="1">
      <alignment horizontal="right" wrapText="1"/>
    </xf>
    <xf numFmtId="4" fontId="20" fillId="15" borderId="14" xfId="0" applyNumberFormat="1" applyFont="1" applyFill="1" applyBorder="1" applyAlignment="1">
      <alignment horizontal="right" wrapText="1"/>
    </xf>
    <xf numFmtId="0" fontId="3" fillId="0" borderId="28" xfId="0" applyFont="1" applyBorder="1" applyAlignment="1">
      <alignment horizontal="center" wrapText="1"/>
    </xf>
    <xf numFmtId="0" fontId="11" fillId="0" borderId="36" xfId="0" applyFont="1" applyBorder="1" applyAlignment="1">
      <alignment horizontal="center" wrapText="1"/>
    </xf>
    <xf numFmtId="3" fontId="5" fillId="0" borderId="37" xfId="0" applyNumberFormat="1" applyFont="1" applyBorder="1" applyAlignment="1">
      <alignment horizontal="right"/>
    </xf>
    <xf numFmtId="0" fontId="3" fillId="0" borderId="3" xfId="0" applyFont="1" applyBorder="1" applyAlignment="1">
      <alignment horizontal="center" wrapText="1"/>
    </xf>
    <xf numFmtId="0" fontId="11" fillId="0" borderId="8" xfId="0" applyFont="1" applyBorder="1" applyAlignment="1">
      <alignment horizontal="center" wrapText="1"/>
    </xf>
    <xf numFmtId="3" fontId="5" fillId="0" borderId="8" xfId="0" applyNumberFormat="1" applyFont="1" applyBorder="1" applyAlignment="1">
      <alignment horizontal="right"/>
    </xf>
    <xf numFmtId="0" fontId="0" fillId="7" borderId="0" xfId="0" applyFill="1"/>
    <xf numFmtId="0" fontId="32" fillId="0" borderId="0" xfId="0" applyFont="1"/>
    <xf numFmtId="0" fontId="2" fillId="0" borderId="0" xfId="0" applyFont="1"/>
    <xf numFmtId="0" fontId="5" fillId="0" borderId="12" xfId="0" applyFont="1" applyBorder="1" applyAlignment="1">
      <alignment wrapText="1"/>
    </xf>
    <xf numFmtId="3" fontId="5" fillId="0" borderId="18" xfId="0" applyNumberFormat="1" applyFont="1" applyBorder="1" applyAlignment="1">
      <alignment horizontal="right" wrapText="1"/>
    </xf>
    <xf numFmtId="0" fontId="3" fillId="0" borderId="18" xfId="0" applyFont="1" applyBorder="1" applyAlignment="1">
      <alignment horizontal="center" wrapText="1"/>
    </xf>
    <xf numFmtId="0" fontId="3" fillId="0" borderId="12" xfId="0" applyFont="1" applyBorder="1" applyAlignment="1">
      <alignment horizontal="justify" vertical="center" wrapText="1"/>
    </xf>
    <xf numFmtId="3" fontId="3" fillId="0" borderId="18" xfId="0" applyNumberFormat="1" applyFont="1" applyBorder="1" applyAlignment="1">
      <alignment horizontal="right" wrapText="1"/>
    </xf>
    <xf numFmtId="0" fontId="5" fillId="0" borderId="8" xfId="0" applyFont="1" applyBorder="1" applyAlignment="1">
      <alignment horizontal="justify" wrapText="1"/>
    </xf>
    <xf numFmtId="0" fontId="3" fillId="0" borderId="9" xfId="0" applyFont="1" applyBorder="1" applyAlignment="1">
      <alignment horizontal="center"/>
    </xf>
    <xf numFmtId="0" fontId="3" fillId="0" borderId="20" xfId="0" applyFont="1" applyBorder="1" applyAlignment="1">
      <alignment horizontal="justify" wrapText="1"/>
    </xf>
    <xf numFmtId="3" fontId="3" fillId="0" borderId="20" xfId="0" applyNumberFormat="1" applyFont="1" applyBorder="1" applyAlignment="1">
      <alignment horizontal="right"/>
    </xf>
    <xf numFmtId="0" fontId="5" fillId="0" borderId="9" xfId="0" applyFont="1" applyBorder="1" applyAlignment="1">
      <alignment horizontal="center"/>
    </xf>
    <xf numFmtId="0" fontId="5" fillId="0" borderId="20" xfId="0" applyFont="1" applyBorder="1" applyAlignment="1">
      <alignment horizontal="justify" wrapText="1"/>
    </xf>
    <xf numFmtId="3" fontId="5" fillId="0" borderId="20" xfId="0" applyNumberFormat="1" applyFont="1" applyBorder="1" applyAlignment="1">
      <alignment horizontal="right"/>
    </xf>
    <xf numFmtId="0" fontId="21" fillId="7" borderId="0" xfId="0" applyFont="1" applyFill="1"/>
    <xf numFmtId="0" fontId="5" fillId="0" borderId="10" xfId="0" applyFont="1" applyBorder="1" applyAlignment="1">
      <alignment horizontal="center" wrapText="1"/>
    </xf>
    <xf numFmtId="0" fontId="3" fillId="0" borderId="0" xfId="0" applyFont="1" applyAlignment="1">
      <alignment horizontal="center" wrapText="1"/>
    </xf>
    <xf numFmtId="169" fontId="3" fillId="0" borderId="0" xfId="0" applyNumberFormat="1" applyFont="1" applyAlignment="1">
      <alignment wrapText="1"/>
    </xf>
    <xf numFmtId="3" fontId="3" fillId="0" borderId="0" xfId="0" applyNumberFormat="1" applyFont="1" applyAlignment="1">
      <alignment horizontal="center" wrapText="1"/>
    </xf>
    <xf numFmtId="1" fontId="0" fillId="0" borderId="0" xfId="0" applyNumberFormat="1"/>
    <xf numFmtId="170" fontId="21" fillId="0" borderId="0" xfId="0" applyNumberFormat="1" applyFont="1" applyAlignment="1">
      <alignment horizontal="center" vertical="center"/>
    </xf>
    <xf numFmtId="168" fontId="0" fillId="0" borderId="0" xfId="0" applyNumberFormat="1" applyAlignment="1">
      <alignment horizontal="center"/>
    </xf>
    <xf numFmtId="168" fontId="33" fillId="0" borderId="0" xfId="0" applyNumberFormat="1" applyFont="1" applyAlignment="1">
      <alignment horizontal="center"/>
    </xf>
    <xf numFmtId="169" fontId="33" fillId="0" borderId="0" xfId="0" applyNumberFormat="1" applyFont="1" applyAlignment="1">
      <alignment wrapText="1"/>
    </xf>
    <xf numFmtId="168" fontId="2" fillId="0" borderId="0" xfId="0" applyNumberFormat="1" applyFont="1" applyAlignment="1">
      <alignment horizontal="center"/>
    </xf>
    <xf numFmtId="169" fontId="2" fillId="0" borderId="0" xfId="0" applyNumberFormat="1" applyFont="1" applyAlignment="1">
      <alignment wrapText="1"/>
    </xf>
    <xf numFmtId="171" fontId="8" fillId="0" borderId="0" xfId="0" applyNumberFormat="1" applyFont="1" applyAlignment="1">
      <alignment horizontal="center"/>
    </xf>
    <xf numFmtId="0" fontId="8" fillId="0" borderId="0" xfId="0" applyFont="1" applyAlignment="1">
      <alignment horizontal="left" wrapText="1"/>
    </xf>
    <xf numFmtId="171" fontId="0" fillId="0" borderId="1" xfId="0" applyNumberFormat="1" applyBorder="1"/>
    <xf numFmtId="0" fontId="0" fillId="0" borderId="1" xfId="0" applyBorder="1" applyAlignment="1">
      <alignment wrapText="1"/>
    </xf>
    <xf numFmtId="0" fontId="2" fillId="0" borderId="0" xfId="0" applyFont="1" applyAlignment="1">
      <alignment wrapText="1"/>
    </xf>
    <xf numFmtId="0" fontId="2" fillId="0" borderId="1" xfId="0" applyFont="1" applyBorder="1" applyAlignment="1">
      <alignment wrapText="1"/>
    </xf>
    <xf numFmtId="0" fontId="8" fillId="0" borderId="0" xfId="0" applyFont="1"/>
    <xf numFmtId="168" fontId="8" fillId="0" borderId="0" xfId="0" applyNumberFormat="1" applyFont="1" applyAlignment="1">
      <alignment horizontal="center"/>
    </xf>
    <xf numFmtId="49" fontId="8" fillId="0" borderId="0" xfId="0" applyNumberFormat="1" applyFont="1" applyAlignment="1">
      <alignment wrapText="1"/>
    </xf>
    <xf numFmtId="49" fontId="8" fillId="0" borderId="0" xfId="0" applyNumberFormat="1" applyFont="1" applyAlignment="1">
      <alignment horizontal="center" wrapText="1"/>
    </xf>
    <xf numFmtId="0" fontId="8" fillId="0" borderId="1" xfId="0" applyFont="1" applyBorder="1" applyAlignment="1">
      <alignment vertical="center"/>
    </xf>
    <xf numFmtId="49" fontId="12" fillId="0" borderId="1" xfId="0" applyNumberFormat="1" applyFont="1" applyBorder="1" applyAlignment="1">
      <alignment vertical="center" wrapText="1"/>
    </xf>
    <xf numFmtId="0" fontId="12" fillId="0" borderId="1" xfId="0" applyFont="1" applyBorder="1" applyAlignment="1">
      <alignment vertical="center" wrapText="1"/>
    </xf>
    <xf numFmtId="3" fontId="0" fillId="0" borderId="1" xfId="0" applyNumberFormat="1" applyBorder="1" applyAlignment="1">
      <alignment horizontal="right"/>
    </xf>
    <xf numFmtId="0" fontId="5" fillId="0" borderId="17" xfId="0" applyFont="1" applyBorder="1" applyAlignment="1">
      <alignment horizontal="left"/>
    </xf>
    <xf numFmtId="3" fontId="0" fillId="0" borderId="0" xfId="0" applyNumberFormat="1" applyAlignment="1">
      <alignment horizontal="right"/>
    </xf>
    <xf numFmtId="3" fontId="33" fillId="0" borderId="48" xfId="0" applyNumberFormat="1" applyFont="1" applyBorder="1" applyAlignment="1">
      <alignment horizontal="right" vertical="center"/>
    </xf>
    <xf numFmtId="49" fontId="0" fillId="0" borderId="0" xfId="0" applyNumberFormat="1"/>
    <xf numFmtId="0" fontId="3" fillId="0" borderId="1" xfId="0" applyFont="1" applyBorder="1" applyAlignment="1">
      <alignment horizontal="left" vertical="center" wrapText="1"/>
    </xf>
    <xf numFmtId="172" fontId="3" fillId="0" borderId="1" xfId="5" applyNumberFormat="1" applyFont="1" applyBorder="1" applyAlignment="1">
      <alignment horizontal="right" vertical="center" wrapText="1"/>
    </xf>
    <xf numFmtId="0" fontId="3" fillId="0" borderId="1" xfId="0" applyFont="1" applyBorder="1" applyAlignment="1">
      <alignment horizontal="right" vertical="center" wrapText="1"/>
    </xf>
    <xf numFmtId="1" fontId="3" fillId="0" borderId="0" xfId="0" applyNumberFormat="1" applyFont="1"/>
    <xf numFmtId="3" fontId="5" fillId="0" borderId="47" xfId="0" applyNumberFormat="1" applyFont="1" applyBorder="1" applyAlignment="1">
      <alignment horizontal="right"/>
    </xf>
    <xf numFmtId="166" fontId="8" fillId="0" borderId="0" xfId="0" applyNumberFormat="1" applyFont="1" applyAlignment="1">
      <alignment horizontal="center"/>
    </xf>
    <xf numFmtId="0" fontId="8" fillId="0" borderId="0" xfId="0" applyFont="1" applyAlignment="1">
      <alignment wrapText="1"/>
    </xf>
    <xf numFmtId="0" fontId="8" fillId="0" borderId="0" xfId="0" applyFont="1" applyAlignment="1">
      <alignment horizontal="center"/>
    </xf>
    <xf numFmtId="0" fontId="8" fillId="0" borderId="0" xfId="0" applyFont="1" applyAlignment="1">
      <alignment horizontal="center" wrapText="1"/>
    </xf>
    <xf numFmtId="166" fontId="7" fillId="0" borderId="1" xfId="0" applyNumberFormat="1" applyFont="1" applyBorder="1" applyAlignment="1">
      <alignment horizontal="center" vertical="top" wrapText="1"/>
    </xf>
    <xf numFmtId="0" fontId="7" fillId="0" borderId="1" xfId="0" applyFont="1" applyBorder="1" applyAlignment="1">
      <alignment vertical="top" wrapText="1"/>
    </xf>
    <xf numFmtId="166" fontId="8" fillId="0" borderId="1" xfId="0" applyNumberFormat="1" applyFont="1" applyBorder="1" applyAlignment="1">
      <alignment horizontal="center" vertical="top" wrapText="1"/>
    </xf>
    <xf numFmtId="0" fontId="8" fillId="0" borderId="1" xfId="0" applyFont="1" applyBorder="1" applyAlignment="1">
      <alignment vertical="top" wrapText="1"/>
    </xf>
    <xf numFmtId="0" fontId="8" fillId="0" borderId="1" xfId="0" applyFont="1" applyBorder="1" applyAlignment="1">
      <alignment horizontal="left" vertical="top" wrapText="1"/>
    </xf>
    <xf numFmtId="0" fontId="10" fillId="0" borderId="1" xfId="0" applyFont="1" applyBorder="1" applyAlignment="1">
      <alignment horizontal="left" vertical="top" wrapText="1"/>
    </xf>
    <xf numFmtId="0" fontId="12" fillId="0" borderId="1" xfId="0" applyFont="1" applyBorder="1" applyAlignment="1">
      <alignment horizontal="left" vertical="top" wrapText="1"/>
    </xf>
    <xf numFmtId="0" fontId="7" fillId="0" borderId="1" xfId="0" applyFont="1" applyBorder="1" applyAlignment="1">
      <alignment horizontal="left" vertical="top" wrapText="1"/>
    </xf>
    <xf numFmtId="166" fontId="12" fillId="0" borderId="1" xfId="0" applyNumberFormat="1" applyFont="1" applyBorder="1" applyAlignment="1">
      <alignment horizontal="center" vertical="top" wrapText="1"/>
    </xf>
    <xf numFmtId="0" fontId="12" fillId="0" borderId="1" xfId="0" applyFont="1" applyBorder="1" applyAlignment="1">
      <alignment vertical="top" wrapText="1"/>
    </xf>
    <xf numFmtId="0" fontId="8" fillId="0" borderId="1" xfId="0" applyFont="1" applyBorder="1" applyAlignment="1">
      <alignment horizontal="justify" vertical="top" wrapText="1"/>
    </xf>
    <xf numFmtId="0" fontId="0" fillId="2" borderId="1" xfId="0" applyFill="1" applyBorder="1"/>
    <xf numFmtId="49" fontId="3" fillId="0" borderId="1" xfId="0" applyNumberFormat="1" applyFont="1" applyBorder="1" applyAlignment="1">
      <alignment horizontal="center"/>
    </xf>
    <xf numFmtId="0" fontId="3" fillId="0" borderId="1" xfId="0" applyFont="1" applyBorder="1" applyAlignment="1">
      <alignment horizontal="center"/>
    </xf>
    <xf numFmtId="0" fontId="14" fillId="0" borderId="1" xfId="0" applyFont="1" applyBorder="1" applyAlignment="1">
      <alignment wrapText="1"/>
    </xf>
    <xf numFmtId="0" fontId="3" fillId="2" borderId="1" xfId="0" applyFont="1" applyFill="1" applyBorder="1" applyAlignment="1">
      <alignment wrapText="1"/>
    </xf>
    <xf numFmtId="0" fontId="3" fillId="0" borderId="1" xfId="0" applyFont="1" applyBorder="1" applyAlignment="1">
      <alignment horizontal="left"/>
    </xf>
    <xf numFmtId="0" fontId="3" fillId="0" borderId="1" xfId="0" applyFont="1" applyBorder="1" applyAlignment="1">
      <alignment horizontal="left" wrapText="1"/>
    </xf>
    <xf numFmtId="0" fontId="3" fillId="0" borderId="1" xfId="3" applyFont="1" applyBorder="1" applyAlignment="1">
      <alignment vertical="top" wrapText="1"/>
    </xf>
    <xf numFmtId="0" fontId="3" fillId="6" borderId="0" xfId="0" applyFont="1" applyFill="1" applyAlignment="1">
      <alignment horizontal="center"/>
    </xf>
    <xf numFmtId="0" fontId="5" fillId="2" borderId="42" xfId="0" applyFont="1" applyFill="1" applyBorder="1" applyAlignment="1">
      <alignment horizontal="center"/>
    </xf>
    <xf numFmtId="0" fontId="5" fillId="2" borderId="43" xfId="0" applyFont="1" applyFill="1" applyBorder="1" applyAlignment="1">
      <alignment horizontal="center"/>
    </xf>
    <xf numFmtId="49" fontId="5" fillId="0" borderId="28" xfId="0" applyNumberFormat="1" applyFont="1" applyBorder="1" applyAlignment="1">
      <alignment horizontal="center" wrapText="1"/>
    </xf>
    <xf numFmtId="0" fontId="5" fillId="0" borderId="37" xfId="0" applyFont="1" applyBorder="1" applyAlignment="1">
      <alignment horizontal="center" wrapText="1"/>
    </xf>
    <xf numFmtId="0" fontId="17" fillId="6" borderId="0" xfId="0" applyFont="1" applyFill="1" applyAlignment="1">
      <alignment horizontal="center"/>
    </xf>
    <xf numFmtId="49" fontId="17" fillId="0" borderId="26" xfId="0" applyNumberFormat="1" applyFont="1" applyBorder="1" applyAlignment="1">
      <alignment horizontal="center" wrapText="1"/>
    </xf>
    <xf numFmtId="0" fontId="31" fillId="0" borderId="38" xfId="0" applyFont="1" applyBorder="1" applyAlignment="1">
      <alignment horizontal="center" wrapText="1"/>
    </xf>
    <xf numFmtId="49" fontId="3" fillId="0" borderId="5" xfId="0" applyNumberFormat="1" applyFont="1" applyBorder="1" applyAlignment="1">
      <alignment horizontal="center" wrapText="1"/>
    </xf>
    <xf numFmtId="0" fontId="13" fillId="0" borderId="39" xfId="0" applyFont="1" applyBorder="1" applyAlignment="1">
      <alignment horizontal="left" wrapText="1"/>
    </xf>
    <xf numFmtId="49" fontId="17" fillId="0" borderId="5" xfId="0" applyNumberFormat="1" applyFont="1" applyBorder="1" applyAlignment="1">
      <alignment horizontal="center" wrapText="1"/>
    </xf>
    <xf numFmtId="0" fontId="31" fillId="0" borderId="39" xfId="0" applyFont="1" applyBorder="1" applyAlignment="1">
      <alignment horizontal="center" wrapText="1"/>
    </xf>
    <xf numFmtId="49" fontId="3" fillId="0" borderId="27" xfId="0" applyNumberFormat="1" applyFont="1" applyBorder="1" applyAlignment="1">
      <alignment horizontal="center" wrapText="1"/>
    </xf>
    <xf numFmtId="0" fontId="13" fillId="0" borderId="35" xfId="0" applyFont="1" applyBorder="1" applyAlignment="1">
      <alignment horizontal="center" wrapText="1"/>
    </xf>
    <xf numFmtId="0" fontId="11" fillId="0" borderId="37" xfId="0" applyFont="1" applyBorder="1" applyAlignment="1">
      <alignment horizontal="center" wrapText="1"/>
    </xf>
    <xf numFmtId="0" fontId="13" fillId="0" borderId="35" xfId="0" applyFont="1" applyBorder="1" applyAlignment="1">
      <alignment horizontal="left" wrapText="1"/>
    </xf>
    <xf numFmtId="0" fontId="31" fillId="0" borderId="35" xfId="0" applyFont="1" applyBorder="1" applyAlignment="1">
      <alignment horizontal="center" wrapText="1"/>
    </xf>
    <xf numFmtId="49" fontId="3" fillId="0" borderId="46" xfId="0" applyNumberFormat="1" applyFont="1" applyBorder="1" applyAlignment="1">
      <alignment horizontal="center" wrapText="1"/>
    </xf>
    <xf numFmtId="0" fontId="13" fillId="0" borderId="48" xfId="0" applyFont="1" applyBorder="1" applyAlignment="1">
      <alignment horizontal="left" wrapText="1"/>
    </xf>
    <xf numFmtId="49" fontId="3" fillId="0" borderId="26" xfId="0" applyNumberFormat="1" applyFont="1" applyBorder="1" applyAlignment="1">
      <alignment horizontal="center" wrapText="1"/>
    </xf>
    <xf numFmtId="49" fontId="3" fillId="0" borderId="1" xfId="0" applyNumberFormat="1" applyFont="1" applyBorder="1" applyAlignment="1">
      <alignment horizontal="center" wrapText="1"/>
    </xf>
    <xf numFmtId="0" fontId="13" fillId="0" borderId="1" xfId="0" applyFont="1" applyBorder="1" applyAlignment="1">
      <alignment horizontal="left" wrapText="1"/>
    </xf>
    <xf numFmtId="0" fontId="17" fillId="0" borderId="35" xfId="0" applyFont="1" applyBorder="1" applyAlignment="1">
      <alignment horizontal="center" wrapText="1"/>
    </xf>
    <xf numFmtId="0" fontId="3" fillId="0" borderId="35" xfId="0" applyFont="1" applyBorder="1" applyAlignment="1">
      <alignment horizontal="left" wrapText="1"/>
    </xf>
    <xf numFmtId="49" fontId="3" fillId="0" borderId="29" xfId="0" applyNumberFormat="1" applyFont="1" applyBorder="1" applyAlignment="1">
      <alignment horizontal="center" wrapText="1"/>
    </xf>
    <xf numFmtId="0" fontId="13" fillId="0" borderId="41" xfId="0" applyFont="1" applyBorder="1" applyAlignment="1">
      <alignment horizontal="left" wrapText="1"/>
    </xf>
    <xf numFmtId="49" fontId="5" fillId="2" borderId="28" xfId="0" applyNumberFormat="1" applyFont="1" applyFill="1" applyBorder="1" applyAlignment="1">
      <alignment horizontal="center" wrapText="1"/>
    </xf>
    <xf numFmtId="0" fontId="11" fillId="2" borderId="37" xfId="0" applyFont="1" applyFill="1" applyBorder="1" applyAlignment="1">
      <alignment horizontal="center" wrapText="1"/>
    </xf>
    <xf numFmtId="49" fontId="17" fillId="2" borderId="26" xfId="0" applyNumberFormat="1" applyFont="1" applyFill="1" applyBorder="1" applyAlignment="1">
      <alignment horizontal="center" wrapText="1"/>
    </xf>
    <xf numFmtId="0" fontId="31" fillId="2" borderId="38" xfId="0" applyFont="1" applyFill="1" applyBorder="1" applyAlignment="1">
      <alignment horizontal="center" wrapText="1"/>
    </xf>
    <xf numFmtId="49" fontId="3" fillId="2" borderId="5" xfId="0" applyNumberFormat="1" applyFont="1" applyFill="1" applyBorder="1" applyAlignment="1">
      <alignment horizontal="center" wrapText="1"/>
    </xf>
    <xf numFmtId="0" fontId="13" fillId="2" borderId="39" xfId="0" applyFont="1" applyFill="1" applyBorder="1" applyAlignment="1">
      <alignment horizontal="left" wrapText="1"/>
    </xf>
    <xf numFmtId="49" fontId="17" fillId="2" borderId="5" xfId="0" applyNumberFormat="1" applyFont="1" applyFill="1" applyBorder="1" applyAlignment="1">
      <alignment horizontal="center" wrapText="1"/>
    </xf>
    <xf numFmtId="0" fontId="31" fillId="2" borderId="39" xfId="0" applyFont="1" applyFill="1" applyBorder="1" applyAlignment="1">
      <alignment horizontal="center" wrapText="1"/>
    </xf>
    <xf numFmtId="0" fontId="3" fillId="2" borderId="39" xfId="3" applyFont="1" applyFill="1" applyBorder="1" applyAlignment="1">
      <alignment horizontal="left" wrapText="1"/>
    </xf>
    <xf numFmtId="49" fontId="3" fillId="2" borderId="27" xfId="0" applyNumberFormat="1" applyFont="1" applyFill="1" applyBorder="1" applyAlignment="1">
      <alignment horizontal="center" wrapText="1"/>
    </xf>
    <xf numFmtId="0" fontId="13" fillId="2" borderId="35" xfId="0" applyFont="1" applyFill="1" applyBorder="1" applyAlignment="1">
      <alignment horizontal="left" wrapText="1"/>
    </xf>
    <xf numFmtId="0" fontId="13" fillId="0" borderId="41" xfId="0" applyFont="1" applyBorder="1" applyAlignment="1">
      <alignment horizontal="center" wrapText="1"/>
    </xf>
    <xf numFmtId="0" fontId="13" fillId="0" borderId="39" xfId="0" applyFont="1" applyBorder="1" applyAlignment="1">
      <alignment horizontal="center" wrapText="1"/>
    </xf>
    <xf numFmtId="168" fontId="5" fillId="2" borderId="28" xfId="0" applyNumberFormat="1" applyFont="1" applyFill="1" applyBorder="1" applyAlignment="1">
      <alignment horizontal="center" wrapText="1"/>
    </xf>
    <xf numFmtId="0" fontId="5" fillId="2" borderId="37" xfId="0" applyFont="1" applyFill="1" applyBorder="1" applyAlignment="1">
      <alignment horizontal="center" wrapText="1"/>
    </xf>
    <xf numFmtId="0" fontId="17" fillId="2" borderId="38" xfId="0" applyFont="1" applyFill="1" applyBorder="1" applyAlignment="1">
      <alignment horizontal="center" wrapText="1"/>
    </xf>
    <xf numFmtId="0" fontId="3" fillId="2" borderId="39" xfId="0" applyFont="1" applyFill="1" applyBorder="1" applyAlignment="1">
      <alignment horizontal="left" wrapText="1"/>
    </xf>
    <xf numFmtId="0" fontId="17" fillId="2" borderId="39" xfId="0" applyFont="1" applyFill="1" applyBorder="1" applyAlignment="1">
      <alignment horizontal="center" wrapText="1"/>
    </xf>
    <xf numFmtId="49" fontId="17" fillId="2" borderId="27" xfId="0" applyNumberFormat="1" applyFont="1" applyFill="1" applyBorder="1" applyAlignment="1">
      <alignment horizontal="center" wrapText="1"/>
    </xf>
    <xf numFmtId="0" fontId="3" fillId="2" borderId="35" xfId="0" applyFont="1" applyFill="1" applyBorder="1" applyAlignment="1">
      <alignment horizontal="left" wrapText="1"/>
    </xf>
    <xf numFmtId="0" fontId="5" fillId="6" borderId="0" xfId="0" applyFont="1" applyFill="1" applyAlignment="1">
      <alignment horizontal="center"/>
    </xf>
    <xf numFmtId="49" fontId="5" fillId="0" borderId="31" xfId="0" applyNumberFormat="1" applyFont="1" applyBorder="1" applyAlignment="1">
      <alignment horizontal="center" wrapText="1"/>
    </xf>
    <xf numFmtId="0" fontId="11" fillId="0" borderId="45" xfId="0" applyFont="1" applyBorder="1" applyAlignment="1">
      <alignment horizontal="center" vertical="top" wrapText="1"/>
    </xf>
    <xf numFmtId="0" fontId="31" fillId="0" borderId="38" xfId="0" applyFont="1" applyBorder="1" applyAlignment="1">
      <alignment horizontal="center" vertical="top" wrapText="1"/>
    </xf>
    <xf numFmtId="0" fontId="31" fillId="0" borderId="39" xfId="0" applyFont="1" applyBorder="1" applyAlignment="1">
      <alignment horizontal="center" vertical="top" wrapText="1"/>
    </xf>
    <xf numFmtId="0" fontId="3" fillId="0" borderId="39" xfId="0" applyFont="1" applyBorder="1" applyAlignment="1">
      <alignment horizontal="left" vertical="top" wrapText="1"/>
    </xf>
    <xf numFmtId="0" fontId="3" fillId="0" borderId="41" xfId="0" applyFont="1" applyBorder="1" applyAlignment="1">
      <alignment horizontal="left" wrapText="1"/>
    </xf>
    <xf numFmtId="49" fontId="3" fillId="0" borderId="30" xfId="0" applyNumberFormat="1" applyFont="1" applyBorder="1" applyAlignment="1">
      <alignment horizontal="center" wrapText="1"/>
    </xf>
    <xf numFmtId="0" fontId="3" fillId="0" borderId="34" xfId="0" applyFont="1" applyBorder="1" applyAlignment="1">
      <alignment horizontal="left" wrapText="1"/>
    </xf>
    <xf numFmtId="0" fontId="3" fillId="2" borderId="38" xfId="3" applyFont="1" applyFill="1" applyBorder="1" applyAlignment="1">
      <alignment horizontal="left" wrapText="1"/>
    </xf>
    <xf numFmtId="0" fontId="3" fillId="2" borderId="1" xfId="0" applyFont="1" applyFill="1" applyBorder="1" applyAlignment="1">
      <alignment horizontal="left" wrapText="1"/>
    </xf>
    <xf numFmtId="0" fontId="3" fillId="2" borderId="24" xfId="0" applyFont="1" applyFill="1" applyBorder="1" applyAlignment="1">
      <alignment horizontal="left" wrapText="1"/>
    </xf>
    <xf numFmtId="49" fontId="5" fillId="2" borderId="31" xfId="0" applyNumberFormat="1" applyFont="1" applyFill="1" applyBorder="1" applyAlignment="1">
      <alignment horizontal="center" wrapText="1"/>
    </xf>
    <xf numFmtId="0" fontId="3" fillId="2" borderId="14" xfId="0" applyFont="1" applyFill="1" applyBorder="1" applyAlignment="1">
      <alignment horizontal="left"/>
    </xf>
    <xf numFmtId="0" fontId="11" fillId="0" borderId="37" xfId="0" applyFont="1" applyBorder="1" applyAlignment="1">
      <alignment horizontal="center" vertical="top" wrapText="1"/>
    </xf>
    <xf numFmtId="49" fontId="5" fillId="0" borderId="1" xfId="0" applyNumberFormat="1" applyFont="1" applyBorder="1" applyAlignment="1">
      <alignment horizontal="center" wrapText="1"/>
    </xf>
    <xf numFmtId="168" fontId="5" fillId="0" borderId="31" xfId="0" applyNumberFormat="1" applyFont="1" applyBorder="1" applyAlignment="1">
      <alignment horizontal="center" wrapText="1"/>
    </xf>
    <xf numFmtId="0" fontId="5" fillId="0" borderId="45" xfId="0" applyFont="1" applyBorder="1" applyAlignment="1">
      <alignment horizontal="center" wrapText="1"/>
    </xf>
    <xf numFmtId="168" fontId="3" fillId="2" borderId="26" xfId="0" applyNumberFormat="1" applyFont="1" applyFill="1" applyBorder="1" applyAlignment="1">
      <alignment horizontal="center"/>
    </xf>
    <xf numFmtId="0" fontId="3" fillId="2" borderId="38" xfId="0" applyFont="1" applyFill="1" applyBorder="1" applyAlignment="1">
      <alignment horizontal="center"/>
    </xf>
    <xf numFmtId="3" fontId="25" fillId="16" borderId="1" xfId="0" applyNumberFormat="1" applyFont="1" applyFill="1" applyBorder="1" applyAlignment="1">
      <alignment horizontal="right" vertical="center"/>
    </xf>
    <xf numFmtId="3" fontId="22" fillId="0" borderId="1" xfId="0" applyNumberFormat="1" applyFont="1" applyFill="1" applyBorder="1" applyAlignment="1">
      <alignment horizontal="right" vertical="center"/>
    </xf>
    <xf numFmtId="0" fontId="38" fillId="0" borderId="1" xfId="0" applyFont="1" applyBorder="1" applyAlignment="1">
      <alignment wrapText="1"/>
    </xf>
    <xf numFmtId="0" fontId="5" fillId="0" borderId="0" xfId="0" applyFont="1" applyAlignment="1">
      <alignment horizontal="center" vertical="center" wrapText="1"/>
    </xf>
    <xf numFmtId="0" fontId="3" fillId="0" borderId="0" xfId="0" applyFont="1"/>
    <xf numFmtId="3" fontId="25" fillId="17" borderId="1" xfId="0" applyNumberFormat="1" applyFont="1" applyFill="1" applyBorder="1" applyAlignment="1">
      <alignment horizontal="right" vertical="center"/>
    </xf>
    <xf numFmtId="0" fontId="0" fillId="18" borderId="0" xfId="0" applyFill="1"/>
    <xf numFmtId="0" fontId="3" fillId="0" borderId="3" xfId="0" applyFont="1" applyBorder="1" applyAlignment="1">
      <alignment horizontal="left" vertical="top" wrapText="1"/>
    </xf>
    <xf numFmtId="49" fontId="37" fillId="2" borderId="1" xfId="0" applyNumberFormat="1" applyFont="1" applyFill="1" applyBorder="1" applyAlignment="1">
      <alignment horizontal="center" wrapText="1"/>
    </xf>
    <xf numFmtId="0" fontId="0" fillId="0" borderId="0" xfId="0"/>
    <xf numFmtId="0" fontId="0" fillId="0" borderId="0" xfId="0" applyAlignment="1">
      <alignment horizontal="center"/>
    </xf>
    <xf numFmtId="0" fontId="3" fillId="0" borderId="1" xfId="0" applyFont="1" applyBorder="1" applyAlignment="1">
      <alignment horizontal="center" vertical="center" wrapText="1"/>
    </xf>
    <xf numFmtId="3" fontId="25" fillId="21" borderId="1" xfId="0" applyNumberFormat="1" applyFont="1" applyFill="1" applyBorder="1" applyAlignment="1">
      <alignment horizontal="right" vertical="center"/>
    </xf>
    <xf numFmtId="3" fontId="25" fillId="20" borderId="1" xfId="0" applyNumberFormat="1" applyFont="1" applyFill="1" applyBorder="1" applyAlignment="1">
      <alignment horizontal="right" vertical="center"/>
    </xf>
    <xf numFmtId="3" fontId="25" fillId="22" borderId="1" xfId="0" applyNumberFormat="1" applyFont="1" applyFill="1" applyBorder="1" applyAlignment="1">
      <alignment horizontal="right" vertical="center"/>
    </xf>
    <xf numFmtId="0" fontId="0" fillId="22" borderId="0" xfId="0" applyFill="1" applyAlignment="1">
      <alignment horizontal="center"/>
    </xf>
    <xf numFmtId="0" fontId="0" fillId="19" borderId="0" xfId="0" applyFill="1"/>
    <xf numFmtId="0" fontId="6" fillId="22" borderId="0" xfId="0" applyFont="1" applyFill="1" applyAlignment="1">
      <alignment horizontal="center" vertical="center" wrapText="1"/>
    </xf>
    <xf numFmtId="0" fontId="6" fillId="22" borderId="0" xfId="0" applyFont="1" applyFill="1" applyAlignment="1">
      <alignment horizontal="left" vertical="center" wrapText="1"/>
    </xf>
    <xf numFmtId="0" fontId="3" fillId="22" borderId="30" xfId="0" applyFont="1" applyFill="1" applyBorder="1" applyAlignment="1">
      <alignment horizontal="center" vertical="center" wrapText="1"/>
    </xf>
    <xf numFmtId="0" fontId="3" fillId="22" borderId="33" xfId="0" applyFont="1" applyFill="1" applyBorder="1" applyAlignment="1">
      <alignment horizontal="center" vertical="center" wrapText="1"/>
    </xf>
    <xf numFmtId="169" fontId="3" fillId="22" borderId="5" xfId="0" applyNumberFormat="1" applyFont="1" applyFill="1" applyBorder="1" applyAlignment="1">
      <alignment wrapText="1"/>
    </xf>
    <xf numFmtId="3" fontId="2" fillId="22" borderId="1" xfId="0" applyNumberFormat="1" applyFont="1" applyFill="1" applyBorder="1" applyAlignment="1">
      <alignment horizontal="right" vertical="center" wrapText="1"/>
    </xf>
    <xf numFmtId="169" fontId="5" fillId="22" borderId="46" xfId="0" applyNumberFormat="1" applyFont="1" applyFill="1" applyBorder="1" applyAlignment="1">
      <alignment wrapText="1"/>
    </xf>
    <xf numFmtId="3" fontId="33" fillId="22" borderId="47" xfId="0" applyNumberFormat="1" applyFont="1" applyFill="1" applyBorder="1" applyAlignment="1">
      <alignment horizontal="right" vertical="center"/>
    </xf>
    <xf numFmtId="3" fontId="33" fillId="22" borderId="48" xfId="0" applyNumberFormat="1" applyFont="1" applyFill="1" applyBorder="1" applyAlignment="1">
      <alignment horizontal="right" vertical="center"/>
    </xf>
    <xf numFmtId="0" fontId="42" fillId="0" borderId="0" xfId="0" applyFont="1" applyFill="1" applyAlignment="1">
      <alignment horizontal="center" vertical="center" wrapText="1"/>
    </xf>
    <xf numFmtId="0" fontId="42" fillId="0" borderId="0" xfId="0" applyFont="1" applyFill="1" applyAlignment="1">
      <alignment horizontal="left" vertical="center" wrapText="1"/>
    </xf>
    <xf numFmtId="169" fontId="43" fillId="0" borderId="5" xfId="0" applyNumberFormat="1" applyFont="1" applyBorder="1" applyAlignment="1">
      <alignment wrapText="1"/>
    </xf>
    <xf numFmtId="169" fontId="43" fillId="0" borderId="27" xfId="0" applyNumberFormat="1" applyFont="1" applyBorder="1" applyAlignment="1">
      <alignment wrapText="1"/>
    </xf>
    <xf numFmtId="3" fontId="22" fillId="21" borderId="1" xfId="0" applyNumberFormat="1" applyFont="1" applyFill="1" applyBorder="1" applyAlignment="1">
      <alignment horizontal="right" vertical="center"/>
    </xf>
    <xf numFmtId="3" fontId="22" fillId="23" borderId="1" xfId="0" applyNumberFormat="1" applyFont="1" applyFill="1" applyBorder="1" applyAlignment="1">
      <alignment horizontal="right" vertical="center"/>
    </xf>
    <xf numFmtId="49" fontId="47" fillId="2" borderId="28" xfId="0" applyNumberFormat="1" applyFont="1" applyFill="1" applyBorder="1" applyAlignment="1">
      <alignment horizontal="center" wrapText="1"/>
    </xf>
    <xf numFmtId="0" fontId="3" fillId="2" borderId="40" xfId="0" applyFont="1" applyFill="1" applyBorder="1" applyAlignment="1">
      <alignment horizontal="left" wrapText="1"/>
    </xf>
    <xf numFmtId="0" fontId="37" fillId="2" borderId="1" xfId="0" applyFont="1" applyFill="1" applyBorder="1" applyAlignment="1">
      <alignment horizontal="left" wrapText="1"/>
    </xf>
    <xf numFmtId="0" fontId="3" fillId="2" borderId="14" xfId="0" applyFont="1" applyFill="1" applyBorder="1" applyAlignment="1">
      <alignment horizontal="left" wrapText="1"/>
    </xf>
    <xf numFmtId="0" fontId="47" fillId="2" borderId="37" xfId="0" applyFont="1" applyFill="1" applyBorder="1" applyAlignment="1">
      <alignment horizontal="center" wrapText="1"/>
    </xf>
    <xf numFmtId="49" fontId="3" fillId="2" borderId="32" xfId="0" applyNumberFormat="1" applyFont="1" applyFill="1" applyBorder="1" applyAlignment="1">
      <alignment horizontal="center" wrapText="1"/>
    </xf>
    <xf numFmtId="0" fontId="13" fillId="0" borderId="14" xfId="0" applyFont="1" applyBorder="1" applyAlignment="1">
      <alignment horizontal="left" vertical="top" wrapText="1"/>
    </xf>
    <xf numFmtId="0" fontId="13" fillId="0" borderId="32" xfId="0" applyFont="1" applyBorder="1" applyAlignment="1">
      <alignment horizontal="left" vertical="top" wrapText="1"/>
    </xf>
    <xf numFmtId="3" fontId="5" fillId="0" borderId="36" xfId="0" applyNumberFormat="1" applyFont="1" applyBorder="1" applyAlignment="1">
      <alignment horizontal="center" vertical="top" wrapText="1"/>
    </xf>
    <xf numFmtId="49" fontId="3" fillId="2" borderId="32" xfId="0" applyNumberFormat="1" applyFont="1" applyFill="1" applyBorder="1" applyAlignment="1">
      <alignment horizontal="center" vertical="top" wrapText="1"/>
    </xf>
    <xf numFmtId="49" fontId="5" fillId="2" borderId="36" xfId="0" applyNumberFormat="1" applyFont="1" applyFill="1" applyBorder="1" applyAlignment="1">
      <alignment horizontal="center" vertical="top" wrapText="1"/>
    </xf>
    <xf numFmtId="0" fontId="13" fillId="0" borderId="40" xfId="0" applyFont="1" applyBorder="1" applyAlignment="1">
      <alignment horizontal="left" vertical="top" wrapText="1"/>
    </xf>
    <xf numFmtId="49" fontId="3" fillId="2" borderId="40" xfId="0" applyNumberFormat="1" applyFont="1" applyFill="1" applyBorder="1" applyAlignment="1">
      <alignment horizontal="center" vertical="top" wrapText="1"/>
    </xf>
    <xf numFmtId="3" fontId="3" fillId="0" borderId="40" xfId="0" applyNumberFormat="1" applyFont="1" applyBorder="1" applyAlignment="1">
      <alignment horizontal="center" vertical="top" wrapText="1"/>
    </xf>
    <xf numFmtId="3" fontId="3" fillId="0" borderId="47" xfId="0" applyNumberFormat="1" applyFont="1" applyBorder="1" applyAlignment="1">
      <alignment horizontal="right" vertical="top" wrapText="1"/>
    </xf>
    <xf numFmtId="3" fontId="25" fillId="0" borderId="1" xfId="0" applyNumberFormat="1" applyFont="1" applyFill="1" applyBorder="1" applyAlignment="1">
      <alignment horizontal="right" vertical="center"/>
    </xf>
    <xf numFmtId="0" fontId="3" fillId="0" borderId="33" xfId="0" applyFont="1" applyBorder="1" applyAlignment="1">
      <alignment horizontal="center" vertical="center" wrapText="1"/>
    </xf>
    <xf numFmtId="49" fontId="38" fillId="0" borderId="5" xfId="0" applyNumberFormat="1" applyFont="1" applyBorder="1" applyAlignment="1">
      <alignment horizontal="center" wrapText="1"/>
    </xf>
    <xf numFmtId="0" fontId="38" fillId="0" borderId="39" xfId="0" applyFont="1" applyBorder="1" applyAlignment="1">
      <alignment horizontal="left" wrapText="1"/>
    </xf>
    <xf numFmtId="0" fontId="48" fillId="0" borderId="39" xfId="0" applyFont="1" applyBorder="1" applyAlignment="1">
      <alignment horizontal="center" wrapText="1"/>
    </xf>
    <xf numFmtId="49" fontId="5" fillId="0" borderId="44" xfId="0" applyNumberFormat="1" applyFont="1" applyBorder="1" applyAlignment="1">
      <alignment horizontal="center" vertical="center" wrapText="1"/>
    </xf>
    <xf numFmtId="3" fontId="5" fillId="0" borderId="44" xfId="0" applyNumberFormat="1" applyFont="1" applyBorder="1" applyAlignment="1">
      <alignment horizontal="right" vertical="center" wrapText="1"/>
    </xf>
    <xf numFmtId="3" fontId="5" fillId="0" borderId="45" xfId="0" applyNumberFormat="1" applyFont="1" applyBorder="1" applyAlignment="1">
      <alignment horizontal="right" vertical="center" wrapText="1"/>
    </xf>
    <xf numFmtId="49" fontId="17" fillId="0" borderId="6" xfId="0" applyNumberFormat="1" applyFont="1" applyBorder="1" applyAlignment="1">
      <alignment horizontal="left" vertical="top" wrapText="1"/>
    </xf>
    <xf numFmtId="3" fontId="25" fillId="24" borderId="1" xfId="0" applyNumberFormat="1" applyFont="1" applyFill="1" applyBorder="1" applyAlignment="1">
      <alignment horizontal="right" vertical="center"/>
    </xf>
    <xf numFmtId="3" fontId="3" fillId="0" borderId="1" xfId="0" applyNumberFormat="1" applyFont="1" applyBorder="1" applyAlignment="1">
      <alignment vertical="center" wrapText="1"/>
    </xf>
    <xf numFmtId="0" fontId="25" fillId="0" borderId="1" xfId="0" applyFont="1" applyFill="1" applyBorder="1" applyAlignment="1">
      <alignment horizontal="left" vertical="top" wrapText="1" indent="2"/>
    </xf>
    <xf numFmtId="1" fontId="3" fillId="0" borderId="1" xfId="0" applyNumberFormat="1" applyFont="1" applyFill="1" applyBorder="1" applyAlignment="1">
      <alignment horizontal="center" vertical="center" wrapText="1"/>
    </xf>
    <xf numFmtId="166" fontId="3" fillId="0" borderId="1" xfId="0" applyNumberFormat="1" applyFont="1" applyFill="1" applyBorder="1" applyAlignment="1">
      <alignment horizontal="center" vertical="center" wrapText="1"/>
    </xf>
    <xf numFmtId="168" fontId="3" fillId="0" borderId="1" xfId="0" applyNumberFormat="1" applyFont="1" applyFill="1" applyBorder="1" applyAlignment="1">
      <alignment horizontal="center" vertical="center" wrapText="1"/>
    </xf>
    <xf numFmtId="0" fontId="22" fillId="0" borderId="0" xfId="0" applyFont="1" applyFill="1"/>
    <xf numFmtId="3" fontId="22" fillId="16" borderId="1" xfId="0" applyNumberFormat="1" applyFont="1" applyFill="1" applyBorder="1" applyAlignment="1">
      <alignment horizontal="right" vertical="center"/>
    </xf>
    <xf numFmtId="49" fontId="47" fillId="2" borderId="42" xfId="0" applyNumberFormat="1" applyFont="1" applyFill="1" applyBorder="1" applyAlignment="1">
      <alignment horizontal="center" wrapText="1"/>
    </xf>
    <xf numFmtId="0" fontId="11" fillId="0" borderId="43" xfId="0" applyFont="1" applyBorder="1" applyAlignment="1">
      <alignment horizontal="center" vertical="top" wrapText="1"/>
    </xf>
    <xf numFmtId="0" fontId="5" fillId="2" borderId="45" xfId="0" applyFont="1" applyFill="1" applyBorder="1" applyAlignment="1">
      <alignment horizontal="center" wrapText="1"/>
    </xf>
    <xf numFmtId="0" fontId="3" fillId="2" borderId="1" xfId="0" applyFont="1" applyFill="1" applyBorder="1" applyAlignment="1">
      <alignment horizontal="left"/>
    </xf>
    <xf numFmtId="0" fontId="11" fillId="0" borderId="18" xfId="0" applyFont="1" applyBorder="1" applyAlignment="1">
      <alignment horizontal="left" vertical="top" wrapText="1"/>
    </xf>
    <xf numFmtId="0" fontId="11" fillId="0" borderId="9" xfId="0" applyFont="1" applyBorder="1" applyAlignment="1">
      <alignment horizontal="left" vertical="top" wrapText="1"/>
    </xf>
    <xf numFmtId="49" fontId="3" fillId="0" borderId="17" xfId="0" applyNumberFormat="1" applyFont="1" applyBorder="1" applyAlignment="1">
      <alignment horizontal="center" wrapText="1"/>
    </xf>
    <xf numFmtId="0" fontId="13" fillId="0" borderId="15" xfId="0" applyFont="1" applyBorder="1" applyAlignment="1">
      <alignment horizontal="left" wrapText="1"/>
    </xf>
    <xf numFmtId="3" fontId="3" fillId="0" borderId="14" xfId="0" applyNumberFormat="1" applyFont="1" applyBorder="1" applyAlignment="1">
      <alignment horizontal="right" wrapText="1"/>
    </xf>
    <xf numFmtId="3" fontId="3" fillId="0" borderId="35" xfId="0" applyNumberFormat="1" applyFont="1" applyBorder="1" applyAlignment="1">
      <alignment horizontal="right" wrapText="1"/>
    </xf>
    <xf numFmtId="0" fontId="3" fillId="22" borderId="1" xfId="0" applyFont="1" applyFill="1" applyBorder="1" applyAlignment="1">
      <alignment horizontal="left" vertical="top" wrapText="1"/>
    </xf>
    <xf numFmtId="0" fontId="6" fillId="0" borderId="0" xfId="0" applyFont="1" applyAlignment="1">
      <alignment horizontal="center" vertical="center" wrapText="1"/>
    </xf>
    <xf numFmtId="0" fontId="32" fillId="0" borderId="30" xfId="0" applyFont="1" applyBorder="1" applyAlignment="1">
      <alignment horizontal="center" vertical="center" wrapText="1"/>
    </xf>
    <xf numFmtId="0" fontId="32" fillId="0" borderId="33" xfId="0" applyFont="1" applyBorder="1" applyAlignment="1">
      <alignment horizontal="center" vertical="center" wrapText="1"/>
    </xf>
    <xf numFmtId="169" fontId="32" fillId="0" borderId="5" xfId="0" applyNumberFormat="1" applyFont="1" applyBorder="1" applyAlignment="1">
      <alignment wrapText="1"/>
    </xf>
    <xf numFmtId="3" fontId="32" fillId="0" borderId="1" xfId="0" applyNumberFormat="1" applyFont="1" applyBorder="1" applyAlignment="1">
      <alignment horizontal="right" vertical="center" wrapText="1"/>
    </xf>
    <xf numFmtId="3" fontId="32" fillId="0" borderId="39" xfId="0" applyNumberFormat="1" applyFont="1" applyBorder="1" applyAlignment="1">
      <alignment horizontal="right" vertical="center"/>
    </xf>
    <xf numFmtId="169" fontId="6" fillId="0" borderId="46" xfId="0" applyNumberFormat="1" applyFont="1" applyBorder="1" applyAlignment="1">
      <alignment wrapText="1"/>
    </xf>
    <xf numFmtId="3" fontId="6" fillId="0" borderId="47" xfId="0" applyNumberFormat="1" applyFont="1" applyBorder="1" applyAlignment="1">
      <alignment horizontal="right" vertical="center"/>
    </xf>
    <xf numFmtId="3" fontId="6" fillId="0" borderId="48" xfId="0" applyNumberFormat="1" applyFont="1" applyBorder="1" applyAlignment="1">
      <alignment horizontal="right" vertical="center"/>
    </xf>
    <xf numFmtId="0" fontId="5" fillId="0" borderId="51" xfId="0" applyFont="1" applyBorder="1" applyAlignment="1">
      <alignment wrapText="1"/>
    </xf>
    <xf numFmtId="0" fontId="3" fillId="0" borderId="51" xfId="0" applyFont="1" applyBorder="1" applyAlignment="1">
      <alignment wrapText="1"/>
    </xf>
    <xf numFmtId="0" fontId="3" fillId="0" borderId="51" xfId="0" applyFont="1" applyBorder="1" applyAlignment="1">
      <alignment vertical="top" wrapText="1"/>
    </xf>
    <xf numFmtId="0" fontId="3" fillId="0" borderId="1" xfId="0" applyFont="1" applyBorder="1" applyAlignment="1">
      <alignment horizontal="center" vertical="center" wrapText="1"/>
    </xf>
    <xf numFmtId="0" fontId="3" fillId="0" borderId="33" xfId="0" applyFont="1" applyBorder="1" applyAlignment="1">
      <alignment horizontal="center" vertical="center" wrapText="1"/>
    </xf>
    <xf numFmtId="0" fontId="3" fillId="0" borderId="0" xfId="0" applyFont="1"/>
    <xf numFmtId="3" fontId="3" fillId="0" borderId="1" xfId="1" applyNumberFormat="1" applyFont="1" applyBorder="1" applyAlignment="1">
      <alignment horizontal="right" vertical="center"/>
    </xf>
    <xf numFmtId="0" fontId="0" fillId="25" borderId="0" xfId="0" applyFill="1"/>
    <xf numFmtId="0" fontId="4" fillId="22" borderId="0" xfId="0" applyFont="1" applyFill="1" applyAlignment="1">
      <alignment horizontal="center"/>
    </xf>
    <xf numFmtId="0" fontId="3" fillId="22" borderId="0" xfId="0" applyFont="1" applyFill="1" applyAlignment="1">
      <alignment horizontal="left"/>
    </xf>
    <xf numFmtId="0" fontId="3" fillId="22" borderId="0" xfId="0" applyFont="1" applyFill="1" applyAlignment="1">
      <alignment horizontal="center"/>
    </xf>
    <xf numFmtId="49" fontId="15" fillId="22" borderId="1" xfId="0" applyNumberFormat="1" applyFont="1" applyFill="1" applyBorder="1" applyAlignment="1">
      <alignment horizontal="center" vertical="center" textRotation="90"/>
    </xf>
    <xf numFmtId="49" fontId="15" fillId="22" borderId="1" xfId="0" applyNumberFormat="1" applyFont="1" applyFill="1" applyBorder="1" applyAlignment="1">
      <alignment horizontal="center" vertical="center" textRotation="90" wrapText="1"/>
    </xf>
    <xf numFmtId="49" fontId="15" fillId="22" borderId="1" xfId="0" applyNumberFormat="1" applyFont="1" applyFill="1" applyBorder="1" applyAlignment="1">
      <alignment horizontal="left" vertical="center" textRotation="90"/>
    </xf>
    <xf numFmtId="49" fontId="7" fillId="22" borderId="1" xfId="0" applyNumberFormat="1" applyFont="1" applyFill="1" applyBorder="1" applyAlignment="1">
      <alignment horizontal="center" vertical="justify"/>
    </xf>
    <xf numFmtId="49" fontId="7" fillId="22" borderId="1" xfId="0" applyNumberFormat="1" applyFont="1" applyFill="1" applyBorder="1" applyAlignment="1">
      <alignment horizontal="center" vertical="justify" wrapText="1"/>
    </xf>
    <xf numFmtId="0" fontId="5" fillId="22" borderId="1" xfId="0" applyFont="1" applyFill="1" applyBorder="1" applyAlignment="1">
      <alignment horizontal="left" vertical="top" wrapText="1"/>
    </xf>
    <xf numFmtId="3" fontId="5" fillId="22" borderId="1" xfId="1" applyNumberFormat="1" applyFont="1" applyFill="1" applyBorder="1" applyAlignment="1">
      <alignment horizontal="right" vertical="center" wrapText="1"/>
    </xf>
    <xf numFmtId="49" fontId="8" fillId="22" borderId="1" xfId="0" applyNumberFormat="1" applyFont="1" applyFill="1" applyBorder="1" applyAlignment="1">
      <alignment horizontal="center" vertical="justify"/>
    </xf>
    <xf numFmtId="49" fontId="8" fillId="22" borderId="1" xfId="0" applyNumberFormat="1" applyFont="1" applyFill="1" applyBorder="1" applyAlignment="1">
      <alignment horizontal="center" vertical="justify" wrapText="1"/>
    </xf>
    <xf numFmtId="3" fontId="3" fillId="22" borderId="1" xfId="1" applyNumberFormat="1" applyFont="1" applyFill="1" applyBorder="1" applyAlignment="1">
      <alignment horizontal="right" vertical="center" wrapText="1"/>
    </xf>
    <xf numFmtId="3" fontId="5" fillId="22" borderId="1" xfId="0" applyNumberFormat="1" applyFont="1" applyFill="1" applyBorder="1" applyAlignment="1">
      <alignment horizontal="right" vertical="center"/>
    </xf>
    <xf numFmtId="49" fontId="16" fillId="22" borderId="1" xfId="0" applyNumberFormat="1" applyFont="1" applyFill="1" applyBorder="1" applyAlignment="1">
      <alignment horizontal="center" vertical="justify"/>
    </xf>
    <xf numFmtId="49" fontId="16" fillId="22" borderId="1" xfId="0" applyNumberFormat="1" applyFont="1" applyFill="1" applyBorder="1" applyAlignment="1">
      <alignment horizontal="center" vertical="justify" wrapText="1"/>
    </xf>
    <xf numFmtId="0" fontId="17" fillId="22" borderId="1" xfId="0" applyFont="1" applyFill="1" applyBorder="1" applyAlignment="1">
      <alignment horizontal="left" vertical="top" wrapText="1"/>
    </xf>
    <xf numFmtId="3" fontId="17" fillId="22" borderId="1" xfId="0" applyNumberFormat="1" applyFont="1" applyFill="1" applyBorder="1" applyAlignment="1">
      <alignment horizontal="right" vertical="center"/>
    </xf>
    <xf numFmtId="3" fontId="17" fillId="22" borderId="1" xfId="1" applyNumberFormat="1" applyFont="1" applyFill="1" applyBorder="1" applyAlignment="1">
      <alignment horizontal="right" vertical="center" wrapText="1"/>
    </xf>
    <xf numFmtId="3" fontId="3" fillId="22" borderId="1" xfId="0" applyNumberFormat="1" applyFont="1" applyFill="1" applyBorder="1" applyAlignment="1">
      <alignment horizontal="right" vertical="center"/>
    </xf>
    <xf numFmtId="49" fontId="10" fillId="22" borderId="1" xfId="0" applyNumberFormat="1" applyFont="1" applyFill="1" applyBorder="1" applyAlignment="1">
      <alignment horizontal="center" vertical="justify" wrapText="1"/>
    </xf>
    <xf numFmtId="0" fontId="11" fillId="22" borderId="1" xfId="0" applyFont="1" applyFill="1" applyBorder="1" applyAlignment="1">
      <alignment horizontal="left" vertical="top" wrapText="1"/>
    </xf>
    <xf numFmtId="49" fontId="12" fillId="22" borderId="1" xfId="0" applyNumberFormat="1" applyFont="1" applyFill="1" applyBorder="1" applyAlignment="1">
      <alignment horizontal="center" vertical="justify" wrapText="1"/>
    </xf>
    <xf numFmtId="0" fontId="13" fillId="22" borderId="1" xfId="0" applyFont="1" applyFill="1" applyBorder="1" applyAlignment="1">
      <alignment horizontal="left" vertical="top" wrapText="1"/>
    </xf>
    <xf numFmtId="0" fontId="3" fillId="22" borderId="1" xfId="4" applyFont="1" applyFill="1" applyBorder="1" applyAlignment="1">
      <alignment horizontal="left" vertical="top" wrapText="1"/>
    </xf>
    <xf numFmtId="0" fontId="8" fillId="22" borderId="1" xfId="0" applyFont="1" applyFill="1" applyBorder="1" applyAlignment="1">
      <alignment horizontal="center" vertical="top"/>
    </xf>
    <xf numFmtId="49" fontId="8" fillId="22" borderId="1" xfId="0" applyNumberFormat="1" applyFont="1" applyFill="1" applyBorder="1" applyAlignment="1">
      <alignment horizontal="center" vertical="top"/>
    </xf>
    <xf numFmtId="3" fontId="18" fillId="22" borderId="1" xfId="0" applyNumberFormat="1" applyFont="1" applyFill="1" applyBorder="1" applyAlignment="1">
      <alignment horizontal="right" vertical="center"/>
    </xf>
    <xf numFmtId="3" fontId="22" fillId="22" borderId="1" xfId="0" applyNumberFormat="1" applyFont="1" applyFill="1" applyBorder="1" applyAlignment="1">
      <alignment horizontal="right" vertical="center"/>
    </xf>
    <xf numFmtId="3" fontId="22" fillId="26" borderId="1" xfId="0" applyNumberFormat="1" applyFont="1" applyFill="1" applyBorder="1" applyAlignment="1">
      <alignment horizontal="right" vertical="center"/>
    </xf>
    <xf numFmtId="3" fontId="22" fillId="27" borderId="1" xfId="0" applyNumberFormat="1" applyFont="1" applyFill="1" applyBorder="1" applyAlignment="1">
      <alignment horizontal="right" vertical="center"/>
    </xf>
    <xf numFmtId="3" fontId="22" fillId="28" borderId="1" xfId="0" applyNumberFormat="1" applyFont="1" applyFill="1" applyBorder="1" applyAlignment="1">
      <alignment horizontal="right" vertical="center"/>
    </xf>
    <xf numFmtId="3" fontId="22" fillId="29" borderId="1" xfId="0" applyNumberFormat="1" applyFont="1" applyFill="1" applyBorder="1" applyAlignment="1">
      <alignment horizontal="right" vertical="center"/>
    </xf>
    <xf numFmtId="3" fontId="25" fillId="28" borderId="1" xfId="0" applyNumberFormat="1" applyFont="1" applyFill="1" applyBorder="1" applyAlignment="1">
      <alignment horizontal="right" vertical="center"/>
    </xf>
    <xf numFmtId="3" fontId="25" fillId="26" borderId="1" xfId="0" applyNumberFormat="1" applyFont="1" applyFill="1" applyBorder="1" applyAlignment="1">
      <alignment horizontal="right" vertical="center"/>
    </xf>
    <xf numFmtId="3" fontId="22" fillId="30" borderId="1" xfId="0" applyNumberFormat="1" applyFont="1" applyFill="1" applyBorder="1" applyAlignment="1">
      <alignment horizontal="right" vertical="center"/>
    </xf>
    <xf numFmtId="3" fontId="3" fillId="22" borderId="1" xfId="0" applyNumberFormat="1" applyFont="1" applyFill="1" applyBorder="1" applyAlignment="1">
      <alignment vertical="center" wrapText="1"/>
    </xf>
    <xf numFmtId="3" fontId="25" fillId="31" borderId="1" xfId="0" applyNumberFormat="1" applyFont="1" applyFill="1" applyBorder="1" applyAlignment="1">
      <alignment horizontal="right" vertical="center"/>
    </xf>
    <xf numFmtId="0" fontId="0" fillId="33" borderId="0" xfId="0" applyFill="1"/>
    <xf numFmtId="0" fontId="3" fillId="32" borderId="0" xfId="0" applyFont="1" applyFill="1" applyAlignment="1" applyProtection="1">
      <alignment wrapText="1"/>
      <protection locked="0"/>
    </xf>
    <xf numFmtId="0" fontId="3" fillId="32" borderId="0" xfId="0" applyFont="1" applyFill="1" applyAlignment="1" applyProtection="1">
      <alignment horizontal="center" wrapText="1"/>
      <protection locked="0"/>
    </xf>
    <xf numFmtId="0" fontId="49" fillId="0" borderId="1" xfId="0" applyFont="1" applyBorder="1" applyAlignment="1">
      <alignment wrapText="1"/>
    </xf>
    <xf numFmtId="3" fontId="51" fillId="0" borderId="1" xfId="0" applyNumberFormat="1" applyFont="1" applyBorder="1" applyAlignment="1">
      <alignment horizontal="right" vertical="center"/>
    </xf>
    <xf numFmtId="3" fontId="51" fillId="22" borderId="1" xfId="0" applyNumberFormat="1" applyFont="1" applyFill="1" applyBorder="1" applyAlignment="1">
      <alignment horizontal="right" vertical="center"/>
    </xf>
    <xf numFmtId="3" fontId="3" fillId="0" borderId="37" xfId="0" applyNumberFormat="1" applyFont="1" applyBorder="1" applyAlignment="1">
      <alignment horizontal="right" vertical="center" wrapText="1"/>
    </xf>
    <xf numFmtId="3" fontId="52" fillId="21" borderId="1" xfId="0" applyNumberFormat="1" applyFont="1" applyFill="1" applyBorder="1" applyAlignment="1">
      <alignment horizontal="right" vertical="center"/>
    </xf>
    <xf numFmtId="168" fontId="3" fillId="22" borderId="1" xfId="0" applyNumberFormat="1" applyFont="1" applyFill="1" applyBorder="1" applyAlignment="1">
      <alignment horizontal="left" vertical="top" wrapText="1"/>
    </xf>
    <xf numFmtId="49" fontId="16" fillId="0" borderId="1" xfId="0" applyNumberFormat="1" applyFont="1" applyBorder="1" applyAlignment="1">
      <alignment horizontal="center" vertical="justify"/>
    </xf>
    <xf numFmtId="49" fontId="16" fillId="0" borderId="1" xfId="0" applyNumberFormat="1" applyFont="1" applyBorder="1" applyAlignment="1">
      <alignment horizontal="center" vertical="justify" wrapText="1"/>
    </xf>
    <xf numFmtId="0" fontId="17" fillId="0" borderId="1" xfId="0" applyFont="1" applyBorder="1" applyAlignment="1">
      <alignment horizontal="left" vertical="top" wrapText="1"/>
    </xf>
    <xf numFmtId="3" fontId="17" fillId="0" borderId="1" xfId="0" applyNumberFormat="1" applyFont="1" applyBorder="1" applyAlignment="1">
      <alignment horizontal="right" vertical="center"/>
    </xf>
    <xf numFmtId="3" fontId="17" fillId="0" borderId="1" xfId="1" applyNumberFormat="1" applyFont="1" applyBorder="1" applyAlignment="1">
      <alignment horizontal="right" vertical="center"/>
    </xf>
    <xf numFmtId="3" fontId="17" fillId="0" borderId="1" xfId="1" applyNumberFormat="1" applyFont="1" applyBorder="1" applyAlignment="1">
      <alignment horizontal="right" vertical="center" wrapText="1"/>
    </xf>
    <xf numFmtId="0" fontId="3" fillId="0" borderId="0" xfId="0" applyFont="1"/>
    <xf numFmtId="0" fontId="3" fillId="0" borderId="32" xfId="0" applyFont="1" applyBorder="1" applyAlignment="1">
      <alignment horizontal="left" vertical="top" wrapText="1"/>
    </xf>
    <xf numFmtId="0" fontId="3" fillId="0" borderId="14" xfId="0" applyFont="1" applyBorder="1" applyAlignment="1">
      <alignment horizontal="left" vertical="top" wrapText="1"/>
    </xf>
    <xf numFmtId="0" fontId="5" fillId="0" borderId="37" xfId="0" applyFont="1" applyBorder="1" applyAlignment="1">
      <alignment horizontal="center" vertical="top" wrapText="1"/>
    </xf>
    <xf numFmtId="0" fontId="5" fillId="2" borderId="37" xfId="0" applyFont="1" applyFill="1" applyBorder="1" applyAlignment="1">
      <alignment horizontal="left" wrapText="1"/>
    </xf>
    <xf numFmtId="0" fontId="3" fillId="2" borderId="32" xfId="0" applyFont="1" applyFill="1" applyBorder="1" applyAlignment="1">
      <alignment horizontal="left" wrapText="1"/>
    </xf>
    <xf numFmtId="49" fontId="5" fillId="2" borderId="1" xfId="0" applyNumberFormat="1" applyFont="1" applyFill="1" applyBorder="1" applyAlignment="1">
      <alignment horizontal="center" wrapText="1"/>
    </xf>
    <xf numFmtId="3" fontId="22" fillId="34" borderId="1" xfId="0" applyNumberFormat="1" applyFont="1" applyFill="1" applyBorder="1" applyAlignment="1">
      <alignment horizontal="right" vertical="center"/>
    </xf>
    <xf numFmtId="3" fontId="25" fillId="35" borderId="1" xfId="0" applyNumberFormat="1" applyFont="1" applyFill="1" applyBorder="1" applyAlignment="1">
      <alignment horizontal="right" vertical="center"/>
    </xf>
    <xf numFmtId="0" fontId="13" fillId="0" borderId="9" xfId="0" applyFont="1" applyBorder="1" applyAlignment="1">
      <alignment horizontal="left" vertical="top" wrapText="1"/>
    </xf>
    <xf numFmtId="3" fontId="49" fillId="22" borderId="1" xfId="1" applyNumberFormat="1" applyFont="1" applyFill="1" applyBorder="1" applyAlignment="1">
      <alignment horizontal="right" vertical="center" wrapText="1"/>
    </xf>
    <xf numFmtId="3" fontId="38" fillId="22" borderId="1" xfId="1" applyNumberFormat="1" applyFont="1" applyFill="1" applyBorder="1" applyAlignment="1">
      <alignment horizontal="right" vertical="center" wrapText="1"/>
    </xf>
    <xf numFmtId="3" fontId="38" fillId="22" borderId="1" xfId="0" applyNumberFormat="1" applyFont="1" applyFill="1" applyBorder="1" applyAlignment="1">
      <alignment horizontal="right" vertical="center"/>
    </xf>
    <xf numFmtId="3" fontId="47" fillId="22" borderId="1" xfId="0" applyNumberFormat="1" applyFont="1" applyFill="1" applyBorder="1" applyAlignment="1">
      <alignment horizontal="right" vertical="center"/>
    </xf>
    <xf numFmtId="3" fontId="47" fillId="22" borderId="1" xfId="1" applyNumberFormat="1" applyFont="1" applyFill="1" applyBorder="1" applyAlignment="1">
      <alignment horizontal="right" vertical="center" wrapText="1"/>
    </xf>
    <xf numFmtId="3" fontId="38" fillId="22" borderId="1" xfId="0" applyNumberFormat="1" applyFont="1" applyFill="1" applyBorder="1" applyAlignment="1">
      <alignment vertical="center"/>
    </xf>
    <xf numFmtId="0" fontId="53" fillId="3" borderId="0" xfId="0" applyFont="1" applyFill="1"/>
    <xf numFmtId="49" fontId="54" fillId="2" borderId="1" xfId="0" applyNumberFormat="1" applyFont="1" applyFill="1" applyBorder="1" applyAlignment="1">
      <alignment horizontal="center" vertical="justify"/>
    </xf>
    <xf numFmtId="49" fontId="54" fillId="2" borderId="1" xfId="0" applyNumberFormat="1" applyFont="1" applyFill="1" applyBorder="1" applyAlignment="1">
      <alignment horizontal="center" vertical="justify" wrapText="1"/>
    </xf>
    <xf numFmtId="0" fontId="38" fillId="2" borderId="1" xfId="0" applyFont="1" applyFill="1" applyBorder="1" applyAlignment="1">
      <alignment horizontal="left" vertical="top" wrapText="1"/>
    </xf>
    <xf numFmtId="3" fontId="38" fillId="0" borderId="3" xfId="0" applyNumberFormat="1" applyFont="1" applyBorder="1"/>
    <xf numFmtId="166" fontId="52" fillId="22" borderId="1" xfId="0" applyNumberFormat="1" applyFont="1" applyFill="1" applyBorder="1" applyAlignment="1">
      <alignment horizontal="center" vertical="center"/>
    </xf>
    <xf numFmtId="168" fontId="52" fillId="22" borderId="1" xfId="0" applyNumberFormat="1" applyFont="1" applyFill="1" applyBorder="1" applyAlignment="1">
      <alignment horizontal="center" vertical="center"/>
    </xf>
    <xf numFmtId="0" fontId="3" fillId="0" borderId="0" xfId="0" applyFont="1"/>
    <xf numFmtId="166" fontId="52" fillId="0" borderId="1" xfId="0" applyNumberFormat="1" applyFont="1" applyBorder="1" applyAlignment="1">
      <alignment horizontal="center" vertical="center"/>
    </xf>
    <xf numFmtId="0" fontId="3" fillId="0" borderId="1" xfId="0" applyFont="1" applyFill="1" applyBorder="1" applyAlignment="1">
      <alignment wrapText="1"/>
    </xf>
    <xf numFmtId="0" fontId="11" fillId="2" borderId="1" xfId="0" applyFont="1" applyFill="1" applyBorder="1" applyAlignment="1">
      <alignment horizontal="center" wrapText="1"/>
    </xf>
    <xf numFmtId="0" fontId="0" fillId="22" borderId="0" xfId="0" applyFill="1"/>
    <xf numFmtId="3" fontId="44" fillId="0" borderId="1" xfId="0" applyNumberFormat="1" applyFont="1" applyBorder="1" applyAlignment="1">
      <alignment horizontal="right" vertical="center"/>
    </xf>
    <xf numFmtId="3" fontId="0" fillId="22" borderId="39" xfId="0" applyNumberFormat="1" applyFill="1" applyBorder="1"/>
    <xf numFmtId="3" fontId="44" fillId="0" borderId="14" xfId="0" applyNumberFormat="1" applyFont="1" applyBorder="1" applyAlignment="1">
      <alignment horizontal="right" vertical="center"/>
    </xf>
    <xf numFmtId="3" fontId="0" fillId="22" borderId="35" xfId="0" applyNumberFormat="1" applyFill="1" applyBorder="1"/>
    <xf numFmtId="169" fontId="45" fillId="0" borderId="28" xfId="0" applyNumberFormat="1" applyFont="1" applyFill="1" applyBorder="1" applyAlignment="1">
      <alignment wrapText="1"/>
    </xf>
    <xf numFmtId="3" fontId="46" fillId="0" borderId="36" xfId="0" applyNumberFormat="1" applyFont="1" applyBorder="1" applyAlignment="1">
      <alignment horizontal="right" vertical="center"/>
    </xf>
    <xf numFmtId="3" fontId="46" fillId="0" borderId="37" xfId="0" applyNumberFormat="1" applyFont="1" applyBorder="1" applyAlignment="1">
      <alignment horizontal="right" vertical="center"/>
    </xf>
    <xf numFmtId="169" fontId="43" fillId="0" borderId="26" xfId="0" applyNumberFormat="1" applyFont="1" applyBorder="1" applyAlignment="1">
      <alignment wrapText="1"/>
    </xf>
    <xf numFmtId="3" fontId="44" fillId="0" borderId="32" xfId="0" applyNumberFormat="1" applyFont="1" applyBorder="1" applyAlignment="1">
      <alignment horizontal="right" vertical="center"/>
    </xf>
    <xf numFmtId="0" fontId="0" fillId="22" borderId="32" xfId="0" applyFill="1" applyBorder="1"/>
    <xf numFmtId="0" fontId="0" fillId="22" borderId="38" xfId="0" applyFill="1" applyBorder="1"/>
    <xf numFmtId="0" fontId="40" fillId="0" borderId="28" xfId="0" applyFont="1" applyBorder="1" applyAlignment="1">
      <alignment horizontal="center" vertical="center" wrapText="1"/>
    </xf>
    <xf numFmtId="0" fontId="38" fillId="0" borderId="36" xfId="0" applyFont="1" applyBorder="1" applyAlignment="1">
      <alignment horizontal="center" vertical="center" wrapText="1"/>
    </xf>
    <xf numFmtId="0" fontId="0" fillId="22" borderId="36" xfId="0" applyFill="1" applyBorder="1"/>
    <xf numFmtId="0" fontId="38" fillId="0" borderId="37" xfId="0" applyFont="1" applyBorder="1" applyAlignment="1">
      <alignment horizontal="center" vertical="center" wrapText="1"/>
    </xf>
    <xf numFmtId="0" fontId="31" fillId="0" borderId="1" xfId="0" applyFont="1" applyBorder="1" applyAlignment="1">
      <alignment horizontal="left" vertical="top" wrapText="1"/>
    </xf>
    <xf numFmtId="0" fontId="3" fillId="0" borderId="0" xfId="0" applyFont="1"/>
    <xf numFmtId="0" fontId="13" fillId="0" borderId="6" xfId="0" applyFont="1" applyBorder="1" applyAlignment="1">
      <alignment horizontal="left" vertical="top" wrapText="1"/>
    </xf>
    <xf numFmtId="0" fontId="11" fillId="0" borderId="11" xfId="0" applyFont="1" applyBorder="1" applyAlignment="1">
      <alignment horizontal="left" vertical="top" wrapText="1"/>
    </xf>
    <xf numFmtId="0" fontId="3" fillId="0" borderId="0" xfId="0" applyFont="1"/>
    <xf numFmtId="49" fontId="3" fillId="0" borderId="1" xfId="0" applyNumberFormat="1" applyFont="1" applyBorder="1" applyAlignment="1">
      <alignment wrapText="1"/>
    </xf>
    <xf numFmtId="0" fontId="25" fillId="0" borderId="1" xfId="0" applyNumberFormat="1" applyFont="1" applyBorder="1" applyAlignment="1">
      <alignment horizontal="left" vertical="top" wrapText="1" indent="2"/>
    </xf>
    <xf numFmtId="169" fontId="5" fillId="0" borderId="0" xfId="0" applyNumberFormat="1" applyFont="1" applyBorder="1" applyAlignment="1">
      <alignment horizontal="left" wrapText="1"/>
    </xf>
    <xf numFmtId="3" fontId="5" fillId="0" borderId="0" xfId="0" applyNumberFormat="1" applyFont="1" applyBorder="1" applyAlignment="1">
      <alignment horizontal="right"/>
    </xf>
    <xf numFmtId="4" fontId="0" fillId="22" borderId="1" xfId="0" applyNumberFormat="1" applyFill="1" applyBorder="1"/>
    <xf numFmtId="4" fontId="0" fillId="22" borderId="14" xfId="0" applyNumberFormat="1" applyFill="1" applyBorder="1"/>
    <xf numFmtId="49" fontId="25" fillId="0" borderId="1" xfId="0" applyNumberFormat="1" applyFont="1" applyBorder="1" applyAlignment="1">
      <alignment horizontal="left" vertical="top" wrapText="1" indent="2"/>
    </xf>
    <xf numFmtId="0" fontId="3" fillId="0" borderId="0" xfId="0" applyFont="1"/>
    <xf numFmtId="0" fontId="22" fillId="0" borderId="1" xfId="0" applyNumberFormat="1" applyFont="1" applyBorder="1" applyAlignment="1">
      <alignment horizontal="center" vertical="center"/>
    </xf>
    <xf numFmtId="3" fontId="56" fillId="22" borderId="1" xfId="0" applyNumberFormat="1" applyFont="1" applyFill="1" applyBorder="1" applyAlignment="1">
      <alignment horizontal="right" vertical="center"/>
    </xf>
    <xf numFmtId="3" fontId="56" fillId="0" borderId="1" xfId="0" applyNumberFormat="1" applyFont="1" applyBorder="1" applyAlignment="1">
      <alignment horizontal="right" vertical="center"/>
    </xf>
    <xf numFmtId="0" fontId="3" fillId="0" borderId="1" xfId="0" applyFont="1" applyBorder="1" applyAlignment="1">
      <alignment horizontal="center" vertical="center" wrapText="1"/>
    </xf>
    <xf numFmtId="0" fontId="3" fillId="0" borderId="33" xfId="0" applyFont="1" applyBorder="1" applyAlignment="1">
      <alignment horizontal="center" vertical="center" wrapText="1"/>
    </xf>
    <xf numFmtId="0" fontId="3" fillId="0" borderId="34" xfId="0" applyFont="1" applyBorder="1" applyAlignment="1">
      <alignment horizontal="center" vertical="center" wrapText="1"/>
    </xf>
    <xf numFmtId="3" fontId="5" fillId="0" borderId="48" xfId="0" applyNumberFormat="1" applyFont="1" applyBorder="1" applyAlignment="1">
      <alignment horizontal="right"/>
    </xf>
    <xf numFmtId="0" fontId="3" fillId="0" borderId="0" xfId="0" applyFont="1"/>
    <xf numFmtId="0" fontId="0" fillId="0" borderId="0" xfId="0"/>
    <xf numFmtId="49" fontId="38" fillId="0" borderId="1" xfId="0" applyNumberFormat="1" applyFont="1" applyBorder="1" applyAlignment="1">
      <alignment wrapText="1"/>
    </xf>
    <xf numFmtId="0" fontId="0" fillId="0" borderId="0" xfId="0" applyFill="1"/>
    <xf numFmtId="0" fontId="0" fillId="22" borderId="52" xfId="0" applyFill="1" applyBorder="1"/>
    <xf numFmtId="0" fontId="38" fillId="0" borderId="43" xfId="0" applyFont="1" applyBorder="1" applyAlignment="1">
      <alignment horizontal="center" vertical="center" wrapText="1"/>
    </xf>
    <xf numFmtId="3" fontId="0" fillId="22" borderId="1" xfId="0" applyNumberFormat="1" applyFill="1" applyBorder="1"/>
    <xf numFmtId="0" fontId="40" fillId="0" borderId="42" xfId="0" applyFont="1" applyBorder="1" applyAlignment="1">
      <alignment horizontal="center" vertical="center" wrapText="1"/>
    </xf>
    <xf numFmtId="0" fontId="38" fillId="0" borderId="52" xfId="0" applyFont="1" applyBorder="1" applyAlignment="1">
      <alignment horizontal="center" vertical="center" wrapText="1"/>
    </xf>
    <xf numFmtId="169" fontId="45" fillId="0" borderId="31" xfId="0" applyNumberFormat="1" applyFont="1" applyFill="1" applyBorder="1" applyAlignment="1">
      <alignment wrapText="1"/>
    </xf>
    <xf numFmtId="3" fontId="46" fillId="0" borderId="45" xfId="0" applyNumberFormat="1" applyFont="1" applyBorder="1" applyAlignment="1">
      <alignment horizontal="right" vertical="center"/>
    </xf>
    <xf numFmtId="169" fontId="43" fillId="0" borderId="1" xfId="0" applyNumberFormat="1" applyFont="1" applyBorder="1" applyAlignment="1">
      <alignment wrapText="1"/>
    </xf>
    <xf numFmtId="3" fontId="57" fillId="22" borderId="1" xfId="0" applyNumberFormat="1" applyFont="1" applyFill="1" applyBorder="1"/>
    <xf numFmtId="0" fontId="57" fillId="22" borderId="1" xfId="0" applyFont="1" applyFill="1" applyBorder="1" applyAlignment="1">
      <alignment horizontal="center"/>
    </xf>
    <xf numFmtId="0" fontId="3" fillId="0" borderId="0" xfId="0" applyFont="1"/>
    <xf numFmtId="0" fontId="3" fillId="0" borderId="33" xfId="0" applyFont="1" applyBorder="1" applyAlignment="1">
      <alignment horizontal="center" vertical="center" wrapText="1"/>
    </xf>
    <xf numFmtId="3" fontId="56" fillId="16" borderId="1" xfId="0" applyNumberFormat="1" applyFont="1" applyFill="1" applyBorder="1" applyAlignment="1">
      <alignment horizontal="right" vertical="center"/>
    </xf>
    <xf numFmtId="3" fontId="5" fillId="0" borderId="36" xfId="0" applyNumberFormat="1" applyFont="1" applyBorder="1"/>
    <xf numFmtId="0" fontId="3" fillId="0" borderId="0" xfId="0" applyFont="1"/>
    <xf numFmtId="3" fontId="3" fillId="0" borderId="0" xfId="0" applyNumberFormat="1" applyFont="1" applyBorder="1" applyAlignment="1">
      <alignment horizontal="right" vertical="center"/>
    </xf>
    <xf numFmtId="0" fontId="38" fillId="0" borderId="21" xfId="6" applyNumberFormat="1" applyFont="1" applyFill="1" applyBorder="1" applyAlignment="1" applyProtection="1">
      <alignment vertical="top" wrapText="1"/>
      <protection hidden="1"/>
    </xf>
    <xf numFmtId="0" fontId="38" fillId="0" borderId="21" xfId="7" applyNumberFormat="1" applyFont="1" applyFill="1" applyBorder="1" applyAlignment="1" applyProtection="1">
      <alignment wrapText="1"/>
      <protection hidden="1"/>
    </xf>
    <xf numFmtId="0" fontId="38" fillId="0" borderId="21" xfId="8" applyNumberFormat="1" applyFont="1" applyFill="1" applyBorder="1" applyAlignment="1" applyProtection="1">
      <alignment vertical="top" wrapText="1"/>
      <protection hidden="1"/>
    </xf>
    <xf numFmtId="3" fontId="3" fillId="0" borderId="53" xfId="0" applyNumberFormat="1" applyFont="1" applyBorder="1" applyAlignment="1">
      <alignment horizontal="right" vertical="center"/>
    </xf>
    <xf numFmtId="0" fontId="38" fillId="0" borderId="21" xfId="10" applyNumberFormat="1" applyFont="1" applyFill="1" applyBorder="1" applyAlignment="1" applyProtection="1">
      <alignment vertical="top" wrapText="1"/>
      <protection hidden="1"/>
    </xf>
    <xf numFmtId="0" fontId="38" fillId="0" borderId="21" xfId="11" applyNumberFormat="1" applyFont="1" applyFill="1" applyBorder="1" applyAlignment="1" applyProtection="1">
      <alignment wrapText="1"/>
      <protection hidden="1"/>
    </xf>
    <xf numFmtId="0" fontId="38" fillId="0" borderId="21" xfId="12" applyNumberFormat="1" applyFont="1" applyFill="1" applyBorder="1" applyAlignment="1" applyProtection="1">
      <alignment vertical="top" wrapText="1"/>
      <protection hidden="1"/>
    </xf>
    <xf numFmtId="0" fontId="38" fillId="0" borderId="21" xfId="13" applyNumberFormat="1" applyFont="1" applyFill="1" applyBorder="1" applyAlignment="1" applyProtection="1">
      <alignment wrapText="1"/>
      <protection hidden="1"/>
    </xf>
    <xf numFmtId="0" fontId="38" fillId="0" borderId="21" xfId="14" applyNumberFormat="1" applyFont="1" applyFill="1" applyBorder="1" applyAlignment="1" applyProtection="1">
      <alignment vertical="top" wrapText="1"/>
      <protection hidden="1"/>
    </xf>
    <xf numFmtId="0" fontId="3" fillId="0" borderId="0" xfId="0" applyFont="1"/>
    <xf numFmtId="0" fontId="38" fillId="0" borderId="21" xfId="15" applyNumberFormat="1" applyFont="1" applyFill="1" applyBorder="1" applyAlignment="1" applyProtection="1">
      <alignment vertical="top" wrapText="1"/>
      <protection hidden="1"/>
    </xf>
    <xf numFmtId="0" fontId="38" fillId="0" borderId="21" xfId="16" applyNumberFormat="1" applyFont="1" applyFill="1" applyBorder="1" applyAlignment="1" applyProtection="1">
      <alignment vertical="top" wrapText="1"/>
      <protection hidden="1"/>
    </xf>
    <xf numFmtId="0" fontId="38" fillId="0" borderId="21" xfId="17" applyNumberFormat="1" applyFont="1" applyFill="1" applyBorder="1" applyAlignment="1" applyProtection="1">
      <alignment vertical="top" wrapText="1"/>
      <protection hidden="1"/>
    </xf>
    <xf numFmtId="0" fontId="38" fillId="0" borderId="21" xfId="18" applyNumberFormat="1" applyFont="1" applyFill="1" applyBorder="1" applyAlignment="1" applyProtection="1">
      <alignment wrapText="1"/>
      <protection hidden="1"/>
    </xf>
    <xf numFmtId="0" fontId="38" fillId="0" borderId="54" xfId="19" applyNumberFormat="1" applyFont="1" applyFill="1" applyBorder="1" applyAlignment="1" applyProtection="1">
      <alignment wrapText="1"/>
      <protection hidden="1"/>
    </xf>
    <xf numFmtId="0" fontId="38" fillId="0" borderId="21" xfId="20" applyNumberFormat="1" applyFont="1" applyFill="1" applyBorder="1" applyAlignment="1" applyProtection="1">
      <alignment vertical="top" wrapText="1"/>
      <protection hidden="1"/>
    </xf>
    <xf numFmtId="0" fontId="3" fillId="0" borderId="0" xfId="0" applyFont="1"/>
    <xf numFmtId="0" fontId="3" fillId="0" borderId="33" xfId="0" applyFont="1" applyBorder="1" applyAlignment="1">
      <alignment horizontal="center" vertical="center" wrapText="1"/>
    </xf>
    <xf numFmtId="0" fontId="3" fillId="0" borderId="0" xfId="0" applyFont="1"/>
    <xf numFmtId="0" fontId="3" fillId="0" borderId="1" xfId="0" applyFont="1" applyBorder="1"/>
    <xf numFmtId="0" fontId="8" fillId="0" borderId="1" xfId="0" applyFont="1" applyBorder="1"/>
    <xf numFmtId="3" fontId="44" fillId="0" borderId="1" xfId="0" applyNumberFormat="1" applyFont="1" applyFill="1" applyBorder="1" applyAlignment="1">
      <alignment horizontal="right" vertical="center" wrapText="1"/>
    </xf>
    <xf numFmtId="3" fontId="44" fillId="0" borderId="14" xfId="0" applyNumberFormat="1" applyFont="1" applyFill="1" applyBorder="1" applyAlignment="1">
      <alignment horizontal="right" vertical="center" wrapText="1"/>
    </xf>
    <xf numFmtId="0" fontId="38" fillId="0" borderId="21" xfId="3" applyNumberFormat="1" applyFont="1" applyFill="1" applyBorder="1" applyAlignment="1" applyProtection="1">
      <alignment vertical="top" wrapText="1"/>
      <protection hidden="1"/>
    </xf>
    <xf numFmtId="3" fontId="52" fillId="0" borderId="1" xfId="0" applyNumberFormat="1" applyFont="1" applyFill="1" applyBorder="1" applyAlignment="1">
      <alignment horizontal="right" vertical="center"/>
    </xf>
    <xf numFmtId="0" fontId="3" fillId="0" borderId="0" xfId="0" applyFont="1"/>
    <xf numFmtId="0" fontId="38" fillId="0" borderId="21" xfId="7" applyNumberFormat="1" applyFont="1" applyFill="1" applyBorder="1" applyAlignment="1" applyProtection="1">
      <alignment vertical="top" wrapText="1"/>
      <protection hidden="1"/>
    </xf>
    <xf numFmtId="0" fontId="58" fillId="5" borderId="0" xfId="0" applyFont="1" applyFill="1"/>
    <xf numFmtId="0" fontId="38" fillId="0" borderId="0" xfId="0" applyFont="1" applyAlignment="1">
      <alignment horizontal="center"/>
    </xf>
    <xf numFmtId="0" fontId="38" fillId="0" borderId="0" xfId="0" applyFont="1"/>
    <xf numFmtId="0" fontId="47" fillId="0" borderId="0" xfId="0" applyFont="1" applyAlignment="1">
      <alignment horizontal="center" vertical="center" wrapText="1"/>
    </xf>
    <xf numFmtId="0" fontId="38" fillId="0" borderId="1" xfId="0" applyFont="1" applyBorder="1" applyAlignment="1">
      <alignment horizontal="center" vertical="center" wrapText="1"/>
    </xf>
    <xf numFmtId="0" fontId="38" fillId="0" borderId="0" xfId="0" applyFont="1" applyAlignment="1">
      <alignment horizontal="center" vertical="center" wrapText="1"/>
    </xf>
    <xf numFmtId="0" fontId="38" fillId="0" borderId="1" xfId="0" applyFont="1" applyBorder="1" applyAlignment="1">
      <alignment horizontal="left" vertical="center" wrapText="1"/>
    </xf>
    <xf numFmtId="169" fontId="38" fillId="0" borderId="1" xfId="0" applyNumberFormat="1" applyFont="1" applyBorder="1" applyAlignment="1">
      <alignment wrapText="1"/>
    </xf>
    <xf numFmtId="3" fontId="38" fillId="0" borderId="0" xfId="0" applyNumberFormat="1" applyFont="1" applyAlignment="1">
      <alignment horizontal="right"/>
    </xf>
    <xf numFmtId="169" fontId="47" fillId="0" borderId="1" xfId="0" applyNumberFormat="1" applyFont="1" applyBorder="1" applyAlignment="1">
      <alignment wrapText="1"/>
    </xf>
    <xf numFmtId="170" fontId="47" fillId="0" borderId="1" xfId="0" applyNumberFormat="1" applyFont="1" applyBorder="1" applyAlignment="1">
      <alignment vertical="center"/>
    </xf>
    <xf numFmtId="170" fontId="47" fillId="0" borderId="0" xfId="0" applyNumberFormat="1" applyFont="1" applyAlignment="1">
      <alignment vertical="center"/>
    </xf>
    <xf numFmtId="0" fontId="58" fillId="36" borderId="0" xfId="0" applyFont="1" applyFill="1"/>
    <xf numFmtId="0" fontId="47" fillId="19" borderId="1" xfId="0" applyFont="1" applyFill="1" applyBorder="1" applyAlignment="1">
      <alignment horizontal="right"/>
    </xf>
    <xf numFmtId="0" fontId="0" fillId="0" borderId="0" xfId="0"/>
    <xf numFmtId="0" fontId="0" fillId="0" borderId="0" xfId="0" applyAlignment="1">
      <alignment horizontal="center"/>
    </xf>
    <xf numFmtId="0" fontId="40" fillId="0" borderId="30" xfId="0" applyFont="1" applyBorder="1" applyAlignment="1">
      <alignment horizontal="center" vertical="center" wrapText="1"/>
    </xf>
    <xf numFmtId="0" fontId="40" fillId="0" borderId="33" xfId="0" applyFont="1" applyBorder="1" applyAlignment="1">
      <alignment horizontal="center" vertical="center" wrapText="1"/>
    </xf>
    <xf numFmtId="0" fontId="38" fillId="0" borderId="34" xfId="0" applyFont="1" applyBorder="1" applyAlignment="1">
      <alignment horizontal="center" vertical="center" wrapText="1"/>
    </xf>
    <xf numFmtId="3" fontId="44" fillId="0" borderId="39" xfId="0" applyNumberFormat="1" applyFont="1" applyBorder="1" applyAlignment="1">
      <alignment horizontal="right" vertical="center"/>
    </xf>
    <xf numFmtId="3" fontId="44" fillId="0" borderId="35" xfId="0" applyNumberFormat="1" applyFont="1" applyBorder="1" applyAlignment="1">
      <alignment horizontal="right" vertical="center"/>
    </xf>
    <xf numFmtId="169" fontId="45" fillId="0" borderId="46" xfId="0" applyNumberFormat="1" applyFont="1" applyFill="1" applyBorder="1" applyAlignment="1">
      <alignment wrapText="1"/>
    </xf>
    <xf numFmtId="3" fontId="46" fillId="0" borderId="48" xfId="0" applyNumberFormat="1" applyFont="1" applyBorder="1" applyAlignment="1">
      <alignment horizontal="right" vertical="center"/>
    </xf>
    <xf numFmtId="0" fontId="8" fillId="18" borderId="0" xfId="0" applyFont="1" applyFill="1"/>
    <xf numFmtId="0" fontId="8" fillId="22" borderId="0" xfId="0" applyFont="1" applyFill="1"/>
    <xf numFmtId="0" fontId="8" fillId="22" borderId="36" xfId="0" applyFont="1" applyFill="1" applyBorder="1"/>
    <xf numFmtId="3" fontId="54" fillId="0" borderId="32" xfId="0" applyNumberFormat="1" applyFont="1" applyBorder="1" applyAlignment="1">
      <alignment horizontal="right" vertical="center"/>
    </xf>
    <xf numFmtId="3" fontId="54" fillId="0" borderId="32" xfId="0" applyNumberFormat="1" applyFont="1" applyFill="1" applyBorder="1" applyAlignment="1">
      <alignment horizontal="right" vertical="center" wrapText="1"/>
    </xf>
    <xf numFmtId="0" fontId="8" fillId="22" borderId="32" xfId="0" applyFont="1" applyFill="1" applyBorder="1"/>
    <xf numFmtId="3" fontId="54" fillId="0" borderId="1" xfId="0" applyNumberFormat="1" applyFont="1" applyBorder="1" applyAlignment="1">
      <alignment horizontal="right" vertical="center"/>
    </xf>
    <xf numFmtId="3" fontId="54" fillId="0" borderId="1" xfId="0" applyNumberFormat="1" applyFont="1" applyFill="1" applyBorder="1" applyAlignment="1">
      <alignment horizontal="right" vertical="center" wrapText="1"/>
    </xf>
    <xf numFmtId="4" fontId="8" fillId="22" borderId="1" xfId="0" applyNumberFormat="1" applyFont="1" applyFill="1" applyBorder="1"/>
    <xf numFmtId="3" fontId="54" fillId="0" borderId="14" xfId="0" applyNumberFormat="1" applyFont="1" applyBorder="1" applyAlignment="1">
      <alignment horizontal="right" vertical="center"/>
    </xf>
    <xf numFmtId="3" fontId="54" fillId="0" borderId="14" xfId="0" applyNumberFormat="1" applyFont="1" applyFill="1" applyBorder="1" applyAlignment="1">
      <alignment horizontal="right" vertical="center" wrapText="1"/>
    </xf>
    <xf numFmtId="4" fontId="8" fillId="22" borderId="14" xfId="0" applyNumberFormat="1" applyFont="1" applyFill="1" applyBorder="1"/>
    <xf numFmtId="3" fontId="59" fillId="0" borderId="36" xfId="0" applyNumberFormat="1" applyFont="1" applyBorder="1" applyAlignment="1">
      <alignment horizontal="right" vertical="center"/>
    </xf>
    <xf numFmtId="4" fontId="59" fillId="0" borderId="36" xfId="0" applyNumberFormat="1" applyFont="1" applyBorder="1" applyAlignment="1">
      <alignment horizontal="right" vertical="center"/>
    </xf>
    <xf numFmtId="0" fontId="59" fillId="0" borderId="0" xfId="0" applyFont="1" applyFill="1" applyAlignment="1">
      <alignment horizontal="center" vertical="center" wrapText="1"/>
    </xf>
    <xf numFmtId="0" fontId="54" fillId="0" borderId="28" xfId="0" applyFont="1" applyBorder="1" applyAlignment="1">
      <alignment horizontal="center" vertical="center" wrapText="1"/>
    </xf>
    <xf numFmtId="0" fontId="54" fillId="0" borderId="36" xfId="0" applyFont="1" applyBorder="1" applyAlignment="1">
      <alignment horizontal="center" vertical="center" wrapText="1"/>
    </xf>
    <xf numFmtId="0" fontId="54" fillId="0" borderId="37" xfId="0" applyFont="1" applyBorder="1" applyAlignment="1">
      <alignment horizontal="center" vertical="center" wrapText="1"/>
    </xf>
    <xf numFmtId="169" fontId="60" fillId="0" borderId="26" xfId="0" applyNumberFormat="1" applyFont="1" applyBorder="1" applyAlignment="1">
      <alignment wrapText="1"/>
    </xf>
    <xf numFmtId="169" fontId="60" fillId="0" borderId="5" xfId="0" applyNumberFormat="1" applyFont="1" applyBorder="1" applyAlignment="1">
      <alignment wrapText="1"/>
    </xf>
    <xf numFmtId="169" fontId="60" fillId="0" borderId="27" xfId="0" applyNumberFormat="1" applyFont="1" applyBorder="1" applyAlignment="1">
      <alignment wrapText="1"/>
    </xf>
    <xf numFmtId="169" fontId="61" fillId="0" borderId="28" xfId="0" applyNumberFormat="1" applyFont="1" applyFill="1" applyBorder="1" applyAlignment="1">
      <alignment wrapText="1"/>
    </xf>
    <xf numFmtId="3" fontId="59" fillId="0" borderId="37" xfId="0" applyNumberFormat="1" applyFont="1" applyBorder="1" applyAlignment="1">
      <alignment horizontal="right" vertical="center"/>
    </xf>
    <xf numFmtId="0" fontId="59" fillId="0" borderId="0" xfId="0" applyFont="1" applyFill="1" applyAlignment="1">
      <alignment horizontal="left" vertical="center" wrapText="1"/>
    </xf>
    <xf numFmtId="0" fontId="7" fillId="22" borderId="1" xfId="0" applyFont="1" applyFill="1" applyBorder="1" applyAlignment="1">
      <alignment horizontal="right"/>
    </xf>
    <xf numFmtId="0" fontId="7" fillId="22" borderId="1" xfId="0" applyFont="1" applyFill="1" applyBorder="1"/>
    <xf numFmtId="3" fontId="7" fillId="22" borderId="1" xfId="0" applyNumberFormat="1" applyFont="1" applyFill="1" applyBorder="1"/>
    <xf numFmtId="0" fontId="8" fillId="0" borderId="33" xfId="0" applyFont="1" applyBorder="1" applyAlignment="1">
      <alignment horizontal="center" vertical="center" wrapText="1"/>
    </xf>
    <xf numFmtId="3" fontId="8" fillId="0" borderId="32" xfId="0" applyNumberFormat="1" applyFont="1" applyBorder="1" applyAlignment="1">
      <alignment horizontal="right" vertical="center" wrapText="1"/>
    </xf>
    <xf numFmtId="3" fontId="8" fillId="0" borderId="1" xfId="0" applyNumberFormat="1" applyFont="1" applyBorder="1" applyAlignment="1">
      <alignment horizontal="right"/>
    </xf>
    <xf numFmtId="3" fontId="7" fillId="0" borderId="47" xfId="0" applyNumberFormat="1" applyFont="1" applyBorder="1" applyAlignment="1">
      <alignment horizontal="right"/>
    </xf>
    <xf numFmtId="169" fontId="7" fillId="0" borderId="0" xfId="0" applyNumberFormat="1" applyFont="1" applyBorder="1" applyAlignment="1">
      <alignment horizontal="left" wrapText="1"/>
    </xf>
    <xf numFmtId="3" fontId="7" fillId="0" borderId="0" xfId="0" applyNumberFormat="1" applyFont="1" applyBorder="1" applyAlignment="1">
      <alignment horizontal="right"/>
    </xf>
    <xf numFmtId="0" fontId="8" fillId="0" borderId="1" xfId="0" applyFont="1" applyBorder="1" applyAlignment="1">
      <alignment horizontal="center" vertical="center" wrapText="1"/>
    </xf>
    <xf numFmtId="3" fontId="7" fillId="0" borderId="1" xfId="0" applyNumberFormat="1" applyFont="1" applyBorder="1" applyAlignment="1">
      <alignment horizontal="right"/>
    </xf>
    <xf numFmtId="0" fontId="8" fillId="0" borderId="34" xfId="0" applyFont="1" applyBorder="1" applyAlignment="1">
      <alignment horizontal="center" vertical="center" wrapText="1"/>
    </xf>
    <xf numFmtId="3" fontId="8" fillId="0" borderId="39" xfId="0" applyNumberFormat="1" applyFont="1" applyBorder="1" applyAlignment="1">
      <alignment horizontal="right"/>
    </xf>
    <xf numFmtId="3" fontId="7" fillId="0" borderId="48" xfId="0" applyNumberFormat="1" applyFont="1" applyBorder="1" applyAlignment="1">
      <alignment horizontal="right"/>
    </xf>
    <xf numFmtId="0" fontId="7" fillId="0" borderId="1" xfId="0" applyFont="1" applyBorder="1"/>
    <xf numFmtId="3" fontId="7" fillId="0" borderId="1" xfId="0" applyNumberFormat="1" applyFont="1" applyBorder="1"/>
    <xf numFmtId="3" fontId="22" fillId="17" borderId="1" xfId="0" applyNumberFormat="1" applyFont="1" applyFill="1" applyBorder="1" applyAlignment="1">
      <alignment horizontal="right" vertical="center"/>
    </xf>
    <xf numFmtId="0" fontId="3" fillId="0" borderId="0" xfId="0" applyFont="1"/>
    <xf numFmtId="3" fontId="22" fillId="37" borderId="1" xfId="0" applyNumberFormat="1" applyFont="1" applyFill="1" applyBorder="1" applyAlignment="1">
      <alignment horizontal="right" vertical="center"/>
    </xf>
    <xf numFmtId="3" fontId="25" fillId="37" borderId="1" xfId="0" applyNumberFormat="1" applyFont="1" applyFill="1" applyBorder="1" applyAlignment="1">
      <alignment horizontal="right" vertical="center"/>
    </xf>
    <xf numFmtId="3" fontId="3" fillId="0" borderId="3" xfId="0" applyNumberFormat="1" applyFont="1" applyBorder="1" applyAlignment="1">
      <alignment horizontal="right" vertical="center" wrapText="1"/>
    </xf>
    <xf numFmtId="3" fontId="5" fillId="0" borderId="3" xfId="0" applyNumberFormat="1" applyFont="1" applyBorder="1" applyAlignment="1">
      <alignment horizontal="right" vertical="center" wrapText="1"/>
    </xf>
    <xf numFmtId="49" fontId="27" fillId="0" borderId="3" xfId="0" applyNumberFormat="1" applyFont="1" applyBorder="1" applyAlignment="1">
      <alignment horizontal="center" vertical="center"/>
    </xf>
    <xf numFmtId="3" fontId="17" fillId="0" borderId="3" xfId="0" applyNumberFormat="1" applyFont="1" applyBorder="1" applyAlignment="1">
      <alignment horizontal="right" vertical="center" wrapText="1"/>
    </xf>
    <xf numFmtId="49" fontId="22" fillId="0" borderId="3" xfId="0" applyNumberFormat="1" applyFont="1" applyBorder="1" applyAlignment="1">
      <alignment horizontal="center" vertical="center"/>
    </xf>
    <xf numFmtId="49" fontId="17" fillId="0" borderId="3" xfId="0" applyNumberFormat="1" applyFont="1" applyBorder="1" applyAlignment="1">
      <alignment horizontal="center" vertical="center" wrapText="1"/>
    </xf>
    <xf numFmtId="49" fontId="3" fillId="0" borderId="3" xfId="0" applyNumberFormat="1" applyFont="1" applyBorder="1" applyAlignment="1">
      <alignment horizontal="center" vertical="center" wrapText="1"/>
    </xf>
    <xf numFmtId="3" fontId="50" fillId="0" borderId="3" xfId="0" applyNumberFormat="1" applyFont="1" applyBorder="1" applyAlignment="1">
      <alignment horizontal="right" vertical="center" wrapText="1"/>
    </xf>
    <xf numFmtId="49" fontId="39" fillId="0" borderId="3" xfId="0" applyNumberFormat="1" applyFont="1" applyBorder="1" applyAlignment="1">
      <alignment horizontal="center" vertical="center" wrapText="1"/>
    </xf>
    <xf numFmtId="49" fontId="17" fillId="0" borderId="26" xfId="0" applyNumberFormat="1" applyFont="1" applyBorder="1" applyAlignment="1">
      <alignment horizontal="center" vertical="center" wrapText="1"/>
    </xf>
    <xf numFmtId="49" fontId="3" fillId="0" borderId="5" xfId="0" applyNumberFormat="1" applyFont="1" applyBorder="1" applyAlignment="1">
      <alignment horizontal="center" vertical="center" wrapText="1"/>
    </xf>
    <xf numFmtId="49" fontId="17" fillId="0" borderId="5" xfId="0" applyNumberFormat="1" applyFont="1" applyBorder="1" applyAlignment="1">
      <alignment horizontal="center" vertical="center" wrapText="1"/>
    </xf>
    <xf numFmtId="49" fontId="3" fillId="0" borderId="26" xfId="0" applyNumberFormat="1" applyFont="1" applyBorder="1" applyAlignment="1">
      <alignment horizontal="center" vertical="center" wrapText="1"/>
    </xf>
    <xf numFmtId="49" fontId="5" fillId="0" borderId="28" xfId="0" applyNumberFormat="1" applyFont="1" applyBorder="1" applyAlignment="1">
      <alignment horizontal="center" vertical="center" wrapText="1"/>
    </xf>
    <xf numFmtId="49" fontId="3" fillId="0" borderId="29" xfId="0" applyNumberFormat="1" applyFont="1" applyBorder="1" applyAlignment="1">
      <alignment horizontal="center" vertical="center" wrapText="1"/>
    </xf>
    <xf numFmtId="49" fontId="3" fillId="0" borderId="30" xfId="0" applyNumberFormat="1" applyFont="1" applyBorder="1" applyAlignment="1">
      <alignment horizontal="center" vertical="center" wrapText="1"/>
    </xf>
    <xf numFmtId="49" fontId="5" fillId="2" borderId="28" xfId="0" applyNumberFormat="1" applyFont="1" applyFill="1" applyBorder="1" applyAlignment="1">
      <alignment horizontal="center" vertical="center" wrapText="1"/>
    </xf>
    <xf numFmtId="49" fontId="17" fillId="2" borderId="26" xfId="0" applyNumberFormat="1" applyFont="1" applyFill="1" applyBorder="1" applyAlignment="1">
      <alignment horizontal="center" vertical="center" wrapText="1"/>
    </xf>
    <xf numFmtId="49" fontId="3" fillId="2" borderId="1" xfId="0" applyNumberFormat="1" applyFont="1" applyFill="1" applyBorder="1" applyAlignment="1">
      <alignment horizontal="center" vertical="center" wrapText="1"/>
    </xf>
    <xf numFmtId="49" fontId="3" fillId="2" borderId="26" xfId="0" applyNumberFormat="1" applyFont="1" applyFill="1" applyBorder="1" applyAlignment="1">
      <alignment horizontal="center" vertical="center" wrapText="1"/>
    </xf>
    <xf numFmtId="3" fontId="3" fillId="0" borderId="8" xfId="0" applyNumberFormat="1" applyFont="1" applyBorder="1" applyAlignment="1">
      <alignment horizontal="right" vertical="center" wrapText="1"/>
    </xf>
    <xf numFmtId="49" fontId="5" fillId="2" borderId="1" xfId="0" applyNumberFormat="1" applyFont="1" applyFill="1" applyBorder="1" applyAlignment="1">
      <alignment horizontal="center" vertical="center" wrapText="1"/>
    </xf>
    <xf numFmtId="3" fontId="5" fillId="0" borderId="13" xfId="0" applyNumberFormat="1" applyFont="1" applyBorder="1" applyAlignment="1">
      <alignment horizontal="right" vertical="center" wrapText="1"/>
    </xf>
    <xf numFmtId="3" fontId="3" fillId="0" borderId="18" xfId="0" applyNumberFormat="1" applyFont="1" applyBorder="1" applyAlignment="1">
      <alignment horizontal="right" vertical="center" wrapText="1"/>
    </xf>
    <xf numFmtId="3" fontId="5" fillId="0" borderId="18" xfId="0" applyNumberFormat="1" applyFont="1" applyBorder="1" applyAlignment="1">
      <alignment horizontal="right" vertical="center" wrapText="1"/>
    </xf>
    <xf numFmtId="49" fontId="17" fillId="2" borderId="1" xfId="0" applyNumberFormat="1" applyFont="1" applyFill="1" applyBorder="1" applyAlignment="1">
      <alignment horizontal="center" vertical="center" wrapText="1"/>
    </xf>
    <xf numFmtId="49" fontId="5" fillId="0" borderId="31" xfId="0" applyNumberFormat="1" applyFont="1" applyBorder="1" applyAlignment="1">
      <alignment horizontal="center" vertical="center" wrapText="1"/>
    </xf>
    <xf numFmtId="3" fontId="5" fillId="0" borderId="9" xfId="0" applyNumberFormat="1" applyFont="1" applyBorder="1" applyAlignment="1">
      <alignment horizontal="right" vertical="center" wrapText="1"/>
    </xf>
    <xf numFmtId="3" fontId="3" fillId="0" borderId="9" xfId="0" applyNumberFormat="1" applyFont="1" applyBorder="1" applyAlignment="1">
      <alignment horizontal="right" vertical="center" wrapText="1"/>
    </xf>
    <xf numFmtId="49" fontId="3" fillId="2" borderId="14" xfId="0" applyNumberFormat="1" applyFont="1" applyFill="1" applyBorder="1" applyAlignment="1">
      <alignment horizontal="center" vertical="center" wrapText="1"/>
    </xf>
    <xf numFmtId="49" fontId="5" fillId="2" borderId="18" xfId="0" applyNumberFormat="1" applyFont="1" applyFill="1" applyBorder="1" applyAlignment="1">
      <alignment horizontal="center" vertical="center" wrapText="1"/>
    </xf>
    <xf numFmtId="49" fontId="5" fillId="2" borderId="4" xfId="0" applyNumberFormat="1" applyFont="1" applyFill="1" applyBorder="1" applyAlignment="1">
      <alignment horizontal="center" vertical="center" wrapText="1"/>
    </xf>
    <xf numFmtId="49" fontId="3" fillId="2" borderId="0" xfId="0" applyNumberFormat="1" applyFont="1" applyFill="1" applyBorder="1" applyAlignment="1">
      <alignment horizontal="center" vertical="center" wrapText="1"/>
    </xf>
    <xf numFmtId="49" fontId="3" fillId="2" borderId="50" xfId="0" applyNumberFormat="1" applyFont="1" applyFill="1" applyBorder="1" applyAlignment="1">
      <alignment horizontal="center" vertical="center" wrapText="1"/>
    </xf>
    <xf numFmtId="49" fontId="47" fillId="2" borderId="42" xfId="0" applyNumberFormat="1" applyFont="1" applyFill="1" applyBorder="1" applyAlignment="1">
      <alignment horizontal="center" vertical="center" wrapText="1"/>
    </xf>
    <xf numFmtId="49" fontId="5" fillId="2" borderId="14" xfId="0" applyNumberFormat="1" applyFont="1" applyFill="1" applyBorder="1" applyAlignment="1">
      <alignment horizontal="center" vertical="center" wrapText="1"/>
    </xf>
    <xf numFmtId="3" fontId="50" fillId="0" borderId="18" xfId="0" applyNumberFormat="1" applyFont="1" applyBorder="1" applyAlignment="1">
      <alignment horizontal="right" vertical="center" wrapText="1"/>
    </xf>
    <xf numFmtId="3" fontId="17" fillId="0" borderId="18" xfId="0" applyNumberFormat="1" applyFont="1" applyBorder="1" applyAlignment="1">
      <alignment horizontal="right" vertical="center" wrapText="1"/>
    </xf>
    <xf numFmtId="168" fontId="5" fillId="0" borderId="3" xfId="0" applyNumberFormat="1" applyFont="1" applyBorder="1" applyAlignment="1">
      <alignment horizontal="right" vertical="center" wrapText="1"/>
    </xf>
    <xf numFmtId="0" fontId="8" fillId="0" borderId="32" xfId="0" applyFont="1" applyBorder="1" applyAlignment="1">
      <alignment horizontal="center" vertical="center" wrapText="1"/>
    </xf>
    <xf numFmtId="0" fontId="8" fillId="0" borderId="38" xfId="0" applyFont="1" applyBorder="1" applyAlignment="1">
      <alignment horizontal="center" vertical="center" wrapText="1"/>
    </xf>
    <xf numFmtId="169" fontId="61" fillId="0" borderId="55" xfId="0" applyNumberFormat="1" applyFont="1" applyFill="1" applyBorder="1" applyAlignment="1">
      <alignment wrapText="1"/>
    </xf>
    <xf numFmtId="3" fontId="59" fillId="0" borderId="40" xfId="0" applyNumberFormat="1" applyFont="1" applyBorder="1" applyAlignment="1">
      <alignment horizontal="right" vertical="center"/>
    </xf>
    <xf numFmtId="4" fontId="59" fillId="0" borderId="40" xfId="0" applyNumberFormat="1" applyFont="1" applyBorder="1" applyAlignment="1">
      <alignment horizontal="right" vertical="center"/>
    </xf>
    <xf numFmtId="3" fontId="59" fillId="0" borderId="51" xfId="0" applyNumberFormat="1" applyFont="1" applyBorder="1" applyAlignment="1">
      <alignment horizontal="right" vertical="center"/>
    </xf>
    <xf numFmtId="0" fontId="3" fillId="0" borderId="0" xfId="0" applyFont="1" applyAlignment="1">
      <alignment horizontal="center"/>
    </xf>
    <xf numFmtId="0" fontId="4" fillId="0" borderId="0" xfId="0" applyFont="1" applyAlignment="1">
      <alignment horizontal="center"/>
    </xf>
    <xf numFmtId="0" fontId="0" fillId="0" borderId="0" xfId="0"/>
    <xf numFmtId="0" fontId="0" fillId="0" borderId="0" xfId="0" applyAlignment="1">
      <alignment wrapText="1"/>
    </xf>
    <xf numFmtId="0" fontId="63" fillId="0" borderId="1" xfId="0" applyFont="1" applyBorder="1" applyAlignment="1">
      <alignment horizontal="center" vertical="top" wrapText="1"/>
    </xf>
    <xf numFmtId="0" fontId="64" fillId="0" borderId="0" xfId="0" applyFont="1" applyBorder="1" applyAlignment="1">
      <alignment wrapText="1"/>
    </xf>
    <xf numFmtId="172" fontId="63" fillId="0" borderId="1" xfId="5" applyNumberFormat="1" applyFont="1" applyBorder="1" applyAlignment="1">
      <alignment horizontal="right" vertical="top" wrapText="1"/>
    </xf>
    <xf numFmtId="0" fontId="65" fillId="0" borderId="0" xfId="0" applyFont="1"/>
    <xf numFmtId="3" fontId="49" fillId="0" borderId="3" xfId="1" applyNumberFormat="1" applyFont="1" applyBorder="1" applyAlignment="1">
      <alignment vertical="center" wrapText="1"/>
    </xf>
    <xf numFmtId="0" fontId="3" fillId="22" borderId="1" xfId="0" applyFont="1" applyFill="1" applyBorder="1" applyAlignment="1">
      <alignment horizontal="center" vertical="center" wrapText="1"/>
    </xf>
    <xf numFmtId="0" fontId="3" fillId="0" borderId="0" xfId="0" applyFont="1"/>
    <xf numFmtId="0" fontId="8" fillId="0" borderId="33" xfId="0" applyFont="1" applyBorder="1" applyAlignment="1">
      <alignment horizontal="center" vertical="center" wrapText="1"/>
    </xf>
    <xf numFmtId="0" fontId="8" fillId="0" borderId="1" xfId="0" applyFont="1" applyBorder="1" applyAlignment="1">
      <alignment horizontal="center" vertical="center" wrapText="1"/>
    </xf>
    <xf numFmtId="0" fontId="38" fillId="0" borderId="1" xfId="9" applyNumberFormat="1" applyFont="1" applyFill="1" applyBorder="1" applyAlignment="1" applyProtection="1">
      <alignment vertical="top" wrapText="1"/>
      <protection hidden="1"/>
    </xf>
    <xf numFmtId="49" fontId="66" fillId="0" borderId="1" xfId="0" applyNumberFormat="1" applyFont="1" applyBorder="1" applyAlignment="1">
      <alignment horizontal="center" vertical="center" textRotation="90"/>
    </xf>
    <xf numFmtId="49" fontId="66" fillId="0" borderId="1" xfId="0" applyNumberFormat="1" applyFont="1" applyBorder="1" applyAlignment="1">
      <alignment horizontal="center" vertical="center" textRotation="90" wrapText="1"/>
    </xf>
    <xf numFmtId="49" fontId="66" fillId="0" borderId="1" xfId="0" applyNumberFormat="1" applyFont="1" applyBorder="1" applyAlignment="1">
      <alignment horizontal="left" vertical="center" textRotation="90"/>
    </xf>
    <xf numFmtId="0" fontId="13" fillId="0" borderId="3" xfId="0" applyFont="1" applyBorder="1" applyAlignment="1">
      <alignment horizontal="center" vertical="center" wrapText="1"/>
    </xf>
    <xf numFmtId="168" fontId="67" fillId="0" borderId="1" xfId="0" applyNumberFormat="1" applyFont="1" applyBorder="1" applyAlignment="1">
      <alignment horizontal="center" vertical="center" wrapText="1"/>
    </xf>
    <xf numFmtId="166" fontId="67" fillId="0" borderId="1" xfId="0" applyNumberFormat="1" applyFont="1" applyBorder="1" applyAlignment="1">
      <alignment horizontal="center" vertical="center" wrapText="1"/>
    </xf>
    <xf numFmtId="3" fontId="38" fillId="0" borderId="1" xfId="0" applyNumberFormat="1" applyFont="1" applyBorder="1" applyAlignment="1">
      <alignment horizontal="right" wrapText="1"/>
    </xf>
    <xf numFmtId="3" fontId="38" fillId="0" borderId="1" xfId="0" applyNumberFormat="1" applyFont="1" applyBorder="1" applyAlignment="1">
      <alignment horizontal="right"/>
    </xf>
    <xf numFmtId="172" fontId="38" fillId="0" borderId="1" xfId="5" applyNumberFormat="1" applyFont="1" applyBorder="1" applyAlignment="1">
      <alignment horizontal="right" vertical="center" wrapText="1"/>
    </xf>
    <xf numFmtId="0" fontId="38" fillId="0" borderId="1" xfId="0" applyFont="1" applyBorder="1" applyAlignment="1">
      <alignment horizontal="right" vertical="center" wrapText="1"/>
    </xf>
    <xf numFmtId="3" fontId="54" fillId="0" borderId="32" xfId="0" applyNumberFormat="1" applyFont="1" applyBorder="1" applyAlignment="1">
      <alignment horizontal="right" vertical="center" wrapText="1"/>
    </xf>
    <xf numFmtId="3" fontId="54" fillId="0" borderId="1" xfId="0" applyNumberFormat="1" applyFont="1" applyBorder="1" applyAlignment="1">
      <alignment horizontal="right"/>
    </xf>
    <xf numFmtId="3" fontId="54" fillId="0" borderId="39" xfId="0" applyNumberFormat="1" applyFont="1" applyBorder="1" applyAlignment="1">
      <alignment horizontal="right"/>
    </xf>
    <xf numFmtId="3" fontId="59" fillId="0" borderId="48" xfId="0" applyNumberFormat="1" applyFont="1" applyBorder="1" applyAlignment="1">
      <alignment horizontal="right"/>
    </xf>
    <xf numFmtId="3" fontId="44" fillId="22" borderId="39" xfId="0" applyNumberFormat="1" applyFont="1" applyFill="1" applyBorder="1" applyAlignment="1">
      <alignment horizontal="right" vertical="center"/>
    </xf>
    <xf numFmtId="3" fontId="54" fillId="22" borderId="39" xfId="0" applyNumberFormat="1" applyFont="1" applyFill="1" applyBorder="1"/>
    <xf numFmtId="3" fontId="54" fillId="22" borderId="35" xfId="0" applyNumberFormat="1" applyFont="1" applyFill="1" applyBorder="1"/>
    <xf numFmtId="3" fontId="54" fillId="22" borderId="38" xfId="0" applyNumberFormat="1" applyFont="1" applyFill="1" applyBorder="1"/>
    <xf numFmtId="0" fontId="63" fillId="0" borderId="1" xfId="0" applyFont="1" applyBorder="1" applyAlignment="1">
      <alignment horizontal="center" vertical="top" wrapText="1"/>
    </xf>
    <xf numFmtId="172" fontId="32" fillId="0" borderId="1" xfId="5" applyNumberFormat="1" applyFont="1" applyBorder="1" applyAlignment="1">
      <alignment horizontal="center" vertical="top" wrapText="1"/>
    </xf>
    <xf numFmtId="172" fontId="63" fillId="0" borderId="1" xfId="5" applyNumberFormat="1" applyFont="1" applyBorder="1" applyAlignment="1">
      <alignment horizontal="center" vertical="top" wrapText="1"/>
    </xf>
    <xf numFmtId="0" fontId="5" fillId="0" borderId="1" xfId="0" applyFont="1" applyBorder="1" applyAlignment="1">
      <alignment horizontal="center" vertical="center" wrapText="1"/>
    </xf>
    <xf numFmtId="0" fontId="3" fillId="0" borderId="1" xfId="0" applyFont="1" applyBorder="1" applyAlignment="1">
      <alignment horizontal="center" vertical="center" wrapText="1"/>
    </xf>
    <xf numFmtId="0" fontId="3" fillId="0" borderId="0" xfId="0" applyFont="1" applyAlignment="1">
      <alignment horizontal="right"/>
    </xf>
    <xf numFmtId="0" fontId="5" fillId="0" borderId="0" xfId="0" applyFont="1" applyAlignment="1">
      <alignment horizontal="center" vertical="center" wrapText="1"/>
    </xf>
    <xf numFmtId="0" fontId="5" fillId="0" borderId="1" xfId="0" applyFont="1" applyBorder="1" applyAlignment="1">
      <alignment horizontal="center" wrapText="1"/>
    </xf>
    <xf numFmtId="0" fontId="4" fillId="22" borderId="0" xfId="0" applyFont="1" applyFill="1" applyAlignment="1">
      <alignment horizontal="center"/>
    </xf>
    <xf numFmtId="0" fontId="3" fillId="22" borderId="0" xfId="0" applyFont="1" applyFill="1" applyAlignment="1">
      <alignment horizontal="right"/>
    </xf>
    <xf numFmtId="0" fontId="3" fillId="22" borderId="1" xfId="0" applyFont="1" applyFill="1" applyBorder="1" applyAlignment="1">
      <alignment horizontal="center" vertical="center" wrapText="1"/>
    </xf>
    <xf numFmtId="0" fontId="5" fillId="22" borderId="0" xfId="0" applyFont="1" applyFill="1" applyAlignment="1">
      <alignment horizontal="center" vertical="center" wrapText="1"/>
    </xf>
    <xf numFmtId="0" fontId="6" fillId="22" borderId="0" xfId="0" applyFont="1" applyFill="1" applyAlignment="1">
      <alignment horizontal="center" vertical="center" wrapText="1"/>
    </xf>
    <xf numFmtId="0" fontId="6" fillId="22" borderId="2" xfId="0" applyFont="1" applyFill="1" applyBorder="1" applyAlignment="1">
      <alignment horizontal="center" vertical="center" wrapText="1"/>
    </xf>
    <xf numFmtId="0" fontId="0" fillId="22" borderId="1" xfId="0" applyFill="1" applyBorder="1" applyAlignment="1">
      <alignment horizontal="center" wrapText="1"/>
    </xf>
    <xf numFmtId="0" fontId="5" fillId="0" borderId="3" xfId="0" applyFont="1" applyBorder="1" applyAlignment="1">
      <alignment horizontal="left"/>
    </xf>
    <xf numFmtId="0" fontId="5" fillId="0" borderId="0" xfId="0" applyFont="1" applyAlignment="1">
      <alignment horizontal="center" wrapText="1"/>
    </xf>
    <xf numFmtId="0" fontId="0" fillId="2" borderId="0" xfId="0" applyFill="1" applyBorder="1" applyAlignment="1">
      <alignment horizontal="center"/>
    </xf>
    <xf numFmtId="0" fontId="3" fillId="0" borderId="3" xfId="0" applyFont="1" applyBorder="1" applyAlignment="1">
      <alignment horizontal="left" vertical="top" wrapText="1"/>
    </xf>
    <xf numFmtId="0" fontId="19" fillId="0" borderId="0" xfId="0" applyFont="1" applyAlignment="1">
      <alignment horizontal="center" vertical="center" wrapText="1"/>
    </xf>
    <xf numFmtId="0" fontId="0" fillId="2" borderId="0" xfId="0" applyFill="1" applyAlignment="1">
      <alignment horizontal="center"/>
    </xf>
    <xf numFmtId="0" fontId="4" fillId="0" borderId="0" xfId="0" applyFont="1" applyAlignment="1">
      <alignment horizontal="right"/>
    </xf>
    <xf numFmtId="0" fontId="5" fillId="0" borderId="0" xfId="0" applyFont="1" applyAlignment="1">
      <alignment horizontal="center"/>
    </xf>
    <xf numFmtId="0" fontId="4" fillId="0" borderId="0" xfId="0" applyFont="1" applyAlignment="1">
      <alignment horizontal="center"/>
    </xf>
    <xf numFmtId="0" fontId="5" fillId="0" borderId="0" xfId="0" applyFont="1" applyAlignment="1">
      <alignment horizontal="center" vertical="justify"/>
    </xf>
    <xf numFmtId="0" fontId="4" fillId="0" borderId="0" xfId="0" applyFont="1" applyAlignment="1">
      <alignment horizontal="center" vertical="justify"/>
    </xf>
    <xf numFmtId="0" fontId="3" fillId="0" borderId="0" xfId="0" applyFont="1" applyAlignment="1">
      <alignment horizontal="center"/>
    </xf>
    <xf numFmtId="0" fontId="3" fillId="0" borderId="0" xfId="0" applyFont="1" applyAlignment="1">
      <alignment horizontal="center" vertical="justify"/>
    </xf>
    <xf numFmtId="0" fontId="3" fillId="0" borderId="4" xfId="0" applyFont="1" applyBorder="1" applyAlignment="1">
      <alignment horizontal="right"/>
    </xf>
    <xf numFmtId="0" fontId="4" fillId="0" borderId="4" xfId="0" applyFont="1" applyBorder="1" applyAlignment="1">
      <alignment horizontal="right"/>
    </xf>
    <xf numFmtId="0" fontId="13" fillId="0" borderId="6"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6" xfId="0" applyFont="1" applyBorder="1" applyAlignment="1">
      <alignment horizontal="center" wrapText="1"/>
    </xf>
    <xf numFmtId="0" fontId="4" fillId="0" borderId="7" xfId="0" applyFont="1" applyBorder="1"/>
    <xf numFmtId="0" fontId="4" fillId="0" borderId="8" xfId="0" applyFont="1" applyBorder="1"/>
    <xf numFmtId="3" fontId="5" fillId="0" borderId="6" xfId="0" applyNumberFormat="1" applyFont="1" applyBorder="1" applyAlignment="1">
      <alignment horizontal="right" wrapText="1"/>
    </xf>
    <xf numFmtId="3" fontId="4" fillId="0" borderId="7" xfId="0" applyNumberFormat="1" applyFont="1" applyBorder="1" applyAlignment="1">
      <alignment horizontal="right"/>
    </xf>
    <xf numFmtId="3" fontId="4" fillId="0" borderId="8" xfId="0" applyNumberFormat="1" applyFont="1" applyBorder="1" applyAlignment="1">
      <alignment horizontal="right"/>
    </xf>
    <xf numFmtId="3" fontId="3" fillId="0" borderId="6" xfId="0" applyNumberFormat="1" applyFont="1" applyBorder="1" applyAlignment="1">
      <alignment horizontal="right" wrapText="1"/>
    </xf>
    <xf numFmtId="3" fontId="13" fillId="0" borderId="6" xfId="0" applyNumberFormat="1" applyFont="1" applyBorder="1" applyAlignment="1">
      <alignment horizontal="right" wrapText="1"/>
    </xf>
    <xf numFmtId="3" fontId="11" fillId="0" borderId="6" xfId="0" applyNumberFormat="1" applyFont="1" applyBorder="1" applyAlignment="1">
      <alignment horizontal="right" wrapText="1"/>
    </xf>
    <xf numFmtId="3" fontId="38" fillId="0" borderId="6" xfId="0" applyNumberFormat="1" applyFont="1" applyBorder="1" applyAlignment="1">
      <alignment horizontal="right" wrapText="1"/>
    </xf>
    <xf numFmtId="3" fontId="55" fillId="0" borderId="7" xfId="0" applyNumberFormat="1" applyFont="1" applyBorder="1" applyAlignment="1">
      <alignment horizontal="right"/>
    </xf>
    <xf numFmtId="3" fontId="55" fillId="0" borderId="8" xfId="0" applyNumberFormat="1" applyFont="1" applyBorder="1" applyAlignment="1">
      <alignment horizontal="right"/>
    </xf>
    <xf numFmtId="0" fontId="3" fillId="0" borderId="12" xfId="0" applyFont="1" applyBorder="1" applyAlignment="1">
      <alignment horizontal="center" vertical="center"/>
    </xf>
    <xf numFmtId="0" fontId="4" fillId="0" borderId="12" xfId="0" applyFont="1" applyBorder="1" applyAlignment="1">
      <alignment horizontal="center" vertical="center"/>
    </xf>
    <xf numFmtId="0" fontId="5" fillId="0" borderId="6" xfId="0" applyFont="1" applyBorder="1" applyAlignment="1">
      <alignment horizontal="center" wrapText="1"/>
    </xf>
    <xf numFmtId="0" fontId="4" fillId="0" borderId="7" xfId="0" applyFont="1" applyBorder="1" applyAlignment="1">
      <alignment horizontal="center"/>
    </xf>
    <xf numFmtId="0" fontId="4" fillId="0" borderId="8" xfId="0" applyFont="1" applyBorder="1" applyAlignment="1">
      <alignment horizontal="center"/>
    </xf>
    <xf numFmtId="3" fontId="38" fillId="0" borderId="6" xfId="0" applyNumberFormat="1" applyFont="1" applyBorder="1" applyAlignment="1">
      <alignment horizontal="right" vertical="center" wrapText="1"/>
    </xf>
    <xf numFmtId="3" fontId="55" fillId="0" borderId="7" xfId="0" applyNumberFormat="1" applyFont="1" applyBorder="1" applyAlignment="1">
      <alignment horizontal="right" vertical="center"/>
    </xf>
    <xf numFmtId="3" fontId="55" fillId="0" borderId="8" xfId="0" applyNumberFormat="1" applyFont="1" applyBorder="1" applyAlignment="1">
      <alignment horizontal="right" vertical="center"/>
    </xf>
    <xf numFmtId="3" fontId="38" fillId="0" borderId="11" xfId="0" applyNumberFormat="1" applyFont="1" applyBorder="1" applyAlignment="1">
      <alignment horizontal="right" vertical="center" wrapText="1"/>
    </xf>
    <xf numFmtId="3" fontId="55" fillId="0" borderId="12" xfId="0" applyNumberFormat="1" applyFont="1" applyBorder="1" applyAlignment="1">
      <alignment horizontal="right" vertical="center"/>
    </xf>
    <xf numFmtId="3" fontId="55" fillId="0" borderId="13" xfId="0" applyNumberFormat="1" applyFont="1" applyBorder="1" applyAlignment="1">
      <alignment horizontal="right" vertical="center"/>
    </xf>
    <xf numFmtId="3" fontId="38" fillId="0" borderId="3" xfId="0" applyNumberFormat="1" applyFont="1" applyBorder="1" applyAlignment="1">
      <alignment horizontal="right" vertical="center" wrapText="1"/>
    </xf>
    <xf numFmtId="3" fontId="55" fillId="0" borderId="3" xfId="0" applyNumberFormat="1" applyFont="1" applyBorder="1" applyAlignment="1">
      <alignment horizontal="right" vertical="center"/>
    </xf>
    <xf numFmtId="3" fontId="3" fillId="0" borderId="3" xfId="0" applyNumberFormat="1" applyFont="1" applyBorder="1" applyAlignment="1">
      <alignment horizontal="right" vertical="center" wrapText="1"/>
    </xf>
    <xf numFmtId="3" fontId="4" fillId="0" borderId="3" xfId="0" applyNumberFormat="1" applyFont="1" applyBorder="1" applyAlignment="1">
      <alignment horizontal="right" vertical="center"/>
    </xf>
    <xf numFmtId="0" fontId="3" fillId="0" borderId="12" xfId="0" applyFont="1" applyBorder="1" applyAlignment="1">
      <alignment horizontal="left" vertical="top" wrapText="1"/>
    </xf>
    <xf numFmtId="0" fontId="3" fillId="0" borderId="4" xfId="0" applyFont="1" applyBorder="1" applyAlignment="1">
      <alignment horizontal="center" wrapText="1"/>
    </xf>
    <xf numFmtId="0" fontId="3" fillId="0" borderId="12" xfId="0" applyFont="1" applyBorder="1" applyAlignment="1">
      <alignment horizontal="justify" shrinkToFit="1"/>
    </xf>
    <xf numFmtId="0" fontId="4" fillId="0" borderId="12" xfId="0" applyFont="1" applyBorder="1" applyAlignment="1">
      <alignment shrinkToFit="1"/>
    </xf>
    <xf numFmtId="0" fontId="13" fillId="0" borderId="18" xfId="0" applyFont="1" applyBorder="1" applyAlignment="1">
      <alignment horizontal="center" wrapText="1"/>
    </xf>
    <xf numFmtId="0" fontId="13" fillId="0" borderId="10" xfId="0" applyFont="1" applyBorder="1" applyAlignment="1">
      <alignment horizontal="center" wrapText="1"/>
    </xf>
    <xf numFmtId="0" fontId="13" fillId="0" borderId="9" xfId="0" applyFont="1" applyBorder="1" applyAlignment="1">
      <alignment horizontal="center" wrapText="1"/>
    </xf>
    <xf numFmtId="0" fontId="13" fillId="0" borderId="7" xfId="0" applyFont="1" applyBorder="1" applyAlignment="1">
      <alignment horizontal="center" wrapText="1"/>
    </xf>
    <xf numFmtId="0" fontId="13" fillId="0" borderId="8" xfId="0" applyFont="1" applyBorder="1" applyAlignment="1">
      <alignment horizontal="center" wrapText="1"/>
    </xf>
    <xf numFmtId="0" fontId="13" fillId="0" borderId="11" xfId="0" applyFont="1" applyBorder="1" applyAlignment="1">
      <alignment horizontal="center" wrapText="1"/>
    </xf>
    <xf numFmtId="0" fontId="13" fillId="0" borderId="13" xfId="0" applyFont="1" applyBorder="1" applyAlignment="1">
      <alignment horizontal="center" wrapText="1"/>
    </xf>
    <xf numFmtId="0" fontId="13" fillId="0" borderId="19" xfId="0" applyFont="1" applyBorder="1" applyAlignment="1">
      <alignment horizontal="center" wrapText="1"/>
    </xf>
    <xf numFmtId="0" fontId="13" fillId="0" borderId="20" xfId="0" applyFont="1" applyBorder="1" applyAlignment="1">
      <alignment horizontal="center" wrapText="1"/>
    </xf>
    <xf numFmtId="0" fontId="5" fillId="0" borderId="24" xfId="0" applyFont="1" applyBorder="1" applyAlignment="1">
      <alignment horizontal="center" vertical="top" wrapText="1"/>
    </xf>
    <xf numFmtId="0" fontId="5" fillId="0" borderId="2" xfId="0" applyFont="1" applyBorder="1" applyAlignment="1">
      <alignment horizontal="center" vertical="top" wrapText="1"/>
    </xf>
    <xf numFmtId="0" fontId="5" fillId="0" borderId="25" xfId="0" applyFont="1" applyBorder="1" applyAlignment="1">
      <alignment horizontal="center" vertical="top" wrapText="1"/>
    </xf>
    <xf numFmtId="0" fontId="5" fillId="0" borderId="21" xfId="0" applyFont="1" applyBorder="1" applyAlignment="1">
      <alignment horizontal="center" wrapText="1"/>
    </xf>
    <xf numFmtId="0" fontId="5" fillId="0" borderId="22" xfId="0" applyFont="1" applyBorder="1" applyAlignment="1">
      <alignment horizontal="center" wrapText="1"/>
    </xf>
    <xf numFmtId="0" fontId="5" fillId="0" borderId="23" xfId="0" applyFont="1" applyBorder="1" applyAlignment="1">
      <alignment horizontal="center" wrapText="1"/>
    </xf>
    <xf numFmtId="0" fontId="5" fillId="0" borderId="21" xfId="0" applyFont="1" applyBorder="1" applyAlignment="1">
      <alignment horizontal="center"/>
    </xf>
    <xf numFmtId="0" fontId="21" fillId="0" borderId="22" xfId="0" applyFont="1" applyBorder="1" applyAlignment="1">
      <alignment horizontal="center"/>
    </xf>
    <xf numFmtId="0" fontId="21" fillId="0" borderId="23" xfId="0" applyFont="1" applyBorder="1" applyAlignment="1">
      <alignment horizontal="center"/>
    </xf>
    <xf numFmtId="0" fontId="5" fillId="0" borderId="1" xfId="0" applyFont="1" applyBorder="1" applyAlignment="1">
      <alignment horizontal="center" vertical="top" wrapText="1"/>
    </xf>
    <xf numFmtId="0" fontId="5" fillId="0" borderId="21" xfId="0" applyFont="1" applyBorder="1" applyAlignment="1">
      <alignment horizontal="center" vertical="top" wrapText="1"/>
    </xf>
    <xf numFmtId="0" fontId="5" fillId="0" borderId="22" xfId="0" applyFont="1" applyBorder="1" applyAlignment="1">
      <alignment horizontal="center" vertical="top" wrapText="1"/>
    </xf>
    <xf numFmtId="0" fontId="5" fillId="0" borderId="23" xfId="0" applyFont="1" applyBorder="1" applyAlignment="1">
      <alignment horizontal="center" vertical="top" wrapText="1"/>
    </xf>
    <xf numFmtId="168" fontId="5" fillId="0" borderId="21" xfId="0" applyNumberFormat="1" applyFont="1" applyBorder="1" applyAlignment="1">
      <alignment horizontal="center" vertical="top" wrapText="1"/>
    </xf>
    <xf numFmtId="168" fontId="5" fillId="0" borderId="22" xfId="0" applyNumberFormat="1" applyFont="1" applyBorder="1" applyAlignment="1">
      <alignment horizontal="center" vertical="top" wrapText="1"/>
    </xf>
    <xf numFmtId="168" fontId="5" fillId="0" borderId="23" xfId="0" applyNumberFormat="1" applyFont="1" applyBorder="1" applyAlignment="1">
      <alignment horizontal="center" vertical="top" wrapText="1"/>
    </xf>
    <xf numFmtId="0" fontId="6" fillId="0" borderId="0" xfId="0" applyFont="1" applyAlignment="1">
      <alignment horizontal="center"/>
    </xf>
    <xf numFmtId="0" fontId="11" fillId="0" borderId="3" xfId="0" applyFont="1" applyBorder="1" applyAlignment="1">
      <alignment horizontal="center" wrapText="1"/>
    </xf>
    <xf numFmtId="0" fontId="5" fillId="0" borderId="3" xfId="0" applyFont="1" applyBorder="1" applyAlignment="1">
      <alignment horizontal="center"/>
    </xf>
    <xf numFmtId="0" fontId="13" fillId="0" borderId="3" xfId="0" applyFont="1" applyBorder="1" applyAlignment="1">
      <alignment horizontal="center" wrapText="1"/>
    </xf>
    <xf numFmtId="0" fontId="3" fillId="0" borderId="3" xfId="0" applyFont="1" applyBorder="1" applyAlignment="1">
      <alignment horizontal="center"/>
    </xf>
    <xf numFmtId="3" fontId="5" fillId="0" borderId="3" xfId="0" applyNumberFormat="1" applyFont="1" applyBorder="1" applyAlignment="1">
      <alignment horizontal="right" wrapText="1"/>
    </xf>
    <xf numFmtId="3" fontId="3" fillId="0" borderId="3" xfId="0" applyNumberFormat="1" applyFont="1" applyBorder="1" applyAlignment="1">
      <alignment horizontal="right"/>
    </xf>
    <xf numFmtId="3" fontId="3" fillId="0" borderId="3" xfId="0" applyNumberFormat="1" applyFont="1" applyBorder="1" applyAlignment="1">
      <alignment horizontal="right" wrapText="1"/>
    </xf>
    <xf numFmtId="3" fontId="13" fillId="0" borderId="3" xfId="0" applyNumberFormat="1" applyFont="1" applyBorder="1" applyAlignment="1">
      <alignment horizontal="right" wrapText="1"/>
    </xf>
    <xf numFmtId="3" fontId="11" fillId="0" borderId="3" xfId="0" applyNumberFormat="1" applyFont="1" applyBorder="1" applyAlignment="1">
      <alignment horizontal="right" wrapText="1"/>
    </xf>
    <xf numFmtId="0" fontId="5" fillId="0" borderId="3" xfId="0" applyFont="1" applyBorder="1" applyAlignment="1">
      <alignment horizontal="center" wrapText="1"/>
    </xf>
    <xf numFmtId="0" fontId="4" fillId="0" borderId="3" xfId="0" applyFont="1" applyBorder="1" applyAlignment="1">
      <alignment horizontal="center"/>
    </xf>
    <xf numFmtId="3" fontId="4" fillId="0" borderId="3" xfId="0" applyNumberFormat="1" applyFont="1" applyBorder="1" applyAlignment="1">
      <alignment horizontal="right"/>
    </xf>
    <xf numFmtId="0" fontId="13" fillId="0" borderId="18" xfId="0" applyFont="1" applyBorder="1" applyAlignment="1">
      <alignment horizontal="right" wrapText="1"/>
    </xf>
    <xf numFmtId="0" fontId="4" fillId="0" borderId="18" xfId="0" applyFont="1" applyBorder="1" applyAlignment="1">
      <alignment horizontal="right"/>
    </xf>
    <xf numFmtId="0" fontId="3" fillId="0" borderId="23" xfId="0" applyFont="1" applyBorder="1" applyAlignment="1">
      <alignment horizontal="center" vertical="top" wrapText="1"/>
    </xf>
    <xf numFmtId="3" fontId="38" fillId="0" borderId="9" xfId="0" applyNumberFormat="1" applyFont="1" applyBorder="1" applyAlignment="1">
      <alignment horizontal="right" wrapText="1"/>
    </xf>
    <xf numFmtId="3" fontId="55" fillId="0" borderId="9" xfId="0" applyNumberFormat="1" applyFont="1" applyBorder="1" applyAlignment="1">
      <alignment horizontal="right"/>
    </xf>
    <xf numFmtId="0" fontId="3" fillId="0" borderId="4" xfId="0" applyFont="1" applyBorder="1" applyAlignment="1">
      <alignment horizontal="center" vertical="justify"/>
    </xf>
    <xf numFmtId="0" fontId="4" fillId="0" borderId="4" xfId="0" applyFont="1" applyBorder="1" applyAlignment="1">
      <alignment horizontal="center" vertical="justify"/>
    </xf>
    <xf numFmtId="0" fontId="5" fillId="0" borderId="0" xfId="0" applyFont="1" applyBorder="1" applyAlignment="1">
      <alignment horizontal="center" vertical="top" wrapText="1"/>
    </xf>
    <xf numFmtId="0" fontId="3" fillId="0" borderId="0" xfId="0" applyFont="1" applyBorder="1" applyAlignment="1">
      <alignment horizontal="right"/>
    </xf>
    <xf numFmtId="0" fontId="4" fillId="0" borderId="0" xfId="0" applyFont="1" applyBorder="1" applyAlignment="1">
      <alignment horizontal="right"/>
    </xf>
    <xf numFmtId="0" fontId="51" fillId="0" borderId="1" xfId="0" applyFont="1" applyBorder="1" applyAlignment="1">
      <alignment horizontal="center" vertical="center" wrapText="1"/>
    </xf>
    <xf numFmtId="0" fontId="25" fillId="0" borderId="1" xfId="0" applyFont="1" applyBorder="1" applyAlignment="1">
      <alignment horizontal="center" vertical="center" wrapText="1"/>
    </xf>
    <xf numFmtId="0" fontId="18" fillId="0" borderId="0" xfId="0" applyFont="1" applyAlignment="1">
      <alignment horizontal="center" wrapText="1"/>
    </xf>
    <xf numFmtId="49" fontId="51" fillId="0" borderId="1" xfId="0" applyNumberFormat="1" applyFont="1" applyBorder="1" applyAlignment="1">
      <alignment horizontal="center" vertical="center" wrapText="1"/>
    </xf>
    <xf numFmtId="168" fontId="67" fillId="0" borderId="1" xfId="0" applyNumberFormat="1" applyFont="1" applyBorder="1" applyAlignment="1">
      <alignment horizontal="center"/>
    </xf>
    <xf numFmtId="0" fontId="0" fillId="2" borderId="2" xfId="0" applyFill="1" applyBorder="1" applyAlignment="1">
      <alignment horizontal="center"/>
    </xf>
    <xf numFmtId="0" fontId="22" fillId="22" borderId="1" xfId="0" applyFont="1" applyFill="1" applyBorder="1" applyAlignment="1">
      <alignment horizontal="center" vertical="center" wrapText="1"/>
    </xf>
    <xf numFmtId="0" fontId="25" fillId="22" borderId="1" xfId="0" applyFont="1" applyFill="1" applyBorder="1" applyAlignment="1">
      <alignment horizontal="center" vertical="center" wrapText="1"/>
    </xf>
    <xf numFmtId="0" fontId="22" fillId="0" borderId="1" xfId="0" applyFont="1" applyBorder="1" applyAlignment="1">
      <alignment horizontal="center" vertical="center" wrapText="1"/>
    </xf>
    <xf numFmtId="49" fontId="22" fillId="0" borderId="1" xfId="0" applyNumberFormat="1" applyFont="1" applyBorder="1" applyAlignment="1">
      <alignment horizontal="center" vertical="center" wrapText="1"/>
    </xf>
    <xf numFmtId="168" fontId="24" fillId="0" borderId="1" xfId="0" applyNumberFormat="1" applyFont="1" applyBorder="1" applyAlignment="1">
      <alignment horizontal="center"/>
    </xf>
    <xf numFmtId="0" fontId="23" fillId="0" borderId="0" xfId="0" applyFont="1" applyAlignment="1">
      <alignment horizontal="center" wrapText="1"/>
    </xf>
    <xf numFmtId="0" fontId="3" fillId="0" borderId="0" xfId="0" applyFont="1" applyAlignment="1">
      <alignment horizontal="right" wrapText="1"/>
    </xf>
    <xf numFmtId="0" fontId="4" fillId="0" borderId="0" xfId="0" applyFont="1" applyAlignment="1">
      <alignment horizontal="center" wrapText="1"/>
    </xf>
    <xf numFmtId="0" fontId="4" fillId="0" borderId="4" xfId="0" applyFont="1" applyBorder="1" applyAlignment="1">
      <alignment horizontal="center" wrapText="1"/>
    </xf>
    <xf numFmtId="0" fontId="0" fillId="0" borderId="3" xfId="0" applyBorder="1" applyAlignment="1">
      <alignment horizontal="center" wrapText="1"/>
    </xf>
    <xf numFmtId="0" fontId="5" fillId="0" borderId="14" xfId="0" applyFont="1" applyBorder="1" applyAlignment="1">
      <alignment horizontal="center" vertical="top" wrapText="1"/>
    </xf>
    <xf numFmtId="0" fontId="5" fillId="0" borderId="32" xfId="0" applyFont="1" applyBorder="1" applyAlignment="1">
      <alignment horizontal="center" vertical="top" wrapText="1"/>
    </xf>
    <xf numFmtId="0" fontId="6" fillId="0" borderId="0" xfId="0" applyFont="1" applyAlignment="1">
      <alignment horizontal="center" wrapText="1"/>
    </xf>
    <xf numFmtId="170" fontId="5" fillId="0" borderId="21" xfId="0" applyNumberFormat="1" applyFont="1" applyBorder="1" applyAlignment="1">
      <alignment horizontal="center" vertical="center"/>
    </xf>
    <xf numFmtId="170" fontId="5" fillId="0" borderId="23" xfId="0" applyNumberFormat="1" applyFont="1" applyBorder="1" applyAlignment="1">
      <alignment horizontal="center" vertical="center"/>
    </xf>
    <xf numFmtId="0" fontId="5" fillId="0" borderId="2"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23" xfId="0" applyFont="1" applyBorder="1" applyAlignment="1">
      <alignment horizontal="center" vertical="center" wrapText="1"/>
    </xf>
    <xf numFmtId="3" fontId="3" fillId="0" borderId="21" xfId="0" applyNumberFormat="1" applyFont="1" applyBorder="1" applyAlignment="1">
      <alignment horizontal="center"/>
    </xf>
    <xf numFmtId="3" fontId="3" fillId="0" borderId="23" xfId="0" applyNumberFormat="1" applyFont="1" applyBorder="1" applyAlignment="1">
      <alignment horizontal="center"/>
    </xf>
    <xf numFmtId="169" fontId="3" fillId="0" borderId="21" xfId="0" applyNumberFormat="1" applyFont="1" applyBorder="1" applyAlignment="1">
      <alignment horizontal="left" wrapText="1"/>
    </xf>
    <xf numFmtId="169" fontId="3" fillId="0" borderId="23" xfId="0" applyNumberFormat="1" applyFont="1" applyBorder="1" applyAlignment="1">
      <alignment horizontal="left" wrapText="1"/>
    </xf>
    <xf numFmtId="169" fontId="5" fillId="0" borderId="21" xfId="0" applyNumberFormat="1" applyFont="1" applyBorder="1" applyAlignment="1">
      <alignment horizontal="left" wrapText="1"/>
    </xf>
    <xf numFmtId="169" fontId="5" fillId="0" borderId="23" xfId="0" applyNumberFormat="1" applyFont="1" applyBorder="1" applyAlignment="1">
      <alignment horizontal="left" wrapText="1"/>
    </xf>
    <xf numFmtId="0" fontId="5" fillId="0" borderId="16" xfId="0" applyFont="1" applyBorder="1" applyAlignment="1">
      <alignment horizontal="center" vertical="center" wrapText="1"/>
    </xf>
    <xf numFmtId="169" fontId="5" fillId="0" borderId="1" xfId="0" applyNumberFormat="1" applyFont="1" applyBorder="1" applyAlignment="1">
      <alignment horizontal="left" wrapText="1"/>
    </xf>
    <xf numFmtId="0" fontId="3" fillId="0" borderId="16" xfId="0" applyFont="1" applyBorder="1"/>
    <xf numFmtId="0" fontId="3" fillId="0" borderId="0" xfId="0" applyFont="1"/>
    <xf numFmtId="0" fontId="32" fillId="0" borderId="0" xfId="0" applyFont="1" applyAlignment="1">
      <alignment horizontal="right"/>
    </xf>
    <xf numFmtId="0" fontId="0" fillId="0" borderId="0" xfId="0" applyAlignment="1">
      <alignment horizontal="right"/>
    </xf>
    <xf numFmtId="0" fontId="0" fillId="0" borderId="0" xfId="0"/>
    <xf numFmtId="0" fontId="0" fillId="0" borderId="0" xfId="0" applyAlignment="1">
      <alignment horizontal="center" wrapText="1"/>
    </xf>
    <xf numFmtId="0" fontId="0" fillId="0" borderId="0" xfId="0" applyAlignment="1">
      <alignment wrapText="1"/>
    </xf>
    <xf numFmtId="0" fontId="34" fillId="0" borderId="34" xfId="0" applyFont="1" applyBorder="1" applyAlignment="1">
      <alignment horizontal="center" wrapText="1"/>
    </xf>
    <xf numFmtId="0" fontId="34" fillId="0" borderId="48" xfId="0" applyFont="1" applyBorder="1" applyAlignment="1">
      <alignment horizontal="center" wrapText="1"/>
    </xf>
    <xf numFmtId="0" fontId="34" fillId="0" borderId="30" xfId="0" applyFont="1" applyBorder="1" applyAlignment="1">
      <alignment horizontal="center" wrapText="1"/>
    </xf>
    <xf numFmtId="0" fontId="34" fillId="0" borderId="46" xfId="0" applyFont="1" applyBorder="1" applyAlignment="1">
      <alignment horizontal="center" wrapText="1"/>
    </xf>
    <xf numFmtId="0" fontId="34" fillId="0" borderId="33" xfId="0" applyFont="1" applyBorder="1" applyAlignment="1">
      <alignment horizontal="center" wrapText="1"/>
    </xf>
    <xf numFmtId="0" fontId="34" fillId="0" borderId="47" xfId="0" applyFont="1" applyBorder="1" applyAlignment="1">
      <alignment horizontal="center" wrapText="1"/>
    </xf>
    <xf numFmtId="0" fontId="34" fillId="0" borderId="18" xfId="0" applyFont="1" applyBorder="1" applyAlignment="1">
      <alignment horizontal="center" wrapText="1"/>
    </xf>
    <xf numFmtId="0" fontId="34" fillId="0" borderId="9" xfId="0" applyFont="1" applyBorder="1" applyAlignment="1">
      <alignment horizontal="center" wrapText="1"/>
    </xf>
    <xf numFmtId="0" fontId="5" fillId="0" borderId="6" xfId="0" applyFont="1" applyBorder="1" applyAlignment="1">
      <alignment horizontal="center"/>
    </xf>
    <xf numFmtId="0" fontId="5" fillId="0" borderId="8" xfId="0" applyFont="1" applyBorder="1" applyAlignment="1">
      <alignment horizontal="center"/>
    </xf>
    <xf numFmtId="0" fontId="5" fillId="0" borderId="18" xfId="0" applyFont="1" applyBorder="1" applyAlignment="1">
      <alignment horizontal="center" wrapText="1"/>
    </xf>
    <xf numFmtId="0" fontId="5" fillId="0" borderId="9" xfId="0" applyFont="1" applyBorder="1" applyAlignment="1">
      <alignment horizontal="center" wrapText="1"/>
    </xf>
    <xf numFmtId="0" fontId="17" fillId="0" borderId="0" xfId="0" applyFont="1" applyAlignment="1">
      <alignment horizontal="left" vertical="center" wrapText="1"/>
    </xf>
    <xf numFmtId="169" fontId="5" fillId="0" borderId="0" xfId="0" applyNumberFormat="1" applyFont="1" applyAlignment="1">
      <alignment horizontal="left" wrapText="1"/>
    </xf>
    <xf numFmtId="0" fontId="3" fillId="0" borderId="0" xfId="0" applyFont="1" applyAlignment="1">
      <alignment vertical="center" wrapText="1"/>
    </xf>
    <xf numFmtId="0" fontId="6" fillId="0" borderId="0" xfId="0" applyFont="1" applyAlignment="1">
      <alignment horizontal="center" vertical="center" wrapText="1"/>
    </xf>
    <xf numFmtId="0" fontId="5" fillId="0" borderId="16" xfId="0" applyFont="1" applyBorder="1" applyAlignment="1">
      <alignment horizontal="left"/>
    </xf>
    <xf numFmtId="0" fontId="5" fillId="0" borderId="17" xfId="0" applyFont="1" applyBorder="1" applyAlignment="1">
      <alignment horizontal="left"/>
    </xf>
    <xf numFmtId="0" fontId="0" fillId="0" borderId="2" xfId="0" applyBorder="1"/>
    <xf numFmtId="0" fontId="3" fillId="0" borderId="14" xfId="0" applyFont="1" applyBorder="1" applyAlignment="1">
      <alignment horizontal="center" vertical="center" wrapText="1"/>
    </xf>
    <xf numFmtId="0" fontId="3" fillId="0" borderId="32" xfId="0" applyFont="1" applyBorder="1" applyAlignment="1">
      <alignment horizontal="center" vertical="center" wrapText="1"/>
    </xf>
    <xf numFmtId="0" fontId="4" fillId="3" borderId="0" xfId="0" applyFont="1" applyFill="1" applyAlignment="1">
      <alignment horizontal="right"/>
    </xf>
    <xf numFmtId="0" fontId="5" fillId="0" borderId="18" xfId="0" applyFont="1" applyBorder="1" applyAlignment="1">
      <alignment horizontal="center" vertical="center" wrapText="1"/>
    </xf>
    <xf numFmtId="0" fontId="5" fillId="0" borderId="9" xfId="0" applyFont="1" applyBorder="1" applyAlignment="1">
      <alignment horizontal="center" vertical="center" wrapText="1"/>
    </xf>
    <xf numFmtId="49" fontId="5" fillId="0" borderId="3" xfId="0" applyNumberFormat="1" applyFont="1" applyBorder="1" applyAlignment="1">
      <alignment horizontal="center" wrapText="1"/>
    </xf>
    <xf numFmtId="0" fontId="0" fillId="0" borderId="9" xfId="0" applyBorder="1" applyAlignment="1">
      <alignment horizontal="center" wrapText="1"/>
    </xf>
    <xf numFmtId="0" fontId="4" fillId="0" borderId="0" xfId="0" applyFont="1" applyBorder="1" applyAlignment="1">
      <alignment horizontal="center"/>
    </xf>
    <xf numFmtId="0" fontId="5" fillId="0" borderId="4" xfId="0" applyFont="1" applyBorder="1" applyAlignment="1">
      <alignment horizontal="center" vertical="center" wrapText="1"/>
    </xf>
    <xf numFmtId="0" fontId="5" fillId="0" borderId="0" xfId="0" applyFont="1" applyBorder="1" applyAlignment="1">
      <alignment horizontal="center" vertical="center" wrapText="1"/>
    </xf>
    <xf numFmtId="0" fontId="3" fillId="0" borderId="30" xfId="0" applyFont="1" applyBorder="1" applyAlignment="1">
      <alignment horizontal="center" vertical="center" wrapText="1"/>
    </xf>
    <xf numFmtId="0" fontId="3" fillId="0" borderId="33" xfId="0" applyFont="1" applyBorder="1" applyAlignment="1">
      <alignment horizontal="center" vertical="center" wrapText="1"/>
    </xf>
    <xf numFmtId="169" fontId="3" fillId="0" borderId="5" xfId="0" applyNumberFormat="1" applyFont="1" applyBorder="1" applyAlignment="1">
      <alignment horizontal="left" wrapText="1"/>
    </xf>
    <xf numFmtId="169" fontId="3" fillId="0" borderId="1" xfId="0" applyNumberFormat="1" applyFont="1" applyBorder="1" applyAlignment="1">
      <alignment horizontal="left" wrapText="1"/>
    </xf>
    <xf numFmtId="169" fontId="5" fillId="0" borderId="46" xfId="0" applyNumberFormat="1" applyFont="1" applyBorder="1" applyAlignment="1">
      <alignment horizontal="left" wrapText="1"/>
    </xf>
    <xf numFmtId="169" fontId="5" fillId="0" borderId="47" xfId="0" applyNumberFormat="1" applyFont="1" applyBorder="1" applyAlignment="1">
      <alignment horizontal="left" wrapText="1"/>
    </xf>
    <xf numFmtId="0" fontId="3" fillId="0" borderId="49" xfId="0" applyFont="1" applyBorder="1" applyAlignment="1">
      <alignment horizontal="left" vertical="center" wrapText="1"/>
    </xf>
    <xf numFmtId="0" fontId="3" fillId="0" borderId="23" xfId="0" applyFont="1" applyBorder="1" applyAlignment="1">
      <alignment horizontal="left" vertical="center" wrapText="1"/>
    </xf>
    <xf numFmtId="0" fontId="5" fillId="0" borderId="28" xfId="0" applyFont="1" applyBorder="1" applyAlignment="1">
      <alignment horizontal="center"/>
    </xf>
    <xf numFmtId="0" fontId="3" fillId="0" borderId="36" xfId="0" applyFont="1" applyBorder="1" applyAlignment="1">
      <alignment horizontal="center"/>
    </xf>
    <xf numFmtId="0" fontId="3" fillId="0" borderId="0" xfId="0" applyFont="1" applyBorder="1" applyAlignment="1">
      <alignment horizontal="center"/>
    </xf>
    <xf numFmtId="0" fontId="3" fillId="0" borderId="1" xfId="0" applyFont="1" applyBorder="1"/>
    <xf numFmtId="0" fontId="0" fillId="0" borderId="0" xfId="0" applyAlignment="1">
      <alignment horizontal="center"/>
    </xf>
    <xf numFmtId="0" fontId="32" fillId="19" borderId="0" xfId="0" applyFont="1" applyFill="1" applyAlignment="1">
      <alignment horizontal="center"/>
    </xf>
    <xf numFmtId="0" fontId="41" fillId="0" borderId="0" xfId="0" applyFont="1" applyFill="1" applyAlignment="1">
      <alignment horizontal="center" vertical="center" wrapText="1"/>
    </xf>
    <xf numFmtId="0" fontId="5" fillId="0" borderId="33" xfId="0" applyFont="1" applyBorder="1" applyAlignment="1">
      <alignment horizontal="center" wrapText="1"/>
    </xf>
    <xf numFmtId="0" fontId="5" fillId="0" borderId="14" xfId="0" applyFont="1" applyBorder="1" applyAlignment="1">
      <alignment horizontal="center" wrapText="1"/>
    </xf>
    <xf numFmtId="0" fontId="5" fillId="0" borderId="34" xfId="0" applyFont="1" applyBorder="1" applyAlignment="1">
      <alignment horizontal="center" wrapText="1"/>
    </xf>
    <xf numFmtId="0" fontId="5" fillId="0" borderId="35" xfId="0" applyFont="1" applyBorder="1" applyAlignment="1">
      <alignment horizontal="center" wrapText="1"/>
    </xf>
    <xf numFmtId="0" fontId="3" fillId="32" borderId="0" xfId="0" applyFont="1" applyFill="1" applyAlignment="1" applyProtection="1">
      <alignment horizontal="right" wrapText="1"/>
      <protection locked="0"/>
    </xf>
    <xf numFmtId="0" fontId="5" fillId="22" borderId="0" xfId="0" applyFont="1" applyFill="1" applyAlignment="1">
      <alignment horizontal="center" wrapText="1"/>
    </xf>
    <xf numFmtId="0" fontId="5" fillId="0" borderId="42" xfId="0" applyFont="1" applyBorder="1" applyAlignment="1">
      <alignment horizontal="center" vertical="center" wrapText="1"/>
    </xf>
    <xf numFmtId="0" fontId="5" fillId="0" borderId="31" xfId="0" applyFont="1" applyBorder="1" applyAlignment="1">
      <alignment horizontal="center" vertical="center" wrapText="1"/>
    </xf>
    <xf numFmtId="0" fontId="0" fillId="0" borderId="14" xfId="0" applyBorder="1" applyAlignment="1">
      <alignment horizontal="center" wrapText="1"/>
    </xf>
    <xf numFmtId="0" fontId="47" fillId="0" borderId="2" xfId="0" applyFont="1" applyBorder="1" applyAlignment="1">
      <alignment horizontal="center" vertical="center" wrapText="1"/>
    </xf>
    <xf numFmtId="0" fontId="47" fillId="0" borderId="0" xfId="0" applyFont="1" applyAlignment="1">
      <alignment horizontal="center" vertical="center" wrapText="1"/>
    </xf>
    <xf numFmtId="0" fontId="38" fillId="0" borderId="0" xfId="0" applyFont="1" applyAlignment="1">
      <alignment horizontal="right"/>
    </xf>
    <xf numFmtId="170" fontId="47" fillId="19" borderId="21" xfId="0" applyNumberFormat="1" applyFont="1" applyFill="1" applyBorder="1" applyAlignment="1">
      <alignment horizontal="center"/>
    </xf>
    <xf numFmtId="0" fontId="0" fillId="0" borderId="23" xfId="0" applyBorder="1"/>
    <xf numFmtId="170" fontId="47" fillId="0" borderId="21" xfId="0" applyNumberFormat="1" applyFont="1" applyBorder="1" applyAlignment="1">
      <alignment horizontal="center" vertical="center"/>
    </xf>
    <xf numFmtId="3" fontId="38" fillId="0" borderId="21" xfId="0" applyNumberFormat="1" applyFont="1" applyBorder="1" applyAlignment="1">
      <alignment horizontal="center"/>
    </xf>
    <xf numFmtId="0" fontId="58" fillId="0" borderId="23" xfId="0" applyFont="1" applyBorder="1"/>
    <xf numFmtId="0" fontId="38" fillId="0" borderId="21" xfId="0" applyFont="1" applyBorder="1" applyAlignment="1">
      <alignment horizontal="center" vertical="center" wrapText="1"/>
    </xf>
    <xf numFmtId="169" fontId="8" fillId="0" borderId="5" xfId="0" applyNumberFormat="1" applyFont="1" applyBorder="1" applyAlignment="1">
      <alignment horizontal="left" wrapText="1"/>
    </xf>
    <xf numFmtId="169" fontId="8" fillId="0" borderId="1" xfId="0" applyNumberFormat="1" applyFont="1" applyBorder="1" applyAlignment="1">
      <alignment horizontal="left" wrapText="1"/>
    </xf>
    <xf numFmtId="0" fontId="8" fillId="0" borderId="0" xfId="0" applyFont="1" applyAlignment="1">
      <alignment horizontal="right"/>
    </xf>
    <xf numFmtId="0" fontId="7" fillId="0" borderId="0" xfId="0" applyFont="1" applyAlignment="1">
      <alignment horizontal="center" vertical="center" wrapText="1"/>
    </xf>
    <xf numFmtId="0" fontId="7" fillId="0" borderId="4"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33" xfId="0" applyFont="1" applyBorder="1" applyAlignment="1">
      <alignment horizontal="center" vertical="center" wrapText="1"/>
    </xf>
    <xf numFmtId="169" fontId="8" fillId="0" borderId="21" xfId="0" applyNumberFormat="1" applyFont="1" applyBorder="1" applyAlignment="1">
      <alignment horizontal="left" wrapText="1"/>
    </xf>
    <xf numFmtId="169" fontId="8" fillId="0" borderId="23" xfId="0" applyNumberFormat="1" applyFont="1" applyBorder="1" applyAlignment="1">
      <alignment horizontal="left" wrapText="1"/>
    </xf>
    <xf numFmtId="0" fontId="8" fillId="0" borderId="49" xfId="0" applyFont="1" applyBorder="1" applyAlignment="1">
      <alignment horizontal="left" vertical="center" wrapText="1"/>
    </xf>
    <xf numFmtId="0" fontId="8" fillId="0" borderId="23" xfId="0" applyFont="1" applyBorder="1" applyAlignment="1">
      <alignment horizontal="left" vertical="center" wrapText="1"/>
    </xf>
    <xf numFmtId="169" fontId="7" fillId="0" borderId="46" xfId="0" applyNumberFormat="1" applyFont="1" applyBorder="1" applyAlignment="1">
      <alignment horizontal="left" wrapText="1"/>
    </xf>
    <xf numFmtId="169" fontId="7" fillId="0" borderId="47" xfId="0" applyNumberFormat="1" applyFont="1" applyBorder="1" applyAlignment="1">
      <alignment horizontal="left" wrapText="1"/>
    </xf>
    <xf numFmtId="0" fontId="7" fillId="0" borderId="0" xfId="0" applyFont="1" applyBorder="1" applyAlignment="1">
      <alignment horizontal="center" vertical="center" wrapText="1"/>
    </xf>
    <xf numFmtId="0" fontId="8" fillId="0" borderId="1" xfId="0" applyFont="1" applyBorder="1" applyAlignment="1">
      <alignment horizontal="center" vertical="center" wrapText="1"/>
    </xf>
    <xf numFmtId="169" fontId="7" fillId="0" borderId="1" xfId="0" applyNumberFormat="1" applyFont="1" applyBorder="1" applyAlignment="1">
      <alignment horizontal="left" wrapText="1"/>
    </xf>
    <xf numFmtId="0" fontId="7" fillId="0" borderId="2" xfId="0" applyFont="1" applyBorder="1" applyAlignment="1">
      <alignment horizontal="center" vertical="center" wrapText="1"/>
    </xf>
    <xf numFmtId="0" fontId="8" fillId="0" borderId="26"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0" xfId="0" applyFont="1" applyBorder="1" applyAlignment="1">
      <alignment horizontal="center"/>
    </xf>
    <xf numFmtId="0" fontId="7" fillId="0" borderId="21" xfId="0" applyFont="1" applyBorder="1" applyAlignment="1">
      <alignment horizontal="right"/>
    </xf>
    <xf numFmtId="0" fontId="7" fillId="0" borderId="23" xfId="0" applyFont="1" applyBorder="1" applyAlignment="1">
      <alignment horizontal="right"/>
    </xf>
    <xf numFmtId="0" fontId="59" fillId="0" borderId="0" xfId="0" applyFont="1" applyFill="1" applyAlignment="1">
      <alignment horizontal="center" vertical="center" wrapText="1"/>
    </xf>
    <xf numFmtId="0" fontId="8" fillId="22" borderId="0" xfId="0" applyFont="1" applyFill="1" applyAlignment="1">
      <alignment horizontal="right"/>
    </xf>
    <xf numFmtId="0" fontId="63" fillId="0" borderId="21" xfId="0" applyFont="1" applyBorder="1" applyAlignment="1">
      <alignment horizontal="left" vertical="top" wrapText="1"/>
    </xf>
    <xf numFmtId="0" fontId="63" fillId="0" borderId="23" xfId="0" applyFont="1" applyBorder="1" applyAlignment="1">
      <alignment horizontal="left" vertical="top" wrapText="1"/>
    </xf>
    <xf numFmtId="0" fontId="62" fillId="0" borderId="2" xfId="0" applyFont="1" applyBorder="1" applyAlignment="1">
      <alignment horizontal="center" vertical="center" wrapText="1"/>
    </xf>
    <xf numFmtId="0" fontId="62" fillId="0" borderId="2" xfId="0" applyFont="1" applyBorder="1" applyAlignment="1">
      <alignment horizontal="center" wrapText="1"/>
    </xf>
    <xf numFmtId="0" fontId="63" fillId="0" borderId="1" xfId="0" applyFont="1" applyBorder="1" applyAlignment="1">
      <alignment horizontal="center" vertical="top" wrapText="1"/>
    </xf>
    <xf numFmtId="0" fontId="64" fillId="0" borderId="1" xfId="0" applyFont="1" applyBorder="1" applyAlignment="1">
      <alignment wrapText="1"/>
    </xf>
    <xf numFmtId="0" fontId="63" fillId="0" borderId="1" xfId="0" applyFont="1" applyBorder="1" applyAlignment="1">
      <alignment horizontal="left" vertical="top" wrapText="1"/>
    </xf>
    <xf numFmtId="0" fontId="63" fillId="0" borderId="1" xfId="0" applyFont="1" applyBorder="1" applyAlignment="1">
      <alignment horizontal="left" wrapText="1"/>
    </xf>
  </cellXfs>
  <cellStyles count="21">
    <cellStyle name="Денежный" xfId="1" builtinId="4"/>
    <cellStyle name="Обычный" xfId="0" builtinId="0"/>
    <cellStyle name="Обычный 11" xfId="2"/>
    <cellStyle name="Обычный 2" xfId="3"/>
    <cellStyle name="Обычный 2 10" xfId="14"/>
    <cellStyle name="Обычный 2 11" xfId="15"/>
    <cellStyle name="Обычный 2 12" xfId="16"/>
    <cellStyle name="Обычный 2 13" xfId="17"/>
    <cellStyle name="Обычный 2 14" xfId="18"/>
    <cellStyle name="Обычный 2 15" xfId="19"/>
    <cellStyle name="Обычный 2 16" xfId="20"/>
    <cellStyle name="Обычный 2 2" xfId="6"/>
    <cellStyle name="Обычный 2 3" xfId="7"/>
    <cellStyle name="Обычный 2 4" xfId="8"/>
    <cellStyle name="Обычный 2 5" xfId="9"/>
    <cellStyle name="Обычный 2 6" xfId="10"/>
    <cellStyle name="Обычный 2 7" xfId="11"/>
    <cellStyle name="Обычный 2 8" xfId="12"/>
    <cellStyle name="Обычный 2 9" xfId="13"/>
    <cellStyle name="Обычный_Пр_1" xfId="4"/>
    <cellStyle name="Финансовый" xfId="5" builtinId="3"/>
  </cellStyles>
  <dxfs count="2">
    <dxf>
      <font>
        <b val="0"/>
        <i val="0"/>
        <strike val="0"/>
        <u val="none"/>
        <vertAlign val="baseline"/>
        <sz val="10"/>
        <color theme="1"/>
        <name val="Arial"/>
        <scheme val="none"/>
      </font>
      <numFmt numFmtId="0" formatCode="General"/>
      <alignment horizontal="general" vertical="bottom" textRotation="0" wrapText="1" relativeIndent="0" shrinkToFit="0"/>
    </dxf>
    <dxf>
      <font>
        <b val="0"/>
        <i val="0"/>
        <strike val="0"/>
        <u val="none"/>
        <vertAlign val="baseline"/>
        <sz val="10"/>
        <color theme="1"/>
        <name val="Arial"/>
        <scheme val="none"/>
      </font>
      <numFmt numFmtId="0" formatCode="General"/>
      <alignment horizontal="center" vertical="bottom" textRotation="0" wrapText="0" relativeIndent="0" shrinkToFit="0"/>
    </dxf>
  </dxfs>
  <tableStyles count="0" defaultTableStyle="TableStyleMedium9" defaultPivotStyle="PivotStyleLight16"/>
  <colors>
    <mruColors>
      <color rgb="FFFF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61"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s>
</file>

<file path=xl/tables/table1.xml><?xml version="1.0" encoding="utf-8"?>
<table xmlns="http://schemas.openxmlformats.org/spreadsheetml/2006/main" id="1" name="Список2" displayName="Список2" ref="A2:B169" totalsRowShown="0">
  <tableColumns count="2">
    <tableColumn id="1" name="Столбец1" dataDxfId="1"/>
    <tableColumn id="2" name="Столбец2" dataDxfId="0"/>
  </tableColumns>
  <tableStyleInfo showFirstColumn="0" showLastColumn="0" showRowStripes="1" showColumnStripes="0"/>
</table>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Arial"/>
        <a:cs typeface="Arial"/>
      </a:majorFont>
      <a:minorFont>
        <a:latin typeface="Calibri"/>
        <a:ea typeface="Arial"/>
        <a:cs typeface="Arial"/>
      </a:minorFont>
    </a:fontScheme>
    <a:fmtScheme name="Стандартная">
      <a:fillStyleLst>
        <a:solidFill>
          <a:schemeClr val="phClr"/>
        </a:solidFill>
        <a:gradFill>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gradFill>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gradFill>
        <a:gradFill>
          <a:gsLst>
            <a:gs pos="0">
              <a:schemeClr val="phClr">
                <a:tint val="80000"/>
                <a:satMod val="300000"/>
              </a:schemeClr>
            </a:gs>
            <a:gs pos="100000">
              <a:schemeClr val="phClr">
                <a:shade val="30000"/>
                <a:satMod val="200000"/>
              </a:schemeClr>
            </a:gs>
          </a:gsLst>
          <a:path path="circle"/>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7.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70"/>
  <sheetViews>
    <sheetView showGridLines="0" view="pageBreakPreview" zoomScaleSheetLayoutView="100" workbookViewId="0">
      <selection activeCell="G4" sqref="G4:L4"/>
    </sheetView>
  </sheetViews>
  <sheetFormatPr defaultColWidth="8.85546875" defaultRowHeight="15" x14ac:dyDescent="0.2"/>
  <cols>
    <col min="1" max="1" width="5.140625" style="2" bestFit="1" customWidth="1"/>
    <col min="2" max="2" width="3" style="2" bestFit="1" customWidth="1"/>
    <col min="3" max="4" width="3.42578125" style="2" customWidth="1"/>
    <col min="5" max="5" width="6.85546875" style="2" customWidth="1"/>
    <col min="6" max="6" width="3" style="2" customWidth="1"/>
    <col min="7" max="7" width="5.85546875" style="3" customWidth="1"/>
    <col min="8" max="8" width="4.85546875" style="2" bestFit="1" customWidth="1"/>
    <col min="9" max="9" width="46.85546875" style="1" customWidth="1"/>
    <col min="10" max="10" width="16.140625" style="1" hidden="1" customWidth="1"/>
    <col min="11" max="11" width="17.140625" style="1" customWidth="1"/>
    <col min="12" max="12" width="17.28515625" style="1" hidden="1" customWidth="1"/>
    <col min="13" max="16384" width="8.85546875" style="1"/>
  </cols>
  <sheetData>
    <row r="1" spans="1:12" ht="15.75" x14ac:dyDescent="0.25">
      <c r="A1" s="890"/>
      <c r="B1" s="890"/>
      <c r="C1" s="890"/>
      <c r="D1" s="890"/>
      <c r="E1" s="890"/>
      <c r="F1" s="854"/>
      <c r="G1" s="890" t="s">
        <v>0</v>
      </c>
      <c r="H1" s="890"/>
      <c r="I1" s="890"/>
      <c r="J1" s="890"/>
      <c r="K1" s="890"/>
      <c r="L1" s="890"/>
    </row>
    <row r="2" spans="1:12" ht="15.75" x14ac:dyDescent="0.25">
      <c r="A2" s="890" t="s">
        <v>1</v>
      </c>
      <c r="B2" s="890"/>
      <c r="C2" s="890"/>
      <c r="D2" s="890"/>
      <c r="E2" s="890"/>
      <c r="F2" s="890"/>
      <c r="G2" s="890"/>
      <c r="H2" s="890"/>
      <c r="I2" s="890"/>
      <c r="J2" s="890"/>
      <c r="K2" s="890"/>
      <c r="L2" s="890"/>
    </row>
    <row r="3" spans="1:12" ht="15.75" x14ac:dyDescent="0.25">
      <c r="A3" s="890" t="s">
        <v>2</v>
      </c>
      <c r="B3" s="890"/>
      <c r="C3" s="890"/>
      <c r="D3" s="890"/>
      <c r="E3" s="890"/>
      <c r="F3" s="890"/>
      <c r="G3" s="890"/>
      <c r="H3" s="890"/>
      <c r="I3" s="890"/>
      <c r="J3" s="890"/>
      <c r="K3" s="890"/>
      <c r="L3" s="890"/>
    </row>
    <row r="4" spans="1:12" ht="15.75" x14ac:dyDescent="0.25">
      <c r="A4" s="890"/>
      <c r="B4" s="890"/>
      <c r="C4" s="890"/>
      <c r="D4" s="890"/>
      <c r="E4" s="890"/>
      <c r="F4" s="854"/>
      <c r="G4" s="890" t="s">
        <v>3501</v>
      </c>
      <c r="H4" s="890"/>
      <c r="I4" s="890"/>
      <c r="J4" s="890"/>
      <c r="K4" s="890"/>
      <c r="L4" s="890"/>
    </row>
    <row r="5" spans="1:12" ht="15.75" x14ac:dyDescent="0.25">
      <c r="A5" s="854"/>
      <c r="B5" s="854"/>
      <c r="C5" s="854"/>
      <c r="D5" s="854"/>
      <c r="E5" s="854"/>
      <c r="F5" s="854"/>
      <c r="G5" s="4"/>
      <c r="H5" s="853"/>
    </row>
    <row r="6" spans="1:12" ht="50.25" customHeight="1" x14ac:dyDescent="0.2">
      <c r="A6" s="891" t="s">
        <v>3462</v>
      </c>
      <c r="B6" s="891"/>
      <c r="C6" s="891"/>
      <c r="D6" s="891"/>
      <c r="E6" s="891"/>
      <c r="F6" s="891"/>
      <c r="G6" s="891"/>
      <c r="H6" s="891"/>
      <c r="I6" s="891"/>
      <c r="J6" s="891"/>
      <c r="K6" s="891"/>
      <c r="L6" s="891"/>
    </row>
    <row r="7" spans="1:12" ht="18" hidden="1" customHeight="1" x14ac:dyDescent="0.2">
      <c r="G7" s="7"/>
      <c r="H7" s="8"/>
      <c r="I7" s="8"/>
    </row>
    <row r="8" spans="1:12" ht="18.75" hidden="1" x14ac:dyDescent="0.2">
      <c r="G8" s="7"/>
      <c r="H8" s="8"/>
      <c r="I8" s="8"/>
    </row>
    <row r="9" spans="1:12" ht="15.75" customHeight="1" x14ac:dyDescent="0.25">
      <c r="A9" s="892" t="s">
        <v>3</v>
      </c>
      <c r="B9" s="892"/>
      <c r="C9" s="892"/>
      <c r="D9" s="892"/>
      <c r="E9" s="892"/>
      <c r="F9" s="892"/>
      <c r="G9" s="892"/>
      <c r="H9" s="892"/>
      <c r="I9" s="888" t="s">
        <v>588</v>
      </c>
      <c r="J9" s="888" t="s">
        <v>5</v>
      </c>
      <c r="K9" s="888" t="s">
        <v>3480</v>
      </c>
      <c r="L9" s="889" t="s">
        <v>5</v>
      </c>
    </row>
    <row r="10" spans="1:12" ht="131.25" customHeight="1" x14ac:dyDescent="0.2">
      <c r="A10" s="867" t="s">
        <v>6</v>
      </c>
      <c r="B10" s="867" t="s">
        <v>7</v>
      </c>
      <c r="C10" s="867" t="s">
        <v>8</v>
      </c>
      <c r="D10" s="867" t="s">
        <v>9</v>
      </c>
      <c r="E10" s="868" t="s">
        <v>10</v>
      </c>
      <c r="F10" s="867" t="s">
        <v>11</v>
      </c>
      <c r="G10" s="869" t="s">
        <v>12</v>
      </c>
      <c r="H10" s="868" t="s">
        <v>13</v>
      </c>
      <c r="I10" s="888"/>
      <c r="J10" s="888"/>
      <c r="K10" s="888"/>
      <c r="L10" s="889"/>
    </row>
    <row r="11" spans="1:12" s="10" customFormat="1" ht="18.75" customHeight="1" x14ac:dyDescent="0.2">
      <c r="A11" s="11" t="s">
        <v>14</v>
      </c>
      <c r="B11" s="11" t="s">
        <v>15</v>
      </c>
      <c r="C11" s="11" t="s">
        <v>16</v>
      </c>
      <c r="D11" s="11" t="s">
        <v>16</v>
      </c>
      <c r="E11" s="11" t="s">
        <v>14</v>
      </c>
      <c r="F11" s="11" t="s">
        <v>16</v>
      </c>
      <c r="G11" s="11" t="s">
        <v>17</v>
      </c>
      <c r="H11" s="11" t="s">
        <v>14</v>
      </c>
      <c r="I11" s="12" t="s">
        <v>18</v>
      </c>
      <c r="J11" s="13">
        <v>213574060</v>
      </c>
      <c r="K11" s="13">
        <f>K12+K14+K16+K20+K23+K24+K30+K33+K36+K42+K43</f>
        <v>215280882</v>
      </c>
      <c r="L11" s="13">
        <f>SUM(J11:K11)</f>
        <v>428854942</v>
      </c>
    </row>
    <row r="12" spans="1:12" s="10" customFormat="1" ht="19.5" customHeight="1" x14ac:dyDescent="0.2">
      <c r="A12" s="11" t="s">
        <v>14</v>
      </c>
      <c r="B12" s="11" t="s">
        <v>15</v>
      </c>
      <c r="C12" s="11" t="s">
        <v>19</v>
      </c>
      <c r="D12" s="11" t="s">
        <v>16</v>
      </c>
      <c r="E12" s="11" t="s">
        <v>14</v>
      </c>
      <c r="F12" s="11" t="s">
        <v>16</v>
      </c>
      <c r="G12" s="11" t="s">
        <v>17</v>
      </c>
      <c r="H12" s="11" t="s">
        <v>14</v>
      </c>
      <c r="I12" s="12" t="s">
        <v>20</v>
      </c>
      <c r="J12" s="14">
        <v>103593000</v>
      </c>
      <c r="K12" s="14">
        <f>K13</f>
        <v>108244320</v>
      </c>
      <c r="L12" s="13">
        <f t="shared" ref="L12:L108" si="0">SUM(J12:K12)</f>
        <v>211837320</v>
      </c>
    </row>
    <row r="13" spans="1:12" s="10" customFormat="1" ht="18.75" customHeight="1" x14ac:dyDescent="0.2">
      <c r="A13" s="15" t="s">
        <v>21</v>
      </c>
      <c r="B13" s="15" t="s">
        <v>15</v>
      </c>
      <c r="C13" s="15" t="s">
        <v>19</v>
      </c>
      <c r="D13" s="15" t="s">
        <v>22</v>
      </c>
      <c r="E13" s="15" t="s">
        <v>14</v>
      </c>
      <c r="F13" s="15" t="s">
        <v>19</v>
      </c>
      <c r="G13" s="15" t="s">
        <v>17</v>
      </c>
      <c r="H13" s="15" t="s">
        <v>23</v>
      </c>
      <c r="I13" s="16" t="s">
        <v>24</v>
      </c>
      <c r="J13" s="17">
        <v>103593000</v>
      </c>
      <c r="K13" s="17">
        <v>108244320</v>
      </c>
      <c r="L13" s="576">
        <f t="shared" si="0"/>
        <v>211837320</v>
      </c>
    </row>
    <row r="14" spans="1:12" s="10" customFormat="1" ht="47.25" x14ac:dyDescent="0.2">
      <c r="A14" s="11" t="s">
        <v>14</v>
      </c>
      <c r="B14" s="11" t="s">
        <v>15</v>
      </c>
      <c r="C14" s="11" t="s">
        <v>25</v>
      </c>
      <c r="D14" s="11" t="s">
        <v>16</v>
      </c>
      <c r="E14" s="11" t="s">
        <v>14</v>
      </c>
      <c r="F14" s="11" t="s">
        <v>16</v>
      </c>
      <c r="G14" s="11" t="s">
        <v>17</v>
      </c>
      <c r="H14" s="11" t="s">
        <v>14</v>
      </c>
      <c r="I14" s="12" t="s">
        <v>26</v>
      </c>
      <c r="J14" s="14">
        <v>7453326</v>
      </c>
      <c r="K14" s="14">
        <f>K15</f>
        <v>7545956</v>
      </c>
      <c r="L14" s="13">
        <f t="shared" si="0"/>
        <v>14999282</v>
      </c>
    </row>
    <row r="15" spans="1:12" s="10" customFormat="1" ht="47.25" x14ac:dyDescent="0.2">
      <c r="A15" s="15" t="s">
        <v>27</v>
      </c>
      <c r="B15" s="15" t="s">
        <v>15</v>
      </c>
      <c r="C15" s="15" t="s">
        <v>25</v>
      </c>
      <c r="D15" s="15" t="s">
        <v>22</v>
      </c>
      <c r="E15" s="15" t="s">
        <v>14</v>
      </c>
      <c r="F15" s="15" t="s">
        <v>19</v>
      </c>
      <c r="G15" s="15" t="s">
        <v>17</v>
      </c>
      <c r="H15" s="15" t="s">
        <v>23</v>
      </c>
      <c r="I15" s="16" t="s">
        <v>28</v>
      </c>
      <c r="J15" s="17">
        <v>7453326</v>
      </c>
      <c r="K15" s="17">
        <v>7545956</v>
      </c>
      <c r="L15" s="576">
        <f t="shared" si="0"/>
        <v>14999282</v>
      </c>
    </row>
    <row r="16" spans="1:12" ht="21.75" customHeight="1" x14ac:dyDescent="0.2">
      <c r="A16" s="18" t="s">
        <v>14</v>
      </c>
      <c r="B16" s="18" t="s">
        <v>15</v>
      </c>
      <c r="C16" s="18" t="s">
        <v>29</v>
      </c>
      <c r="D16" s="18" t="s">
        <v>16</v>
      </c>
      <c r="E16" s="18" t="s">
        <v>14</v>
      </c>
      <c r="F16" s="18" t="s">
        <v>16</v>
      </c>
      <c r="G16" s="19" t="s">
        <v>17</v>
      </c>
      <c r="H16" s="19" t="s">
        <v>14</v>
      </c>
      <c r="I16" s="12" t="s">
        <v>30</v>
      </c>
      <c r="J16" s="20">
        <v>11696657</v>
      </c>
      <c r="K16" s="20">
        <f>K17+K18+K19</f>
        <v>11727771</v>
      </c>
      <c r="L16" s="13">
        <f t="shared" si="0"/>
        <v>23424428</v>
      </c>
    </row>
    <row r="17" spans="1:12" ht="31.5" x14ac:dyDescent="0.2">
      <c r="A17" s="21" t="s">
        <v>21</v>
      </c>
      <c r="B17" s="21" t="s">
        <v>15</v>
      </c>
      <c r="C17" s="21" t="s">
        <v>29</v>
      </c>
      <c r="D17" s="21" t="s">
        <v>22</v>
      </c>
      <c r="E17" s="21" t="s">
        <v>14</v>
      </c>
      <c r="F17" s="21" t="s">
        <v>22</v>
      </c>
      <c r="G17" s="22" t="s">
        <v>17</v>
      </c>
      <c r="H17" s="22" t="s">
        <v>23</v>
      </c>
      <c r="I17" s="16" t="s">
        <v>31</v>
      </c>
      <c r="J17" s="17">
        <v>11200000</v>
      </c>
      <c r="K17" s="17">
        <v>11208693</v>
      </c>
      <c r="L17" s="576">
        <f t="shared" si="0"/>
        <v>22408693</v>
      </c>
    </row>
    <row r="18" spans="1:12" ht="22.5" customHeight="1" x14ac:dyDescent="0.2">
      <c r="A18" s="21" t="s">
        <v>21</v>
      </c>
      <c r="B18" s="21" t="s">
        <v>15</v>
      </c>
      <c r="C18" s="21" t="s">
        <v>29</v>
      </c>
      <c r="D18" s="21" t="s">
        <v>25</v>
      </c>
      <c r="E18" s="21" t="s">
        <v>14</v>
      </c>
      <c r="F18" s="21" t="s">
        <v>19</v>
      </c>
      <c r="G18" s="22" t="s">
        <v>17</v>
      </c>
      <c r="H18" s="22" t="s">
        <v>23</v>
      </c>
      <c r="I18" s="16" t="s">
        <v>32</v>
      </c>
      <c r="J18" s="17">
        <v>178000</v>
      </c>
      <c r="K18" s="17">
        <v>178253</v>
      </c>
      <c r="L18" s="576">
        <f t="shared" si="0"/>
        <v>356253</v>
      </c>
    </row>
    <row r="19" spans="1:12" ht="31.5" x14ac:dyDescent="0.2">
      <c r="A19" s="21" t="s">
        <v>21</v>
      </c>
      <c r="B19" s="21" t="s">
        <v>15</v>
      </c>
      <c r="C19" s="21" t="s">
        <v>29</v>
      </c>
      <c r="D19" s="21" t="s">
        <v>33</v>
      </c>
      <c r="E19" s="21" t="s">
        <v>14</v>
      </c>
      <c r="F19" s="21" t="s">
        <v>22</v>
      </c>
      <c r="G19" s="22" t="s">
        <v>17</v>
      </c>
      <c r="H19" s="22" t="s">
        <v>23</v>
      </c>
      <c r="I19" s="16" t="s">
        <v>34</v>
      </c>
      <c r="J19" s="23">
        <v>318657</v>
      </c>
      <c r="K19" s="23">
        <v>340825</v>
      </c>
      <c r="L19" s="576">
        <f t="shared" si="0"/>
        <v>659482</v>
      </c>
    </row>
    <row r="20" spans="1:12" ht="20.25" customHeight="1" x14ac:dyDescent="0.2">
      <c r="A20" s="18" t="s">
        <v>14</v>
      </c>
      <c r="B20" s="18" t="s">
        <v>15</v>
      </c>
      <c r="C20" s="18" t="s">
        <v>35</v>
      </c>
      <c r="D20" s="18" t="s">
        <v>16</v>
      </c>
      <c r="E20" s="18" t="s">
        <v>14</v>
      </c>
      <c r="F20" s="18" t="s">
        <v>16</v>
      </c>
      <c r="G20" s="19" t="s">
        <v>17</v>
      </c>
      <c r="H20" s="19" t="s">
        <v>14</v>
      </c>
      <c r="I20" s="12" t="s">
        <v>36</v>
      </c>
      <c r="J20" s="20">
        <v>7010000</v>
      </c>
      <c r="K20" s="20">
        <f>K21+K22</f>
        <v>7108907</v>
      </c>
      <c r="L20" s="13">
        <f t="shared" si="0"/>
        <v>14118907</v>
      </c>
    </row>
    <row r="21" spans="1:12" ht="49.5" customHeight="1" x14ac:dyDescent="0.2">
      <c r="A21" s="21" t="s">
        <v>21</v>
      </c>
      <c r="B21" s="21" t="s">
        <v>15</v>
      </c>
      <c r="C21" s="21" t="s">
        <v>35</v>
      </c>
      <c r="D21" s="21" t="s">
        <v>25</v>
      </c>
      <c r="E21" s="21" t="s">
        <v>14</v>
      </c>
      <c r="F21" s="21" t="s">
        <v>19</v>
      </c>
      <c r="G21" s="22" t="s">
        <v>17</v>
      </c>
      <c r="H21" s="22" t="s">
        <v>23</v>
      </c>
      <c r="I21" s="16" t="s">
        <v>37</v>
      </c>
      <c r="J21" s="17">
        <v>6900000</v>
      </c>
      <c r="K21" s="17">
        <v>6988907</v>
      </c>
      <c r="L21" s="576">
        <f t="shared" si="0"/>
        <v>13888907</v>
      </c>
    </row>
    <row r="22" spans="1:12" ht="48" customHeight="1" x14ac:dyDescent="0.2">
      <c r="A22" s="21" t="s">
        <v>38</v>
      </c>
      <c r="B22" s="21" t="s">
        <v>15</v>
      </c>
      <c r="C22" s="21" t="s">
        <v>35</v>
      </c>
      <c r="D22" s="21" t="s">
        <v>39</v>
      </c>
      <c r="E22" s="21" t="s">
        <v>14</v>
      </c>
      <c r="F22" s="21" t="s">
        <v>19</v>
      </c>
      <c r="G22" s="22" t="s">
        <v>17</v>
      </c>
      <c r="H22" s="22" t="s">
        <v>23</v>
      </c>
      <c r="I22" s="16" t="s">
        <v>40</v>
      </c>
      <c r="J22" s="17">
        <v>110000</v>
      </c>
      <c r="K22" s="17">
        <v>120000</v>
      </c>
      <c r="L22" s="576">
        <f t="shared" si="0"/>
        <v>230000</v>
      </c>
    </row>
    <row r="23" spans="1:12" ht="54" customHeight="1" x14ac:dyDescent="0.2">
      <c r="A23" s="18" t="s">
        <v>21</v>
      </c>
      <c r="B23" s="18" t="s">
        <v>15</v>
      </c>
      <c r="C23" s="18" t="s">
        <v>41</v>
      </c>
      <c r="D23" s="18"/>
      <c r="E23" s="18" t="s">
        <v>42</v>
      </c>
      <c r="F23" s="18" t="s">
        <v>16</v>
      </c>
      <c r="G23" s="19" t="s">
        <v>17</v>
      </c>
      <c r="H23" s="19" t="s">
        <v>14</v>
      </c>
      <c r="I23" s="12" t="s">
        <v>43</v>
      </c>
      <c r="J23" s="20">
        <v>68000</v>
      </c>
      <c r="K23" s="20">
        <v>68154</v>
      </c>
      <c r="L23" s="13">
        <f t="shared" si="0"/>
        <v>136154</v>
      </c>
    </row>
    <row r="24" spans="1:12" ht="47.25" x14ac:dyDescent="0.2">
      <c r="A24" s="18" t="s">
        <v>14</v>
      </c>
      <c r="B24" s="18" t="s">
        <v>15</v>
      </c>
      <c r="C24" s="18" t="s">
        <v>44</v>
      </c>
      <c r="D24" s="18" t="s">
        <v>16</v>
      </c>
      <c r="E24" s="18" t="s">
        <v>14</v>
      </c>
      <c r="F24" s="18" t="s">
        <v>16</v>
      </c>
      <c r="G24" s="19" t="s">
        <v>17</v>
      </c>
      <c r="H24" s="19" t="s">
        <v>14</v>
      </c>
      <c r="I24" s="12" t="s">
        <v>45</v>
      </c>
      <c r="J24" s="20">
        <v>11046000</v>
      </c>
      <c r="K24" s="20">
        <f>K25+K27</f>
        <v>9092989</v>
      </c>
      <c r="L24" s="13">
        <f t="shared" si="0"/>
        <v>20138989</v>
      </c>
    </row>
    <row r="25" spans="1:12" ht="109.5" customHeight="1" x14ac:dyDescent="0.2">
      <c r="A25" s="625" t="s">
        <v>46</v>
      </c>
      <c r="B25" s="625" t="s">
        <v>15</v>
      </c>
      <c r="C25" s="625" t="s">
        <v>44</v>
      </c>
      <c r="D25" s="625" t="s">
        <v>19</v>
      </c>
      <c r="E25" s="625" t="s">
        <v>14</v>
      </c>
      <c r="F25" s="625" t="s">
        <v>16</v>
      </c>
      <c r="G25" s="626" t="s">
        <v>17</v>
      </c>
      <c r="H25" s="626" t="s">
        <v>47</v>
      </c>
      <c r="I25" s="627" t="s">
        <v>48</v>
      </c>
      <c r="J25" s="628">
        <v>97000</v>
      </c>
      <c r="K25" s="628">
        <f>K26</f>
        <v>97302</v>
      </c>
      <c r="L25" s="629">
        <f t="shared" si="0"/>
        <v>194302</v>
      </c>
    </row>
    <row r="26" spans="1:12" ht="82.5" customHeight="1" x14ac:dyDescent="0.2">
      <c r="A26" s="21" t="s">
        <v>46</v>
      </c>
      <c r="B26" s="21" t="s">
        <v>15</v>
      </c>
      <c r="C26" s="21" t="s">
        <v>44</v>
      </c>
      <c r="D26" s="21" t="s">
        <v>19</v>
      </c>
      <c r="E26" s="21" t="s">
        <v>49</v>
      </c>
      <c r="F26" s="21" t="s">
        <v>29</v>
      </c>
      <c r="G26" s="22" t="s">
        <v>17</v>
      </c>
      <c r="H26" s="22" t="s">
        <v>47</v>
      </c>
      <c r="I26" s="16" t="s">
        <v>50</v>
      </c>
      <c r="J26" s="23">
        <v>97000</v>
      </c>
      <c r="K26" s="23">
        <v>97302</v>
      </c>
      <c r="L26" s="576">
        <f t="shared" si="0"/>
        <v>194302</v>
      </c>
    </row>
    <row r="27" spans="1:12" s="24" customFormat="1" ht="129.75" customHeight="1" x14ac:dyDescent="0.25">
      <c r="A27" s="625" t="s">
        <v>14</v>
      </c>
      <c r="B27" s="625" t="s">
        <v>15</v>
      </c>
      <c r="C27" s="625" t="s">
        <v>44</v>
      </c>
      <c r="D27" s="625" t="s">
        <v>29</v>
      </c>
      <c r="E27" s="625" t="s">
        <v>14</v>
      </c>
      <c r="F27" s="625" t="s">
        <v>16</v>
      </c>
      <c r="G27" s="626" t="s">
        <v>17</v>
      </c>
      <c r="H27" s="626" t="s">
        <v>47</v>
      </c>
      <c r="I27" s="627" t="s">
        <v>51</v>
      </c>
      <c r="J27" s="630">
        <v>10949000</v>
      </c>
      <c r="K27" s="630">
        <f>K28+K29</f>
        <v>8995687</v>
      </c>
      <c r="L27" s="629">
        <f t="shared" si="0"/>
        <v>19944687</v>
      </c>
    </row>
    <row r="28" spans="1:12" s="24" customFormat="1" ht="96" customHeight="1" x14ac:dyDescent="0.25">
      <c r="A28" s="21" t="s">
        <v>14</v>
      </c>
      <c r="B28" s="21" t="s">
        <v>15</v>
      </c>
      <c r="C28" s="21" t="s">
        <v>44</v>
      </c>
      <c r="D28" s="21" t="s">
        <v>29</v>
      </c>
      <c r="E28" s="21" t="s">
        <v>52</v>
      </c>
      <c r="F28" s="21" t="s">
        <v>16</v>
      </c>
      <c r="G28" s="22" t="s">
        <v>17</v>
      </c>
      <c r="H28" s="22" t="s">
        <v>47</v>
      </c>
      <c r="I28" s="16" t="s">
        <v>53</v>
      </c>
      <c r="J28" s="23">
        <v>8449000</v>
      </c>
      <c r="K28" s="23">
        <v>7040029</v>
      </c>
      <c r="L28" s="576">
        <f t="shared" si="0"/>
        <v>15489029</v>
      </c>
    </row>
    <row r="29" spans="1:12" s="24" customFormat="1" ht="54.75" customHeight="1" x14ac:dyDescent="0.25">
      <c r="A29" s="21" t="s">
        <v>46</v>
      </c>
      <c r="B29" s="21" t="s">
        <v>15</v>
      </c>
      <c r="C29" s="21" t="s">
        <v>44</v>
      </c>
      <c r="D29" s="21" t="s">
        <v>29</v>
      </c>
      <c r="E29" s="21" t="s">
        <v>54</v>
      </c>
      <c r="F29" s="21" t="s">
        <v>29</v>
      </c>
      <c r="G29" s="22" t="s">
        <v>17</v>
      </c>
      <c r="H29" s="22" t="s">
        <v>47</v>
      </c>
      <c r="I29" s="16" t="s">
        <v>55</v>
      </c>
      <c r="J29" s="23">
        <v>2500000</v>
      </c>
      <c r="K29" s="23">
        <v>1955658</v>
      </c>
      <c r="L29" s="576">
        <f t="shared" si="0"/>
        <v>4455658</v>
      </c>
    </row>
    <row r="30" spans="1:12" s="24" customFormat="1" ht="31.5" x14ac:dyDescent="0.25">
      <c r="A30" s="18" t="s">
        <v>14</v>
      </c>
      <c r="B30" s="18" t="s">
        <v>15</v>
      </c>
      <c r="C30" s="18" t="s">
        <v>56</v>
      </c>
      <c r="D30" s="18" t="s">
        <v>16</v>
      </c>
      <c r="E30" s="18" t="s">
        <v>14</v>
      </c>
      <c r="F30" s="18" t="s">
        <v>16</v>
      </c>
      <c r="G30" s="19" t="s">
        <v>17</v>
      </c>
      <c r="H30" s="19" t="s">
        <v>14</v>
      </c>
      <c r="I30" s="12" t="s">
        <v>57</v>
      </c>
      <c r="J30" s="20">
        <v>920000</v>
      </c>
      <c r="K30" s="20">
        <f>K31+K32</f>
        <v>946226</v>
      </c>
      <c r="L30" s="13">
        <f t="shared" si="0"/>
        <v>1866226</v>
      </c>
    </row>
    <row r="31" spans="1:12" ht="31.5" x14ac:dyDescent="0.2">
      <c r="A31" s="21" t="s">
        <v>14</v>
      </c>
      <c r="B31" s="21" t="s">
        <v>15</v>
      </c>
      <c r="C31" s="21" t="s">
        <v>56</v>
      </c>
      <c r="D31" s="21" t="s">
        <v>19</v>
      </c>
      <c r="E31" s="21" t="s">
        <v>14</v>
      </c>
      <c r="F31" s="21" t="s">
        <v>19</v>
      </c>
      <c r="G31" s="22" t="s">
        <v>17</v>
      </c>
      <c r="H31" s="22" t="s">
        <v>47</v>
      </c>
      <c r="I31" s="16" t="s">
        <v>58</v>
      </c>
      <c r="J31" s="17">
        <v>920000</v>
      </c>
      <c r="K31" s="17">
        <v>945949</v>
      </c>
      <c r="L31" s="576">
        <f t="shared" si="0"/>
        <v>1865949</v>
      </c>
    </row>
    <row r="32" spans="1:12" ht="15.75" x14ac:dyDescent="0.2">
      <c r="A32" s="21" t="s">
        <v>14</v>
      </c>
      <c r="B32" s="21" t="s">
        <v>15</v>
      </c>
      <c r="C32" s="21" t="s">
        <v>56</v>
      </c>
      <c r="D32" s="21" t="s">
        <v>22</v>
      </c>
      <c r="E32" s="21" t="s">
        <v>14</v>
      </c>
      <c r="F32" s="21" t="s">
        <v>19</v>
      </c>
      <c r="G32" s="22" t="s">
        <v>17</v>
      </c>
      <c r="H32" s="22" t="s">
        <v>47</v>
      </c>
      <c r="I32" s="16" t="s">
        <v>3494</v>
      </c>
      <c r="J32" s="17"/>
      <c r="K32" s="17">
        <v>277</v>
      </c>
      <c r="L32" s="576"/>
    </row>
    <row r="33" spans="1:12" ht="39" customHeight="1" x14ac:dyDescent="0.2">
      <c r="A33" s="18" t="s">
        <v>14</v>
      </c>
      <c r="B33" s="18" t="s">
        <v>15</v>
      </c>
      <c r="C33" s="18" t="s">
        <v>61</v>
      </c>
      <c r="D33" s="18" t="s">
        <v>16</v>
      </c>
      <c r="E33" s="18" t="s">
        <v>14</v>
      </c>
      <c r="F33" s="18" t="s">
        <v>16</v>
      </c>
      <c r="G33" s="19" t="s">
        <v>17</v>
      </c>
      <c r="H33" s="19" t="s">
        <v>62</v>
      </c>
      <c r="I33" s="12" t="s">
        <v>63</v>
      </c>
      <c r="J33" s="20">
        <v>54977000</v>
      </c>
      <c r="K33" s="20">
        <f>K34+K35</f>
        <v>57633179</v>
      </c>
      <c r="L33" s="13">
        <f t="shared" si="0"/>
        <v>112610179</v>
      </c>
    </row>
    <row r="34" spans="1:12" ht="51" customHeight="1" x14ac:dyDescent="0.2">
      <c r="A34" s="21" t="s">
        <v>14</v>
      </c>
      <c r="B34" s="21" t="s">
        <v>15</v>
      </c>
      <c r="C34" s="21" t="s">
        <v>61</v>
      </c>
      <c r="D34" s="21" t="s">
        <v>19</v>
      </c>
      <c r="E34" s="21" t="s">
        <v>64</v>
      </c>
      <c r="F34" s="21" t="s">
        <v>29</v>
      </c>
      <c r="G34" s="22" t="s">
        <v>17</v>
      </c>
      <c r="H34" s="22" t="s">
        <v>62</v>
      </c>
      <c r="I34" s="16" t="s">
        <v>65</v>
      </c>
      <c r="J34" s="17">
        <v>54715000</v>
      </c>
      <c r="K34" s="17">
        <v>57369420</v>
      </c>
      <c r="L34" s="576">
        <f t="shared" si="0"/>
        <v>112084420</v>
      </c>
    </row>
    <row r="35" spans="1:12" ht="39" customHeight="1" x14ac:dyDescent="0.2">
      <c r="A35" s="21" t="s">
        <v>14</v>
      </c>
      <c r="B35" s="21" t="s">
        <v>15</v>
      </c>
      <c r="C35" s="21" t="s">
        <v>61</v>
      </c>
      <c r="D35" s="21" t="s">
        <v>22</v>
      </c>
      <c r="E35" s="21" t="s">
        <v>64</v>
      </c>
      <c r="F35" s="21" t="s">
        <v>29</v>
      </c>
      <c r="G35" s="22" t="s">
        <v>17</v>
      </c>
      <c r="H35" s="22" t="s">
        <v>62</v>
      </c>
      <c r="I35" s="16" t="s">
        <v>387</v>
      </c>
      <c r="J35" s="17">
        <v>262000</v>
      </c>
      <c r="K35" s="17">
        <v>263759</v>
      </c>
      <c r="L35" s="576">
        <f t="shared" si="0"/>
        <v>525759</v>
      </c>
    </row>
    <row r="36" spans="1:12" ht="31.5" x14ac:dyDescent="0.2">
      <c r="A36" s="18" t="s">
        <v>14</v>
      </c>
      <c r="B36" s="18" t="s">
        <v>15</v>
      </c>
      <c r="C36" s="18" t="s">
        <v>66</v>
      </c>
      <c r="D36" s="18" t="s">
        <v>16</v>
      </c>
      <c r="E36" s="18" t="s">
        <v>14</v>
      </c>
      <c r="F36" s="18" t="s">
        <v>16</v>
      </c>
      <c r="G36" s="19" t="s">
        <v>17</v>
      </c>
      <c r="H36" s="19" t="s">
        <v>14</v>
      </c>
      <c r="I36" s="12" t="s">
        <v>67</v>
      </c>
      <c r="J36" s="20">
        <v>7000000</v>
      </c>
      <c r="K36" s="20">
        <f>K37+K38</f>
        <v>2642145</v>
      </c>
      <c r="L36" s="13">
        <f t="shared" si="0"/>
        <v>9642145</v>
      </c>
    </row>
    <row r="37" spans="1:12" ht="115.5" customHeight="1" x14ac:dyDescent="0.2">
      <c r="A37" s="21" t="s">
        <v>46</v>
      </c>
      <c r="B37" s="21" t="s">
        <v>15</v>
      </c>
      <c r="C37" s="21" t="s">
        <v>66</v>
      </c>
      <c r="D37" s="21" t="s">
        <v>22</v>
      </c>
      <c r="E37" s="21" t="s">
        <v>14</v>
      </c>
      <c r="F37" s="21" t="s">
        <v>16</v>
      </c>
      <c r="G37" s="22" t="s">
        <v>17</v>
      </c>
      <c r="H37" s="22" t="s">
        <v>14</v>
      </c>
      <c r="I37" s="16" t="s">
        <v>68</v>
      </c>
      <c r="J37" s="17">
        <v>3000000</v>
      </c>
      <c r="K37" s="17">
        <v>312940</v>
      </c>
      <c r="L37" s="576">
        <f t="shared" si="0"/>
        <v>3312940</v>
      </c>
    </row>
    <row r="38" spans="1:12" ht="47.25" x14ac:dyDescent="0.2">
      <c r="A38" s="625" t="s">
        <v>14</v>
      </c>
      <c r="B38" s="625" t="s">
        <v>15</v>
      </c>
      <c r="C38" s="625" t="s">
        <v>66</v>
      </c>
      <c r="D38" s="625" t="s">
        <v>69</v>
      </c>
      <c r="E38" s="625" t="s">
        <v>14</v>
      </c>
      <c r="F38" s="625" t="s">
        <v>16</v>
      </c>
      <c r="G38" s="626" t="s">
        <v>17</v>
      </c>
      <c r="H38" s="626" t="s">
        <v>70</v>
      </c>
      <c r="I38" s="627" t="s">
        <v>71</v>
      </c>
      <c r="J38" s="628">
        <v>4000000</v>
      </c>
      <c r="K38" s="628">
        <f>K39+K40+K41</f>
        <v>2329205</v>
      </c>
      <c r="L38" s="629">
        <f t="shared" si="0"/>
        <v>6329205</v>
      </c>
    </row>
    <row r="39" spans="1:12" ht="81" customHeight="1" x14ac:dyDescent="0.2">
      <c r="A39" s="21" t="s">
        <v>46</v>
      </c>
      <c r="B39" s="21" t="s">
        <v>15</v>
      </c>
      <c r="C39" s="21" t="s">
        <v>66</v>
      </c>
      <c r="D39" s="21" t="s">
        <v>69</v>
      </c>
      <c r="E39" s="21" t="s">
        <v>72</v>
      </c>
      <c r="F39" s="21" t="s">
        <v>29</v>
      </c>
      <c r="G39" s="22" t="s">
        <v>17</v>
      </c>
      <c r="H39" s="22" t="s">
        <v>70</v>
      </c>
      <c r="I39" s="16" t="s">
        <v>3116</v>
      </c>
      <c r="J39" s="17">
        <v>1500000</v>
      </c>
      <c r="K39" s="17">
        <v>1739038</v>
      </c>
      <c r="L39" s="576">
        <f t="shared" si="0"/>
        <v>3239038</v>
      </c>
    </row>
    <row r="40" spans="1:12" ht="66.75" customHeight="1" x14ac:dyDescent="0.2">
      <c r="A40" s="21" t="s">
        <v>14</v>
      </c>
      <c r="B40" s="21" t="s">
        <v>15</v>
      </c>
      <c r="C40" s="21" t="s">
        <v>66</v>
      </c>
      <c r="D40" s="21" t="s">
        <v>69</v>
      </c>
      <c r="E40" s="21" t="s">
        <v>72</v>
      </c>
      <c r="F40" s="21" t="s">
        <v>61</v>
      </c>
      <c r="G40" s="22" t="s">
        <v>17</v>
      </c>
      <c r="H40" s="22" t="s">
        <v>70</v>
      </c>
      <c r="I40" s="16" t="s">
        <v>74</v>
      </c>
      <c r="J40" s="17">
        <v>1500000</v>
      </c>
      <c r="K40" s="17">
        <v>456357</v>
      </c>
      <c r="L40" s="576">
        <f t="shared" si="0"/>
        <v>1956357</v>
      </c>
    </row>
    <row r="41" spans="1:12" ht="77.25" customHeight="1" x14ac:dyDescent="0.2">
      <c r="A41" s="21" t="s">
        <v>46</v>
      </c>
      <c r="B41" s="21" t="s">
        <v>15</v>
      </c>
      <c r="C41" s="21" t="s">
        <v>66</v>
      </c>
      <c r="D41" s="21" t="s">
        <v>69</v>
      </c>
      <c r="E41" s="21" t="s">
        <v>75</v>
      </c>
      <c r="F41" s="21" t="s">
        <v>29</v>
      </c>
      <c r="G41" s="22" t="s">
        <v>17</v>
      </c>
      <c r="H41" s="22" t="s">
        <v>70</v>
      </c>
      <c r="I41" s="16" t="s">
        <v>76</v>
      </c>
      <c r="J41" s="17">
        <v>1000000</v>
      </c>
      <c r="K41" s="17">
        <v>133810</v>
      </c>
      <c r="L41" s="576">
        <f t="shared" si="0"/>
        <v>1133810</v>
      </c>
    </row>
    <row r="42" spans="1:12" ht="15.75" x14ac:dyDescent="0.2">
      <c r="A42" s="18" t="s">
        <v>14</v>
      </c>
      <c r="B42" s="18" t="s">
        <v>15</v>
      </c>
      <c r="C42" s="18" t="s">
        <v>77</v>
      </c>
      <c r="D42" s="18" t="s">
        <v>16</v>
      </c>
      <c r="E42" s="18" t="s">
        <v>14</v>
      </c>
      <c r="F42" s="18" t="s">
        <v>16</v>
      </c>
      <c r="G42" s="19" t="s">
        <v>17</v>
      </c>
      <c r="H42" s="19" t="s">
        <v>14</v>
      </c>
      <c r="I42" s="12" t="s">
        <v>78</v>
      </c>
      <c r="J42" s="20">
        <v>4760000</v>
      </c>
      <c r="K42" s="20">
        <v>5224676</v>
      </c>
      <c r="L42" s="13">
        <f t="shared" si="0"/>
        <v>9984676</v>
      </c>
    </row>
    <row r="43" spans="1:12" ht="26.25" customHeight="1" x14ac:dyDescent="0.2">
      <c r="A43" s="18" t="s">
        <v>14</v>
      </c>
      <c r="B43" s="18" t="s">
        <v>15</v>
      </c>
      <c r="C43" s="18" t="s">
        <v>79</v>
      </c>
      <c r="D43" s="18" t="s">
        <v>16</v>
      </c>
      <c r="E43" s="18" t="s">
        <v>42</v>
      </c>
      <c r="F43" s="18" t="s">
        <v>16</v>
      </c>
      <c r="G43" s="19" t="s">
        <v>17</v>
      </c>
      <c r="H43" s="19" t="s">
        <v>14</v>
      </c>
      <c r="I43" s="12" t="s">
        <v>80</v>
      </c>
      <c r="J43" s="20">
        <v>5050077</v>
      </c>
      <c r="K43" s="20">
        <v>5046559</v>
      </c>
      <c r="L43" s="13">
        <f t="shared" si="0"/>
        <v>10096636</v>
      </c>
    </row>
    <row r="44" spans="1:12" ht="22.5" customHeight="1" x14ac:dyDescent="0.2">
      <c r="A44" s="18" t="s">
        <v>14</v>
      </c>
      <c r="B44" s="18" t="s">
        <v>81</v>
      </c>
      <c r="C44" s="18" t="s">
        <v>16</v>
      </c>
      <c r="D44" s="18" t="s">
        <v>16</v>
      </c>
      <c r="E44" s="18" t="s">
        <v>14</v>
      </c>
      <c r="F44" s="18" t="s">
        <v>16</v>
      </c>
      <c r="G44" s="25" t="s">
        <v>17</v>
      </c>
      <c r="H44" s="25" t="s">
        <v>14</v>
      </c>
      <c r="I44" s="26" t="s">
        <v>82</v>
      </c>
      <c r="J44" s="20">
        <v>1980236591.8699999</v>
      </c>
      <c r="K44" s="20">
        <f>K45+K167+K168</f>
        <v>1945072068</v>
      </c>
      <c r="L44" s="13">
        <f t="shared" si="0"/>
        <v>3925308659.8699999</v>
      </c>
    </row>
    <row r="45" spans="1:12" ht="47.25" x14ac:dyDescent="0.2">
      <c r="A45" s="18" t="s">
        <v>14</v>
      </c>
      <c r="B45" s="18" t="s">
        <v>81</v>
      </c>
      <c r="C45" s="18" t="s">
        <v>22</v>
      </c>
      <c r="D45" s="18" t="s">
        <v>16</v>
      </c>
      <c r="E45" s="18" t="s">
        <v>14</v>
      </c>
      <c r="F45" s="18" t="s">
        <v>16</v>
      </c>
      <c r="G45" s="25" t="s">
        <v>17</v>
      </c>
      <c r="H45" s="25" t="s">
        <v>14</v>
      </c>
      <c r="I45" s="26" t="s">
        <v>83</v>
      </c>
      <c r="J45" s="20">
        <v>1980236591.8699999</v>
      </c>
      <c r="K45" s="20">
        <f>K46+K51+K74+K115</f>
        <v>1952110684</v>
      </c>
      <c r="L45" s="13">
        <f t="shared" si="0"/>
        <v>3932347275.8699999</v>
      </c>
    </row>
    <row r="46" spans="1:12" ht="31.5" x14ac:dyDescent="0.2">
      <c r="A46" s="18" t="s">
        <v>14</v>
      </c>
      <c r="B46" s="18" t="s">
        <v>81</v>
      </c>
      <c r="C46" s="18" t="s">
        <v>22</v>
      </c>
      <c r="D46" s="18" t="s">
        <v>73</v>
      </c>
      <c r="E46" s="18" t="s">
        <v>14</v>
      </c>
      <c r="F46" s="18" t="s">
        <v>16</v>
      </c>
      <c r="G46" s="25" t="s">
        <v>17</v>
      </c>
      <c r="H46" s="25" t="s">
        <v>84</v>
      </c>
      <c r="I46" s="26" t="s">
        <v>85</v>
      </c>
      <c r="J46" s="20">
        <v>545090545</v>
      </c>
      <c r="K46" s="20">
        <f>K47+K48+K49+K50</f>
        <v>545085224</v>
      </c>
      <c r="L46" s="13">
        <f t="shared" si="0"/>
        <v>1090175769</v>
      </c>
    </row>
    <row r="47" spans="1:12" ht="46.5" customHeight="1" x14ac:dyDescent="0.2">
      <c r="A47" s="21" t="s">
        <v>86</v>
      </c>
      <c r="B47" s="21" t="s">
        <v>81</v>
      </c>
      <c r="C47" s="21" t="s">
        <v>22</v>
      </c>
      <c r="D47" s="21" t="s">
        <v>1003</v>
      </c>
      <c r="E47" s="21" t="s">
        <v>87</v>
      </c>
      <c r="F47" s="21" t="s">
        <v>29</v>
      </c>
      <c r="G47" s="27" t="s">
        <v>17</v>
      </c>
      <c r="H47" s="27" t="s">
        <v>84</v>
      </c>
      <c r="I47" s="28" t="s">
        <v>88</v>
      </c>
      <c r="J47" s="17">
        <v>434177000</v>
      </c>
      <c r="K47" s="17">
        <v>434177000</v>
      </c>
      <c r="L47" s="576">
        <f t="shared" si="0"/>
        <v>868354000</v>
      </c>
    </row>
    <row r="48" spans="1:12" ht="47.25" x14ac:dyDescent="0.2">
      <c r="A48" s="21" t="s">
        <v>86</v>
      </c>
      <c r="B48" s="21" t="s">
        <v>81</v>
      </c>
      <c r="C48" s="21" t="s">
        <v>22</v>
      </c>
      <c r="D48" s="21" t="s">
        <v>1003</v>
      </c>
      <c r="E48" s="21" t="s">
        <v>87</v>
      </c>
      <c r="F48" s="21" t="s">
        <v>29</v>
      </c>
      <c r="G48" s="27" t="s">
        <v>17</v>
      </c>
      <c r="H48" s="27" t="s">
        <v>84</v>
      </c>
      <c r="I48" s="28" t="s">
        <v>89</v>
      </c>
      <c r="J48" s="17">
        <v>41403000</v>
      </c>
      <c r="K48" s="17">
        <v>41403000</v>
      </c>
      <c r="L48" s="576">
        <f t="shared" si="0"/>
        <v>82806000</v>
      </c>
    </row>
    <row r="49" spans="1:12" ht="56.25" customHeight="1" x14ac:dyDescent="0.2">
      <c r="A49" s="21" t="s">
        <v>86</v>
      </c>
      <c r="B49" s="21" t="s">
        <v>81</v>
      </c>
      <c r="C49" s="21" t="s">
        <v>22</v>
      </c>
      <c r="D49" s="21" t="s">
        <v>1003</v>
      </c>
      <c r="E49" s="21" t="s">
        <v>2961</v>
      </c>
      <c r="F49" s="21" t="s">
        <v>29</v>
      </c>
      <c r="G49" s="27" t="s">
        <v>17</v>
      </c>
      <c r="H49" s="27" t="s">
        <v>84</v>
      </c>
      <c r="I49" s="28" t="s">
        <v>91</v>
      </c>
      <c r="J49" s="17">
        <v>62418000</v>
      </c>
      <c r="K49" s="17">
        <v>62418000</v>
      </c>
      <c r="L49" s="576">
        <f t="shared" si="0"/>
        <v>124836000</v>
      </c>
    </row>
    <row r="50" spans="1:12" ht="66" customHeight="1" x14ac:dyDescent="0.2">
      <c r="A50" s="21" t="s">
        <v>86</v>
      </c>
      <c r="B50" s="21" t="s">
        <v>81</v>
      </c>
      <c r="C50" s="21" t="s">
        <v>22</v>
      </c>
      <c r="D50" s="21" t="s">
        <v>3290</v>
      </c>
      <c r="E50" s="21" t="s">
        <v>99</v>
      </c>
      <c r="F50" s="21" t="s">
        <v>29</v>
      </c>
      <c r="G50" s="27" t="s">
        <v>3291</v>
      </c>
      <c r="H50" s="27" t="s">
        <v>84</v>
      </c>
      <c r="I50" s="28" t="s">
        <v>3292</v>
      </c>
      <c r="J50" s="17">
        <v>7092545</v>
      </c>
      <c r="K50" s="17">
        <v>7087224</v>
      </c>
      <c r="L50" s="576">
        <f t="shared" si="0"/>
        <v>14179769</v>
      </c>
    </row>
    <row r="51" spans="1:12" ht="45.75" customHeight="1" x14ac:dyDescent="0.2">
      <c r="A51" s="18" t="s">
        <v>14</v>
      </c>
      <c r="B51" s="18" t="s">
        <v>81</v>
      </c>
      <c r="C51" s="18" t="s">
        <v>22</v>
      </c>
      <c r="D51" s="18" t="s">
        <v>2962</v>
      </c>
      <c r="E51" s="18" t="s">
        <v>14</v>
      </c>
      <c r="F51" s="18" t="s">
        <v>16</v>
      </c>
      <c r="G51" s="25" t="s">
        <v>17</v>
      </c>
      <c r="H51" s="25" t="s">
        <v>84</v>
      </c>
      <c r="I51" s="26" t="s">
        <v>92</v>
      </c>
      <c r="J51" s="20">
        <v>113479304.5</v>
      </c>
      <c r="K51" s="20">
        <f>SUM(K52:K73)</f>
        <v>111535593</v>
      </c>
      <c r="L51" s="13">
        <f t="shared" si="0"/>
        <v>225014897.5</v>
      </c>
    </row>
    <row r="52" spans="1:12" ht="33.75" customHeight="1" x14ac:dyDescent="0.2">
      <c r="A52" s="21" t="s">
        <v>38</v>
      </c>
      <c r="B52" s="21" t="s">
        <v>81</v>
      </c>
      <c r="C52" s="21" t="s">
        <v>22</v>
      </c>
      <c r="D52" s="21" t="s">
        <v>2962</v>
      </c>
      <c r="E52" s="21" t="s">
        <v>95</v>
      </c>
      <c r="F52" s="21" t="s">
        <v>29</v>
      </c>
      <c r="G52" s="27" t="s">
        <v>17</v>
      </c>
      <c r="H52" s="27" t="s">
        <v>84</v>
      </c>
      <c r="I52" s="28" t="s">
        <v>96</v>
      </c>
      <c r="J52" s="17">
        <v>20003550</v>
      </c>
      <c r="K52" s="17">
        <v>19924994</v>
      </c>
      <c r="L52" s="576">
        <f>SUM(J52:K52)</f>
        <v>39928544</v>
      </c>
    </row>
    <row r="53" spans="1:12" ht="48" customHeight="1" x14ac:dyDescent="0.2">
      <c r="A53" s="21" t="s">
        <v>38</v>
      </c>
      <c r="B53" s="21" t="s">
        <v>81</v>
      </c>
      <c r="C53" s="21" t="s">
        <v>22</v>
      </c>
      <c r="D53" s="21" t="s">
        <v>2962</v>
      </c>
      <c r="E53" s="21" t="s">
        <v>95</v>
      </c>
      <c r="F53" s="21" t="s">
        <v>29</v>
      </c>
      <c r="G53" s="27" t="s">
        <v>17</v>
      </c>
      <c r="H53" s="27" t="s">
        <v>84</v>
      </c>
      <c r="I53" s="28" t="s">
        <v>3207</v>
      </c>
      <c r="J53" s="17">
        <v>25593000</v>
      </c>
      <c r="K53" s="17">
        <v>25035054</v>
      </c>
      <c r="L53" s="576">
        <f>SUM(J53:K53)</f>
        <v>50628054</v>
      </c>
    </row>
    <row r="54" spans="1:12" ht="38.25" customHeight="1" x14ac:dyDescent="0.2">
      <c r="A54" s="21" t="s">
        <v>94</v>
      </c>
      <c r="B54" s="21" t="s">
        <v>93</v>
      </c>
      <c r="C54" s="21" t="s">
        <v>22</v>
      </c>
      <c r="D54" s="21" t="s">
        <v>2962</v>
      </c>
      <c r="E54" s="21" t="s">
        <v>3078</v>
      </c>
      <c r="F54" s="21" t="s">
        <v>29</v>
      </c>
      <c r="G54" s="27" t="s">
        <v>17</v>
      </c>
      <c r="H54" s="27" t="s">
        <v>84</v>
      </c>
      <c r="I54" s="601" t="s">
        <v>3242</v>
      </c>
      <c r="J54" s="17">
        <v>4452899</v>
      </c>
      <c r="K54" s="17">
        <v>4452898</v>
      </c>
      <c r="L54" s="576">
        <f t="shared" si="0"/>
        <v>8905797</v>
      </c>
    </row>
    <row r="55" spans="1:12" ht="50.45" customHeight="1" x14ac:dyDescent="0.2">
      <c r="A55" s="21" t="s">
        <v>38</v>
      </c>
      <c r="B55" s="21" t="s">
        <v>81</v>
      </c>
      <c r="C55" s="21" t="s">
        <v>22</v>
      </c>
      <c r="D55" s="21" t="s">
        <v>2962</v>
      </c>
      <c r="E55" s="21" t="s">
        <v>3078</v>
      </c>
      <c r="F55" s="21" t="s">
        <v>29</v>
      </c>
      <c r="G55" s="27" t="s">
        <v>17</v>
      </c>
      <c r="H55" s="27" t="s">
        <v>84</v>
      </c>
      <c r="I55" s="714" t="s">
        <v>407</v>
      </c>
      <c r="J55" s="17">
        <v>4578000</v>
      </c>
      <c r="K55" s="17">
        <v>3894556</v>
      </c>
      <c r="L55" s="576">
        <f t="shared" si="0"/>
        <v>8472556</v>
      </c>
    </row>
    <row r="56" spans="1:12" ht="129" customHeight="1" x14ac:dyDescent="0.25">
      <c r="A56" s="21" t="s">
        <v>38</v>
      </c>
      <c r="B56" s="21" t="s">
        <v>81</v>
      </c>
      <c r="C56" s="21" t="s">
        <v>22</v>
      </c>
      <c r="D56" s="21" t="s">
        <v>2962</v>
      </c>
      <c r="E56" s="21" t="s">
        <v>3377</v>
      </c>
      <c r="F56" s="21" t="s">
        <v>29</v>
      </c>
      <c r="G56" s="27" t="s">
        <v>17</v>
      </c>
      <c r="H56" s="27" t="s">
        <v>84</v>
      </c>
      <c r="I56" s="715" t="s">
        <v>3100</v>
      </c>
      <c r="J56" s="17">
        <v>5302790</v>
      </c>
      <c r="K56" s="17">
        <v>5302790</v>
      </c>
      <c r="L56" s="576">
        <f t="shared" si="0"/>
        <v>10605580</v>
      </c>
    </row>
    <row r="57" spans="1:12" ht="39.75" customHeight="1" x14ac:dyDescent="0.2">
      <c r="A57" s="21" t="s">
        <v>98</v>
      </c>
      <c r="B57" s="21" t="s">
        <v>81</v>
      </c>
      <c r="C57" s="21" t="s">
        <v>22</v>
      </c>
      <c r="D57" s="21" t="s">
        <v>3433</v>
      </c>
      <c r="E57" s="21" t="s">
        <v>3449</v>
      </c>
      <c r="F57" s="21" t="s">
        <v>29</v>
      </c>
      <c r="G57" s="27" t="s">
        <v>17</v>
      </c>
      <c r="H57" s="27" t="s">
        <v>84</v>
      </c>
      <c r="I57" s="740" t="s">
        <v>3114</v>
      </c>
      <c r="J57" s="17">
        <v>130723</v>
      </c>
      <c r="K57" s="17">
        <v>130723</v>
      </c>
      <c r="L57" s="576">
        <f t="shared" si="0"/>
        <v>261446</v>
      </c>
    </row>
    <row r="58" spans="1:12" ht="50.45" customHeight="1" x14ac:dyDescent="0.2">
      <c r="A58" s="21" t="s">
        <v>38</v>
      </c>
      <c r="B58" s="21" t="s">
        <v>81</v>
      </c>
      <c r="C58" s="21" t="s">
        <v>22</v>
      </c>
      <c r="D58" s="21" t="s">
        <v>3433</v>
      </c>
      <c r="E58" s="21" t="s">
        <v>3434</v>
      </c>
      <c r="F58" s="21" t="s">
        <v>29</v>
      </c>
      <c r="G58" s="27" t="s">
        <v>17</v>
      </c>
      <c r="H58" s="27" t="s">
        <v>84</v>
      </c>
      <c r="I58" s="737" t="s">
        <v>3435</v>
      </c>
      <c r="J58" s="17">
        <v>1250933</v>
      </c>
      <c r="K58" s="17">
        <v>1187595</v>
      </c>
      <c r="L58" s="576">
        <f t="shared" si="0"/>
        <v>2438528</v>
      </c>
    </row>
    <row r="59" spans="1:12" ht="96.6" customHeight="1" x14ac:dyDescent="0.2">
      <c r="A59" s="21" t="s">
        <v>38</v>
      </c>
      <c r="B59" s="21" t="s">
        <v>81</v>
      </c>
      <c r="C59" s="21" t="s">
        <v>22</v>
      </c>
      <c r="D59" s="21" t="s">
        <v>2963</v>
      </c>
      <c r="E59" s="21" t="s">
        <v>99</v>
      </c>
      <c r="F59" s="21" t="s">
        <v>29</v>
      </c>
      <c r="G59" s="27" t="s">
        <v>3378</v>
      </c>
      <c r="H59" s="27" t="s">
        <v>84</v>
      </c>
      <c r="I59" s="716" t="s">
        <v>3379</v>
      </c>
      <c r="J59" s="17">
        <v>82532</v>
      </c>
      <c r="K59" s="17">
        <v>82532</v>
      </c>
      <c r="L59" s="576">
        <f t="shared" si="0"/>
        <v>165064</v>
      </c>
    </row>
    <row r="60" spans="1:12" ht="81" customHeight="1" x14ac:dyDescent="0.2">
      <c r="A60" s="21" t="s">
        <v>38</v>
      </c>
      <c r="B60" s="21" t="s">
        <v>81</v>
      </c>
      <c r="C60" s="21" t="s">
        <v>22</v>
      </c>
      <c r="D60" s="21" t="s">
        <v>2963</v>
      </c>
      <c r="E60" s="21" t="s">
        <v>99</v>
      </c>
      <c r="F60" s="21" t="s">
        <v>29</v>
      </c>
      <c r="G60" s="27" t="s">
        <v>3436</v>
      </c>
      <c r="H60" s="27" t="s">
        <v>84</v>
      </c>
      <c r="I60" s="722" t="s">
        <v>3437</v>
      </c>
      <c r="J60" s="17">
        <v>85423</v>
      </c>
      <c r="K60" s="17">
        <v>85422</v>
      </c>
      <c r="L60" s="576">
        <f t="shared" si="0"/>
        <v>170845</v>
      </c>
    </row>
    <row r="61" spans="1:12" ht="47.25" customHeight="1" x14ac:dyDescent="0.2">
      <c r="A61" s="21" t="s">
        <v>98</v>
      </c>
      <c r="B61" s="21" t="s">
        <v>81</v>
      </c>
      <c r="C61" s="21" t="s">
        <v>22</v>
      </c>
      <c r="D61" s="21" t="s">
        <v>2963</v>
      </c>
      <c r="E61" s="21" t="s">
        <v>99</v>
      </c>
      <c r="F61" s="21" t="s">
        <v>29</v>
      </c>
      <c r="G61" s="27" t="s">
        <v>3393</v>
      </c>
      <c r="H61" s="27" t="s">
        <v>84</v>
      </c>
      <c r="I61" s="725" t="s">
        <v>3394</v>
      </c>
      <c r="J61" s="17">
        <v>3014100</v>
      </c>
      <c r="K61" s="17">
        <v>3014100</v>
      </c>
      <c r="L61" s="576">
        <f t="shared" si="0"/>
        <v>6028200</v>
      </c>
    </row>
    <row r="62" spans="1:12" ht="48" customHeight="1" x14ac:dyDescent="0.2">
      <c r="A62" s="21" t="s">
        <v>98</v>
      </c>
      <c r="B62" s="21" t="s">
        <v>81</v>
      </c>
      <c r="C62" s="21" t="s">
        <v>22</v>
      </c>
      <c r="D62" s="21" t="s">
        <v>2963</v>
      </c>
      <c r="E62" s="21" t="s">
        <v>99</v>
      </c>
      <c r="F62" s="21" t="s">
        <v>29</v>
      </c>
      <c r="G62" s="27" t="s">
        <v>3075</v>
      </c>
      <c r="H62" s="27" t="s">
        <v>84</v>
      </c>
      <c r="I62" s="28" t="s">
        <v>100</v>
      </c>
      <c r="J62" s="717">
        <v>2166960</v>
      </c>
      <c r="K62" s="717">
        <v>2166960</v>
      </c>
      <c r="L62" s="576">
        <f t="shared" si="0"/>
        <v>4333920</v>
      </c>
    </row>
    <row r="63" spans="1:12" ht="39.6" customHeight="1" x14ac:dyDescent="0.2">
      <c r="A63" s="21" t="s">
        <v>98</v>
      </c>
      <c r="B63" s="21" t="s">
        <v>81</v>
      </c>
      <c r="C63" s="21" t="s">
        <v>22</v>
      </c>
      <c r="D63" s="21" t="s">
        <v>2963</v>
      </c>
      <c r="E63" s="21" t="s">
        <v>99</v>
      </c>
      <c r="F63" s="21" t="s">
        <v>29</v>
      </c>
      <c r="G63" s="27" t="s">
        <v>3438</v>
      </c>
      <c r="H63" s="27" t="s">
        <v>84</v>
      </c>
      <c r="I63" s="722" t="s">
        <v>3439</v>
      </c>
      <c r="J63" s="17">
        <v>133036.5</v>
      </c>
      <c r="K63" s="17">
        <v>133037</v>
      </c>
      <c r="L63" s="576">
        <f t="shared" si="0"/>
        <v>266073.5</v>
      </c>
    </row>
    <row r="64" spans="1:12" ht="39.6" customHeight="1" x14ac:dyDescent="0.2">
      <c r="A64" s="21" t="s">
        <v>101</v>
      </c>
      <c r="B64" s="21" t="s">
        <v>81</v>
      </c>
      <c r="C64" s="21" t="s">
        <v>22</v>
      </c>
      <c r="D64" s="21" t="s">
        <v>2963</v>
      </c>
      <c r="E64" s="21" t="s">
        <v>99</v>
      </c>
      <c r="F64" s="21" t="s">
        <v>29</v>
      </c>
      <c r="G64" s="27" t="s">
        <v>3076</v>
      </c>
      <c r="H64" s="27" t="s">
        <v>84</v>
      </c>
      <c r="I64" s="31" t="s">
        <v>102</v>
      </c>
      <c r="J64" s="17">
        <v>739530</v>
      </c>
      <c r="K64" s="17">
        <v>739530</v>
      </c>
      <c r="L64" s="576">
        <f t="shared" si="0"/>
        <v>1479060</v>
      </c>
    </row>
    <row r="65" spans="1:12" ht="66.75" customHeight="1" x14ac:dyDescent="0.2">
      <c r="A65" s="21" t="s">
        <v>101</v>
      </c>
      <c r="B65" s="21" t="s">
        <v>81</v>
      </c>
      <c r="C65" s="21" t="s">
        <v>22</v>
      </c>
      <c r="D65" s="21" t="s">
        <v>2963</v>
      </c>
      <c r="E65" s="21" t="s">
        <v>99</v>
      </c>
      <c r="F65" s="21" t="s">
        <v>29</v>
      </c>
      <c r="G65" s="27" t="s">
        <v>3077</v>
      </c>
      <c r="H65" s="27" t="s">
        <v>84</v>
      </c>
      <c r="I65" s="31" t="s">
        <v>104</v>
      </c>
      <c r="J65" s="17">
        <v>151581</v>
      </c>
      <c r="K65" s="17">
        <v>151581</v>
      </c>
      <c r="L65" s="576">
        <f t="shared" si="0"/>
        <v>303162</v>
      </c>
    </row>
    <row r="66" spans="1:12" ht="85.5" customHeight="1" x14ac:dyDescent="0.2">
      <c r="A66" s="21" t="s">
        <v>98</v>
      </c>
      <c r="B66" s="21" t="s">
        <v>81</v>
      </c>
      <c r="C66" s="21" t="s">
        <v>22</v>
      </c>
      <c r="D66" s="21" t="s">
        <v>2963</v>
      </c>
      <c r="E66" s="21" t="s">
        <v>99</v>
      </c>
      <c r="F66" s="21" t="s">
        <v>29</v>
      </c>
      <c r="G66" s="27" t="s">
        <v>3406</v>
      </c>
      <c r="H66" s="27" t="s">
        <v>84</v>
      </c>
      <c r="I66" s="729" t="s">
        <v>3405</v>
      </c>
      <c r="J66" s="17">
        <v>1509822</v>
      </c>
      <c r="K66" s="17">
        <v>1509822</v>
      </c>
      <c r="L66" s="576">
        <f t="shared" si="0"/>
        <v>3019644</v>
      </c>
    </row>
    <row r="67" spans="1:12" ht="52.5" customHeight="1" x14ac:dyDescent="0.2">
      <c r="A67" s="588" t="s">
        <v>38</v>
      </c>
      <c r="B67" s="21" t="s">
        <v>81</v>
      </c>
      <c r="C67" s="21" t="s">
        <v>22</v>
      </c>
      <c r="D67" s="21" t="s">
        <v>2963</v>
      </c>
      <c r="E67" s="21" t="s">
        <v>99</v>
      </c>
      <c r="F67" s="21" t="s">
        <v>29</v>
      </c>
      <c r="G67" s="600" t="s">
        <v>3174</v>
      </c>
      <c r="H67" s="27" t="s">
        <v>84</v>
      </c>
      <c r="I67" s="28" t="s">
        <v>2893</v>
      </c>
      <c r="J67" s="17">
        <v>59000</v>
      </c>
      <c r="K67" s="17">
        <v>59000</v>
      </c>
      <c r="L67" s="576">
        <f t="shared" si="0"/>
        <v>118000</v>
      </c>
    </row>
    <row r="68" spans="1:12" ht="63.6" customHeight="1" x14ac:dyDescent="0.2">
      <c r="A68" s="21" t="s">
        <v>38</v>
      </c>
      <c r="B68" s="21" t="s">
        <v>81</v>
      </c>
      <c r="C68" s="21" t="s">
        <v>22</v>
      </c>
      <c r="D68" s="21" t="s">
        <v>2963</v>
      </c>
      <c r="E68" s="21" t="s">
        <v>99</v>
      </c>
      <c r="F68" s="21" t="s">
        <v>29</v>
      </c>
      <c r="G68" s="27" t="s">
        <v>3380</v>
      </c>
      <c r="H68" s="27" t="s">
        <v>84</v>
      </c>
      <c r="I68" s="866" t="s">
        <v>3381</v>
      </c>
      <c r="J68" s="17">
        <v>14200365</v>
      </c>
      <c r="K68" s="713">
        <v>13067106</v>
      </c>
      <c r="L68" s="576">
        <f t="shared" si="0"/>
        <v>27267471</v>
      </c>
    </row>
    <row r="69" spans="1:12" ht="47.45" customHeight="1" x14ac:dyDescent="0.2">
      <c r="A69" s="21" t="s">
        <v>38</v>
      </c>
      <c r="B69" s="21" t="s">
        <v>81</v>
      </c>
      <c r="C69" s="21" t="s">
        <v>22</v>
      </c>
      <c r="D69" s="21" t="s">
        <v>2963</v>
      </c>
      <c r="E69" s="21" t="s">
        <v>99</v>
      </c>
      <c r="F69" s="21" t="s">
        <v>29</v>
      </c>
      <c r="G69" s="27" t="s">
        <v>3382</v>
      </c>
      <c r="H69" s="27" t="s">
        <v>84</v>
      </c>
      <c r="I69" s="718" t="s">
        <v>3383</v>
      </c>
      <c r="J69" s="17">
        <v>568352</v>
      </c>
      <c r="K69" s="17">
        <v>568352</v>
      </c>
      <c r="L69" s="576">
        <f t="shared" si="0"/>
        <v>1136704</v>
      </c>
    </row>
    <row r="70" spans="1:12" ht="47.45" customHeight="1" x14ac:dyDescent="0.25">
      <c r="A70" s="21" t="s">
        <v>38</v>
      </c>
      <c r="B70" s="21" t="s">
        <v>81</v>
      </c>
      <c r="C70" s="21" t="s">
        <v>22</v>
      </c>
      <c r="D70" s="21" t="s">
        <v>2963</v>
      </c>
      <c r="E70" s="21" t="s">
        <v>99</v>
      </c>
      <c r="F70" s="21" t="s">
        <v>29</v>
      </c>
      <c r="G70" s="27" t="s">
        <v>3384</v>
      </c>
      <c r="H70" s="27" t="s">
        <v>84</v>
      </c>
      <c r="I70" s="719" t="s">
        <v>3193</v>
      </c>
      <c r="J70" s="17">
        <v>257953</v>
      </c>
      <c r="K70" s="17">
        <v>257953</v>
      </c>
      <c r="L70" s="576">
        <f t="shared" si="0"/>
        <v>515906</v>
      </c>
    </row>
    <row r="71" spans="1:12" ht="63" customHeight="1" x14ac:dyDescent="0.2">
      <c r="A71" s="588" t="s">
        <v>101</v>
      </c>
      <c r="B71" s="21" t="s">
        <v>81</v>
      </c>
      <c r="C71" s="21" t="s">
        <v>22</v>
      </c>
      <c r="D71" s="21" t="s">
        <v>2963</v>
      </c>
      <c r="E71" s="21" t="s">
        <v>99</v>
      </c>
      <c r="F71" s="21" t="s">
        <v>29</v>
      </c>
      <c r="G71" s="600" t="s">
        <v>3228</v>
      </c>
      <c r="H71" s="27" t="s">
        <v>84</v>
      </c>
      <c r="I71" s="28" t="s">
        <v>3229</v>
      </c>
      <c r="J71" s="17">
        <v>7434919</v>
      </c>
      <c r="K71" s="17">
        <v>8007752</v>
      </c>
      <c r="L71" s="576">
        <f t="shared" si="0"/>
        <v>15442671</v>
      </c>
    </row>
    <row r="72" spans="1:12" ht="51.75" customHeight="1" x14ac:dyDescent="0.2">
      <c r="A72" s="588" t="s">
        <v>98</v>
      </c>
      <c r="B72" s="21" t="s">
        <v>81</v>
      </c>
      <c r="C72" s="21" t="s">
        <v>22</v>
      </c>
      <c r="D72" s="21" t="s">
        <v>2963</v>
      </c>
      <c r="E72" s="21" t="s">
        <v>99</v>
      </c>
      <c r="F72" s="21" t="s">
        <v>29</v>
      </c>
      <c r="G72" s="600" t="s">
        <v>3232</v>
      </c>
      <c r="H72" s="27" t="s">
        <v>84</v>
      </c>
      <c r="I72" s="28" t="s">
        <v>3233</v>
      </c>
      <c r="J72" s="17">
        <v>20963836</v>
      </c>
      <c r="K72" s="17">
        <v>20963836</v>
      </c>
      <c r="L72" s="576">
        <f>SUM(J72:K72)</f>
        <v>41927672</v>
      </c>
    </row>
    <row r="73" spans="1:12" ht="51.75" customHeight="1" x14ac:dyDescent="0.2">
      <c r="A73" s="588" t="s">
        <v>98</v>
      </c>
      <c r="B73" s="21" t="s">
        <v>81</v>
      </c>
      <c r="C73" s="21" t="s">
        <v>22</v>
      </c>
      <c r="D73" s="21" t="s">
        <v>2963</v>
      </c>
      <c r="E73" s="21" t="s">
        <v>99</v>
      </c>
      <c r="F73" s="21" t="s">
        <v>29</v>
      </c>
      <c r="G73" s="600" t="s">
        <v>3395</v>
      </c>
      <c r="H73" s="27" t="s">
        <v>84</v>
      </c>
      <c r="I73" s="726" t="s">
        <v>3396</v>
      </c>
      <c r="J73" s="17">
        <v>800000</v>
      </c>
      <c r="K73" s="17">
        <v>800000</v>
      </c>
      <c r="L73" s="576">
        <f t="shared" si="0"/>
        <v>1600000</v>
      </c>
    </row>
    <row r="74" spans="1:12" s="32" customFormat="1" ht="33" customHeight="1" x14ac:dyDescent="0.25">
      <c r="A74" s="18" t="s">
        <v>14</v>
      </c>
      <c r="B74" s="18" t="s">
        <v>81</v>
      </c>
      <c r="C74" s="18" t="s">
        <v>22</v>
      </c>
      <c r="D74" s="18" t="s">
        <v>2969</v>
      </c>
      <c r="E74" s="18" t="s">
        <v>14</v>
      </c>
      <c r="F74" s="18" t="s">
        <v>16</v>
      </c>
      <c r="G74" s="25" t="s">
        <v>17</v>
      </c>
      <c r="H74" s="25" t="s">
        <v>84</v>
      </c>
      <c r="I74" s="26" t="s">
        <v>105</v>
      </c>
      <c r="J74" s="20">
        <v>1072674407</v>
      </c>
      <c r="K74" s="20">
        <f>SUM(K75:K114)</f>
        <v>1062802852</v>
      </c>
      <c r="L74" s="20">
        <f>J74+K74</f>
        <v>2135477259</v>
      </c>
    </row>
    <row r="75" spans="1:12" s="675" customFormat="1" ht="47.25" customHeight="1" x14ac:dyDescent="0.25">
      <c r="A75" s="21" t="s">
        <v>106</v>
      </c>
      <c r="B75" s="21" t="s">
        <v>81</v>
      </c>
      <c r="C75" s="21" t="s">
        <v>22</v>
      </c>
      <c r="D75" s="21" t="s">
        <v>2969</v>
      </c>
      <c r="E75" s="21" t="s">
        <v>3293</v>
      </c>
      <c r="F75" s="21" t="s">
        <v>29</v>
      </c>
      <c r="G75" s="27" t="s">
        <v>17</v>
      </c>
      <c r="H75" s="27" t="s">
        <v>84</v>
      </c>
      <c r="I75" s="28" t="s">
        <v>111</v>
      </c>
      <c r="J75" s="17">
        <v>25931000</v>
      </c>
      <c r="K75" s="17">
        <v>24513969</v>
      </c>
      <c r="L75" s="17">
        <f>J75+K75</f>
        <v>50444969</v>
      </c>
    </row>
    <row r="76" spans="1:12" s="575" customFormat="1" ht="69" customHeight="1" x14ac:dyDescent="0.25">
      <c r="A76" s="21" t="s">
        <v>94</v>
      </c>
      <c r="B76" s="21" t="s">
        <v>81</v>
      </c>
      <c r="C76" s="21" t="s">
        <v>22</v>
      </c>
      <c r="D76" s="21" t="s">
        <v>2969</v>
      </c>
      <c r="E76" s="21" t="s">
        <v>112</v>
      </c>
      <c r="F76" s="21" t="s">
        <v>29</v>
      </c>
      <c r="G76" s="27" t="s">
        <v>3054</v>
      </c>
      <c r="H76" s="27" t="s">
        <v>84</v>
      </c>
      <c r="I76" s="16" t="s">
        <v>115</v>
      </c>
      <c r="J76" s="17">
        <v>15000</v>
      </c>
      <c r="K76" s="17">
        <v>10279</v>
      </c>
      <c r="L76" s="576">
        <f>J76+K76</f>
        <v>25279</v>
      </c>
    </row>
    <row r="77" spans="1:12" s="575" customFormat="1" ht="53.25" customHeight="1" x14ac:dyDescent="0.25">
      <c r="A77" s="21" t="s">
        <v>94</v>
      </c>
      <c r="B77" s="21" t="s">
        <v>81</v>
      </c>
      <c r="C77" s="21" t="s">
        <v>22</v>
      </c>
      <c r="D77" s="21" t="s">
        <v>2969</v>
      </c>
      <c r="E77" s="21" t="s">
        <v>112</v>
      </c>
      <c r="F77" s="21" t="s">
        <v>29</v>
      </c>
      <c r="G77" s="27" t="s">
        <v>3055</v>
      </c>
      <c r="H77" s="27" t="s">
        <v>84</v>
      </c>
      <c r="I77" s="16" t="s">
        <v>3166</v>
      </c>
      <c r="J77" s="17">
        <v>667422</v>
      </c>
      <c r="K77" s="17">
        <v>609286</v>
      </c>
      <c r="L77" s="576">
        <f t="shared" ref="L77:L107" si="1">SUM(J77:K77)</f>
        <v>1276708</v>
      </c>
    </row>
    <row r="78" spans="1:12" s="575" customFormat="1" ht="84" customHeight="1" x14ac:dyDescent="0.25">
      <c r="A78" s="21" t="s">
        <v>106</v>
      </c>
      <c r="B78" s="21" t="s">
        <v>81</v>
      </c>
      <c r="C78" s="21" t="s">
        <v>22</v>
      </c>
      <c r="D78" s="21" t="s">
        <v>2969</v>
      </c>
      <c r="E78" s="21" t="s">
        <v>112</v>
      </c>
      <c r="F78" s="21" t="s">
        <v>29</v>
      </c>
      <c r="G78" s="27" t="s">
        <v>3056</v>
      </c>
      <c r="H78" s="27" t="s">
        <v>84</v>
      </c>
      <c r="I78" s="16" t="s">
        <v>116</v>
      </c>
      <c r="J78" s="17">
        <v>68652000</v>
      </c>
      <c r="K78" s="17">
        <v>66658832</v>
      </c>
      <c r="L78" s="576">
        <f t="shared" si="1"/>
        <v>135310832</v>
      </c>
    </row>
    <row r="79" spans="1:12" s="575" customFormat="1" ht="84" customHeight="1" x14ac:dyDescent="0.25">
      <c r="A79" s="21" t="s">
        <v>101</v>
      </c>
      <c r="B79" s="21" t="s">
        <v>81</v>
      </c>
      <c r="C79" s="21" t="s">
        <v>22</v>
      </c>
      <c r="D79" s="21" t="s">
        <v>2969</v>
      </c>
      <c r="E79" s="21" t="s">
        <v>112</v>
      </c>
      <c r="F79" s="21" t="s">
        <v>29</v>
      </c>
      <c r="G79" s="27" t="s">
        <v>3072</v>
      </c>
      <c r="H79" s="27" t="s">
        <v>84</v>
      </c>
      <c r="I79" s="16" t="s">
        <v>133</v>
      </c>
      <c r="J79" s="17">
        <v>4407000</v>
      </c>
      <c r="K79" s="17">
        <v>4407000</v>
      </c>
      <c r="L79" s="576">
        <f t="shared" si="1"/>
        <v>8814000</v>
      </c>
    </row>
    <row r="80" spans="1:12" s="575" customFormat="1" ht="51" customHeight="1" x14ac:dyDescent="0.25">
      <c r="A80" s="21" t="s">
        <v>101</v>
      </c>
      <c r="B80" s="21" t="s">
        <v>81</v>
      </c>
      <c r="C80" s="21" t="s">
        <v>22</v>
      </c>
      <c r="D80" s="21" t="s">
        <v>2969</v>
      </c>
      <c r="E80" s="21" t="s">
        <v>112</v>
      </c>
      <c r="F80" s="21" t="s">
        <v>29</v>
      </c>
      <c r="G80" s="27" t="s">
        <v>3069</v>
      </c>
      <c r="H80" s="27" t="s">
        <v>84</v>
      </c>
      <c r="I80" s="16" t="s">
        <v>130</v>
      </c>
      <c r="J80" s="17">
        <v>267331</v>
      </c>
      <c r="K80" s="17">
        <v>256539</v>
      </c>
      <c r="L80" s="576">
        <f t="shared" si="1"/>
        <v>523870</v>
      </c>
    </row>
    <row r="81" spans="1:12" s="575" customFormat="1" ht="67.5" customHeight="1" x14ac:dyDescent="0.25">
      <c r="A81" s="21" t="s">
        <v>101</v>
      </c>
      <c r="B81" s="21" t="s">
        <v>81</v>
      </c>
      <c r="C81" s="21" t="s">
        <v>22</v>
      </c>
      <c r="D81" s="21" t="s">
        <v>2969</v>
      </c>
      <c r="E81" s="21" t="s">
        <v>112</v>
      </c>
      <c r="F81" s="21" t="s">
        <v>29</v>
      </c>
      <c r="G81" s="27" t="s">
        <v>3065</v>
      </c>
      <c r="H81" s="27" t="s">
        <v>84</v>
      </c>
      <c r="I81" s="16" t="s">
        <v>126</v>
      </c>
      <c r="J81" s="17">
        <v>1231261</v>
      </c>
      <c r="K81" s="17">
        <v>1161774</v>
      </c>
      <c r="L81" s="576">
        <f t="shared" si="1"/>
        <v>2393035</v>
      </c>
    </row>
    <row r="82" spans="1:12" s="575" customFormat="1" ht="83.25" customHeight="1" x14ac:dyDescent="0.25">
      <c r="A82" s="21" t="s">
        <v>101</v>
      </c>
      <c r="B82" s="21" t="s">
        <v>81</v>
      </c>
      <c r="C82" s="21" t="s">
        <v>22</v>
      </c>
      <c r="D82" s="21" t="s">
        <v>2969</v>
      </c>
      <c r="E82" s="21" t="s">
        <v>112</v>
      </c>
      <c r="F82" s="21" t="s">
        <v>29</v>
      </c>
      <c r="G82" s="27" t="s">
        <v>3067</v>
      </c>
      <c r="H82" s="27" t="s">
        <v>84</v>
      </c>
      <c r="I82" s="16" t="s">
        <v>128</v>
      </c>
      <c r="J82" s="17">
        <v>19369359</v>
      </c>
      <c r="K82" s="17">
        <v>18836073</v>
      </c>
      <c r="L82" s="576">
        <f t="shared" si="1"/>
        <v>38205432</v>
      </c>
    </row>
    <row r="83" spans="1:12" s="575" customFormat="1" ht="33" customHeight="1" x14ac:dyDescent="0.25">
      <c r="A83" s="21" t="s">
        <v>101</v>
      </c>
      <c r="B83" s="21" t="s">
        <v>81</v>
      </c>
      <c r="C83" s="21" t="s">
        <v>22</v>
      </c>
      <c r="D83" s="21" t="s">
        <v>2969</v>
      </c>
      <c r="E83" s="21" t="s">
        <v>112</v>
      </c>
      <c r="F83" s="21" t="s">
        <v>29</v>
      </c>
      <c r="G83" s="27" t="s">
        <v>3064</v>
      </c>
      <c r="H83" s="27" t="s">
        <v>84</v>
      </c>
      <c r="I83" s="16" t="s">
        <v>125</v>
      </c>
      <c r="J83" s="17">
        <v>2839000</v>
      </c>
      <c r="K83" s="17">
        <v>2565172</v>
      </c>
      <c r="L83" s="576">
        <f t="shared" si="1"/>
        <v>5404172</v>
      </c>
    </row>
    <row r="84" spans="1:12" s="575" customFormat="1" ht="51.75" customHeight="1" x14ac:dyDescent="0.25">
      <c r="A84" s="21" t="s">
        <v>101</v>
      </c>
      <c r="B84" s="21" t="s">
        <v>81</v>
      </c>
      <c r="C84" s="21" t="s">
        <v>22</v>
      </c>
      <c r="D84" s="21" t="s">
        <v>2969</v>
      </c>
      <c r="E84" s="21" t="s">
        <v>112</v>
      </c>
      <c r="F84" s="21" t="s">
        <v>29</v>
      </c>
      <c r="G84" s="27" t="s">
        <v>3051</v>
      </c>
      <c r="H84" s="27" t="s">
        <v>84</v>
      </c>
      <c r="I84" s="16" t="s">
        <v>113</v>
      </c>
      <c r="J84" s="17">
        <v>220357406</v>
      </c>
      <c r="K84" s="17">
        <v>222049500</v>
      </c>
      <c r="L84" s="576">
        <f t="shared" si="1"/>
        <v>442406906</v>
      </c>
    </row>
    <row r="85" spans="1:12" s="575" customFormat="1" ht="49.5" customHeight="1" x14ac:dyDescent="0.25">
      <c r="A85" s="21" t="s">
        <v>101</v>
      </c>
      <c r="B85" s="21" t="s">
        <v>81</v>
      </c>
      <c r="C85" s="21" t="s">
        <v>22</v>
      </c>
      <c r="D85" s="21" t="s">
        <v>2969</v>
      </c>
      <c r="E85" s="21" t="s">
        <v>112</v>
      </c>
      <c r="F85" s="21" t="s">
        <v>29</v>
      </c>
      <c r="G85" s="27" t="s">
        <v>3066</v>
      </c>
      <c r="H85" s="27" t="s">
        <v>84</v>
      </c>
      <c r="I85" s="16" t="s">
        <v>127</v>
      </c>
      <c r="J85" s="17">
        <v>358629070</v>
      </c>
      <c r="K85" s="17">
        <v>358423150</v>
      </c>
      <c r="L85" s="576">
        <f t="shared" si="1"/>
        <v>717052220</v>
      </c>
    </row>
    <row r="86" spans="1:12" s="575" customFormat="1" ht="33" customHeight="1" x14ac:dyDescent="0.25">
      <c r="A86" s="21" t="s">
        <v>101</v>
      </c>
      <c r="B86" s="21" t="s">
        <v>81</v>
      </c>
      <c r="C86" s="21" t="s">
        <v>22</v>
      </c>
      <c r="D86" s="21" t="s">
        <v>2969</v>
      </c>
      <c r="E86" s="21" t="s">
        <v>112</v>
      </c>
      <c r="F86" s="21" t="s">
        <v>29</v>
      </c>
      <c r="G86" s="27" t="s">
        <v>3052</v>
      </c>
      <c r="H86" s="27" t="s">
        <v>84</v>
      </c>
      <c r="I86" s="16" t="s">
        <v>114</v>
      </c>
      <c r="J86" s="17">
        <v>23533580</v>
      </c>
      <c r="K86" s="17">
        <v>25737380</v>
      </c>
      <c r="L86" s="576">
        <f t="shared" si="1"/>
        <v>49270960</v>
      </c>
    </row>
    <row r="87" spans="1:12" s="575" customFormat="1" ht="63" customHeight="1" x14ac:dyDescent="0.25">
      <c r="A87" s="21" t="s">
        <v>101</v>
      </c>
      <c r="B87" s="21" t="s">
        <v>81</v>
      </c>
      <c r="C87" s="21" t="s">
        <v>22</v>
      </c>
      <c r="D87" s="21" t="s">
        <v>2969</v>
      </c>
      <c r="E87" s="21" t="s">
        <v>112</v>
      </c>
      <c r="F87" s="21" t="s">
        <v>29</v>
      </c>
      <c r="G87" s="27" t="s">
        <v>3070</v>
      </c>
      <c r="H87" s="27" t="s">
        <v>84</v>
      </c>
      <c r="I87" s="16" t="s">
        <v>132</v>
      </c>
      <c r="J87" s="17">
        <v>25508442</v>
      </c>
      <c r="K87" s="17">
        <v>25187375</v>
      </c>
      <c r="L87" s="576">
        <f t="shared" si="1"/>
        <v>50695817</v>
      </c>
    </row>
    <row r="88" spans="1:12" s="575" customFormat="1" ht="27" customHeight="1" x14ac:dyDescent="0.25">
      <c r="A88" s="21" t="s">
        <v>106</v>
      </c>
      <c r="B88" s="21" t="s">
        <v>81</v>
      </c>
      <c r="C88" s="21" t="s">
        <v>22</v>
      </c>
      <c r="D88" s="21" t="s">
        <v>2969</v>
      </c>
      <c r="E88" s="21" t="s">
        <v>112</v>
      </c>
      <c r="F88" s="21" t="s">
        <v>29</v>
      </c>
      <c r="G88" s="27" t="s">
        <v>3060</v>
      </c>
      <c r="H88" s="27" t="s">
        <v>84</v>
      </c>
      <c r="I88" s="16" t="s">
        <v>121</v>
      </c>
      <c r="J88" s="17">
        <v>20539000</v>
      </c>
      <c r="K88" s="17">
        <v>20013700</v>
      </c>
      <c r="L88" s="576">
        <f t="shared" si="1"/>
        <v>40552700</v>
      </c>
    </row>
    <row r="89" spans="1:12" s="575" customFormat="1" ht="114" customHeight="1" x14ac:dyDescent="0.25">
      <c r="A89" s="21" t="s">
        <v>106</v>
      </c>
      <c r="B89" s="21" t="s">
        <v>81</v>
      </c>
      <c r="C89" s="21" t="s">
        <v>22</v>
      </c>
      <c r="D89" s="21" t="s">
        <v>2969</v>
      </c>
      <c r="E89" s="21" t="s">
        <v>112</v>
      </c>
      <c r="F89" s="21" t="s">
        <v>29</v>
      </c>
      <c r="G89" s="27" t="s">
        <v>3068</v>
      </c>
      <c r="H89" s="27" t="s">
        <v>84</v>
      </c>
      <c r="I89" s="16" t="s">
        <v>129</v>
      </c>
      <c r="J89" s="17">
        <v>79237503</v>
      </c>
      <c r="K89" s="17">
        <v>79204194</v>
      </c>
      <c r="L89" s="576">
        <f t="shared" si="1"/>
        <v>158441697</v>
      </c>
    </row>
    <row r="90" spans="1:12" s="575" customFormat="1" ht="36.75" customHeight="1" x14ac:dyDescent="0.25">
      <c r="A90" s="21" t="s">
        <v>106</v>
      </c>
      <c r="B90" s="21" t="s">
        <v>81</v>
      </c>
      <c r="C90" s="21" t="s">
        <v>22</v>
      </c>
      <c r="D90" s="21" t="s">
        <v>2969</v>
      </c>
      <c r="E90" s="21" t="s">
        <v>112</v>
      </c>
      <c r="F90" s="21" t="s">
        <v>29</v>
      </c>
      <c r="G90" s="27" t="s">
        <v>3061</v>
      </c>
      <c r="H90" s="27" t="s">
        <v>84</v>
      </c>
      <c r="I90" s="16" t="s">
        <v>122</v>
      </c>
      <c r="J90" s="17">
        <v>4760700</v>
      </c>
      <c r="K90" s="17">
        <v>4758648</v>
      </c>
      <c r="L90" s="576">
        <f t="shared" si="1"/>
        <v>9519348</v>
      </c>
    </row>
    <row r="91" spans="1:12" s="575" customFormat="1" ht="54" customHeight="1" x14ac:dyDescent="0.25">
      <c r="A91" s="21" t="s">
        <v>106</v>
      </c>
      <c r="B91" s="21" t="s">
        <v>81</v>
      </c>
      <c r="C91" s="21" t="s">
        <v>22</v>
      </c>
      <c r="D91" s="21" t="s">
        <v>2969</v>
      </c>
      <c r="E91" s="21" t="s">
        <v>112</v>
      </c>
      <c r="F91" s="21" t="s">
        <v>29</v>
      </c>
      <c r="G91" s="27" t="s">
        <v>3062</v>
      </c>
      <c r="H91" s="27" t="s">
        <v>84</v>
      </c>
      <c r="I91" s="16" t="s">
        <v>123</v>
      </c>
      <c r="J91" s="17">
        <v>34700000</v>
      </c>
      <c r="K91" s="17">
        <v>34030030</v>
      </c>
      <c r="L91" s="576">
        <f t="shared" si="1"/>
        <v>68730030</v>
      </c>
    </row>
    <row r="92" spans="1:12" s="575" customFormat="1" ht="81.75" customHeight="1" x14ac:dyDescent="0.25">
      <c r="A92" s="21" t="s">
        <v>106</v>
      </c>
      <c r="B92" s="21" t="s">
        <v>81</v>
      </c>
      <c r="C92" s="21" t="s">
        <v>22</v>
      </c>
      <c r="D92" s="21" t="s">
        <v>2969</v>
      </c>
      <c r="E92" s="21" t="s">
        <v>112</v>
      </c>
      <c r="F92" s="21" t="s">
        <v>29</v>
      </c>
      <c r="G92" s="27" t="s">
        <v>3063</v>
      </c>
      <c r="H92" s="27" t="s">
        <v>84</v>
      </c>
      <c r="I92" s="16" t="s">
        <v>124</v>
      </c>
      <c r="J92" s="17">
        <v>38780000</v>
      </c>
      <c r="K92" s="17">
        <v>38472458</v>
      </c>
      <c r="L92" s="576">
        <f t="shared" si="1"/>
        <v>77252458</v>
      </c>
    </row>
    <row r="93" spans="1:12" s="575" customFormat="1" ht="81" customHeight="1" x14ac:dyDescent="0.25">
      <c r="A93" s="21" t="s">
        <v>38</v>
      </c>
      <c r="B93" s="21" t="s">
        <v>81</v>
      </c>
      <c r="C93" s="21" t="s">
        <v>22</v>
      </c>
      <c r="D93" s="21" t="s">
        <v>2969</v>
      </c>
      <c r="E93" s="21" t="s">
        <v>112</v>
      </c>
      <c r="F93" s="21" t="s">
        <v>29</v>
      </c>
      <c r="G93" s="27" t="s">
        <v>3074</v>
      </c>
      <c r="H93" s="27" t="s">
        <v>84</v>
      </c>
      <c r="I93" s="16" t="s">
        <v>135</v>
      </c>
      <c r="J93" s="17">
        <v>5900</v>
      </c>
      <c r="K93" s="17">
        <v>5900</v>
      </c>
      <c r="L93" s="576">
        <f t="shared" si="1"/>
        <v>11800</v>
      </c>
    </row>
    <row r="94" spans="1:12" s="575" customFormat="1" ht="39.75" customHeight="1" x14ac:dyDescent="0.25">
      <c r="A94" s="21" t="s">
        <v>94</v>
      </c>
      <c r="B94" s="21" t="s">
        <v>81</v>
      </c>
      <c r="C94" s="21" t="s">
        <v>22</v>
      </c>
      <c r="D94" s="21" t="s">
        <v>2969</v>
      </c>
      <c r="E94" s="21" t="s">
        <v>112</v>
      </c>
      <c r="F94" s="21" t="s">
        <v>29</v>
      </c>
      <c r="G94" s="27" t="s">
        <v>3073</v>
      </c>
      <c r="H94" s="27" t="s">
        <v>84</v>
      </c>
      <c r="I94" s="16" t="s">
        <v>134</v>
      </c>
      <c r="J94" s="17">
        <v>688375</v>
      </c>
      <c r="K94" s="17">
        <v>278155</v>
      </c>
      <c r="L94" s="576">
        <f t="shared" si="1"/>
        <v>966530</v>
      </c>
    </row>
    <row r="95" spans="1:12" s="575" customFormat="1" ht="51" customHeight="1" x14ac:dyDescent="0.25">
      <c r="A95" s="33">
        <v>950</v>
      </c>
      <c r="B95" s="34" t="s">
        <v>81</v>
      </c>
      <c r="C95" s="34" t="s">
        <v>22</v>
      </c>
      <c r="D95" s="34" t="s">
        <v>2969</v>
      </c>
      <c r="E95" s="34" t="s">
        <v>112</v>
      </c>
      <c r="F95" s="34" t="s">
        <v>29</v>
      </c>
      <c r="G95" s="34" t="s">
        <v>3053</v>
      </c>
      <c r="H95" s="34" t="s">
        <v>84</v>
      </c>
      <c r="I95" s="16" t="s">
        <v>117</v>
      </c>
      <c r="J95" s="17">
        <v>2306641</v>
      </c>
      <c r="K95" s="17">
        <v>2306641</v>
      </c>
      <c r="L95" s="576">
        <f t="shared" si="1"/>
        <v>4613282</v>
      </c>
    </row>
    <row r="96" spans="1:12" s="575" customFormat="1" ht="55.5" customHeight="1" x14ac:dyDescent="0.25">
      <c r="A96" s="21" t="s">
        <v>106</v>
      </c>
      <c r="B96" s="21" t="s">
        <v>81</v>
      </c>
      <c r="C96" s="21" t="s">
        <v>22</v>
      </c>
      <c r="D96" s="21" t="s">
        <v>2969</v>
      </c>
      <c r="E96" s="21" t="s">
        <v>112</v>
      </c>
      <c r="F96" s="21" t="s">
        <v>29</v>
      </c>
      <c r="G96" s="27" t="s">
        <v>3057</v>
      </c>
      <c r="H96" s="27" t="s">
        <v>84</v>
      </c>
      <c r="I96" s="16" t="s">
        <v>118</v>
      </c>
      <c r="J96" s="17">
        <v>14996000</v>
      </c>
      <c r="K96" s="17">
        <v>14906000</v>
      </c>
      <c r="L96" s="576">
        <f t="shared" si="1"/>
        <v>29902000</v>
      </c>
    </row>
    <row r="97" spans="1:12" s="32" customFormat="1" ht="39.75" customHeight="1" x14ac:dyDescent="0.25">
      <c r="A97" s="21" t="s">
        <v>101</v>
      </c>
      <c r="B97" s="21" t="s">
        <v>81</v>
      </c>
      <c r="C97" s="21" t="s">
        <v>22</v>
      </c>
      <c r="D97" s="21" t="s">
        <v>2969</v>
      </c>
      <c r="E97" s="21" t="s">
        <v>112</v>
      </c>
      <c r="F97" s="21" t="s">
        <v>29</v>
      </c>
      <c r="G97" s="27" t="s">
        <v>3058</v>
      </c>
      <c r="H97" s="27" t="s">
        <v>84</v>
      </c>
      <c r="I97" s="16" t="s">
        <v>119</v>
      </c>
      <c r="J97" s="17">
        <v>3997994</v>
      </c>
      <c r="K97" s="17">
        <v>4003506</v>
      </c>
      <c r="L97" s="576">
        <f t="shared" si="1"/>
        <v>8001500</v>
      </c>
    </row>
    <row r="98" spans="1:12" s="32" customFormat="1" ht="52.5" customHeight="1" x14ac:dyDescent="0.25">
      <c r="A98" s="21" t="s">
        <v>38</v>
      </c>
      <c r="B98" s="21" t="s">
        <v>81</v>
      </c>
      <c r="C98" s="21" t="s">
        <v>22</v>
      </c>
      <c r="D98" s="21" t="s">
        <v>2969</v>
      </c>
      <c r="E98" s="21" t="s">
        <v>112</v>
      </c>
      <c r="F98" s="21" t="s">
        <v>29</v>
      </c>
      <c r="G98" s="27" t="s">
        <v>3059</v>
      </c>
      <c r="H98" s="27" t="s">
        <v>84</v>
      </c>
      <c r="I98" s="16" t="s">
        <v>120</v>
      </c>
      <c r="J98" s="17">
        <v>242485</v>
      </c>
      <c r="K98" s="17">
        <v>242485</v>
      </c>
      <c r="L98" s="576">
        <f t="shared" si="1"/>
        <v>484970</v>
      </c>
    </row>
    <row r="99" spans="1:12" s="32" customFormat="1" ht="52.5" customHeight="1" x14ac:dyDescent="0.25">
      <c r="A99" s="21" t="s">
        <v>101</v>
      </c>
      <c r="B99" s="21" t="s">
        <v>81</v>
      </c>
      <c r="C99" s="21" t="s">
        <v>22</v>
      </c>
      <c r="D99" s="21" t="s">
        <v>2969</v>
      </c>
      <c r="E99" s="21" t="s">
        <v>112</v>
      </c>
      <c r="F99" s="21" t="s">
        <v>29</v>
      </c>
      <c r="G99" s="27" t="s">
        <v>3071</v>
      </c>
      <c r="H99" s="27" t="s">
        <v>84</v>
      </c>
      <c r="I99" s="16" t="s">
        <v>131</v>
      </c>
      <c r="J99" s="17">
        <v>120460</v>
      </c>
      <c r="K99" s="17">
        <v>20460</v>
      </c>
      <c r="L99" s="576">
        <f t="shared" si="1"/>
        <v>140920</v>
      </c>
    </row>
    <row r="100" spans="1:12" s="631" customFormat="1" ht="96.75" customHeight="1" x14ac:dyDescent="0.25">
      <c r="A100" s="21" t="s">
        <v>106</v>
      </c>
      <c r="B100" s="21" t="s">
        <v>81</v>
      </c>
      <c r="C100" s="21" t="s">
        <v>22</v>
      </c>
      <c r="D100" s="21" t="s">
        <v>2969</v>
      </c>
      <c r="E100" s="21" t="s">
        <v>112</v>
      </c>
      <c r="F100" s="21" t="s">
        <v>29</v>
      </c>
      <c r="G100" s="27" t="s">
        <v>3169</v>
      </c>
      <c r="H100" s="27" t="s">
        <v>84</v>
      </c>
      <c r="I100" s="16" t="s">
        <v>3171</v>
      </c>
      <c r="J100" s="17">
        <v>714000</v>
      </c>
      <c r="K100" s="17">
        <v>651116</v>
      </c>
      <c r="L100" s="576">
        <f t="shared" si="1"/>
        <v>1365116</v>
      </c>
    </row>
    <row r="101" spans="1:12" s="631" customFormat="1" ht="85.5" customHeight="1" x14ac:dyDescent="0.25">
      <c r="A101" s="21" t="s">
        <v>106</v>
      </c>
      <c r="B101" s="21" t="s">
        <v>81</v>
      </c>
      <c r="C101" s="21" t="s">
        <v>22</v>
      </c>
      <c r="D101" s="21" t="s">
        <v>2969</v>
      </c>
      <c r="E101" s="21" t="s">
        <v>112</v>
      </c>
      <c r="F101" s="21" t="s">
        <v>29</v>
      </c>
      <c r="G101" s="27" t="s">
        <v>3170</v>
      </c>
      <c r="H101" s="27" t="s">
        <v>84</v>
      </c>
      <c r="I101" s="16" t="s">
        <v>3172</v>
      </c>
      <c r="J101" s="17">
        <v>18533</v>
      </c>
      <c r="K101" s="17">
        <v>18346</v>
      </c>
      <c r="L101" s="576">
        <f t="shared" si="1"/>
        <v>36879</v>
      </c>
    </row>
    <row r="102" spans="1:12" s="631" customFormat="1" ht="79.5" customHeight="1" x14ac:dyDescent="0.25">
      <c r="A102" s="21" t="s">
        <v>106</v>
      </c>
      <c r="B102" s="21" t="s">
        <v>81</v>
      </c>
      <c r="C102" s="21" t="s">
        <v>22</v>
      </c>
      <c r="D102" s="21" t="s">
        <v>2964</v>
      </c>
      <c r="E102" s="21" t="s">
        <v>3168</v>
      </c>
      <c r="F102" s="21" t="s">
        <v>29</v>
      </c>
      <c r="G102" s="27" t="s">
        <v>17</v>
      </c>
      <c r="H102" s="27" t="s">
        <v>84</v>
      </c>
      <c r="I102" s="16" t="s">
        <v>3167</v>
      </c>
      <c r="J102" s="17">
        <v>43553790</v>
      </c>
      <c r="K102" s="17">
        <v>43703450</v>
      </c>
      <c r="L102" s="576">
        <f t="shared" si="1"/>
        <v>87257240</v>
      </c>
    </row>
    <row r="103" spans="1:12" s="575" customFormat="1" ht="54" customHeight="1" x14ac:dyDescent="0.25">
      <c r="A103" s="21" t="s">
        <v>86</v>
      </c>
      <c r="B103" s="21" t="s">
        <v>81</v>
      </c>
      <c r="C103" s="21" t="s">
        <v>22</v>
      </c>
      <c r="D103" s="21" t="s">
        <v>2964</v>
      </c>
      <c r="E103" s="21" t="s">
        <v>2967</v>
      </c>
      <c r="F103" s="21" t="s">
        <v>29</v>
      </c>
      <c r="G103" s="27" t="s">
        <v>17</v>
      </c>
      <c r="H103" s="27" t="s">
        <v>84</v>
      </c>
      <c r="I103" s="16" t="s">
        <v>109</v>
      </c>
      <c r="J103" s="17">
        <v>739697</v>
      </c>
      <c r="K103" s="17">
        <v>739697</v>
      </c>
      <c r="L103" s="576">
        <f t="shared" si="1"/>
        <v>1479394</v>
      </c>
    </row>
    <row r="104" spans="1:12" s="631" customFormat="1" ht="83.25" customHeight="1" x14ac:dyDescent="0.25">
      <c r="A104" s="21" t="s">
        <v>38</v>
      </c>
      <c r="B104" s="21" t="s">
        <v>81</v>
      </c>
      <c r="C104" s="21" t="s">
        <v>22</v>
      </c>
      <c r="D104" s="21" t="s">
        <v>2964</v>
      </c>
      <c r="E104" s="21" t="s">
        <v>47</v>
      </c>
      <c r="F104" s="21" t="s">
        <v>29</v>
      </c>
      <c r="G104" s="27" t="s">
        <v>17</v>
      </c>
      <c r="H104" s="27" t="s">
        <v>84</v>
      </c>
      <c r="I104" s="16" t="s">
        <v>2981</v>
      </c>
      <c r="J104" s="17">
        <v>50977</v>
      </c>
      <c r="K104" s="17">
        <v>50977</v>
      </c>
      <c r="L104" s="576">
        <f t="shared" si="1"/>
        <v>101954</v>
      </c>
    </row>
    <row r="105" spans="1:12" s="575" customFormat="1" ht="94.5" customHeight="1" x14ac:dyDescent="0.25">
      <c r="A105" s="21" t="s">
        <v>106</v>
      </c>
      <c r="B105" s="21" t="s">
        <v>81</v>
      </c>
      <c r="C105" s="21" t="s">
        <v>22</v>
      </c>
      <c r="D105" s="21" t="s">
        <v>2964</v>
      </c>
      <c r="E105" s="21" t="s">
        <v>2973</v>
      </c>
      <c r="F105" s="21" t="s">
        <v>29</v>
      </c>
      <c r="G105" s="27" t="s">
        <v>17</v>
      </c>
      <c r="H105" s="27" t="s">
        <v>84</v>
      </c>
      <c r="I105" s="16" t="s">
        <v>140</v>
      </c>
      <c r="J105" s="17">
        <v>1541000</v>
      </c>
      <c r="K105" s="17">
        <v>1540856</v>
      </c>
      <c r="L105" s="576">
        <f t="shared" si="1"/>
        <v>3081856</v>
      </c>
    </row>
    <row r="106" spans="1:12" s="575" customFormat="1" ht="94.5" customHeight="1" x14ac:dyDescent="0.25">
      <c r="A106" s="21" t="s">
        <v>106</v>
      </c>
      <c r="B106" s="21" t="s">
        <v>81</v>
      </c>
      <c r="C106" s="21" t="s">
        <v>22</v>
      </c>
      <c r="D106" s="21" t="s">
        <v>2964</v>
      </c>
      <c r="E106" s="21" t="s">
        <v>2966</v>
      </c>
      <c r="F106" s="21" t="s">
        <v>29</v>
      </c>
      <c r="G106" s="27" t="s">
        <v>17</v>
      </c>
      <c r="H106" s="27" t="s">
        <v>84</v>
      </c>
      <c r="I106" s="16" t="s">
        <v>108</v>
      </c>
      <c r="J106" s="17">
        <v>5423362</v>
      </c>
      <c r="K106" s="17">
        <v>5423362</v>
      </c>
      <c r="L106" s="576">
        <f t="shared" si="1"/>
        <v>10846724</v>
      </c>
    </row>
    <row r="107" spans="1:12" s="575" customFormat="1" ht="55.5" customHeight="1" x14ac:dyDescent="0.25">
      <c r="A107" s="21" t="s">
        <v>106</v>
      </c>
      <c r="B107" s="21" t="s">
        <v>81</v>
      </c>
      <c r="C107" s="21" t="s">
        <v>22</v>
      </c>
      <c r="D107" s="21" t="s">
        <v>2964</v>
      </c>
      <c r="E107" s="21" t="s">
        <v>2965</v>
      </c>
      <c r="F107" s="21" t="s">
        <v>29</v>
      </c>
      <c r="G107" s="27" t="s">
        <v>17</v>
      </c>
      <c r="H107" s="27" t="s">
        <v>84</v>
      </c>
      <c r="I107" s="16" t="s">
        <v>107</v>
      </c>
      <c r="J107" s="17">
        <v>34007000</v>
      </c>
      <c r="K107" s="17">
        <v>32392804</v>
      </c>
      <c r="L107" s="576">
        <f t="shared" si="1"/>
        <v>66399804</v>
      </c>
    </row>
    <row r="108" spans="1:12" s="32" customFormat="1" ht="67.5" customHeight="1" x14ac:dyDescent="0.25">
      <c r="A108" s="21" t="s">
        <v>101</v>
      </c>
      <c r="B108" s="21" t="s">
        <v>81</v>
      </c>
      <c r="C108" s="21" t="s">
        <v>22</v>
      </c>
      <c r="D108" s="21" t="s">
        <v>2964</v>
      </c>
      <c r="E108" s="21" t="s">
        <v>2968</v>
      </c>
      <c r="F108" s="21" t="s">
        <v>29</v>
      </c>
      <c r="G108" s="27" t="s">
        <v>17</v>
      </c>
      <c r="H108" s="27" t="s">
        <v>84</v>
      </c>
      <c r="I108" s="16" t="s">
        <v>110</v>
      </c>
      <c r="J108" s="17">
        <v>517901</v>
      </c>
      <c r="K108" s="17">
        <v>484379</v>
      </c>
      <c r="L108" s="576">
        <f t="shared" si="0"/>
        <v>1002280</v>
      </c>
    </row>
    <row r="109" spans="1:12" s="32" customFormat="1" ht="115.5" customHeight="1" x14ac:dyDescent="0.25">
      <c r="A109" s="21" t="s">
        <v>106</v>
      </c>
      <c r="B109" s="21" t="s">
        <v>81</v>
      </c>
      <c r="C109" s="21" t="s">
        <v>22</v>
      </c>
      <c r="D109" s="21" t="s">
        <v>2964</v>
      </c>
      <c r="E109" s="21" t="s">
        <v>2970</v>
      </c>
      <c r="F109" s="21" t="s">
        <v>29</v>
      </c>
      <c r="G109" s="27" t="s">
        <v>17</v>
      </c>
      <c r="H109" s="27" t="s">
        <v>84</v>
      </c>
      <c r="I109" s="16" t="s">
        <v>136</v>
      </c>
      <c r="J109" s="17">
        <v>397700</v>
      </c>
      <c r="K109" s="17">
        <v>171541</v>
      </c>
      <c r="L109" s="576">
        <f t="shared" ref="L109:L169" si="2">SUM(J109:K109)</f>
        <v>569241</v>
      </c>
    </row>
    <row r="110" spans="1:12" s="32" customFormat="1" ht="113.45" customHeight="1" x14ac:dyDescent="0.25">
      <c r="A110" s="21" t="s">
        <v>106</v>
      </c>
      <c r="B110" s="21" t="s">
        <v>81</v>
      </c>
      <c r="C110" s="21" t="s">
        <v>22</v>
      </c>
      <c r="D110" s="21" t="s">
        <v>2964</v>
      </c>
      <c r="E110" s="21" t="s">
        <v>2972</v>
      </c>
      <c r="F110" s="21" t="s">
        <v>29</v>
      </c>
      <c r="G110" s="27" t="s">
        <v>17</v>
      </c>
      <c r="H110" s="27" t="s">
        <v>84</v>
      </c>
      <c r="I110" s="16" t="s">
        <v>138</v>
      </c>
      <c r="J110" s="17">
        <v>19290000</v>
      </c>
      <c r="K110" s="17">
        <v>16389109</v>
      </c>
      <c r="L110" s="576">
        <f t="shared" si="2"/>
        <v>35679109</v>
      </c>
    </row>
    <row r="111" spans="1:12" s="32" customFormat="1" ht="99.75" customHeight="1" x14ac:dyDescent="0.25">
      <c r="A111" s="21" t="s">
        <v>106</v>
      </c>
      <c r="B111" s="21" t="s">
        <v>81</v>
      </c>
      <c r="C111" s="21" t="s">
        <v>22</v>
      </c>
      <c r="D111" s="21" t="s">
        <v>2964</v>
      </c>
      <c r="E111" s="21" t="s">
        <v>2972</v>
      </c>
      <c r="F111" s="21" t="s">
        <v>29</v>
      </c>
      <c r="G111" s="27" t="s">
        <v>17</v>
      </c>
      <c r="H111" s="27" t="s">
        <v>84</v>
      </c>
      <c r="I111" s="16" t="s">
        <v>139</v>
      </c>
      <c r="J111" s="17">
        <v>2052000</v>
      </c>
      <c r="K111" s="17">
        <v>1865981</v>
      </c>
      <c r="L111" s="576">
        <f t="shared" si="2"/>
        <v>3917981</v>
      </c>
    </row>
    <row r="112" spans="1:12" s="32" customFormat="1" ht="64.900000000000006" customHeight="1" x14ac:dyDescent="0.25">
      <c r="A112" s="29" t="s">
        <v>106</v>
      </c>
      <c r="B112" s="29" t="s">
        <v>81</v>
      </c>
      <c r="C112" s="29" t="s">
        <v>22</v>
      </c>
      <c r="D112" s="29" t="s">
        <v>2964</v>
      </c>
      <c r="E112" s="29" t="s">
        <v>2971</v>
      </c>
      <c r="F112" s="29" t="s">
        <v>29</v>
      </c>
      <c r="G112" s="35" t="s">
        <v>17</v>
      </c>
      <c r="H112" s="35" t="s">
        <v>84</v>
      </c>
      <c r="I112" s="30" t="s">
        <v>137</v>
      </c>
      <c r="J112" s="17">
        <v>1055617</v>
      </c>
      <c r="K112" s="17">
        <v>1043299</v>
      </c>
      <c r="L112" s="576">
        <f>SUM(J112:K112)</f>
        <v>2098916</v>
      </c>
    </row>
    <row r="113" spans="1:12" s="654" customFormat="1" ht="78" customHeight="1" x14ac:dyDescent="0.25">
      <c r="A113" s="29" t="s">
        <v>106</v>
      </c>
      <c r="B113" s="29" t="s">
        <v>81</v>
      </c>
      <c r="C113" s="29" t="s">
        <v>22</v>
      </c>
      <c r="D113" s="29" t="s">
        <v>2964</v>
      </c>
      <c r="E113" s="29" t="s">
        <v>3230</v>
      </c>
      <c r="F113" s="29" t="s">
        <v>29</v>
      </c>
      <c r="G113" s="35" t="s">
        <v>17</v>
      </c>
      <c r="H113" s="35" t="s">
        <v>84</v>
      </c>
      <c r="I113" s="30" t="s">
        <v>3231</v>
      </c>
      <c r="J113" s="17">
        <v>7400000</v>
      </c>
      <c r="K113" s="17">
        <v>6807035</v>
      </c>
      <c r="L113" s="576">
        <f>SUM(J113:K113)</f>
        <v>14207035</v>
      </c>
    </row>
    <row r="114" spans="1:12" s="631" customFormat="1" ht="51" customHeight="1" x14ac:dyDescent="0.25">
      <c r="A114" s="29" t="s">
        <v>38</v>
      </c>
      <c r="B114" s="29" t="s">
        <v>81</v>
      </c>
      <c r="C114" s="29" t="s">
        <v>22</v>
      </c>
      <c r="D114" s="29" t="s">
        <v>2964</v>
      </c>
      <c r="E114" s="29" t="s">
        <v>3173</v>
      </c>
      <c r="F114" s="29" t="s">
        <v>29</v>
      </c>
      <c r="G114" s="35" t="s">
        <v>17</v>
      </c>
      <c r="H114" s="35" t="s">
        <v>84</v>
      </c>
      <c r="I114" s="30" t="s">
        <v>2980</v>
      </c>
      <c r="J114" s="17">
        <v>4129901</v>
      </c>
      <c r="K114" s="17">
        <v>2862394</v>
      </c>
      <c r="L114" s="576">
        <f>SUM(J114:K114)</f>
        <v>6992295</v>
      </c>
    </row>
    <row r="115" spans="1:12" s="32" customFormat="1" ht="26.25" customHeight="1" x14ac:dyDescent="0.25">
      <c r="A115" s="18" t="s">
        <v>14</v>
      </c>
      <c r="B115" s="18" t="s">
        <v>81</v>
      </c>
      <c r="C115" s="18" t="s">
        <v>22</v>
      </c>
      <c r="D115" s="18" t="s">
        <v>2974</v>
      </c>
      <c r="E115" s="18" t="s">
        <v>14</v>
      </c>
      <c r="F115" s="18" t="s">
        <v>16</v>
      </c>
      <c r="G115" s="25" t="s">
        <v>17</v>
      </c>
      <c r="H115" s="25" t="s">
        <v>84</v>
      </c>
      <c r="I115" s="26" t="s">
        <v>141</v>
      </c>
      <c r="J115" s="20">
        <v>248992335.37</v>
      </c>
      <c r="K115" s="20">
        <f>SUM(K116:K166)</f>
        <v>232687015</v>
      </c>
      <c r="L115" s="13">
        <f t="shared" si="2"/>
        <v>481679350.37</v>
      </c>
    </row>
    <row r="116" spans="1:12" s="32" customFormat="1" ht="87" customHeight="1" x14ac:dyDescent="0.25">
      <c r="A116" s="21" t="s">
        <v>86</v>
      </c>
      <c r="B116" s="21" t="s">
        <v>93</v>
      </c>
      <c r="C116" s="21" t="s">
        <v>22</v>
      </c>
      <c r="D116" s="21" t="s">
        <v>2974</v>
      </c>
      <c r="E116" s="21" t="s">
        <v>143</v>
      </c>
      <c r="F116" s="21" t="s">
        <v>29</v>
      </c>
      <c r="G116" s="27" t="s">
        <v>144</v>
      </c>
      <c r="H116" s="27" t="s">
        <v>84</v>
      </c>
      <c r="I116" s="16" t="s">
        <v>145</v>
      </c>
      <c r="J116" s="36">
        <v>17133978.440000001</v>
      </c>
      <c r="K116" s="36">
        <v>17133978</v>
      </c>
      <c r="L116" s="576">
        <f t="shared" si="2"/>
        <v>34267956.439999998</v>
      </c>
    </row>
    <row r="117" spans="1:12" s="32" customFormat="1" ht="78.75" customHeight="1" x14ac:dyDescent="0.25">
      <c r="A117" s="21" t="s">
        <v>46</v>
      </c>
      <c r="B117" s="21" t="s">
        <v>81</v>
      </c>
      <c r="C117" s="21" t="s">
        <v>22</v>
      </c>
      <c r="D117" s="21" t="s">
        <v>2974</v>
      </c>
      <c r="E117" s="21" t="s">
        <v>143</v>
      </c>
      <c r="F117" s="21" t="s">
        <v>29</v>
      </c>
      <c r="G117" s="27" t="s">
        <v>146</v>
      </c>
      <c r="H117" s="27" t="s">
        <v>84</v>
      </c>
      <c r="I117" s="16" t="s">
        <v>147</v>
      </c>
      <c r="J117" s="36">
        <v>218745</v>
      </c>
      <c r="K117" s="36">
        <v>190577</v>
      </c>
      <c r="L117" s="576">
        <f t="shared" si="2"/>
        <v>409322</v>
      </c>
    </row>
    <row r="118" spans="1:12" s="32" customFormat="1" ht="61.5" customHeight="1" x14ac:dyDescent="0.25">
      <c r="A118" s="21" t="s">
        <v>94</v>
      </c>
      <c r="B118" s="21" t="s">
        <v>81</v>
      </c>
      <c r="C118" s="21" t="s">
        <v>22</v>
      </c>
      <c r="D118" s="21" t="s">
        <v>2974</v>
      </c>
      <c r="E118" s="21" t="s">
        <v>143</v>
      </c>
      <c r="F118" s="21" t="s">
        <v>29</v>
      </c>
      <c r="G118" s="27" t="s">
        <v>3243</v>
      </c>
      <c r="H118" s="27" t="s">
        <v>84</v>
      </c>
      <c r="I118" s="16" t="s">
        <v>3244</v>
      </c>
      <c r="J118" s="36">
        <v>1092300</v>
      </c>
      <c r="K118" s="36">
        <v>1092238</v>
      </c>
      <c r="L118" s="576">
        <f t="shared" si="2"/>
        <v>2184538</v>
      </c>
    </row>
    <row r="119" spans="1:12" s="694" customFormat="1" ht="61.5" customHeight="1" x14ac:dyDescent="0.25">
      <c r="A119" s="21" t="s">
        <v>94</v>
      </c>
      <c r="B119" s="21" t="s">
        <v>81</v>
      </c>
      <c r="C119" s="21" t="s">
        <v>22</v>
      </c>
      <c r="D119" s="21" t="s">
        <v>2974</v>
      </c>
      <c r="E119" s="21" t="s">
        <v>143</v>
      </c>
      <c r="F119" s="21" t="s">
        <v>29</v>
      </c>
      <c r="G119" s="27" t="s">
        <v>3345</v>
      </c>
      <c r="H119" s="27" t="s">
        <v>84</v>
      </c>
      <c r="I119" s="16" t="s">
        <v>3346</v>
      </c>
      <c r="J119" s="36">
        <v>862394</v>
      </c>
      <c r="K119" s="36">
        <v>862394</v>
      </c>
      <c r="L119" s="576">
        <f t="shared" si="2"/>
        <v>1724788</v>
      </c>
    </row>
    <row r="120" spans="1:12" s="32" customFormat="1" ht="54" customHeight="1" x14ac:dyDescent="0.25">
      <c r="A120" s="21" t="s">
        <v>94</v>
      </c>
      <c r="B120" s="21" t="s">
        <v>81</v>
      </c>
      <c r="C120" s="21" t="s">
        <v>22</v>
      </c>
      <c r="D120" s="21" t="s">
        <v>2974</v>
      </c>
      <c r="E120" s="21" t="s">
        <v>143</v>
      </c>
      <c r="F120" s="21" t="s">
        <v>29</v>
      </c>
      <c r="G120" s="27" t="s">
        <v>148</v>
      </c>
      <c r="H120" s="27" t="s">
        <v>84</v>
      </c>
      <c r="I120" s="16" t="s">
        <v>149</v>
      </c>
      <c r="J120" s="36">
        <v>1115200</v>
      </c>
      <c r="K120" s="36">
        <v>1114623</v>
      </c>
      <c r="L120" s="576">
        <f t="shared" si="2"/>
        <v>2229823</v>
      </c>
    </row>
    <row r="121" spans="1:12" s="32" customFormat="1" ht="52.5" customHeight="1" x14ac:dyDescent="0.25">
      <c r="A121" s="21" t="s">
        <v>38</v>
      </c>
      <c r="B121" s="21" t="s">
        <v>81</v>
      </c>
      <c r="C121" s="21" t="s">
        <v>22</v>
      </c>
      <c r="D121" s="21" t="s">
        <v>2974</v>
      </c>
      <c r="E121" s="21" t="s">
        <v>143</v>
      </c>
      <c r="F121" s="21" t="s">
        <v>29</v>
      </c>
      <c r="G121" s="27" t="s">
        <v>150</v>
      </c>
      <c r="H121" s="27" t="s">
        <v>84</v>
      </c>
      <c r="I121" s="16" t="s">
        <v>151</v>
      </c>
      <c r="J121" s="36">
        <v>106493960</v>
      </c>
      <c r="K121" s="36">
        <v>100767749</v>
      </c>
      <c r="L121" s="576">
        <f t="shared" si="2"/>
        <v>207261709</v>
      </c>
    </row>
    <row r="122" spans="1:12" s="32" customFormat="1" ht="64.5" customHeight="1" x14ac:dyDescent="0.25">
      <c r="A122" s="21" t="s">
        <v>38</v>
      </c>
      <c r="B122" s="21" t="s">
        <v>81</v>
      </c>
      <c r="C122" s="21" t="s">
        <v>22</v>
      </c>
      <c r="D122" s="21" t="s">
        <v>2974</v>
      </c>
      <c r="E122" s="21" t="s">
        <v>143</v>
      </c>
      <c r="F122" s="21" t="s">
        <v>29</v>
      </c>
      <c r="G122" s="27" t="s">
        <v>152</v>
      </c>
      <c r="H122" s="27" t="s">
        <v>84</v>
      </c>
      <c r="I122" s="37" t="s">
        <v>153</v>
      </c>
      <c r="J122" s="36">
        <v>3666221</v>
      </c>
      <c r="K122" s="36">
        <v>1338210</v>
      </c>
      <c r="L122" s="576">
        <f t="shared" si="2"/>
        <v>5004431</v>
      </c>
    </row>
    <row r="123" spans="1:12" s="32" customFormat="1" ht="63.75" customHeight="1" x14ac:dyDescent="0.25">
      <c r="A123" s="21" t="s">
        <v>38</v>
      </c>
      <c r="B123" s="21" t="s">
        <v>81</v>
      </c>
      <c r="C123" s="21" t="s">
        <v>22</v>
      </c>
      <c r="D123" s="21" t="s">
        <v>2974</v>
      </c>
      <c r="E123" s="21" t="s">
        <v>143</v>
      </c>
      <c r="F123" s="21" t="s">
        <v>29</v>
      </c>
      <c r="G123" s="27" t="s">
        <v>154</v>
      </c>
      <c r="H123" s="27" t="s">
        <v>84</v>
      </c>
      <c r="I123" s="16" t="s">
        <v>3208</v>
      </c>
      <c r="J123" s="36">
        <v>617000</v>
      </c>
      <c r="K123" s="36">
        <v>616598</v>
      </c>
      <c r="L123" s="576">
        <f t="shared" si="2"/>
        <v>1233598</v>
      </c>
    </row>
    <row r="124" spans="1:12" s="654" customFormat="1" ht="63.75" customHeight="1" x14ac:dyDescent="0.25">
      <c r="A124" s="21" t="s">
        <v>38</v>
      </c>
      <c r="B124" s="21" t="s">
        <v>81</v>
      </c>
      <c r="C124" s="21" t="s">
        <v>22</v>
      </c>
      <c r="D124" s="21" t="s">
        <v>2974</v>
      </c>
      <c r="E124" s="21" t="s">
        <v>143</v>
      </c>
      <c r="F124" s="21" t="s">
        <v>29</v>
      </c>
      <c r="G124" s="27" t="s">
        <v>3209</v>
      </c>
      <c r="H124" s="27" t="s">
        <v>84</v>
      </c>
      <c r="I124" s="16" t="s">
        <v>3210</v>
      </c>
      <c r="J124" s="36">
        <v>3928455</v>
      </c>
      <c r="K124" s="36">
        <v>3913819</v>
      </c>
      <c r="L124" s="576">
        <f t="shared" si="2"/>
        <v>7842274</v>
      </c>
    </row>
    <row r="125" spans="1:12" s="32" customFormat="1" ht="51" customHeight="1" x14ac:dyDescent="0.25">
      <c r="A125" s="21" t="s">
        <v>38</v>
      </c>
      <c r="B125" s="21" t="s">
        <v>81</v>
      </c>
      <c r="C125" s="21" t="s">
        <v>22</v>
      </c>
      <c r="D125" s="21" t="s">
        <v>2974</v>
      </c>
      <c r="E125" s="21" t="s">
        <v>143</v>
      </c>
      <c r="F125" s="21" t="s">
        <v>29</v>
      </c>
      <c r="G125" s="27" t="s">
        <v>155</v>
      </c>
      <c r="H125" s="27" t="s">
        <v>84</v>
      </c>
      <c r="I125" s="16" t="s">
        <v>156</v>
      </c>
      <c r="J125" s="36">
        <v>170846</v>
      </c>
      <c r="K125" s="36">
        <v>170845</v>
      </c>
      <c r="L125" s="576">
        <f t="shared" si="2"/>
        <v>341691</v>
      </c>
    </row>
    <row r="126" spans="1:12" s="32" customFormat="1" ht="62.25" customHeight="1" x14ac:dyDescent="0.25">
      <c r="A126" s="21" t="s">
        <v>94</v>
      </c>
      <c r="B126" s="21" t="s">
        <v>81</v>
      </c>
      <c r="C126" s="21" t="s">
        <v>22</v>
      </c>
      <c r="D126" s="21" t="s">
        <v>2974</v>
      </c>
      <c r="E126" s="21" t="s">
        <v>143</v>
      </c>
      <c r="F126" s="21" t="s">
        <v>29</v>
      </c>
      <c r="G126" s="27" t="s">
        <v>157</v>
      </c>
      <c r="H126" s="27" t="s">
        <v>84</v>
      </c>
      <c r="I126" s="16" t="s">
        <v>3245</v>
      </c>
      <c r="J126" s="36">
        <v>5954000</v>
      </c>
      <c r="K126" s="36">
        <v>5954000</v>
      </c>
      <c r="L126" s="576">
        <f t="shared" si="2"/>
        <v>11908000</v>
      </c>
    </row>
    <row r="127" spans="1:12" s="32" customFormat="1" ht="57" customHeight="1" x14ac:dyDescent="0.25">
      <c r="A127" s="21" t="s">
        <v>94</v>
      </c>
      <c r="B127" s="21" t="s">
        <v>81</v>
      </c>
      <c r="C127" s="21" t="s">
        <v>22</v>
      </c>
      <c r="D127" s="21" t="s">
        <v>2974</v>
      </c>
      <c r="E127" s="21" t="s">
        <v>143</v>
      </c>
      <c r="F127" s="21" t="s">
        <v>29</v>
      </c>
      <c r="G127" s="27" t="s">
        <v>158</v>
      </c>
      <c r="H127" s="27" t="s">
        <v>84</v>
      </c>
      <c r="I127" s="16" t="s">
        <v>3246</v>
      </c>
      <c r="J127" s="36">
        <v>624553</v>
      </c>
      <c r="K127" s="36">
        <v>520568</v>
      </c>
      <c r="L127" s="576">
        <f t="shared" si="2"/>
        <v>1145121</v>
      </c>
    </row>
    <row r="128" spans="1:12" s="32" customFormat="1" ht="60.75" customHeight="1" x14ac:dyDescent="0.25">
      <c r="A128" s="21" t="s">
        <v>38</v>
      </c>
      <c r="B128" s="21" t="s">
        <v>81</v>
      </c>
      <c r="C128" s="21" t="s">
        <v>22</v>
      </c>
      <c r="D128" s="21" t="s">
        <v>2974</v>
      </c>
      <c r="E128" s="21" t="s">
        <v>143</v>
      </c>
      <c r="F128" s="21" t="s">
        <v>29</v>
      </c>
      <c r="G128" s="27" t="s">
        <v>159</v>
      </c>
      <c r="H128" s="27" t="s">
        <v>84</v>
      </c>
      <c r="I128" s="16" t="s">
        <v>160</v>
      </c>
      <c r="J128" s="36">
        <v>62384</v>
      </c>
      <c r="K128" s="36">
        <v>62383</v>
      </c>
      <c r="L128" s="576">
        <f t="shared" si="2"/>
        <v>124767</v>
      </c>
    </row>
    <row r="129" spans="1:12" s="32" customFormat="1" ht="51.75" customHeight="1" x14ac:dyDescent="0.25">
      <c r="A129" s="21" t="s">
        <v>38</v>
      </c>
      <c r="B129" s="21" t="s">
        <v>81</v>
      </c>
      <c r="C129" s="21" t="s">
        <v>22</v>
      </c>
      <c r="D129" s="21" t="s">
        <v>2974</v>
      </c>
      <c r="E129" s="21" t="s">
        <v>143</v>
      </c>
      <c r="F129" s="21" t="s">
        <v>29</v>
      </c>
      <c r="G129" s="27" t="s">
        <v>161</v>
      </c>
      <c r="H129" s="27" t="s">
        <v>84</v>
      </c>
      <c r="I129" s="37" t="s">
        <v>162</v>
      </c>
      <c r="J129" s="36">
        <v>14550</v>
      </c>
      <c r="K129" s="36">
        <v>14550</v>
      </c>
      <c r="L129" s="576">
        <f t="shared" si="2"/>
        <v>29100</v>
      </c>
    </row>
    <row r="130" spans="1:12" s="32" customFormat="1" ht="54" customHeight="1" x14ac:dyDescent="0.25">
      <c r="A130" s="21" t="s">
        <v>94</v>
      </c>
      <c r="B130" s="21" t="s">
        <v>81</v>
      </c>
      <c r="C130" s="21" t="s">
        <v>22</v>
      </c>
      <c r="D130" s="21" t="s">
        <v>2974</v>
      </c>
      <c r="E130" s="21" t="s">
        <v>143</v>
      </c>
      <c r="F130" s="21" t="s">
        <v>29</v>
      </c>
      <c r="G130" s="27" t="s">
        <v>163</v>
      </c>
      <c r="H130" s="27" t="s">
        <v>84</v>
      </c>
      <c r="I130" s="16" t="s">
        <v>164</v>
      </c>
      <c r="J130" s="36">
        <v>5350000</v>
      </c>
      <c r="K130" s="36">
        <v>5232087</v>
      </c>
      <c r="L130" s="576">
        <f t="shared" si="2"/>
        <v>10582087</v>
      </c>
    </row>
    <row r="131" spans="1:12" s="654" customFormat="1" ht="36" customHeight="1" x14ac:dyDescent="0.25">
      <c r="A131" s="21" t="s">
        <v>98</v>
      </c>
      <c r="B131" s="21" t="s">
        <v>81</v>
      </c>
      <c r="C131" s="21" t="s">
        <v>22</v>
      </c>
      <c r="D131" s="21" t="s">
        <v>2974</v>
      </c>
      <c r="E131" s="21" t="s">
        <v>143</v>
      </c>
      <c r="F131" s="21" t="s">
        <v>29</v>
      </c>
      <c r="G131" s="27" t="s">
        <v>3234</v>
      </c>
      <c r="H131" s="27" t="s">
        <v>84</v>
      </c>
      <c r="I131" s="16" t="s">
        <v>3235</v>
      </c>
      <c r="J131" s="36">
        <v>2060000</v>
      </c>
      <c r="K131" s="36">
        <v>2059980</v>
      </c>
      <c r="L131" s="576">
        <f t="shared" si="2"/>
        <v>4119980</v>
      </c>
    </row>
    <row r="132" spans="1:12" s="32" customFormat="1" ht="45.75" customHeight="1" x14ac:dyDescent="0.25">
      <c r="A132" s="21" t="s">
        <v>38</v>
      </c>
      <c r="B132" s="21" t="s">
        <v>81</v>
      </c>
      <c r="C132" s="21" t="s">
        <v>22</v>
      </c>
      <c r="D132" s="21" t="s">
        <v>2974</v>
      </c>
      <c r="E132" s="21" t="s">
        <v>143</v>
      </c>
      <c r="F132" s="21" t="s">
        <v>29</v>
      </c>
      <c r="G132" s="27" t="s">
        <v>165</v>
      </c>
      <c r="H132" s="27" t="s">
        <v>84</v>
      </c>
      <c r="I132" s="16" t="s">
        <v>166</v>
      </c>
      <c r="J132" s="36">
        <v>15251898</v>
      </c>
      <c r="K132" s="36">
        <v>11922845</v>
      </c>
      <c r="L132" s="576">
        <f t="shared" si="2"/>
        <v>27174743</v>
      </c>
    </row>
    <row r="133" spans="1:12" s="32" customFormat="1" ht="64.5" customHeight="1" x14ac:dyDescent="0.25">
      <c r="A133" s="21" t="s">
        <v>38</v>
      </c>
      <c r="B133" s="21" t="s">
        <v>81</v>
      </c>
      <c r="C133" s="21" t="s">
        <v>22</v>
      </c>
      <c r="D133" s="21" t="s">
        <v>2974</v>
      </c>
      <c r="E133" s="21" t="s">
        <v>143</v>
      </c>
      <c r="F133" s="21" t="s">
        <v>29</v>
      </c>
      <c r="G133" s="27" t="s">
        <v>167</v>
      </c>
      <c r="H133" s="27" t="s">
        <v>84</v>
      </c>
      <c r="I133" s="37" t="s">
        <v>168</v>
      </c>
      <c r="J133" s="36">
        <v>2948102</v>
      </c>
      <c r="K133" s="36">
        <v>2948102</v>
      </c>
      <c r="L133" s="576">
        <f t="shared" si="2"/>
        <v>5896204</v>
      </c>
    </row>
    <row r="134" spans="1:12" s="32" customFormat="1" ht="48" customHeight="1" x14ac:dyDescent="0.25">
      <c r="A134" s="21" t="s">
        <v>38</v>
      </c>
      <c r="B134" s="21" t="s">
        <v>81</v>
      </c>
      <c r="C134" s="21" t="s">
        <v>22</v>
      </c>
      <c r="D134" s="21" t="s">
        <v>2974</v>
      </c>
      <c r="E134" s="21" t="s">
        <v>143</v>
      </c>
      <c r="F134" s="21" t="s">
        <v>29</v>
      </c>
      <c r="G134" s="27" t="s">
        <v>169</v>
      </c>
      <c r="H134" s="27" t="s">
        <v>84</v>
      </c>
      <c r="I134" s="16" t="s">
        <v>3212</v>
      </c>
      <c r="J134" s="36">
        <v>5862800</v>
      </c>
      <c r="K134" s="36">
        <v>5862800</v>
      </c>
      <c r="L134" s="576">
        <f t="shared" si="2"/>
        <v>11725600</v>
      </c>
    </row>
    <row r="135" spans="1:12" s="32" customFormat="1" ht="55.5" customHeight="1" x14ac:dyDescent="0.25">
      <c r="A135" s="21" t="s">
        <v>38</v>
      </c>
      <c r="B135" s="21" t="s">
        <v>81</v>
      </c>
      <c r="C135" s="21" t="s">
        <v>22</v>
      </c>
      <c r="D135" s="21" t="s">
        <v>2974</v>
      </c>
      <c r="E135" s="21" t="s">
        <v>143</v>
      </c>
      <c r="F135" s="21" t="s">
        <v>29</v>
      </c>
      <c r="G135" s="27" t="s">
        <v>170</v>
      </c>
      <c r="H135" s="27" t="s">
        <v>84</v>
      </c>
      <c r="I135" s="16" t="s">
        <v>3211</v>
      </c>
      <c r="J135" s="36">
        <v>8239071</v>
      </c>
      <c r="K135" s="36">
        <v>5926563</v>
      </c>
      <c r="L135" s="576">
        <f t="shared" si="2"/>
        <v>14165634</v>
      </c>
    </row>
    <row r="136" spans="1:12" s="32" customFormat="1" ht="84.75" customHeight="1" x14ac:dyDescent="0.25">
      <c r="A136" s="21" t="s">
        <v>46</v>
      </c>
      <c r="B136" s="21" t="s">
        <v>81</v>
      </c>
      <c r="C136" s="21" t="s">
        <v>22</v>
      </c>
      <c r="D136" s="21" t="s">
        <v>2974</v>
      </c>
      <c r="E136" s="21" t="s">
        <v>143</v>
      </c>
      <c r="F136" s="21" t="s">
        <v>29</v>
      </c>
      <c r="G136" s="27" t="s">
        <v>171</v>
      </c>
      <c r="H136" s="27" t="s">
        <v>84</v>
      </c>
      <c r="I136" s="16" t="s">
        <v>172</v>
      </c>
      <c r="J136" s="36">
        <v>1060309</v>
      </c>
      <c r="K136" s="36">
        <v>607381</v>
      </c>
      <c r="L136" s="576">
        <f t="shared" si="2"/>
        <v>1667690</v>
      </c>
    </row>
    <row r="137" spans="1:12" s="32" customFormat="1" ht="51" hidden="1" customHeight="1" x14ac:dyDescent="0.25">
      <c r="A137" s="21" t="s">
        <v>94</v>
      </c>
      <c r="B137" s="21" t="s">
        <v>81</v>
      </c>
      <c r="C137" s="21" t="s">
        <v>22</v>
      </c>
      <c r="D137" s="21" t="s">
        <v>2974</v>
      </c>
      <c r="E137" s="21" t="s">
        <v>143</v>
      </c>
      <c r="F137" s="21" t="s">
        <v>29</v>
      </c>
      <c r="G137" s="27" t="s">
        <v>173</v>
      </c>
      <c r="H137" s="27" t="s">
        <v>84</v>
      </c>
      <c r="I137" s="16" t="s">
        <v>3247</v>
      </c>
      <c r="J137" s="36">
        <v>0</v>
      </c>
      <c r="K137" s="36">
        <v>0</v>
      </c>
      <c r="L137" s="576">
        <f t="shared" si="2"/>
        <v>0</v>
      </c>
    </row>
    <row r="138" spans="1:12" s="32" customFormat="1" ht="57" customHeight="1" x14ac:dyDescent="0.25">
      <c r="A138" s="21" t="s">
        <v>38</v>
      </c>
      <c r="B138" s="21" t="s">
        <v>93</v>
      </c>
      <c r="C138" s="21" t="s">
        <v>22</v>
      </c>
      <c r="D138" s="21" t="s">
        <v>2974</v>
      </c>
      <c r="E138" s="21" t="s">
        <v>143</v>
      </c>
      <c r="F138" s="21" t="s">
        <v>29</v>
      </c>
      <c r="G138" s="27" t="s">
        <v>174</v>
      </c>
      <c r="H138" s="27" t="s">
        <v>84</v>
      </c>
      <c r="I138" s="16" t="s">
        <v>3213</v>
      </c>
      <c r="J138" s="36">
        <v>857324</v>
      </c>
      <c r="K138" s="36">
        <v>790026</v>
      </c>
      <c r="L138" s="576">
        <f t="shared" si="2"/>
        <v>1647350</v>
      </c>
    </row>
    <row r="139" spans="1:12" s="863" customFormat="1" ht="57" customHeight="1" x14ac:dyDescent="0.25">
      <c r="A139" s="21" t="s">
        <v>38</v>
      </c>
      <c r="B139" s="21" t="s">
        <v>81</v>
      </c>
      <c r="C139" s="21" t="s">
        <v>22</v>
      </c>
      <c r="D139" s="21" t="s">
        <v>2974</v>
      </c>
      <c r="E139" s="21" t="s">
        <v>143</v>
      </c>
      <c r="F139" s="21" t="s">
        <v>29</v>
      </c>
      <c r="G139" s="27" t="s">
        <v>175</v>
      </c>
      <c r="H139" s="27" t="s">
        <v>84</v>
      </c>
      <c r="I139" s="16" t="s">
        <v>176</v>
      </c>
      <c r="J139" s="36">
        <v>4000001</v>
      </c>
      <c r="K139" s="36">
        <v>4000000</v>
      </c>
      <c r="L139" s="576">
        <f t="shared" si="2"/>
        <v>8000001</v>
      </c>
    </row>
    <row r="140" spans="1:12" s="32" customFormat="1" ht="52.5" customHeight="1" x14ac:dyDescent="0.25">
      <c r="A140" s="21" t="s">
        <v>94</v>
      </c>
      <c r="B140" s="21" t="s">
        <v>81</v>
      </c>
      <c r="C140" s="21" t="s">
        <v>22</v>
      </c>
      <c r="D140" s="21" t="s">
        <v>2974</v>
      </c>
      <c r="E140" s="21" t="s">
        <v>143</v>
      </c>
      <c r="F140" s="21" t="s">
        <v>29</v>
      </c>
      <c r="G140" s="27" t="s">
        <v>3248</v>
      </c>
      <c r="H140" s="27" t="s">
        <v>84</v>
      </c>
      <c r="I140" s="16" t="s">
        <v>3249</v>
      </c>
      <c r="J140" s="36">
        <v>3325209</v>
      </c>
      <c r="K140" s="36">
        <v>3245762</v>
      </c>
      <c r="L140" s="576">
        <f t="shared" si="2"/>
        <v>6570971</v>
      </c>
    </row>
    <row r="141" spans="1:12" s="723" customFormat="1" ht="77.45" customHeight="1" x14ac:dyDescent="0.25">
      <c r="A141" s="21" t="s">
        <v>94</v>
      </c>
      <c r="B141" s="21" t="s">
        <v>81</v>
      </c>
      <c r="C141" s="21" t="s">
        <v>22</v>
      </c>
      <c r="D141" s="21" t="s">
        <v>2974</v>
      </c>
      <c r="E141" s="21" t="s">
        <v>143</v>
      </c>
      <c r="F141" s="21" t="s">
        <v>29</v>
      </c>
      <c r="G141" s="27" t="s">
        <v>3397</v>
      </c>
      <c r="H141" s="27" t="s">
        <v>84</v>
      </c>
      <c r="I141" s="727" t="s">
        <v>3398</v>
      </c>
      <c r="J141" s="36">
        <v>22500</v>
      </c>
      <c r="K141" s="36">
        <v>15014</v>
      </c>
      <c r="L141" s="576">
        <f t="shared" si="2"/>
        <v>37514</v>
      </c>
    </row>
    <row r="142" spans="1:12" s="654" customFormat="1" ht="51.75" customHeight="1" x14ac:dyDescent="0.25">
      <c r="A142" s="21" t="s">
        <v>98</v>
      </c>
      <c r="B142" s="21" t="s">
        <v>81</v>
      </c>
      <c r="C142" s="21" t="s">
        <v>22</v>
      </c>
      <c r="D142" s="21" t="s">
        <v>2974</v>
      </c>
      <c r="E142" s="21" t="s">
        <v>143</v>
      </c>
      <c r="F142" s="21" t="s">
        <v>29</v>
      </c>
      <c r="G142" s="27" t="s">
        <v>3236</v>
      </c>
      <c r="H142" s="27" t="s">
        <v>84</v>
      </c>
      <c r="I142" s="16" t="s">
        <v>3237</v>
      </c>
      <c r="J142" s="36">
        <v>1393009</v>
      </c>
      <c r="K142" s="36">
        <v>1393009</v>
      </c>
      <c r="L142" s="576">
        <f t="shared" si="2"/>
        <v>2786018</v>
      </c>
    </row>
    <row r="143" spans="1:12" s="654" customFormat="1" ht="36" customHeight="1" x14ac:dyDescent="0.25">
      <c r="A143" s="21" t="s">
        <v>98</v>
      </c>
      <c r="B143" s="21" t="s">
        <v>81</v>
      </c>
      <c r="C143" s="21" t="s">
        <v>22</v>
      </c>
      <c r="D143" s="21" t="s">
        <v>2974</v>
      </c>
      <c r="E143" s="21" t="s">
        <v>143</v>
      </c>
      <c r="F143" s="21" t="s">
        <v>29</v>
      </c>
      <c r="G143" s="27" t="s">
        <v>3238</v>
      </c>
      <c r="H143" s="27" t="s">
        <v>84</v>
      </c>
      <c r="I143" s="16" t="s">
        <v>3239</v>
      </c>
      <c r="J143" s="36">
        <v>150000</v>
      </c>
      <c r="K143" s="36">
        <v>150000</v>
      </c>
      <c r="L143" s="576">
        <f t="shared" si="2"/>
        <v>300000</v>
      </c>
    </row>
    <row r="144" spans="1:12" s="654" customFormat="1" ht="51.75" customHeight="1" x14ac:dyDescent="0.25">
      <c r="A144" s="21" t="s">
        <v>38</v>
      </c>
      <c r="B144" s="21" t="s">
        <v>81</v>
      </c>
      <c r="C144" s="21" t="s">
        <v>22</v>
      </c>
      <c r="D144" s="21" t="s">
        <v>2974</v>
      </c>
      <c r="E144" s="21" t="s">
        <v>143</v>
      </c>
      <c r="F144" s="21" t="s">
        <v>29</v>
      </c>
      <c r="G144" s="27" t="s">
        <v>3214</v>
      </c>
      <c r="H144" s="27" t="s">
        <v>84</v>
      </c>
      <c r="I144" s="16" t="s">
        <v>3215</v>
      </c>
      <c r="J144" s="36">
        <v>100000</v>
      </c>
      <c r="K144" s="36">
        <v>65209</v>
      </c>
      <c r="L144" s="576">
        <f t="shared" si="2"/>
        <v>165209</v>
      </c>
    </row>
    <row r="145" spans="1:12" s="694" customFormat="1" ht="51.75" customHeight="1" x14ac:dyDescent="0.25">
      <c r="A145" s="21" t="s">
        <v>98</v>
      </c>
      <c r="B145" s="21" t="s">
        <v>81</v>
      </c>
      <c r="C145" s="21" t="s">
        <v>22</v>
      </c>
      <c r="D145" s="21" t="s">
        <v>2974</v>
      </c>
      <c r="E145" s="21" t="s">
        <v>143</v>
      </c>
      <c r="F145" s="21" t="s">
        <v>29</v>
      </c>
      <c r="G145" s="27" t="s">
        <v>3343</v>
      </c>
      <c r="H145" s="27" t="s">
        <v>84</v>
      </c>
      <c r="I145" s="16" t="s">
        <v>3344</v>
      </c>
      <c r="J145" s="36">
        <v>2320446</v>
      </c>
      <c r="K145" s="36">
        <v>2309252</v>
      </c>
      <c r="L145" s="576">
        <f t="shared" si="2"/>
        <v>4629698</v>
      </c>
    </row>
    <row r="146" spans="1:12" s="654" customFormat="1" ht="51.75" customHeight="1" x14ac:dyDescent="0.25">
      <c r="A146" s="21" t="s">
        <v>38</v>
      </c>
      <c r="B146" s="21" t="s">
        <v>81</v>
      </c>
      <c r="C146" s="21" t="s">
        <v>22</v>
      </c>
      <c r="D146" s="21" t="s">
        <v>2974</v>
      </c>
      <c r="E146" s="21" t="s">
        <v>143</v>
      </c>
      <c r="F146" s="21" t="s">
        <v>29</v>
      </c>
      <c r="G146" s="27" t="s">
        <v>3216</v>
      </c>
      <c r="H146" s="27" t="s">
        <v>84</v>
      </c>
      <c r="I146" s="16" t="s">
        <v>3217</v>
      </c>
      <c r="J146" s="36">
        <v>650000</v>
      </c>
      <c r="K146" s="36">
        <v>650000</v>
      </c>
      <c r="L146" s="576">
        <f t="shared" si="2"/>
        <v>1300000</v>
      </c>
    </row>
    <row r="147" spans="1:12" s="654" customFormat="1" ht="51.75" customHeight="1" x14ac:dyDescent="0.25">
      <c r="A147" s="21" t="s">
        <v>38</v>
      </c>
      <c r="B147" s="21" t="s">
        <v>81</v>
      </c>
      <c r="C147" s="21" t="s">
        <v>22</v>
      </c>
      <c r="D147" s="21" t="s">
        <v>2974</v>
      </c>
      <c r="E147" s="21" t="s">
        <v>143</v>
      </c>
      <c r="F147" s="21" t="s">
        <v>29</v>
      </c>
      <c r="G147" s="27" t="s">
        <v>3218</v>
      </c>
      <c r="H147" s="27" t="s">
        <v>84</v>
      </c>
      <c r="I147" s="16" t="s">
        <v>3219</v>
      </c>
      <c r="J147" s="36">
        <v>43054</v>
      </c>
      <c r="K147" s="36">
        <v>43054</v>
      </c>
      <c r="L147" s="576">
        <f t="shared" si="2"/>
        <v>86108</v>
      </c>
    </row>
    <row r="148" spans="1:12" s="694" customFormat="1" ht="51.75" customHeight="1" x14ac:dyDescent="0.25">
      <c r="A148" s="21" t="s">
        <v>94</v>
      </c>
      <c r="B148" s="21" t="s">
        <v>81</v>
      </c>
      <c r="C148" s="21" t="s">
        <v>22</v>
      </c>
      <c r="D148" s="21" t="s">
        <v>2974</v>
      </c>
      <c r="E148" s="21" t="s">
        <v>143</v>
      </c>
      <c r="F148" s="21" t="s">
        <v>29</v>
      </c>
      <c r="G148" s="27" t="s">
        <v>3347</v>
      </c>
      <c r="H148" s="27" t="s">
        <v>84</v>
      </c>
      <c r="I148" s="16" t="s">
        <v>3348</v>
      </c>
      <c r="J148" s="36">
        <v>109030</v>
      </c>
      <c r="K148" s="36">
        <v>109029</v>
      </c>
      <c r="L148" s="576">
        <f t="shared" si="2"/>
        <v>218059</v>
      </c>
    </row>
    <row r="149" spans="1:12" s="739" customFormat="1" ht="51.75" customHeight="1" x14ac:dyDescent="0.25">
      <c r="A149" s="21" t="s">
        <v>46</v>
      </c>
      <c r="B149" s="21" t="s">
        <v>81</v>
      </c>
      <c r="C149" s="21" t="s">
        <v>22</v>
      </c>
      <c r="D149" s="21" t="s">
        <v>2974</v>
      </c>
      <c r="E149" s="21" t="s">
        <v>143</v>
      </c>
      <c r="F149" s="21" t="s">
        <v>29</v>
      </c>
      <c r="G149" s="27" t="s">
        <v>3447</v>
      </c>
      <c r="H149" s="27" t="s">
        <v>84</v>
      </c>
      <c r="I149" s="16" t="s">
        <v>3448</v>
      </c>
      <c r="J149" s="36">
        <v>24048</v>
      </c>
      <c r="K149" s="36">
        <v>24048</v>
      </c>
      <c r="L149" s="576">
        <f t="shared" si="2"/>
        <v>48096</v>
      </c>
    </row>
    <row r="150" spans="1:12" s="654" customFormat="1" ht="82.5" customHeight="1" x14ac:dyDescent="0.25">
      <c r="A150" s="21" t="s">
        <v>38</v>
      </c>
      <c r="B150" s="21" t="s">
        <v>81</v>
      </c>
      <c r="C150" s="21" t="s">
        <v>22</v>
      </c>
      <c r="D150" s="21" t="s">
        <v>2974</v>
      </c>
      <c r="E150" s="21" t="s">
        <v>143</v>
      </c>
      <c r="F150" s="21" t="s">
        <v>29</v>
      </c>
      <c r="G150" s="27" t="s">
        <v>3220</v>
      </c>
      <c r="H150" s="27" t="s">
        <v>84</v>
      </c>
      <c r="I150" s="16" t="s">
        <v>3221</v>
      </c>
      <c r="J150" s="36">
        <v>2000000</v>
      </c>
      <c r="K150" s="36">
        <v>2000000</v>
      </c>
      <c r="L150" s="576">
        <f t="shared" si="2"/>
        <v>4000000</v>
      </c>
    </row>
    <row r="151" spans="1:12" s="654" customFormat="1" ht="54.75" customHeight="1" x14ac:dyDescent="0.25">
      <c r="A151" s="21" t="s">
        <v>38</v>
      </c>
      <c r="B151" s="21" t="s">
        <v>81</v>
      </c>
      <c r="C151" s="21" t="s">
        <v>22</v>
      </c>
      <c r="D151" s="21" t="s">
        <v>2974</v>
      </c>
      <c r="E151" s="21" t="s">
        <v>143</v>
      </c>
      <c r="F151" s="21" t="s">
        <v>29</v>
      </c>
      <c r="G151" s="27" t="s">
        <v>3222</v>
      </c>
      <c r="H151" s="27" t="s">
        <v>84</v>
      </c>
      <c r="I151" s="16" t="s">
        <v>3223</v>
      </c>
      <c r="J151" s="36">
        <v>1200000</v>
      </c>
      <c r="K151" s="36">
        <v>1200000</v>
      </c>
      <c r="L151" s="576">
        <f t="shared" si="2"/>
        <v>2400000</v>
      </c>
    </row>
    <row r="152" spans="1:12" s="654" customFormat="1" ht="54.75" customHeight="1" x14ac:dyDescent="0.25">
      <c r="A152" s="21" t="s">
        <v>94</v>
      </c>
      <c r="B152" s="21" t="s">
        <v>81</v>
      </c>
      <c r="C152" s="21" t="s">
        <v>22</v>
      </c>
      <c r="D152" s="21" t="s">
        <v>2974</v>
      </c>
      <c r="E152" s="21" t="s">
        <v>143</v>
      </c>
      <c r="F152" s="21" t="s">
        <v>29</v>
      </c>
      <c r="G152" s="27" t="s">
        <v>3250</v>
      </c>
      <c r="H152" s="27" t="s">
        <v>84</v>
      </c>
      <c r="I152" s="16" t="s">
        <v>3251</v>
      </c>
      <c r="J152" s="36">
        <v>3194323</v>
      </c>
      <c r="K152" s="36">
        <v>3194323</v>
      </c>
      <c r="L152" s="576">
        <f t="shared" si="2"/>
        <v>6388646</v>
      </c>
    </row>
    <row r="153" spans="1:12" s="694" customFormat="1" ht="54.75" customHeight="1" x14ac:dyDescent="0.25">
      <c r="A153" s="21" t="s">
        <v>94</v>
      </c>
      <c r="B153" s="21" t="s">
        <v>81</v>
      </c>
      <c r="C153" s="21" t="s">
        <v>22</v>
      </c>
      <c r="D153" s="21" t="s">
        <v>2974</v>
      </c>
      <c r="E153" s="21" t="s">
        <v>143</v>
      </c>
      <c r="F153" s="21" t="s">
        <v>29</v>
      </c>
      <c r="G153" s="27" t="s">
        <v>3349</v>
      </c>
      <c r="H153" s="27" t="s">
        <v>84</v>
      </c>
      <c r="I153" s="16" t="s">
        <v>3350</v>
      </c>
      <c r="J153" s="36">
        <v>22987</v>
      </c>
      <c r="K153" s="36">
        <v>22987</v>
      </c>
      <c r="L153" s="576">
        <f t="shared" si="2"/>
        <v>45974</v>
      </c>
    </row>
    <row r="154" spans="1:12" s="694" customFormat="1" ht="54.75" customHeight="1" x14ac:dyDescent="0.25">
      <c r="A154" s="21" t="s">
        <v>94</v>
      </c>
      <c r="B154" s="21" t="s">
        <v>81</v>
      </c>
      <c r="C154" s="21" t="s">
        <v>22</v>
      </c>
      <c r="D154" s="21" t="s">
        <v>2974</v>
      </c>
      <c r="E154" s="21" t="s">
        <v>143</v>
      </c>
      <c r="F154" s="21" t="s">
        <v>29</v>
      </c>
      <c r="G154" s="27" t="s">
        <v>3351</v>
      </c>
      <c r="H154" s="27" t="s">
        <v>84</v>
      </c>
      <c r="I154" s="16" t="s">
        <v>3352</v>
      </c>
      <c r="J154" s="36">
        <v>59734</v>
      </c>
      <c r="K154" s="36">
        <v>59734</v>
      </c>
      <c r="L154" s="576">
        <f t="shared" si="2"/>
        <v>119468</v>
      </c>
    </row>
    <row r="155" spans="1:12" s="654" customFormat="1" ht="66.75" customHeight="1" x14ac:dyDescent="0.25">
      <c r="A155" s="21" t="s">
        <v>38</v>
      </c>
      <c r="B155" s="21" t="s">
        <v>81</v>
      </c>
      <c r="C155" s="21" t="s">
        <v>22</v>
      </c>
      <c r="D155" s="21" t="s">
        <v>2974</v>
      </c>
      <c r="E155" s="21" t="s">
        <v>143</v>
      </c>
      <c r="F155" s="21" t="s">
        <v>29</v>
      </c>
      <c r="G155" s="27" t="s">
        <v>3224</v>
      </c>
      <c r="H155" s="27" t="s">
        <v>84</v>
      </c>
      <c r="I155" s="16" t="s">
        <v>3225</v>
      </c>
      <c r="J155" s="36">
        <v>4355999</v>
      </c>
      <c r="K155" s="36">
        <v>4304400</v>
      </c>
      <c r="L155" s="576">
        <f t="shared" si="2"/>
        <v>8660399</v>
      </c>
    </row>
    <row r="156" spans="1:12" s="654" customFormat="1" ht="60" customHeight="1" x14ac:dyDescent="0.25">
      <c r="A156" s="21" t="s">
        <v>38</v>
      </c>
      <c r="B156" s="21" t="s">
        <v>81</v>
      </c>
      <c r="C156" s="21" t="s">
        <v>22</v>
      </c>
      <c r="D156" s="21" t="s">
        <v>2974</v>
      </c>
      <c r="E156" s="21" t="s">
        <v>143</v>
      </c>
      <c r="F156" s="21" t="s">
        <v>29</v>
      </c>
      <c r="G156" s="27" t="s">
        <v>3226</v>
      </c>
      <c r="H156" s="27" t="s">
        <v>84</v>
      </c>
      <c r="I156" s="16" t="s">
        <v>3227</v>
      </c>
      <c r="J156" s="36">
        <v>8956754</v>
      </c>
      <c r="K156" s="36">
        <v>8753777</v>
      </c>
      <c r="L156" s="576">
        <f t="shared" si="2"/>
        <v>17710531</v>
      </c>
    </row>
    <row r="157" spans="1:12" s="712" customFormat="1" ht="63" customHeight="1" x14ac:dyDescent="0.25">
      <c r="A157" s="21" t="s">
        <v>38</v>
      </c>
      <c r="B157" s="21" t="s">
        <v>81</v>
      </c>
      <c r="C157" s="21" t="s">
        <v>22</v>
      </c>
      <c r="D157" s="21" t="s">
        <v>2974</v>
      </c>
      <c r="E157" s="21" t="s">
        <v>143</v>
      </c>
      <c r="F157" s="21" t="s">
        <v>29</v>
      </c>
      <c r="G157" s="27" t="s">
        <v>3385</v>
      </c>
      <c r="H157" s="27" t="s">
        <v>84</v>
      </c>
      <c r="I157" s="720" t="s">
        <v>3386</v>
      </c>
      <c r="J157" s="36">
        <v>1215733</v>
      </c>
      <c r="K157" s="36">
        <v>1089243</v>
      </c>
      <c r="L157" s="576">
        <f t="shared" si="2"/>
        <v>2304976</v>
      </c>
    </row>
    <row r="158" spans="1:12" s="654" customFormat="1" ht="49.5" customHeight="1" x14ac:dyDescent="0.25">
      <c r="A158" s="21" t="s">
        <v>98</v>
      </c>
      <c r="B158" s="21" t="s">
        <v>81</v>
      </c>
      <c r="C158" s="21" t="s">
        <v>22</v>
      </c>
      <c r="D158" s="21" t="s">
        <v>2974</v>
      </c>
      <c r="E158" s="21" t="s">
        <v>143</v>
      </c>
      <c r="F158" s="21" t="s">
        <v>29</v>
      </c>
      <c r="G158" s="27" t="s">
        <v>3240</v>
      </c>
      <c r="H158" s="27" t="s">
        <v>84</v>
      </c>
      <c r="I158" s="16" t="s">
        <v>3241</v>
      </c>
      <c r="J158" s="36">
        <v>220908</v>
      </c>
      <c r="K158" s="36">
        <v>218916</v>
      </c>
      <c r="L158" s="576">
        <f t="shared" si="2"/>
        <v>439824</v>
      </c>
    </row>
    <row r="159" spans="1:12" s="694" customFormat="1" ht="49.5" customHeight="1" x14ac:dyDescent="0.25">
      <c r="A159" s="21" t="s">
        <v>38</v>
      </c>
      <c r="B159" s="21" t="s">
        <v>81</v>
      </c>
      <c r="C159" s="21" t="s">
        <v>22</v>
      </c>
      <c r="D159" s="21" t="s">
        <v>2974</v>
      </c>
      <c r="E159" s="21" t="s">
        <v>143</v>
      </c>
      <c r="F159" s="21" t="s">
        <v>29</v>
      </c>
      <c r="G159" s="27" t="s">
        <v>3338</v>
      </c>
      <c r="H159" s="27" t="s">
        <v>84</v>
      </c>
      <c r="I159" s="16" t="s">
        <v>3339</v>
      </c>
      <c r="J159" s="36">
        <v>5578657</v>
      </c>
      <c r="K159" s="36">
        <v>5578657</v>
      </c>
      <c r="L159" s="576">
        <f t="shared" si="2"/>
        <v>11157314</v>
      </c>
    </row>
    <row r="160" spans="1:12" s="694" customFormat="1" ht="49.5" customHeight="1" x14ac:dyDescent="0.25">
      <c r="A160" s="21" t="s">
        <v>94</v>
      </c>
      <c r="B160" s="21" t="s">
        <v>81</v>
      </c>
      <c r="C160" s="21" t="s">
        <v>22</v>
      </c>
      <c r="D160" s="21" t="s">
        <v>2974</v>
      </c>
      <c r="E160" s="21" t="s">
        <v>143</v>
      </c>
      <c r="F160" s="21" t="s">
        <v>29</v>
      </c>
      <c r="G160" s="27" t="s">
        <v>3353</v>
      </c>
      <c r="H160" s="27" t="s">
        <v>84</v>
      </c>
      <c r="I160" s="16" t="s">
        <v>3354</v>
      </c>
      <c r="J160" s="36">
        <v>3844753</v>
      </c>
      <c r="K160" s="36">
        <v>3844753</v>
      </c>
      <c r="L160" s="576">
        <f t="shared" si="2"/>
        <v>7689506</v>
      </c>
    </row>
    <row r="161" spans="1:12" s="723" customFormat="1" ht="49.5" customHeight="1" thickBot="1" x14ac:dyDescent="0.3">
      <c r="A161" s="21" t="s">
        <v>94</v>
      </c>
      <c r="B161" s="21" t="s">
        <v>81</v>
      </c>
      <c r="C161" s="21" t="s">
        <v>22</v>
      </c>
      <c r="D161" s="21" t="s">
        <v>2974</v>
      </c>
      <c r="E161" s="21" t="s">
        <v>143</v>
      </c>
      <c r="F161" s="21" t="s">
        <v>29</v>
      </c>
      <c r="G161" s="27" t="s">
        <v>3399</v>
      </c>
      <c r="H161" s="27" t="s">
        <v>84</v>
      </c>
      <c r="I161" s="728" t="s">
        <v>3400</v>
      </c>
      <c r="J161" s="36">
        <v>98900</v>
      </c>
      <c r="K161" s="36">
        <v>98900</v>
      </c>
      <c r="L161" s="576">
        <f t="shared" si="2"/>
        <v>197800</v>
      </c>
    </row>
    <row r="162" spans="1:12" s="712" customFormat="1" ht="63" customHeight="1" x14ac:dyDescent="0.25">
      <c r="A162" s="21" t="s">
        <v>38</v>
      </c>
      <c r="B162" s="21" t="s">
        <v>81</v>
      </c>
      <c r="C162" s="21" t="s">
        <v>22</v>
      </c>
      <c r="D162" s="21" t="s">
        <v>2974</v>
      </c>
      <c r="E162" s="21" t="s">
        <v>143</v>
      </c>
      <c r="F162" s="21" t="s">
        <v>29</v>
      </c>
      <c r="G162" s="27" t="s">
        <v>3387</v>
      </c>
      <c r="H162" s="27" t="s">
        <v>84</v>
      </c>
      <c r="I162" s="721" t="s">
        <v>3388</v>
      </c>
      <c r="J162" s="36">
        <v>1389926.2599999998</v>
      </c>
      <c r="K162" s="36">
        <v>1319550</v>
      </c>
      <c r="L162" s="576">
        <f t="shared" si="2"/>
        <v>2709476.26</v>
      </c>
    </row>
    <row r="163" spans="1:12" s="712" customFormat="1" ht="52.9" customHeight="1" x14ac:dyDescent="0.25">
      <c r="A163" s="21" t="s">
        <v>38</v>
      </c>
      <c r="B163" s="21" t="s">
        <v>81</v>
      </c>
      <c r="C163" s="21" t="s">
        <v>22</v>
      </c>
      <c r="D163" s="21" t="s">
        <v>2974</v>
      </c>
      <c r="E163" s="21" t="s">
        <v>143</v>
      </c>
      <c r="F163" s="21" t="s">
        <v>29</v>
      </c>
      <c r="G163" s="27" t="s">
        <v>3389</v>
      </c>
      <c r="H163" s="27" t="s">
        <v>84</v>
      </c>
      <c r="I163" s="722" t="s">
        <v>3390</v>
      </c>
      <c r="J163" s="36">
        <v>8647916.4499999993</v>
      </c>
      <c r="K163" s="36">
        <v>8047630</v>
      </c>
      <c r="L163" s="576">
        <f t="shared" si="2"/>
        <v>16695546.449999999</v>
      </c>
    </row>
    <row r="164" spans="1:12" s="723" customFormat="1" ht="52.9" customHeight="1" x14ac:dyDescent="0.25">
      <c r="A164" s="21" t="s">
        <v>38</v>
      </c>
      <c r="B164" s="21" t="s">
        <v>81</v>
      </c>
      <c r="C164" s="21" t="s">
        <v>22</v>
      </c>
      <c r="D164" s="21" t="s">
        <v>2974</v>
      </c>
      <c r="E164" s="21" t="s">
        <v>143</v>
      </c>
      <c r="F164" s="21" t="s">
        <v>29</v>
      </c>
      <c r="G164" s="27" t="s">
        <v>3391</v>
      </c>
      <c r="H164" s="27" t="s">
        <v>84</v>
      </c>
      <c r="I164" s="724" t="s">
        <v>3392</v>
      </c>
      <c r="J164" s="36">
        <v>2368357.2200000002</v>
      </c>
      <c r="K164" s="36">
        <v>1731453</v>
      </c>
      <c r="L164" s="576">
        <f t="shared" si="2"/>
        <v>4099810.22</v>
      </c>
    </row>
    <row r="165" spans="1:12" s="805" customFormat="1" ht="63" customHeight="1" x14ac:dyDescent="0.25">
      <c r="A165" s="21" t="s">
        <v>106</v>
      </c>
      <c r="B165" s="21" t="s">
        <v>81</v>
      </c>
      <c r="C165" s="21" t="s">
        <v>22</v>
      </c>
      <c r="D165" s="21" t="s">
        <v>2974</v>
      </c>
      <c r="E165" s="21" t="s">
        <v>143</v>
      </c>
      <c r="F165" s="21" t="s">
        <v>29</v>
      </c>
      <c r="G165" s="27" t="s">
        <v>3457</v>
      </c>
      <c r="H165" s="27" t="s">
        <v>84</v>
      </c>
      <c r="I165" s="724" t="s">
        <v>3458</v>
      </c>
      <c r="J165" s="36">
        <v>116000</v>
      </c>
      <c r="K165" s="36">
        <v>115999</v>
      </c>
      <c r="L165" s="576">
        <f t="shared" si="2"/>
        <v>231999</v>
      </c>
    </row>
    <row r="166" spans="1:12" s="694" customFormat="1" ht="80.25" customHeight="1" x14ac:dyDescent="0.25">
      <c r="A166" s="21" t="s">
        <v>38</v>
      </c>
      <c r="B166" s="21" t="s">
        <v>81</v>
      </c>
      <c r="C166" s="21" t="s">
        <v>22</v>
      </c>
      <c r="D166" s="21" t="s">
        <v>3340</v>
      </c>
      <c r="E166" s="21" t="s">
        <v>99</v>
      </c>
      <c r="F166" s="21" t="s">
        <v>29</v>
      </c>
      <c r="G166" s="27" t="s">
        <v>3341</v>
      </c>
      <c r="H166" s="27" t="s">
        <v>84</v>
      </c>
      <c r="I166" s="16" t="s">
        <v>3342</v>
      </c>
      <c r="J166" s="36">
        <v>10000000</v>
      </c>
      <c r="K166" s="36">
        <v>10000000</v>
      </c>
      <c r="L166" s="576">
        <f t="shared" si="2"/>
        <v>20000000</v>
      </c>
    </row>
    <row r="167" spans="1:12" s="863" customFormat="1" ht="118.5" customHeight="1" x14ac:dyDescent="0.25">
      <c r="A167" s="18" t="s">
        <v>14</v>
      </c>
      <c r="B167" s="18" t="s">
        <v>81</v>
      </c>
      <c r="C167" s="18" t="s">
        <v>3495</v>
      </c>
      <c r="D167" s="18" t="s">
        <v>16</v>
      </c>
      <c r="E167" s="18" t="s">
        <v>14</v>
      </c>
      <c r="F167" s="18" t="s">
        <v>16</v>
      </c>
      <c r="G167" s="25" t="s">
        <v>17</v>
      </c>
      <c r="H167" s="25" t="s">
        <v>14</v>
      </c>
      <c r="I167" s="12" t="s">
        <v>3496</v>
      </c>
      <c r="J167" s="36"/>
      <c r="K167" s="36">
        <v>45376</v>
      </c>
      <c r="L167" s="576"/>
    </row>
    <row r="168" spans="1:12" s="863" customFormat="1" ht="55.5" customHeight="1" x14ac:dyDescent="0.25">
      <c r="A168" s="18" t="s">
        <v>14</v>
      </c>
      <c r="B168" s="18" t="s">
        <v>81</v>
      </c>
      <c r="C168" s="18" t="s">
        <v>3290</v>
      </c>
      <c r="D168" s="18" t="s">
        <v>16</v>
      </c>
      <c r="E168" s="18" t="s">
        <v>14</v>
      </c>
      <c r="F168" s="18" t="s">
        <v>16</v>
      </c>
      <c r="G168" s="25" t="s">
        <v>17</v>
      </c>
      <c r="H168" s="25" t="s">
        <v>14</v>
      </c>
      <c r="I168" s="12" t="s">
        <v>3497</v>
      </c>
      <c r="J168" s="36"/>
      <c r="K168" s="36">
        <v>-7083992</v>
      </c>
      <c r="L168" s="576"/>
    </row>
    <row r="169" spans="1:12" s="32" customFormat="1" ht="15.75" x14ac:dyDescent="0.25">
      <c r="A169" s="21"/>
      <c r="B169" s="21"/>
      <c r="C169" s="21"/>
      <c r="D169" s="21"/>
      <c r="E169" s="21"/>
      <c r="F169" s="21"/>
      <c r="G169" s="27"/>
      <c r="H169" s="27"/>
      <c r="I169" s="12" t="s">
        <v>177</v>
      </c>
      <c r="J169" s="20">
        <v>2208281687.8699999</v>
      </c>
      <c r="K169" s="20">
        <f>K11+K44</f>
        <v>2160352950</v>
      </c>
      <c r="L169" s="13">
        <f t="shared" si="2"/>
        <v>4368634637.8699999</v>
      </c>
    </row>
    <row r="170" spans="1:12" x14ac:dyDescent="0.2">
      <c r="A170" s="21"/>
    </row>
  </sheetData>
  <mergeCells count="12">
    <mergeCell ref="K9:K10"/>
    <mergeCell ref="L9:L10"/>
    <mergeCell ref="G1:L1"/>
    <mergeCell ref="G4:L4"/>
    <mergeCell ref="A6:L6"/>
    <mergeCell ref="J9:J10"/>
    <mergeCell ref="I9:I10"/>
    <mergeCell ref="A9:H9"/>
    <mergeCell ref="A1:E1"/>
    <mergeCell ref="A4:E4"/>
    <mergeCell ref="A2:L2"/>
    <mergeCell ref="A3:L3"/>
  </mergeCells>
  <printOptions gridLinesSet="0"/>
  <pageMargins left="1.1023622047244095" right="0.70866141732283472" top="0.74803149606299213" bottom="0.74803149606299213" header="0.51181102362204722" footer="0.51181102362204722"/>
  <pageSetup paperSize="9" scale="84" fitToHeight="40" orientation="portrait" r:id="rId1"/>
  <headerFooter>
    <oddFooter>&amp;C&amp;P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48"/>
  <sheetViews>
    <sheetView showGridLines="0" view="pageBreakPreview" zoomScale="85" zoomScaleSheetLayoutView="85" workbookViewId="0">
      <selection activeCell="D18" sqref="D18:E18"/>
    </sheetView>
  </sheetViews>
  <sheetFormatPr defaultColWidth="9.140625" defaultRowHeight="12.75" x14ac:dyDescent="0.2"/>
  <cols>
    <col min="1" max="1" width="27.7109375" style="38" customWidth="1"/>
    <col min="2" max="2" width="17.140625" style="38" customWidth="1"/>
    <col min="3" max="3" width="10.85546875" style="38" customWidth="1"/>
    <col min="4" max="4" width="22.42578125" style="38" customWidth="1"/>
    <col min="5" max="5" width="9" style="38" bestFit="1" customWidth="1"/>
    <col min="6" max="7" width="9.140625" style="38"/>
    <col min="8" max="8" width="43.42578125" style="38" customWidth="1"/>
    <col min="9" max="16384" width="9.140625" style="38"/>
  </cols>
  <sheetData>
    <row r="1" spans="1:5" ht="15.75" x14ac:dyDescent="0.25">
      <c r="A1" s="890" t="s">
        <v>565</v>
      </c>
      <c r="B1" s="890"/>
      <c r="C1" s="890"/>
      <c r="D1" s="906"/>
      <c r="E1" s="906"/>
    </row>
    <row r="2" spans="1:5" ht="15.75" x14ac:dyDescent="0.25">
      <c r="A2" s="890" t="s">
        <v>1</v>
      </c>
      <c r="B2" s="890"/>
      <c r="C2" s="890"/>
      <c r="D2" s="906"/>
      <c r="E2" s="906"/>
    </row>
    <row r="3" spans="1:5" ht="15.75" x14ac:dyDescent="0.25">
      <c r="A3" s="890" t="s">
        <v>2</v>
      </c>
      <c r="B3" s="890"/>
      <c r="C3" s="890"/>
      <c r="D3" s="906"/>
      <c r="E3" s="906"/>
    </row>
    <row r="4" spans="1:5" ht="15.75" x14ac:dyDescent="0.25">
      <c r="A4" s="890" t="s">
        <v>3133</v>
      </c>
      <c r="B4" s="890"/>
      <c r="C4" s="890"/>
      <c r="D4" s="906"/>
      <c r="E4" s="906"/>
    </row>
    <row r="5" spans="1:5" ht="15.75" x14ac:dyDescent="0.25">
      <c r="A5" s="890"/>
      <c r="B5" s="906"/>
      <c r="C5" s="906"/>
      <c r="D5" s="906"/>
      <c r="E5" s="906"/>
    </row>
    <row r="6" spans="1:5" ht="15.75" x14ac:dyDescent="0.25">
      <c r="A6" s="907" t="s">
        <v>566</v>
      </c>
      <c r="B6" s="908"/>
      <c r="C6" s="908"/>
      <c r="D6" s="908"/>
      <c r="E6" s="908"/>
    </row>
    <row r="7" spans="1:5" ht="34.5" customHeight="1" x14ac:dyDescent="0.2">
      <c r="A7" s="909" t="s">
        <v>3134</v>
      </c>
      <c r="B7" s="910"/>
      <c r="C7" s="910"/>
      <c r="D7" s="910"/>
      <c r="E7" s="910"/>
    </row>
    <row r="8" spans="1:5" ht="15.75" x14ac:dyDescent="0.25">
      <c r="A8" s="5"/>
      <c r="B8" s="1"/>
      <c r="C8" s="1"/>
      <c r="D8" s="1"/>
      <c r="E8" s="1"/>
    </row>
    <row r="9" spans="1:5" ht="36" customHeight="1" x14ac:dyDescent="0.2">
      <c r="A9" s="912" t="s">
        <v>3135</v>
      </c>
      <c r="B9" s="910"/>
      <c r="C9" s="910"/>
      <c r="D9" s="910"/>
      <c r="E9" s="910"/>
    </row>
    <row r="10" spans="1:5" ht="15.75" x14ac:dyDescent="0.25">
      <c r="A10" s="913" t="s">
        <v>352</v>
      </c>
      <c r="B10" s="914"/>
      <c r="C10" s="914"/>
      <c r="D10" s="914"/>
      <c r="E10" s="914"/>
    </row>
    <row r="11" spans="1:5" ht="50.25" customHeight="1" x14ac:dyDescent="0.25">
      <c r="A11" s="86" t="s">
        <v>353</v>
      </c>
      <c r="B11" s="975" t="s">
        <v>567</v>
      </c>
      <c r="C11" s="976"/>
      <c r="D11" s="975" t="s">
        <v>3092</v>
      </c>
      <c r="E11" s="976"/>
    </row>
    <row r="12" spans="1:5" s="118" customFormat="1" ht="15.75" x14ac:dyDescent="0.25">
      <c r="A12" s="88">
        <v>1</v>
      </c>
      <c r="B12" s="977">
        <v>2</v>
      </c>
      <c r="C12" s="978"/>
      <c r="D12" s="978">
        <v>3</v>
      </c>
      <c r="E12" s="978"/>
    </row>
    <row r="13" spans="1:5" ht="31.5" x14ac:dyDescent="0.25">
      <c r="A13" s="89" t="s">
        <v>354</v>
      </c>
      <c r="B13" s="979">
        <f>B14-B15</f>
        <v>1250000</v>
      </c>
      <c r="C13" s="980"/>
      <c r="D13" s="979">
        <f>D14-D15</f>
        <v>0</v>
      </c>
      <c r="E13" s="980"/>
    </row>
    <row r="14" spans="1:5" ht="15.75" x14ac:dyDescent="0.25">
      <c r="A14" s="90" t="s">
        <v>355</v>
      </c>
      <c r="B14" s="981">
        <f>Пр6!C11</f>
        <v>15529000</v>
      </c>
      <c r="C14" s="980"/>
      <c r="D14" s="981">
        <f>Пр6!F12</f>
        <v>15529000</v>
      </c>
      <c r="E14" s="980"/>
    </row>
    <row r="15" spans="1:5" ht="15.75" x14ac:dyDescent="0.25">
      <c r="A15" s="90" t="s">
        <v>356</v>
      </c>
      <c r="B15" s="982">
        <f>-Пр6!C13</f>
        <v>14279000</v>
      </c>
      <c r="C15" s="980"/>
      <c r="D15" s="982">
        <f>-Пр6!F14</f>
        <v>15529000</v>
      </c>
      <c r="E15" s="980"/>
    </row>
    <row r="16" spans="1:5" ht="15.75" x14ac:dyDescent="0.25">
      <c r="A16" s="89" t="s">
        <v>357</v>
      </c>
      <c r="B16" s="983">
        <f>B17-B18</f>
        <v>-1250000</v>
      </c>
      <c r="C16" s="980"/>
      <c r="D16" s="983">
        <f>D17-D18</f>
        <v>0</v>
      </c>
      <c r="E16" s="980"/>
    </row>
    <row r="17" spans="1:5" ht="15.75" x14ac:dyDescent="0.25">
      <c r="A17" s="90" t="s">
        <v>355</v>
      </c>
      <c r="B17" s="982"/>
      <c r="C17" s="980"/>
      <c r="D17" s="980"/>
      <c r="E17" s="980"/>
    </row>
    <row r="18" spans="1:5" ht="15.75" x14ac:dyDescent="0.25">
      <c r="A18" s="90" t="s">
        <v>356</v>
      </c>
      <c r="B18" s="982">
        <f>-Пр6!C16</f>
        <v>1250000</v>
      </c>
      <c r="C18" s="980"/>
      <c r="D18" s="980">
        <f>-Пр6!F16</f>
        <v>0</v>
      </c>
      <c r="E18" s="980"/>
    </row>
    <row r="19" spans="1:5" ht="15.75" x14ac:dyDescent="0.25">
      <c r="A19" s="92" t="s">
        <v>359</v>
      </c>
      <c r="B19" s="983">
        <f>B20-B21</f>
        <v>0</v>
      </c>
      <c r="C19" s="980"/>
      <c r="D19" s="983">
        <f>D20-D21</f>
        <v>0</v>
      </c>
      <c r="E19" s="980"/>
    </row>
    <row r="20" spans="1:5" ht="15.75" x14ac:dyDescent="0.25">
      <c r="A20" s="93" t="s">
        <v>360</v>
      </c>
      <c r="B20" s="981">
        <f>B14+B17</f>
        <v>15529000</v>
      </c>
      <c r="C20" s="980"/>
      <c r="D20" s="981">
        <f>D14+D17</f>
        <v>15529000</v>
      </c>
      <c r="E20" s="980"/>
    </row>
    <row r="21" spans="1:5" ht="15.75" x14ac:dyDescent="0.25">
      <c r="A21" s="93" t="s">
        <v>361</v>
      </c>
      <c r="B21" s="982">
        <f>B15+B18</f>
        <v>15529000</v>
      </c>
      <c r="C21" s="980"/>
      <c r="D21" s="982">
        <f>D15+D18</f>
        <v>15529000</v>
      </c>
      <c r="E21" s="980"/>
    </row>
    <row r="22" spans="1:5" ht="63" x14ac:dyDescent="0.25">
      <c r="A22" s="94" t="s">
        <v>362</v>
      </c>
      <c r="B22" s="983">
        <f>B19</f>
        <v>0</v>
      </c>
      <c r="C22" s="980"/>
      <c r="D22" s="983">
        <f>D19</f>
        <v>0</v>
      </c>
      <c r="E22" s="980"/>
    </row>
    <row r="23" spans="1:5" ht="36" customHeight="1" x14ac:dyDescent="0.25">
      <c r="A23" s="911" t="s">
        <v>3136</v>
      </c>
      <c r="B23" s="908"/>
      <c r="C23" s="908"/>
      <c r="D23" s="908"/>
      <c r="E23" s="908"/>
    </row>
    <row r="24" spans="1:5" ht="15.75" x14ac:dyDescent="0.25">
      <c r="A24" s="890" t="s">
        <v>363</v>
      </c>
      <c r="B24" s="906"/>
      <c r="C24" s="906"/>
      <c r="D24" s="906"/>
      <c r="E24" s="906"/>
    </row>
    <row r="25" spans="1:5" ht="15.75" x14ac:dyDescent="0.25">
      <c r="A25" s="95" t="s">
        <v>364</v>
      </c>
      <c r="B25" s="984" t="s">
        <v>2923</v>
      </c>
      <c r="C25" s="985"/>
      <c r="D25" s="976" t="s">
        <v>3137</v>
      </c>
      <c r="E25" s="976"/>
    </row>
    <row r="26" spans="1:5" s="118" customFormat="1" ht="15.75" x14ac:dyDescent="0.25">
      <c r="A26" s="96">
        <v>1</v>
      </c>
      <c r="B26" s="977">
        <v>2</v>
      </c>
      <c r="C26" s="978"/>
      <c r="D26" s="978">
        <v>3</v>
      </c>
      <c r="E26" s="978"/>
    </row>
    <row r="27" spans="1:5" ht="31.5" x14ac:dyDescent="0.25">
      <c r="A27" s="119" t="s">
        <v>365</v>
      </c>
      <c r="B27" s="981">
        <f>Пр7!B28+B20-B21</f>
        <v>1250000</v>
      </c>
      <c r="C27" s="986"/>
      <c r="D27" s="981">
        <f>B27+D20-D21</f>
        <v>1250000</v>
      </c>
      <c r="E27" s="986"/>
    </row>
    <row r="28" spans="1:5" ht="63" x14ac:dyDescent="0.25">
      <c r="A28" s="120" t="s">
        <v>366</v>
      </c>
      <c r="B28" s="987">
        <v>0</v>
      </c>
      <c r="C28" s="988"/>
      <c r="D28" s="987">
        <v>0</v>
      </c>
      <c r="E28" s="988"/>
    </row>
    <row r="29" spans="1:5" ht="15.75" x14ac:dyDescent="0.2">
      <c r="A29" s="114"/>
      <c r="B29" s="968" t="s">
        <v>3202</v>
      </c>
      <c r="C29" s="989"/>
      <c r="D29" s="968" t="s">
        <v>3138</v>
      </c>
      <c r="E29" s="989"/>
    </row>
    <row r="30" spans="1:5" ht="31.5" x14ac:dyDescent="0.25">
      <c r="A30" s="119" t="s">
        <v>367</v>
      </c>
      <c r="B30" s="990">
        <v>76200000</v>
      </c>
      <c r="C30" s="991"/>
      <c r="D30" s="990">
        <v>80600000</v>
      </c>
      <c r="E30" s="991"/>
    </row>
    <row r="31" spans="1:5" ht="47.25" x14ac:dyDescent="0.25">
      <c r="A31" s="121" t="s">
        <v>368</v>
      </c>
      <c r="B31" s="981">
        <v>2000000</v>
      </c>
      <c r="C31" s="986"/>
      <c r="D31" s="981">
        <v>2000000</v>
      </c>
      <c r="E31" s="986"/>
    </row>
    <row r="32" spans="1:5" ht="47.25" x14ac:dyDescent="0.25">
      <c r="A32" s="121" t="s">
        <v>369</v>
      </c>
      <c r="B32" s="981">
        <f>B20</f>
        <v>15529000</v>
      </c>
      <c r="C32" s="986"/>
      <c r="D32" s="981">
        <f>D20</f>
        <v>15529000</v>
      </c>
      <c r="E32" s="986"/>
    </row>
    <row r="33" spans="1:5" ht="47.25" x14ac:dyDescent="0.25">
      <c r="A33" s="121" t="s">
        <v>568</v>
      </c>
      <c r="B33" s="981">
        <v>0</v>
      </c>
      <c r="C33" s="986"/>
      <c r="D33" s="981">
        <v>0</v>
      </c>
      <c r="E33" s="986"/>
    </row>
    <row r="34" spans="1:5" ht="15.75" x14ac:dyDescent="0.25">
      <c r="A34" s="5"/>
      <c r="B34" s="1"/>
      <c r="C34" s="1"/>
      <c r="D34" s="1"/>
      <c r="E34" s="1"/>
    </row>
    <row r="35" spans="1:5" ht="15.75" x14ac:dyDescent="0.25">
      <c r="A35" s="911"/>
      <c r="B35" s="908"/>
      <c r="C35" s="908"/>
      <c r="D35" s="908"/>
      <c r="E35" s="908"/>
    </row>
    <row r="36" spans="1:5" ht="36" customHeight="1" x14ac:dyDescent="0.2">
      <c r="A36" s="992" t="s">
        <v>370</v>
      </c>
      <c r="B36" s="993"/>
      <c r="C36" s="993"/>
      <c r="D36" s="993"/>
      <c r="E36" s="993"/>
    </row>
    <row r="37" spans="1:5" ht="15.75" x14ac:dyDescent="0.25">
      <c r="A37" s="949" t="s">
        <v>371</v>
      </c>
      <c r="B37" s="918" t="s">
        <v>372</v>
      </c>
      <c r="C37" s="952"/>
      <c r="D37" s="952"/>
      <c r="E37" s="953"/>
    </row>
    <row r="38" spans="1:5" x14ac:dyDescent="0.2">
      <c r="A38" s="950"/>
      <c r="B38" s="954" t="s">
        <v>3139</v>
      </c>
      <c r="C38" s="955"/>
      <c r="D38" s="954" t="s">
        <v>3140</v>
      </c>
      <c r="E38" s="955"/>
    </row>
    <row r="39" spans="1:5" ht="0.75" customHeight="1" x14ac:dyDescent="0.2">
      <c r="A39" s="950"/>
      <c r="B39" s="956"/>
      <c r="C39" s="957"/>
      <c r="D39" s="956"/>
      <c r="E39" s="957"/>
    </row>
    <row r="40" spans="1:5" ht="15.75" x14ac:dyDescent="0.25">
      <c r="A40" s="951"/>
      <c r="B40" s="100" t="s">
        <v>373</v>
      </c>
      <c r="C40" s="87" t="s">
        <v>374</v>
      </c>
      <c r="D40" s="100" t="s">
        <v>373</v>
      </c>
      <c r="E40" s="100" t="s">
        <v>374</v>
      </c>
    </row>
    <row r="41" spans="1:5" ht="15.75" x14ac:dyDescent="0.25">
      <c r="A41" s="88">
        <v>1</v>
      </c>
      <c r="B41" s="100">
        <v>2</v>
      </c>
      <c r="C41" s="100">
        <v>3</v>
      </c>
      <c r="D41" s="100">
        <v>4</v>
      </c>
      <c r="E41" s="100">
        <v>5</v>
      </c>
    </row>
    <row r="42" spans="1:5" ht="31.5" x14ac:dyDescent="0.25">
      <c r="A42" s="101" t="s">
        <v>375</v>
      </c>
      <c r="B42" s="102">
        <f>B45-B43</f>
        <v>1250000</v>
      </c>
      <c r="C42" s="103">
        <f>B42/B$45</f>
        <v>1</v>
      </c>
      <c r="D42" s="104">
        <f>B42+D13</f>
        <v>1250000</v>
      </c>
      <c r="E42" s="103">
        <f>D42/D$45</f>
        <v>1</v>
      </c>
    </row>
    <row r="43" spans="1:5" ht="15.75" x14ac:dyDescent="0.25">
      <c r="A43" s="101" t="s">
        <v>376</v>
      </c>
      <c r="B43" s="102">
        <f>Пр7!D40-B18</f>
        <v>0</v>
      </c>
      <c r="C43" s="103">
        <f>B43/B$45</f>
        <v>0</v>
      </c>
      <c r="D43" s="102">
        <f>B43-D18</f>
        <v>0</v>
      </c>
      <c r="E43" s="103">
        <f>D43/D$45</f>
        <v>0</v>
      </c>
    </row>
    <row r="44" spans="1:5" ht="31.5" x14ac:dyDescent="0.25">
      <c r="A44" s="101" t="s">
        <v>377</v>
      </c>
      <c r="B44" s="102">
        <v>0</v>
      </c>
      <c r="C44" s="103">
        <f>B44/B$45</f>
        <v>0</v>
      </c>
      <c r="D44" s="102">
        <v>0</v>
      </c>
      <c r="E44" s="103">
        <f>D44/D$45</f>
        <v>0</v>
      </c>
    </row>
    <row r="45" spans="1:5" ht="31.5" x14ac:dyDescent="0.25">
      <c r="A45" s="101" t="s">
        <v>378</v>
      </c>
      <c r="B45" s="104">
        <f>B27</f>
        <v>1250000</v>
      </c>
      <c r="C45" s="103">
        <f>B45/B$45</f>
        <v>1</v>
      </c>
      <c r="D45" s="104">
        <f>D42+D43+D44</f>
        <v>1250000</v>
      </c>
      <c r="E45" s="103">
        <f>D45/D$45</f>
        <v>1</v>
      </c>
    </row>
    <row r="46" spans="1:5" ht="15.75" x14ac:dyDescent="0.25">
      <c r="A46" s="947"/>
      <c r="B46" s="948"/>
      <c r="C46" s="948"/>
      <c r="D46" s="948"/>
      <c r="E46" s="948"/>
    </row>
    <row r="47" spans="1:5" x14ac:dyDescent="0.2">
      <c r="A47" s="105"/>
    </row>
    <row r="48" spans="1:5" ht="15.75" x14ac:dyDescent="0.25">
      <c r="A48" s="5"/>
    </row>
  </sheetData>
  <mergeCells count="60">
    <mergeCell ref="A46:E46"/>
    <mergeCell ref="B33:C33"/>
    <mergeCell ref="D33:E33"/>
    <mergeCell ref="A35:E35"/>
    <mergeCell ref="A36:E36"/>
    <mergeCell ref="A37:A40"/>
    <mergeCell ref="B37:E37"/>
    <mergeCell ref="B38:C39"/>
    <mergeCell ref="D38:E39"/>
    <mergeCell ref="B30:C30"/>
    <mergeCell ref="D30:E30"/>
    <mergeCell ref="B31:C31"/>
    <mergeCell ref="D31:E31"/>
    <mergeCell ref="B32:C32"/>
    <mergeCell ref="D32:E32"/>
    <mergeCell ref="B27:C27"/>
    <mergeCell ref="D27:E27"/>
    <mergeCell ref="B28:C28"/>
    <mergeCell ref="D28:E28"/>
    <mergeCell ref="B29:C29"/>
    <mergeCell ref="D29:E29"/>
    <mergeCell ref="A24:E24"/>
    <mergeCell ref="B25:C25"/>
    <mergeCell ref="D25:E25"/>
    <mergeCell ref="B26:C26"/>
    <mergeCell ref="D26:E26"/>
    <mergeCell ref="D21:E21"/>
    <mergeCell ref="B21:C21"/>
    <mergeCell ref="D22:E22"/>
    <mergeCell ref="B22:C22"/>
    <mergeCell ref="A23:E23"/>
    <mergeCell ref="B18:C18"/>
    <mergeCell ref="D18:E18"/>
    <mergeCell ref="B19:C19"/>
    <mergeCell ref="D19:E19"/>
    <mergeCell ref="B20:C20"/>
    <mergeCell ref="D20:E20"/>
    <mergeCell ref="B15:C15"/>
    <mergeCell ref="D15:E15"/>
    <mergeCell ref="B16:C16"/>
    <mergeCell ref="D16:E16"/>
    <mergeCell ref="B17:C17"/>
    <mergeCell ref="D17:E17"/>
    <mergeCell ref="B12:C12"/>
    <mergeCell ref="D12:E12"/>
    <mergeCell ref="D13:E13"/>
    <mergeCell ref="B13:C13"/>
    <mergeCell ref="B14:C14"/>
    <mergeCell ref="D14:E14"/>
    <mergeCell ref="A6:E6"/>
    <mergeCell ref="A7:E7"/>
    <mergeCell ref="A9:E9"/>
    <mergeCell ref="A10:E10"/>
    <mergeCell ref="B11:C11"/>
    <mergeCell ref="D11:E11"/>
    <mergeCell ref="A1:E1"/>
    <mergeCell ref="A2:E2"/>
    <mergeCell ref="A3:E3"/>
    <mergeCell ref="A4:E4"/>
    <mergeCell ref="A5:E5"/>
  </mergeCells>
  <printOptions gridLinesSet="0"/>
  <pageMargins left="0.70866141732283472" right="0.70866141732283472" top="0.74803149606299213" bottom="0.74803149606299213" header="0.51181102362204722" footer="0.51181102362204722"/>
  <pageSetup paperSize="9" fitToHeight="20" orientation="portrait" r:id="rId1"/>
  <headerFooter>
    <oddFooter>&amp;C&amp;P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164"/>
  <sheetViews>
    <sheetView showGridLines="0" view="pageBreakPreview" topLeftCell="A38" zoomScaleSheetLayoutView="100" workbookViewId="0">
      <selection activeCell="C150" sqref="C150"/>
    </sheetView>
  </sheetViews>
  <sheetFormatPr defaultColWidth="9.140625" defaultRowHeight="12.75" x14ac:dyDescent="0.2"/>
  <cols>
    <col min="1" max="1" width="5.140625" style="122" bestFit="1" customWidth="1"/>
    <col min="2" max="2" width="24.42578125" style="122" customWidth="1"/>
    <col min="3" max="3" width="59.140625" style="122" customWidth="1"/>
    <col min="4" max="16384" width="9.140625" style="122"/>
  </cols>
  <sheetData>
    <row r="1" spans="1:3" ht="15.75" customHeight="1" x14ac:dyDescent="0.25">
      <c r="A1" s="890" t="s">
        <v>379</v>
      </c>
      <c r="B1" s="890"/>
      <c r="C1" s="890"/>
    </row>
    <row r="2" spans="1:3" ht="15.75" x14ac:dyDescent="0.25">
      <c r="A2" s="890" t="s">
        <v>1</v>
      </c>
      <c r="B2" s="890"/>
      <c r="C2" s="890"/>
    </row>
    <row r="3" spans="1:3" ht="15.75" x14ac:dyDescent="0.25">
      <c r="A3" s="890" t="s">
        <v>2</v>
      </c>
      <c r="B3" s="890"/>
      <c r="C3" s="890"/>
    </row>
    <row r="4" spans="1:3" ht="15.75" x14ac:dyDescent="0.25">
      <c r="A4" s="890" t="s">
        <v>3141</v>
      </c>
      <c r="B4" s="890"/>
      <c r="C4" s="890"/>
    </row>
    <row r="5" spans="1:3" ht="15.75" x14ac:dyDescent="0.25">
      <c r="A5" s="32"/>
      <c r="B5" s="1"/>
      <c r="C5" s="1"/>
    </row>
    <row r="6" spans="1:3" ht="45.75" customHeight="1" x14ac:dyDescent="0.2">
      <c r="A6" s="891" t="s">
        <v>569</v>
      </c>
      <c r="B6" s="891"/>
      <c r="C6" s="891"/>
    </row>
    <row r="7" spans="1:3" ht="15.75" hidden="1" x14ac:dyDescent="0.25">
      <c r="A7" s="5"/>
    </row>
    <row r="8" spans="1:3" ht="15.75" x14ac:dyDescent="0.2">
      <c r="A8" s="968" t="s">
        <v>382</v>
      </c>
      <c r="B8" s="969"/>
      <c r="C8" s="970"/>
    </row>
    <row r="9" spans="1:3" ht="66" customHeight="1" x14ac:dyDescent="0.2">
      <c r="A9" s="16">
        <v>950</v>
      </c>
      <c r="B9" s="16" t="s">
        <v>383</v>
      </c>
      <c r="C9" s="16" t="s">
        <v>570</v>
      </c>
    </row>
    <row r="10" spans="1:3" ht="31.5" x14ac:dyDescent="0.25">
      <c r="A10" s="16">
        <v>950</v>
      </c>
      <c r="B10" s="16" t="s">
        <v>571</v>
      </c>
      <c r="C10" s="48" t="s">
        <v>572</v>
      </c>
    </row>
    <row r="11" spans="1:3" ht="47.25" x14ac:dyDescent="0.2">
      <c r="A11" s="16">
        <v>950</v>
      </c>
      <c r="B11" s="106" t="s">
        <v>385</v>
      </c>
      <c r="C11" s="16" t="s">
        <v>65</v>
      </c>
    </row>
    <row r="12" spans="1:3" ht="31.5" x14ac:dyDescent="0.2">
      <c r="A12" s="16">
        <v>950</v>
      </c>
      <c r="B12" s="106" t="s">
        <v>386</v>
      </c>
      <c r="C12" s="16" t="s">
        <v>387</v>
      </c>
    </row>
    <row r="13" spans="1:3" ht="78.75" x14ac:dyDescent="0.2">
      <c r="A13" s="107">
        <v>950</v>
      </c>
      <c r="B13" s="16" t="s">
        <v>388</v>
      </c>
      <c r="C13" s="16" t="s">
        <v>389</v>
      </c>
    </row>
    <row r="14" spans="1:3" ht="47.25" x14ac:dyDescent="0.2">
      <c r="A14" s="107">
        <v>950</v>
      </c>
      <c r="B14" s="16" t="s">
        <v>392</v>
      </c>
      <c r="C14" s="16" t="s">
        <v>393</v>
      </c>
    </row>
    <row r="15" spans="1:3" ht="31.5" x14ac:dyDescent="0.2">
      <c r="A15" s="107">
        <v>950</v>
      </c>
      <c r="B15" s="106" t="s">
        <v>394</v>
      </c>
      <c r="C15" s="16" t="s">
        <v>395</v>
      </c>
    </row>
    <row r="16" spans="1:3" ht="31.5" x14ac:dyDescent="0.2">
      <c r="A16" s="107">
        <v>950</v>
      </c>
      <c r="B16" s="16" t="s">
        <v>396</v>
      </c>
      <c r="C16" s="16" t="s">
        <v>397</v>
      </c>
    </row>
    <row r="17" spans="1:3" ht="66" customHeight="1" x14ac:dyDescent="0.2">
      <c r="A17" s="107">
        <v>950</v>
      </c>
      <c r="B17" s="16" t="s">
        <v>3098</v>
      </c>
      <c r="C17" s="16" t="s">
        <v>3106</v>
      </c>
    </row>
    <row r="18" spans="1:3" ht="31.5" x14ac:dyDescent="0.2">
      <c r="A18" s="16">
        <v>950</v>
      </c>
      <c r="B18" s="16" t="s">
        <v>2975</v>
      </c>
      <c r="C18" s="16" t="s">
        <v>456</v>
      </c>
    </row>
    <row r="19" spans="1:3" ht="47.25" x14ac:dyDescent="0.2">
      <c r="A19" s="16">
        <v>950</v>
      </c>
      <c r="B19" s="16" t="s">
        <v>3008</v>
      </c>
      <c r="C19" s="16" t="s">
        <v>531</v>
      </c>
    </row>
    <row r="20" spans="1:3" ht="99.75" customHeight="1" x14ac:dyDescent="0.2">
      <c r="A20" s="624">
        <v>950</v>
      </c>
      <c r="B20" s="560" t="s">
        <v>3009</v>
      </c>
      <c r="C20" s="601" t="s">
        <v>3107</v>
      </c>
    </row>
    <row r="21" spans="1:3" ht="126" x14ac:dyDescent="0.2">
      <c r="A21" s="107">
        <v>950</v>
      </c>
      <c r="B21" s="16" t="s">
        <v>3082</v>
      </c>
      <c r="C21" s="28" t="s">
        <v>3099</v>
      </c>
    </row>
    <row r="22" spans="1:3" ht="94.5" x14ac:dyDescent="0.2">
      <c r="A22" s="107">
        <v>950</v>
      </c>
      <c r="B22" s="16" t="s">
        <v>3081</v>
      </c>
      <c r="C22" s="28" t="s">
        <v>3100</v>
      </c>
    </row>
    <row r="23" spans="1:3" ht="84.75" customHeight="1" x14ac:dyDescent="0.2">
      <c r="A23" s="107">
        <v>950</v>
      </c>
      <c r="B23" s="16" t="s">
        <v>3101</v>
      </c>
      <c r="C23" s="28" t="s">
        <v>3104</v>
      </c>
    </row>
    <row r="24" spans="1:3" ht="63" x14ac:dyDescent="0.2">
      <c r="A24" s="107">
        <v>950</v>
      </c>
      <c r="B24" s="16" t="s">
        <v>3102</v>
      </c>
      <c r="C24" s="28" t="s">
        <v>3105</v>
      </c>
    </row>
    <row r="25" spans="1:3" ht="15.75" x14ac:dyDescent="0.2">
      <c r="A25" s="107">
        <v>950</v>
      </c>
      <c r="B25" s="16" t="s">
        <v>2976</v>
      </c>
      <c r="C25" s="28" t="s">
        <v>415</v>
      </c>
    </row>
    <row r="26" spans="1:3" ht="47.25" x14ac:dyDescent="0.2">
      <c r="A26" s="107">
        <v>950</v>
      </c>
      <c r="B26" s="16" t="s">
        <v>2979</v>
      </c>
      <c r="C26" s="16" t="s">
        <v>421</v>
      </c>
    </row>
    <row r="27" spans="1:3" ht="71.25" customHeight="1" x14ac:dyDescent="0.2">
      <c r="A27" s="107">
        <v>950</v>
      </c>
      <c r="B27" s="16" t="s">
        <v>2978</v>
      </c>
      <c r="C27" s="16" t="s">
        <v>2981</v>
      </c>
    </row>
    <row r="28" spans="1:3" ht="47.25" x14ac:dyDescent="0.2">
      <c r="A28" s="107">
        <v>950</v>
      </c>
      <c r="B28" s="16" t="s">
        <v>2977</v>
      </c>
      <c r="C28" s="16" t="s">
        <v>2980</v>
      </c>
    </row>
    <row r="29" spans="1:3" ht="78.75" x14ac:dyDescent="0.2">
      <c r="A29" s="106">
        <v>950</v>
      </c>
      <c r="B29" s="106" t="s">
        <v>2982</v>
      </c>
      <c r="C29" s="16" t="s">
        <v>423</v>
      </c>
    </row>
    <row r="30" spans="1:3" ht="31.5" x14ac:dyDescent="0.2">
      <c r="A30" s="106">
        <v>950</v>
      </c>
      <c r="B30" s="106" t="s">
        <v>2983</v>
      </c>
      <c r="C30" s="16" t="s">
        <v>425</v>
      </c>
    </row>
    <row r="31" spans="1:3" ht="63" x14ac:dyDescent="0.2">
      <c r="A31" s="107">
        <v>950</v>
      </c>
      <c r="B31" s="16" t="s">
        <v>3011</v>
      </c>
      <c r="C31" s="16" t="s">
        <v>3012</v>
      </c>
    </row>
    <row r="32" spans="1:3" ht="31.5" x14ac:dyDescent="0.2">
      <c r="A32" s="107">
        <v>950</v>
      </c>
      <c r="B32" s="16" t="s">
        <v>400</v>
      </c>
      <c r="C32" s="16" t="s">
        <v>401</v>
      </c>
    </row>
    <row r="33" spans="1:3" ht="78.75" x14ac:dyDescent="0.2">
      <c r="A33" s="107">
        <v>950</v>
      </c>
      <c r="B33" s="16" t="s">
        <v>3103</v>
      </c>
      <c r="C33" s="16" t="s">
        <v>3108</v>
      </c>
    </row>
    <row r="34" spans="1:3" ht="63" x14ac:dyDescent="0.2">
      <c r="A34" s="107">
        <v>950</v>
      </c>
      <c r="B34" s="16" t="s">
        <v>3110</v>
      </c>
      <c r="C34" s="16" t="s">
        <v>3109</v>
      </c>
    </row>
    <row r="35" spans="1:3" ht="110.25" x14ac:dyDescent="0.2">
      <c r="A35" s="107">
        <v>950</v>
      </c>
      <c r="B35" s="16" t="s">
        <v>3013</v>
      </c>
      <c r="C35" s="16" t="s">
        <v>3035</v>
      </c>
    </row>
    <row r="36" spans="1:3" ht="126" x14ac:dyDescent="0.2">
      <c r="A36" s="107">
        <v>950</v>
      </c>
      <c r="B36" s="16" t="s">
        <v>3015</v>
      </c>
      <c r="C36" s="16" t="s">
        <v>3014</v>
      </c>
    </row>
    <row r="37" spans="1:3" ht="94.5" x14ac:dyDescent="0.2">
      <c r="A37" s="107">
        <v>950</v>
      </c>
      <c r="B37" s="16" t="s">
        <v>3017</v>
      </c>
      <c r="C37" s="16" t="s">
        <v>3016</v>
      </c>
    </row>
    <row r="38" spans="1:3" ht="78.75" x14ac:dyDescent="0.2">
      <c r="A38" s="107">
        <v>950</v>
      </c>
      <c r="B38" s="16" t="s">
        <v>3019</v>
      </c>
      <c r="C38" s="16" t="s">
        <v>3018</v>
      </c>
    </row>
    <row r="39" spans="1:3" ht="78.75" x14ac:dyDescent="0.2">
      <c r="A39" s="107">
        <v>950</v>
      </c>
      <c r="B39" s="16" t="s">
        <v>3021</v>
      </c>
      <c r="C39" s="16" t="s">
        <v>3020</v>
      </c>
    </row>
    <row r="40" spans="1:3" ht="36" customHeight="1" x14ac:dyDescent="0.2">
      <c r="A40" s="968" t="s">
        <v>426</v>
      </c>
      <c r="B40" s="969"/>
      <c r="C40" s="970"/>
    </row>
    <row r="41" spans="1:3" ht="63" x14ac:dyDescent="0.2">
      <c r="A41" s="16">
        <v>952</v>
      </c>
      <c r="B41" s="16" t="s">
        <v>427</v>
      </c>
      <c r="C41" s="16" t="s">
        <v>428</v>
      </c>
    </row>
    <row r="42" spans="1:3" ht="110.25" x14ac:dyDescent="0.2">
      <c r="A42" s="16">
        <v>952</v>
      </c>
      <c r="B42" s="16" t="s">
        <v>3111</v>
      </c>
      <c r="C42" s="16" t="s">
        <v>3115</v>
      </c>
    </row>
    <row r="43" spans="1:3" ht="99.75" customHeight="1" x14ac:dyDescent="0.2">
      <c r="A43" s="16">
        <v>952</v>
      </c>
      <c r="B43" s="16" t="s">
        <v>429</v>
      </c>
      <c r="C43" s="16" t="s">
        <v>573</v>
      </c>
    </row>
    <row r="44" spans="1:3" ht="94.5" x14ac:dyDescent="0.2">
      <c r="A44" s="16">
        <v>952</v>
      </c>
      <c r="B44" s="16" t="s">
        <v>431</v>
      </c>
      <c r="C44" s="16" t="s">
        <v>432</v>
      </c>
    </row>
    <row r="45" spans="1:3" ht="47.25" x14ac:dyDescent="0.2">
      <c r="A45" s="16">
        <v>952</v>
      </c>
      <c r="B45" s="16" t="s">
        <v>435</v>
      </c>
      <c r="C45" s="16" t="s">
        <v>436</v>
      </c>
    </row>
    <row r="46" spans="1:3" ht="63" x14ac:dyDescent="0.2">
      <c r="A46" s="16">
        <v>952</v>
      </c>
      <c r="B46" s="16" t="s">
        <v>437</v>
      </c>
      <c r="C46" s="16" t="s">
        <v>438</v>
      </c>
    </row>
    <row r="47" spans="1:3" ht="94.5" x14ac:dyDescent="0.2">
      <c r="A47" s="16">
        <v>952</v>
      </c>
      <c r="B47" s="16" t="s">
        <v>439</v>
      </c>
      <c r="C47" s="16" t="s">
        <v>440</v>
      </c>
    </row>
    <row r="48" spans="1:3" ht="31.5" x14ac:dyDescent="0.2">
      <c r="A48" s="16">
        <v>952</v>
      </c>
      <c r="B48" s="16" t="s">
        <v>574</v>
      </c>
      <c r="C48" s="16" t="s">
        <v>387</v>
      </c>
    </row>
    <row r="49" spans="1:3" ht="110.25" x14ac:dyDescent="0.2">
      <c r="A49" s="16">
        <v>952</v>
      </c>
      <c r="B49" s="16" t="s">
        <v>443</v>
      </c>
      <c r="C49" s="16" t="s">
        <v>444</v>
      </c>
    </row>
    <row r="50" spans="1:3" ht="110.25" x14ac:dyDescent="0.2">
      <c r="A50" s="16">
        <v>952</v>
      </c>
      <c r="B50" s="16" t="s">
        <v>445</v>
      </c>
      <c r="C50" s="16" t="s">
        <v>446</v>
      </c>
    </row>
    <row r="51" spans="1:3" ht="63" x14ac:dyDescent="0.2">
      <c r="A51" s="16">
        <v>952</v>
      </c>
      <c r="B51" s="16" t="s">
        <v>3112</v>
      </c>
      <c r="C51" s="16" t="s">
        <v>3116</v>
      </c>
    </row>
    <row r="52" spans="1:3" ht="63.75" customHeight="1" x14ac:dyDescent="0.2">
      <c r="A52" s="16">
        <v>952</v>
      </c>
      <c r="B52" s="16" t="s">
        <v>575</v>
      </c>
      <c r="C52" s="16" t="s">
        <v>576</v>
      </c>
    </row>
    <row r="53" spans="1:3" ht="63" x14ac:dyDescent="0.2">
      <c r="A53" s="16">
        <v>952</v>
      </c>
      <c r="B53" s="16" t="s">
        <v>451</v>
      </c>
      <c r="C53" s="16" t="s">
        <v>76</v>
      </c>
    </row>
    <row r="54" spans="1:3" ht="78.75" x14ac:dyDescent="0.2">
      <c r="A54" s="107">
        <v>952</v>
      </c>
      <c r="B54" s="16" t="s">
        <v>388</v>
      </c>
      <c r="C54" s="16" t="s">
        <v>389</v>
      </c>
    </row>
    <row r="55" spans="1:3" ht="47.25" x14ac:dyDescent="0.2">
      <c r="A55" s="107">
        <v>952</v>
      </c>
      <c r="B55" s="16" t="s">
        <v>392</v>
      </c>
      <c r="C55" s="16" t="s">
        <v>393</v>
      </c>
    </row>
    <row r="56" spans="1:3" ht="15.75" customHeight="1" x14ac:dyDescent="0.2">
      <c r="A56" s="107">
        <v>952</v>
      </c>
      <c r="B56" s="106" t="s">
        <v>394</v>
      </c>
      <c r="C56" s="16" t="s">
        <v>395</v>
      </c>
    </row>
    <row r="57" spans="1:3" ht="31.5" x14ac:dyDescent="0.2">
      <c r="A57" s="107">
        <v>952</v>
      </c>
      <c r="B57" s="16" t="s">
        <v>396</v>
      </c>
      <c r="C57" s="16" t="s">
        <v>397</v>
      </c>
    </row>
    <row r="58" spans="1:3" ht="15.75" x14ac:dyDescent="0.2">
      <c r="A58" s="123">
        <v>952</v>
      </c>
      <c r="B58" s="16" t="s">
        <v>2984</v>
      </c>
      <c r="C58" s="16" t="s">
        <v>415</v>
      </c>
    </row>
    <row r="59" spans="1:3" ht="78.75" x14ac:dyDescent="0.2">
      <c r="A59" s="108">
        <v>952</v>
      </c>
      <c r="B59" s="16" t="s">
        <v>2982</v>
      </c>
      <c r="C59" s="28" t="s">
        <v>423</v>
      </c>
    </row>
    <row r="60" spans="1:3" ht="31.5" x14ac:dyDescent="0.2">
      <c r="A60" s="107">
        <v>952</v>
      </c>
      <c r="B60" s="16" t="s">
        <v>400</v>
      </c>
      <c r="C60" s="16" t="s">
        <v>401</v>
      </c>
    </row>
    <row r="61" spans="1:3" ht="78.75" x14ac:dyDescent="0.2">
      <c r="A61" s="107">
        <v>952</v>
      </c>
      <c r="B61" s="16" t="s">
        <v>3021</v>
      </c>
      <c r="C61" s="16" t="s">
        <v>3020</v>
      </c>
    </row>
    <row r="62" spans="1:3" ht="15.75" x14ac:dyDescent="0.2">
      <c r="A62" s="968" t="s">
        <v>454</v>
      </c>
      <c r="B62" s="969"/>
      <c r="C62" s="970"/>
    </row>
    <row r="63" spans="1:3" ht="47.25" x14ac:dyDescent="0.2">
      <c r="A63" s="12">
        <v>953</v>
      </c>
      <c r="B63" s="106" t="s">
        <v>385</v>
      </c>
      <c r="C63" s="16" t="s">
        <v>65</v>
      </c>
    </row>
    <row r="64" spans="1:3" ht="31.5" x14ac:dyDescent="0.2">
      <c r="A64" s="108">
        <v>953</v>
      </c>
      <c r="B64" s="106" t="s">
        <v>386</v>
      </c>
      <c r="C64" s="16" t="s">
        <v>387</v>
      </c>
    </row>
    <row r="65" spans="1:3" ht="78.75" x14ac:dyDescent="0.2">
      <c r="A65" s="107">
        <v>953</v>
      </c>
      <c r="B65" s="16" t="s">
        <v>388</v>
      </c>
      <c r="C65" s="16" t="s">
        <v>389</v>
      </c>
    </row>
    <row r="66" spans="1:3" ht="47.25" x14ac:dyDescent="0.2">
      <c r="A66" s="107">
        <v>953</v>
      </c>
      <c r="B66" s="16" t="s">
        <v>392</v>
      </c>
      <c r="C66" s="16" t="s">
        <v>393</v>
      </c>
    </row>
    <row r="67" spans="1:3" ht="31.5" x14ac:dyDescent="0.2">
      <c r="A67" s="107">
        <v>953</v>
      </c>
      <c r="B67" s="106" t="s">
        <v>394</v>
      </c>
      <c r="C67" s="16" t="s">
        <v>395</v>
      </c>
    </row>
    <row r="68" spans="1:3" ht="31.5" x14ac:dyDescent="0.2">
      <c r="A68" s="107">
        <v>953</v>
      </c>
      <c r="B68" s="16" t="s">
        <v>396</v>
      </c>
      <c r="C68" s="16" t="s">
        <v>397</v>
      </c>
    </row>
    <row r="69" spans="1:3" ht="31.5" x14ac:dyDescent="0.2">
      <c r="A69" s="107">
        <v>953</v>
      </c>
      <c r="B69" s="16" t="s">
        <v>2985</v>
      </c>
      <c r="C69" s="16" t="s">
        <v>456</v>
      </c>
    </row>
    <row r="70" spans="1:3" ht="63" x14ac:dyDescent="0.2">
      <c r="A70" s="107">
        <v>953</v>
      </c>
      <c r="B70" s="16" t="s">
        <v>3117</v>
      </c>
      <c r="C70" s="16" t="s">
        <v>3118</v>
      </c>
    </row>
    <row r="71" spans="1:3" ht="15.75" x14ac:dyDescent="0.2">
      <c r="A71" s="107">
        <v>953</v>
      </c>
      <c r="B71" s="16" t="s">
        <v>2976</v>
      </c>
      <c r="C71" s="28" t="s">
        <v>415</v>
      </c>
    </row>
    <row r="72" spans="1:3" ht="56.25" customHeight="1" x14ac:dyDescent="0.2">
      <c r="A72" s="107">
        <v>953</v>
      </c>
      <c r="B72" s="16" t="s">
        <v>2986</v>
      </c>
      <c r="C72" s="16" t="s">
        <v>464</v>
      </c>
    </row>
    <row r="73" spans="1:3" ht="47.25" x14ac:dyDescent="0.2">
      <c r="A73" s="107">
        <v>953</v>
      </c>
      <c r="B73" s="16" t="s">
        <v>2979</v>
      </c>
      <c r="C73" s="16" t="s">
        <v>421</v>
      </c>
    </row>
    <row r="74" spans="1:3" ht="78.75" x14ac:dyDescent="0.2">
      <c r="A74" s="107">
        <v>953</v>
      </c>
      <c r="B74" s="16" t="s">
        <v>2982</v>
      </c>
      <c r="C74" s="16" t="s">
        <v>423</v>
      </c>
    </row>
    <row r="75" spans="1:3" ht="63" x14ac:dyDescent="0.2">
      <c r="A75" s="107">
        <v>953</v>
      </c>
      <c r="B75" s="16" t="s">
        <v>2987</v>
      </c>
      <c r="C75" s="16" t="s">
        <v>577</v>
      </c>
    </row>
    <row r="76" spans="1:3" ht="31.5" x14ac:dyDescent="0.2">
      <c r="A76" s="106">
        <v>953</v>
      </c>
      <c r="B76" s="106" t="s">
        <v>2988</v>
      </c>
      <c r="C76" s="16" t="s">
        <v>425</v>
      </c>
    </row>
    <row r="77" spans="1:3" ht="47.25" x14ac:dyDescent="0.2">
      <c r="A77" s="107">
        <v>953</v>
      </c>
      <c r="B77" s="16" t="s">
        <v>398</v>
      </c>
      <c r="C77" s="16" t="s">
        <v>399</v>
      </c>
    </row>
    <row r="78" spans="1:3" ht="94.5" x14ac:dyDescent="0.2">
      <c r="A78" s="107">
        <v>953</v>
      </c>
      <c r="B78" s="16" t="s">
        <v>3024</v>
      </c>
      <c r="C78" s="16" t="s">
        <v>3023</v>
      </c>
    </row>
    <row r="79" spans="1:3" ht="63" x14ac:dyDescent="0.2">
      <c r="A79" s="107">
        <v>953</v>
      </c>
      <c r="B79" s="16" t="s">
        <v>3021</v>
      </c>
      <c r="C79" s="16" t="s">
        <v>3022</v>
      </c>
    </row>
    <row r="80" spans="1:3" ht="33.75" customHeight="1" x14ac:dyDescent="0.2">
      <c r="A80" s="971" t="s">
        <v>474</v>
      </c>
      <c r="B80" s="972"/>
      <c r="C80" s="973"/>
    </row>
    <row r="81" spans="1:3" ht="47.25" x14ac:dyDescent="0.2">
      <c r="A81" s="107">
        <v>954</v>
      </c>
      <c r="B81" s="106" t="s">
        <v>385</v>
      </c>
      <c r="C81" s="16" t="s">
        <v>65</v>
      </c>
    </row>
    <row r="82" spans="1:3" ht="31.5" x14ac:dyDescent="0.2">
      <c r="A82" s="107">
        <v>954</v>
      </c>
      <c r="B82" s="106" t="s">
        <v>386</v>
      </c>
      <c r="C82" s="16" t="s">
        <v>387</v>
      </c>
    </row>
    <row r="83" spans="1:3" ht="78.75" x14ac:dyDescent="0.2">
      <c r="A83" s="107">
        <v>954</v>
      </c>
      <c r="B83" s="16" t="s">
        <v>388</v>
      </c>
      <c r="C83" s="16" t="s">
        <v>389</v>
      </c>
    </row>
    <row r="84" spans="1:3" ht="47.25" x14ac:dyDescent="0.2">
      <c r="A84" s="107">
        <v>954</v>
      </c>
      <c r="B84" s="16" t="s">
        <v>392</v>
      </c>
      <c r="C84" s="16" t="s">
        <v>393</v>
      </c>
    </row>
    <row r="85" spans="1:3" ht="31.5" x14ac:dyDescent="0.2">
      <c r="A85" s="107">
        <v>954</v>
      </c>
      <c r="B85" s="106" t="s">
        <v>394</v>
      </c>
      <c r="C85" s="16" t="s">
        <v>395</v>
      </c>
    </row>
    <row r="86" spans="1:3" ht="31.5" x14ac:dyDescent="0.2">
      <c r="A86" s="107">
        <v>954</v>
      </c>
      <c r="B86" s="16" t="s">
        <v>396</v>
      </c>
      <c r="C86" s="16" t="s">
        <v>397</v>
      </c>
    </row>
    <row r="87" spans="1:3" ht="31.5" x14ac:dyDescent="0.2">
      <c r="A87" s="107">
        <v>954</v>
      </c>
      <c r="B87" s="16" t="s">
        <v>2975</v>
      </c>
      <c r="C87" s="16" t="s">
        <v>456</v>
      </c>
    </row>
    <row r="88" spans="1:3" ht="63" x14ac:dyDescent="0.2">
      <c r="A88" s="107">
        <v>954</v>
      </c>
      <c r="B88" s="16" t="s">
        <v>2989</v>
      </c>
      <c r="C88" s="16" t="s">
        <v>578</v>
      </c>
    </row>
    <row r="89" spans="1:3" ht="15.75" x14ac:dyDescent="0.2">
      <c r="A89" s="107">
        <v>954</v>
      </c>
      <c r="B89" s="16" t="s">
        <v>2984</v>
      </c>
      <c r="C89" s="16" t="s">
        <v>415</v>
      </c>
    </row>
    <row r="90" spans="1:3" ht="47.25" x14ac:dyDescent="0.2">
      <c r="A90" s="107">
        <v>954</v>
      </c>
      <c r="B90" s="16" t="s">
        <v>2979</v>
      </c>
      <c r="C90" s="16" t="s">
        <v>421</v>
      </c>
    </row>
    <row r="91" spans="1:3" ht="78.75" x14ac:dyDescent="0.2">
      <c r="A91" s="107">
        <v>954</v>
      </c>
      <c r="B91" s="16" t="s">
        <v>2995</v>
      </c>
      <c r="C91" s="16" t="s">
        <v>488</v>
      </c>
    </row>
    <row r="92" spans="1:3" ht="78.75" x14ac:dyDescent="0.2">
      <c r="A92" s="107">
        <v>954</v>
      </c>
      <c r="B92" s="16" t="s">
        <v>2997</v>
      </c>
      <c r="C92" s="16" t="s">
        <v>580</v>
      </c>
    </row>
    <row r="93" spans="1:3" ht="84" customHeight="1" x14ac:dyDescent="0.2">
      <c r="A93" s="107">
        <v>954</v>
      </c>
      <c r="B93" s="16" t="s">
        <v>2991</v>
      </c>
      <c r="C93" s="16" t="s">
        <v>2992</v>
      </c>
    </row>
    <row r="94" spans="1:3" ht="70.5" customHeight="1" x14ac:dyDescent="0.2">
      <c r="A94" s="107">
        <v>954</v>
      </c>
      <c r="B94" s="16" t="s">
        <v>2993</v>
      </c>
      <c r="C94" s="16" t="s">
        <v>579</v>
      </c>
    </row>
    <row r="95" spans="1:3" ht="47.25" x14ac:dyDescent="0.2">
      <c r="A95" s="107">
        <v>954</v>
      </c>
      <c r="B95" s="16" t="s">
        <v>2990</v>
      </c>
      <c r="C95" s="16" t="s">
        <v>476</v>
      </c>
    </row>
    <row r="96" spans="1:3" ht="94.5" x14ac:dyDescent="0.2">
      <c r="A96" s="107">
        <v>954</v>
      </c>
      <c r="B96" s="16" t="s">
        <v>2994</v>
      </c>
      <c r="C96" s="16" t="s">
        <v>486</v>
      </c>
    </row>
    <row r="97" spans="1:3" ht="115.5" customHeight="1" x14ac:dyDescent="0.2">
      <c r="A97" s="107">
        <v>954</v>
      </c>
      <c r="B97" s="16" t="s">
        <v>2996</v>
      </c>
      <c r="C97" s="16" t="s">
        <v>480</v>
      </c>
    </row>
    <row r="98" spans="1:3" ht="66.75" customHeight="1" x14ac:dyDescent="0.2">
      <c r="A98" s="107">
        <v>954</v>
      </c>
      <c r="B98" s="16" t="s">
        <v>3041</v>
      </c>
      <c r="C98" s="16" t="s">
        <v>3042</v>
      </c>
    </row>
    <row r="99" spans="1:3" ht="31.5" x14ac:dyDescent="0.2">
      <c r="A99" s="107">
        <v>954</v>
      </c>
      <c r="B99" s="106" t="s">
        <v>2988</v>
      </c>
      <c r="C99" s="16" t="s">
        <v>425</v>
      </c>
    </row>
    <row r="100" spans="1:3" ht="47.25" x14ac:dyDescent="0.2">
      <c r="A100" s="107">
        <v>954</v>
      </c>
      <c r="B100" s="16" t="s">
        <v>398</v>
      </c>
      <c r="C100" s="16" t="s">
        <v>399</v>
      </c>
    </row>
    <row r="101" spans="1:3" ht="70.5" customHeight="1" x14ac:dyDescent="0.2">
      <c r="A101" s="107">
        <v>954</v>
      </c>
      <c r="B101" s="16" t="s">
        <v>3026</v>
      </c>
      <c r="C101" s="16" t="s">
        <v>3025</v>
      </c>
    </row>
    <row r="102" spans="1:3" ht="63" x14ac:dyDescent="0.2">
      <c r="A102" s="107">
        <v>954</v>
      </c>
      <c r="B102" s="16" t="s">
        <v>3021</v>
      </c>
      <c r="C102" s="16" t="s">
        <v>3022</v>
      </c>
    </row>
    <row r="103" spans="1:3" ht="15.75" x14ac:dyDescent="0.2">
      <c r="A103" s="968" t="s">
        <v>491</v>
      </c>
      <c r="B103" s="969"/>
      <c r="C103" s="970"/>
    </row>
    <row r="104" spans="1:3" ht="31.5" x14ac:dyDescent="0.2">
      <c r="A104" s="16">
        <v>955</v>
      </c>
      <c r="B104" s="106" t="s">
        <v>386</v>
      </c>
      <c r="C104" s="16" t="s">
        <v>387</v>
      </c>
    </row>
    <row r="105" spans="1:3" ht="47.25" x14ac:dyDescent="0.2">
      <c r="A105" s="16">
        <v>955</v>
      </c>
      <c r="B105" s="106" t="s">
        <v>494</v>
      </c>
      <c r="C105" s="16" t="s">
        <v>495</v>
      </c>
    </row>
    <row r="106" spans="1:3" ht="63" x14ac:dyDescent="0.2">
      <c r="A106" s="16">
        <v>955</v>
      </c>
      <c r="B106" s="16" t="s">
        <v>496</v>
      </c>
      <c r="C106" s="16" t="s">
        <v>497</v>
      </c>
    </row>
    <row r="107" spans="1:3" ht="47.25" x14ac:dyDescent="0.2">
      <c r="A107" s="107">
        <v>955</v>
      </c>
      <c r="B107" s="16" t="s">
        <v>392</v>
      </c>
      <c r="C107" s="16" t="s">
        <v>393</v>
      </c>
    </row>
    <row r="108" spans="1:3" ht="31.5" x14ac:dyDescent="0.2">
      <c r="A108" s="16">
        <v>955</v>
      </c>
      <c r="B108" s="106" t="s">
        <v>394</v>
      </c>
      <c r="C108" s="16" t="s">
        <v>395</v>
      </c>
    </row>
    <row r="109" spans="1:3" ht="31.5" x14ac:dyDescent="0.2">
      <c r="A109" s="16">
        <v>955</v>
      </c>
      <c r="B109" s="106" t="s">
        <v>581</v>
      </c>
      <c r="C109" s="16" t="s">
        <v>582</v>
      </c>
    </row>
    <row r="110" spans="1:3" ht="31.5" x14ac:dyDescent="0.2">
      <c r="A110" s="107">
        <v>955</v>
      </c>
      <c r="B110" s="16" t="s">
        <v>396</v>
      </c>
      <c r="C110" s="16" t="s">
        <v>397</v>
      </c>
    </row>
    <row r="111" spans="1:3" ht="31.5" x14ac:dyDescent="0.2">
      <c r="A111" s="16">
        <v>955</v>
      </c>
      <c r="B111" s="16" t="s">
        <v>2998</v>
      </c>
      <c r="C111" s="16" t="s">
        <v>3087</v>
      </c>
    </row>
    <row r="112" spans="1:3" ht="31.5" x14ac:dyDescent="0.2">
      <c r="A112" s="16">
        <v>955</v>
      </c>
      <c r="B112" s="16" t="s">
        <v>2999</v>
      </c>
      <c r="C112" s="16" t="s">
        <v>583</v>
      </c>
    </row>
    <row r="113" spans="1:3" ht="33.75" customHeight="1" x14ac:dyDescent="0.2">
      <c r="A113" s="16">
        <v>955</v>
      </c>
      <c r="B113" s="16" t="s">
        <v>3000</v>
      </c>
      <c r="C113" s="16" t="s">
        <v>503</v>
      </c>
    </row>
    <row r="114" spans="1:3" ht="24" customHeight="1" x14ac:dyDescent="0.2">
      <c r="A114" s="16">
        <v>955</v>
      </c>
      <c r="B114" s="16" t="s">
        <v>3001</v>
      </c>
      <c r="C114" s="16" t="s">
        <v>584</v>
      </c>
    </row>
    <row r="115" spans="1:3" ht="24" customHeight="1" x14ac:dyDescent="0.2">
      <c r="A115" s="16">
        <v>955</v>
      </c>
      <c r="B115" s="16" t="s">
        <v>3002</v>
      </c>
      <c r="C115" s="16" t="s">
        <v>585</v>
      </c>
    </row>
    <row r="116" spans="1:3" ht="15.75" x14ac:dyDescent="0.2">
      <c r="A116" s="16">
        <v>955</v>
      </c>
      <c r="B116" s="16" t="s">
        <v>2976</v>
      </c>
      <c r="C116" s="28" t="s">
        <v>415</v>
      </c>
    </row>
    <row r="117" spans="1:3" ht="47.25" x14ac:dyDescent="0.2">
      <c r="A117" s="16">
        <v>955</v>
      </c>
      <c r="B117" s="16" t="s">
        <v>2979</v>
      </c>
      <c r="C117" s="16" t="s">
        <v>506</v>
      </c>
    </row>
    <row r="118" spans="1:3" ht="52.5" customHeight="1" x14ac:dyDescent="0.2">
      <c r="A118" s="16">
        <v>955</v>
      </c>
      <c r="B118" s="16" t="s">
        <v>3003</v>
      </c>
      <c r="C118" s="16" t="s">
        <v>505</v>
      </c>
    </row>
    <row r="119" spans="1:3" ht="78.75" x14ac:dyDescent="0.2">
      <c r="A119" s="16">
        <v>955</v>
      </c>
      <c r="B119" s="16" t="s">
        <v>2982</v>
      </c>
      <c r="C119" s="16" t="s">
        <v>423</v>
      </c>
    </row>
    <row r="120" spans="1:3" ht="31.5" x14ac:dyDescent="0.2">
      <c r="A120" s="16">
        <v>955</v>
      </c>
      <c r="B120" s="16" t="s">
        <v>2988</v>
      </c>
      <c r="C120" s="16" t="s">
        <v>425</v>
      </c>
    </row>
    <row r="121" spans="1:3" ht="110.25" x14ac:dyDescent="0.2">
      <c r="A121" s="16">
        <v>955</v>
      </c>
      <c r="B121" s="16" t="s">
        <v>510</v>
      </c>
      <c r="C121" s="16" t="s">
        <v>511</v>
      </c>
    </row>
    <row r="122" spans="1:3" ht="110.25" x14ac:dyDescent="0.2">
      <c r="A122" s="16">
        <v>955</v>
      </c>
      <c r="B122" s="16" t="s">
        <v>586</v>
      </c>
      <c r="C122" s="16" t="s">
        <v>587</v>
      </c>
    </row>
    <row r="123" spans="1:3" ht="63" x14ac:dyDescent="0.2">
      <c r="A123" s="16">
        <v>955</v>
      </c>
      <c r="B123" s="16" t="s">
        <v>3011</v>
      </c>
      <c r="C123" s="16" t="s">
        <v>3012</v>
      </c>
    </row>
    <row r="124" spans="1:3" ht="63" x14ac:dyDescent="0.2">
      <c r="A124" s="16">
        <v>955</v>
      </c>
      <c r="B124" s="16" t="s">
        <v>3021</v>
      </c>
      <c r="C124" s="16" t="s">
        <v>3022</v>
      </c>
    </row>
    <row r="125" spans="1:3" ht="33" customHeight="1" x14ac:dyDescent="0.2">
      <c r="A125" s="968" t="s">
        <v>512</v>
      </c>
      <c r="B125" s="969"/>
      <c r="C125" s="970"/>
    </row>
    <row r="126" spans="1:3" ht="47.25" x14ac:dyDescent="0.2">
      <c r="A126" s="110">
        <v>956</v>
      </c>
      <c r="B126" s="106" t="s">
        <v>385</v>
      </c>
      <c r="C126" s="16" t="s">
        <v>65</v>
      </c>
    </row>
    <row r="127" spans="1:3" ht="31.5" x14ac:dyDescent="0.2">
      <c r="A127" s="110">
        <v>956</v>
      </c>
      <c r="B127" s="106" t="s">
        <v>386</v>
      </c>
      <c r="C127" s="16" t="s">
        <v>387</v>
      </c>
    </row>
    <row r="128" spans="1:3" ht="78.75" x14ac:dyDescent="0.2">
      <c r="A128" s="107">
        <v>956</v>
      </c>
      <c r="B128" s="16" t="s">
        <v>388</v>
      </c>
      <c r="C128" s="16" t="s">
        <v>389</v>
      </c>
    </row>
    <row r="129" spans="1:3" ht="47.25" x14ac:dyDescent="0.2">
      <c r="A129" s="107">
        <v>956</v>
      </c>
      <c r="B129" s="16" t="s">
        <v>392</v>
      </c>
      <c r="C129" s="16" t="s">
        <v>393</v>
      </c>
    </row>
    <row r="130" spans="1:3" ht="31.5" x14ac:dyDescent="0.2">
      <c r="A130" s="107">
        <v>956</v>
      </c>
      <c r="B130" s="106" t="s">
        <v>394</v>
      </c>
      <c r="C130" s="16" t="s">
        <v>395</v>
      </c>
    </row>
    <row r="131" spans="1:3" ht="31.5" x14ac:dyDescent="0.2">
      <c r="A131" s="107">
        <v>956</v>
      </c>
      <c r="B131" s="16" t="s">
        <v>396</v>
      </c>
      <c r="C131" s="16" t="s">
        <v>397</v>
      </c>
    </row>
    <row r="132" spans="1:3" ht="31.5" x14ac:dyDescent="0.2">
      <c r="A132" s="107">
        <v>956</v>
      </c>
      <c r="B132" s="16" t="s">
        <v>3113</v>
      </c>
      <c r="C132" s="16" t="s">
        <v>3114</v>
      </c>
    </row>
    <row r="133" spans="1:3" ht="15.75" customHeight="1" x14ac:dyDescent="0.2">
      <c r="A133" s="16">
        <v>956</v>
      </c>
      <c r="B133" s="16" t="s">
        <v>2976</v>
      </c>
      <c r="C133" s="28" t="s">
        <v>415</v>
      </c>
    </row>
    <row r="134" spans="1:3" ht="78.75" x14ac:dyDescent="0.2">
      <c r="A134" s="16">
        <v>956</v>
      </c>
      <c r="B134" s="16" t="s">
        <v>2982</v>
      </c>
      <c r="C134" s="28" t="s">
        <v>423</v>
      </c>
    </row>
    <row r="135" spans="1:3" ht="47.25" x14ac:dyDescent="0.2">
      <c r="A135" s="107">
        <v>956</v>
      </c>
      <c r="B135" s="16" t="s">
        <v>3007</v>
      </c>
      <c r="C135" s="28" t="s">
        <v>521</v>
      </c>
    </row>
    <row r="136" spans="1:3" ht="94.5" x14ac:dyDescent="0.2">
      <c r="A136" s="16">
        <v>956</v>
      </c>
      <c r="B136" s="16" t="s">
        <v>3004</v>
      </c>
      <c r="C136" s="28" t="s">
        <v>515</v>
      </c>
    </row>
    <row r="137" spans="1:3" ht="63" x14ac:dyDescent="0.2">
      <c r="A137" s="16">
        <v>956</v>
      </c>
      <c r="B137" s="16" t="s">
        <v>3005</v>
      </c>
      <c r="C137" s="28" t="s">
        <v>3079</v>
      </c>
    </row>
    <row r="138" spans="1:3" ht="69" customHeight="1" x14ac:dyDescent="0.2">
      <c r="A138" s="16">
        <v>956</v>
      </c>
      <c r="B138" s="16" t="s">
        <v>3006</v>
      </c>
      <c r="C138" s="28" t="s">
        <v>3080</v>
      </c>
    </row>
    <row r="139" spans="1:3" ht="31.5" x14ac:dyDescent="0.2">
      <c r="A139" s="106">
        <v>956</v>
      </c>
      <c r="B139" s="16" t="s">
        <v>2988</v>
      </c>
      <c r="C139" s="16" t="s">
        <v>425</v>
      </c>
    </row>
    <row r="140" spans="1:3" ht="63" x14ac:dyDescent="0.2">
      <c r="A140" s="107">
        <v>956</v>
      </c>
      <c r="B140" s="16" t="s">
        <v>3011</v>
      </c>
      <c r="C140" s="16" t="s">
        <v>3012</v>
      </c>
    </row>
    <row r="141" spans="1:3" ht="47.25" x14ac:dyDescent="0.2">
      <c r="A141" s="107">
        <v>956</v>
      </c>
      <c r="B141" s="16" t="s">
        <v>398</v>
      </c>
      <c r="C141" s="16" t="s">
        <v>399</v>
      </c>
    </row>
    <row r="142" spans="1:3" ht="110.25" x14ac:dyDescent="0.2">
      <c r="A142" s="107">
        <v>956</v>
      </c>
      <c r="B142" s="16" t="s">
        <v>3028</v>
      </c>
      <c r="C142" s="16" t="s">
        <v>3027</v>
      </c>
    </row>
    <row r="143" spans="1:3" ht="78.75" x14ac:dyDescent="0.2">
      <c r="A143" s="107">
        <v>956</v>
      </c>
      <c r="B143" s="16" t="s">
        <v>3030</v>
      </c>
      <c r="C143" s="16" t="s">
        <v>3029</v>
      </c>
    </row>
    <row r="144" spans="1:3" ht="94.5" x14ac:dyDescent="0.2">
      <c r="A144" s="107">
        <v>956</v>
      </c>
      <c r="B144" s="16" t="s">
        <v>3032</v>
      </c>
      <c r="C144" s="16" t="s">
        <v>3031</v>
      </c>
    </row>
    <row r="145" spans="1:3" ht="63" x14ac:dyDescent="0.2">
      <c r="A145" s="107">
        <v>956</v>
      </c>
      <c r="B145" s="16" t="s">
        <v>3021</v>
      </c>
      <c r="C145" s="16" t="s">
        <v>3022</v>
      </c>
    </row>
    <row r="146" spans="1:3" ht="36" customHeight="1" x14ac:dyDescent="0.25">
      <c r="A146" s="961" t="s">
        <v>3206</v>
      </c>
      <c r="B146" s="962"/>
      <c r="C146" s="963"/>
    </row>
    <row r="147" spans="1:3" ht="37.5" customHeight="1" x14ac:dyDescent="0.2">
      <c r="A147" s="108">
        <v>958</v>
      </c>
      <c r="B147" s="106" t="s">
        <v>385</v>
      </c>
      <c r="C147" s="16" t="s">
        <v>65</v>
      </c>
    </row>
    <row r="148" spans="1:3" ht="31.5" x14ac:dyDescent="0.2">
      <c r="A148" s="108">
        <v>958</v>
      </c>
      <c r="B148" s="106" t="s">
        <v>386</v>
      </c>
      <c r="C148" s="16" t="s">
        <v>387</v>
      </c>
    </row>
    <row r="149" spans="1:3" ht="78.75" x14ac:dyDescent="0.2">
      <c r="A149" s="107">
        <v>958</v>
      </c>
      <c r="B149" s="16" t="s">
        <v>388</v>
      </c>
      <c r="C149" s="16" t="s">
        <v>389</v>
      </c>
    </row>
    <row r="150" spans="1:3" ht="63" x14ac:dyDescent="0.2">
      <c r="A150" s="107">
        <v>958</v>
      </c>
      <c r="B150" s="16" t="s">
        <v>496</v>
      </c>
      <c r="C150" s="16" t="s">
        <v>497</v>
      </c>
    </row>
    <row r="151" spans="1:3" ht="110.25" x14ac:dyDescent="0.2">
      <c r="A151" s="107">
        <v>958</v>
      </c>
      <c r="B151" s="16" t="s">
        <v>523</v>
      </c>
      <c r="C151" s="16" t="s">
        <v>524</v>
      </c>
    </row>
    <row r="152" spans="1:3" ht="47.25" x14ac:dyDescent="0.2">
      <c r="A152" s="107">
        <v>958</v>
      </c>
      <c r="B152" s="16" t="s">
        <v>392</v>
      </c>
      <c r="C152" s="16" t="s">
        <v>393</v>
      </c>
    </row>
    <row r="153" spans="1:3" ht="31.5" x14ac:dyDescent="0.2">
      <c r="A153" s="107">
        <v>958</v>
      </c>
      <c r="B153" s="106" t="s">
        <v>394</v>
      </c>
      <c r="C153" s="16" t="s">
        <v>395</v>
      </c>
    </row>
    <row r="154" spans="1:3" ht="31.5" x14ac:dyDescent="0.2">
      <c r="A154" s="107">
        <v>958</v>
      </c>
      <c r="B154" s="16" t="s">
        <v>396</v>
      </c>
      <c r="C154" s="16" t="s">
        <v>397</v>
      </c>
    </row>
    <row r="155" spans="1:3" ht="72" customHeight="1" x14ac:dyDescent="0.2">
      <c r="A155" s="107">
        <v>958</v>
      </c>
      <c r="B155" s="16" t="s">
        <v>3011</v>
      </c>
      <c r="C155" s="16" t="s">
        <v>3012</v>
      </c>
    </row>
    <row r="156" spans="1:3" ht="47.25" x14ac:dyDescent="0.2">
      <c r="A156" s="107">
        <v>958</v>
      </c>
      <c r="B156" s="16" t="s">
        <v>398</v>
      </c>
      <c r="C156" s="16" t="s">
        <v>399</v>
      </c>
    </row>
    <row r="157" spans="1:3" ht="31.5" x14ac:dyDescent="0.2">
      <c r="A157" s="107">
        <v>958</v>
      </c>
      <c r="B157" s="16" t="s">
        <v>400</v>
      </c>
      <c r="C157" s="16" t="s">
        <v>401</v>
      </c>
    </row>
    <row r="158" spans="1:3" ht="68.25" customHeight="1" x14ac:dyDescent="0.2">
      <c r="A158" s="107">
        <v>958</v>
      </c>
      <c r="B158" s="16" t="s">
        <v>3034</v>
      </c>
      <c r="C158" s="16" t="s">
        <v>3033</v>
      </c>
    </row>
    <row r="159" spans="1:3" ht="63" x14ac:dyDescent="0.2">
      <c r="A159" s="107">
        <v>958</v>
      </c>
      <c r="B159" s="16" t="s">
        <v>3021</v>
      </c>
      <c r="C159" s="16" t="s">
        <v>3022</v>
      </c>
    </row>
    <row r="160" spans="1:3" ht="31.5" x14ac:dyDescent="0.2">
      <c r="A160" s="107">
        <v>958</v>
      </c>
      <c r="B160" s="16" t="s">
        <v>2985</v>
      </c>
      <c r="C160" s="16" t="s">
        <v>456</v>
      </c>
    </row>
    <row r="161" spans="1:3" ht="47.25" x14ac:dyDescent="0.2">
      <c r="A161" s="107">
        <v>958</v>
      </c>
      <c r="B161" s="16" t="s">
        <v>3008</v>
      </c>
      <c r="C161" s="16" t="s">
        <v>531</v>
      </c>
    </row>
    <row r="162" spans="1:3" ht="15.75" x14ac:dyDescent="0.2">
      <c r="A162" s="107">
        <v>958</v>
      </c>
      <c r="B162" s="16" t="s">
        <v>2976</v>
      </c>
      <c r="C162" s="16" t="s">
        <v>415</v>
      </c>
    </row>
    <row r="163" spans="1:3" ht="78.75" x14ac:dyDescent="0.2">
      <c r="A163" s="107">
        <v>958</v>
      </c>
      <c r="B163" s="16" t="s">
        <v>3010</v>
      </c>
      <c r="C163" s="16" t="s">
        <v>423</v>
      </c>
    </row>
    <row r="164" spans="1:3" ht="31.5" x14ac:dyDescent="0.2">
      <c r="A164" s="107">
        <v>958</v>
      </c>
      <c r="B164" s="16" t="s">
        <v>2988</v>
      </c>
      <c r="C164" s="16" t="s">
        <v>425</v>
      </c>
    </row>
  </sheetData>
  <mergeCells count="12">
    <mergeCell ref="A125:C125"/>
    <mergeCell ref="A146:C146"/>
    <mergeCell ref="A8:C8"/>
    <mergeCell ref="A40:C40"/>
    <mergeCell ref="A62:C62"/>
    <mergeCell ref="A80:C80"/>
    <mergeCell ref="A103:C103"/>
    <mergeCell ref="A1:C1"/>
    <mergeCell ref="A2:C2"/>
    <mergeCell ref="A3:C3"/>
    <mergeCell ref="A4:C4"/>
    <mergeCell ref="A6:C6"/>
  </mergeCells>
  <printOptions gridLinesSet="0"/>
  <pageMargins left="0.70866141732283472" right="0.70866141732283472" top="0.74803149606299213" bottom="0.74803149606299213" header="0.51181102362204722" footer="0.51181102362204722"/>
  <pageSetup paperSize="9" fitToHeight="15" orientation="portrait" r:id="rId1"/>
  <headerFooter>
    <oddFooter>&amp;C&amp;P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37"/>
  <sheetViews>
    <sheetView showGridLines="0" view="pageBreakPreview" zoomScaleSheetLayoutView="100" workbookViewId="0">
      <selection activeCell="A7" sqref="A7:D7"/>
    </sheetView>
  </sheetViews>
  <sheetFormatPr defaultColWidth="9.140625" defaultRowHeight="12.75" x14ac:dyDescent="0.2"/>
  <cols>
    <col min="1" max="1" width="36.5703125" style="124" customWidth="1"/>
    <col min="2" max="2" width="16.85546875" style="124" customWidth="1"/>
    <col min="3" max="3" width="16.42578125" style="124" customWidth="1"/>
    <col min="4" max="4" width="15" style="124" customWidth="1"/>
    <col min="5" max="5" width="0" style="124" hidden="1" customWidth="1"/>
    <col min="6" max="16384" width="9.140625" style="124"/>
  </cols>
  <sheetData>
    <row r="1" spans="1:5" ht="15.75" x14ac:dyDescent="0.25">
      <c r="A1" s="995" t="s">
        <v>544</v>
      </c>
      <c r="B1" s="995"/>
      <c r="C1" s="995"/>
      <c r="D1" s="996"/>
      <c r="E1" s="996"/>
    </row>
    <row r="2" spans="1:5" ht="15.75" x14ac:dyDescent="0.25">
      <c r="A2" s="995" t="s">
        <v>1</v>
      </c>
      <c r="B2" s="995"/>
      <c r="C2" s="995"/>
      <c r="D2" s="996"/>
      <c r="E2" s="996"/>
    </row>
    <row r="3" spans="1:5" ht="15.75" x14ac:dyDescent="0.25">
      <c r="A3" s="995" t="s">
        <v>2</v>
      </c>
      <c r="B3" s="995"/>
      <c r="C3" s="995"/>
      <c r="D3" s="996"/>
      <c r="E3" s="996"/>
    </row>
    <row r="4" spans="1:5" ht="15.75" x14ac:dyDescent="0.25">
      <c r="A4" s="995" t="s">
        <v>3133</v>
      </c>
      <c r="B4" s="995"/>
      <c r="C4" s="995"/>
      <c r="D4" s="996"/>
      <c r="E4" s="996"/>
    </row>
    <row r="5" spans="1:5" ht="9" customHeight="1" x14ac:dyDescent="0.25">
      <c r="A5" s="995"/>
      <c r="B5" s="996"/>
      <c r="C5" s="996"/>
      <c r="D5" s="996"/>
      <c r="E5" s="996"/>
    </row>
    <row r="6" spans="1:5" ht="0.75" customHeight="1" x14ac:dyDescent="0.2">
      <c r="A6" s="125"/>
      <c r="B6" s="125"/>
      <c r="C6" s="125"/>
      <c r="D6" s="125"/>
    </row>
    <row r="7" spans="1:5" ht="84.75" customHeight="1" x14ac:dyDescent="0.2">
      <c r="A7" s="994" t="s">
        <v>3142</v>
      </c>
      <c r="B7" s="994"/>
      <c r="C7" s="994"/>
      <c r="D7" s="994"/>
    </row>
    <row r="8" spans="1:5" ht="47.25" x14ac:dyDescent="0.25">
      <c r="A8" s="126" t="s">
        <v>588</v>
      </c>
      <c r="B8" s="127" t="s">
        <v>589</v>
      </c>
      <c r="C8" s="127" t="s">
        <v>590</v>
      </c>
      <c r="D8" s="127" t="s">
        <v>591</v>
      </c>
    </row>
    <row r="9" spans="1:5" ht="63" x14ac:dyDescent="0.25">
      <c r="A9" s="570" t="s">
        <v>592</v>
      </c>
      <c r="B9" s="126"/>
      <c r="C9" s="126"/>
      <c r="D9" s="126"/>
    </row>
    <row r="10" spans="1:5" ht="47.25" x14ac:dyDescent="0.25">
      <c r="A10" s="116" t="s">
        <v>593</v>
      </c>
      <c r="B10" s="126">
        <v>100</v>
      </c>
      <c r="C10" s="126"/>
      <c r="D10" s="126"/>
    </row>
    <row r="11" spans="1:5" ht="126" x14ac:dyDescent="0.25">
      <c r="A11" s="116" t="s">
        <v>594</v>
      </c>
      <c r="B11" s="126">
        <v>100</v>
      </c>
      <c r="C11" s="126"/>
      <c r="D11" s="126"/>
    </row>
    <row r="12" spans="1:5" ht="47.25" x14ac:dyDescent="0.25">
      <c r="A12" s="116" t="s">
        <v>595</v>
      </c>
      <c r="B12" s="126">
        <v>100</v>
      </c>
      <c r="C12" s="126"/>
      <c r="D12" s="126"/>
    </row>
    <row r="13" spans="1:5" ht="47.25" x14ac:dyDescent="0.25">
      <c r="A13" s="128" t="s">
        <v>596</v>
      </c>
      <c r="B13" s="126"/>
      <c r="C13" s="126"/>
      <c r="D13" s="126"/>
    </row>
    <row r="14" spans="1:5" ht="53.25" customHeight="1" x14ac:dyDescent="0.2">
      <c r="A14" s="114" t="s">
        <v>597</v>
      </c>
      <c r="B14" s="126">
        <v>100</v>
      </c>
      <c r="C14" s="126"/>
      <c r="D14" s="126"/>
    </row>
    <row r="15" spans="1:5" ht="47.25" x14ac:dyDescent="0.25">
      <c r="A15" s="571" t="s">
        <v>598</v>
      </c>
      <c r="B15" s="126">
        <v>100</v>
      </c>
      <c r="C15" s="126"/>
      <c r="D15" s="126"/>
    </row>
    <row r="16" spans="1:5" ht="48" customHeight="1" x14ac:dyDescent="0.25">
      <c r="A16" s="116" t="s">
        <v>599</v>
      </c>
      <c r="B16" s="126"/>
      <c r="C16" s="126">
        <v>100</v>
      </c>
      <c r="D16" s="126"/>
    </row>
    <row r="17" spans="1:4" ht="47.25" x14ac:dyDescent="0.25">
      <c r="A17" s="116" t="s">
        <v>600</v>
      </c>
      <c r="B17" s="126"/>
      <c r="C17" s="126">
        <v>100</v>
      </c>
      <c r="D17" s="126"/>
    </row>
    <row r="18" spans="1:4" ht="51.75" customHeight="1" x14ac:dyDescent="0.2">
      <c r="A18" s="114" t="s">
        <v>601</v>
      </c>
      <c r="B18" s="126"/>
      <c r="C18" s="126"/>
      <c r="D18" s="126">
        <v>100</v>
      </c>
    </row>
    <row r="19" spans="1:4" ht="47.25" x14ac:dyDescent="0.2">
      <c r="A19" s="114" t="s">
        <v>602</v>
      </c>
      <c r="B19" s="126"/>
      <c r="C19" s="126"/>
      <c r="D19" s="126">
        <v>100</v>
      </c>
    </row>
    <row r="20" spans="1:4" ht="63" x14ac:dyDescent="0.25">
      <c r="A20" s="116" t="s">
        <v>603</v>
      </c>
      <c r="B20" s="126">
        <v>100</v>
      </c>
      <c r="C20" s="126"/>
      <c r="D20" s="126"/>
    </row>
    <row r="21" spans="1:4" ht="31.5" x14ac:dyDescent="0.25">
      <c r="A21" s="128" t="s">
        <v>604</v>
      </c>
      <c r="B21" s="126"/>
      <c r="C21" s="126"/>
      <c r="D21" s="126"/>
    </row>
    <row r="22" spans="1:4" ht="109.5" customHeight="1" x14ac:dyDescent="0.2">
      <c r="A22" s="572" t="s">
        <v>605</v>
      </c>
      <c r="B22" s="126">
        <v>100</v>
      </c>
      <c r="C22" s="126"/>
      <c r="D22" s="126"/>
    </row>
    <row r="23" spans="1:4" ht="93.75" customHeight="1" x14ac:dyDescent="0.2">
      <c r="A23" s="114" t="s">
        <v>606</v>
      </c>
      <c r="B23" s="126">
        <v>100</v>
      </c>
      <c r="C23" s="126"/>
      <c r="D23" s="126"/>
    </row>
    <row r="24" spans="1:4" ht="111.75" customHeight="1" x14ac:dyDescent="0.2">
      <c r="A24" s="114" t="s">
        <v>607</v>
      </c>
      <c r="B24" s="126"/>
      <c r="C24" s="126">
        <v>100</v>
      </c>
      <c r="D24" s="126"/>
    </row>
    <row r="25" spans="1:4" ht="94.5" x14ac:dyDescent="0.2">
      <c r="A25" s="114" t="s">
        <v>608</v>
      </c>
      <c r="B25" s="126"/>
      <c r="C25" s="126">
        <v>100</v>
      </c>
      <c r="D25" s="126"/>
    </row>
    <row r="26" spans="1:4" ht="110.25" customHeight="1" x14ac:dyDescent="0.2">
      <c r="A26" s="114" t="s">
        <v>609</v>
      </c>
      <c r="B26" s="126"/>
      <c r="C26" s="126"/>
      <c r="D26" s="126">
        <v>100</v>
      </c>
    </row>
    <row r="27" spans="1:4" ht="94.5" x14ac:dyDescent="0.2">
      <c r="A27" s="114" t="s">
        <v>3050</v>
      </c>
      <c r="B27" s="129"/>
      <c r="C27" s="129"/>
      <c r="D27" s="129">
        <v>100</v>
      </c>
    </row>
    <row r="28" spans="1:4" ht="141.75" x14ac:dyDescent="0.2">
      <c r="A28" s="114" t="s">
        <v>3119</v>
      </c>
      <c r="B28" s="129">
        <v>100</v>
      </c>
      <c r="C28" s="129"/>
      <c r="D28" s="129"/>
    </row>
    <row r="29" spans="1:4" ht="141.75" x14ac:dyDescent="0.2">
      <c r="A29" s="114" t="s">
        <v>3120</v>
      </c>
      <c r="B29" s="129"/>
      <c r="C29" s="129">
        <v>100</v>
      </c>
      <c r="D29" s="129"/>
    </row>
    <row r="30" spans="1:4" ht="141.75" x14ac:dyDescent="0.2">
      <c r="A30" s="114" t="s">
        <v>3121</v>
      </c>
      <c r="B30" s="129"/>
      <c r="C30" s="129"/>
      <c r="D30" s="129">
        <v>100</v>
      </c>
    </row>
    <row r="31" spans="1:4" ht="31.5" x14ac:dyDescent="0.25">
      <c r="A31" s="570" t="s">
        <v>610</v>
      </c>
      <c r="B31" s="130"/>
      <c r="C31" s="130"/>
      <c r="D31" s="130"/>
    </row>
    <row r="32" spans="1:4" ht="47.25" x14ac:dyDescent="0.25">
      <c r="A32" s="116" t="s">
        <v>395</v>
      </c>
      <c r="B32" s="126">
        <v>100</v>
      </c>
      <c r="C32" s="126"/>
      <c r="D32" s="126"/>
    </row>
    <row r="33" spans="1:4" ht="47.25" x14ac:dyDescent="0.25">
      <c r="A33" s="116" t="s">
        <v>582</v>
      </c>
      <c r="B33" s="126"/>
      <c r="C33" s="126">
        <v>100</v>
      </c>
      <c r="D33" s="126"/>
    </row>
    <row r="34" spans="1:4" ht="47.25" x14ac:dyDescent="0.25">
      <c r="A34" s="116" t="s">
        <v>611</v>
      </c>
      <c r="B34" s="126"/>
      <c r="C34" s="126"/>
      <c r="D34" s="126">
        <v>100</v>
      </c>
    </row>
    <row r="35" spans="1:4" ht="33" customHeight="1" x14ac:dyDescent="0.2">
      <c r="A35" s="114" t="s">
        <v>397</v>
      </c>
      <c r="B35" s="126">
        <v>100</v>
      </c>
      <c r="C35" s="126"/>
      <c r="D35" s="126"/>
    </row>
    <row r="36" spans="1:4" ht="31.5" x14ac:dyDescent="0.2">
      <c r="A36" s="114" t="s">
        <v>612</v>
      </c>
      <c r="B36" s="130"/>
      <c r="C36" s="126">
        <v>100</v>
      </c>
      <c r="D36" s="126"/>
    </row>
    <row r="37" spans="1:4" ht="31.5" x14ac:dyDescent="0.2">
      <c r="A37" s="114" t="s">
        <v>613</v>
      </c>
      <c r="B37" s="130"/>
      <c r="C37" s="126"/>
      <c r="D37" s="126">
        <v>100</v>
      </c>
    </row>
  </sheetData>
  <mergeCells count="6">
    <mergeCell ref="A7:D7"/>
    <mergeCell ref="A1:E1"/>
    <mergeCell ref="A2:E2"/>
    <mergeCell ref="A3:E3"/>
    <mergeCell ref="A4:E4"/>
    <mergeCell ref="A5:E5"/>
  </mergeCells>
  <pageMargins left="0.70866141732283472" right="0.70866141732283472" top="0.74803149606299213" bottom="0.74803149606299213" header="0.51181102362204722" footer="0.51181102362204722"/>
  <pageSetup paperSize="9" fitToHeight="0" orientation="portrait" r:id="rId1"/>
  <headerFooter>
    <oddFooter>&amp;C&amp;P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18"/>
  <sheetViews>
    <sheetView showGridLines="0" view="pageBreakPreview" zoomScaleSheetLayoutView="100" workbookViewId="0">
      <selection activeCell="H16" sqref="G16:H17"/>
    </sheetView>
  </sheetViews>
  <sheetFormatPr defaultColWidth="9.140625" defaultRowHeight="12.75" x14ac:dyDescent="0.2"/>
  <cols>
    <col min="1" max="1" width="9.140625" style="122"/>
    <col min="2" max="2" width="28.5703125" style="122" customWidth="1"/>
    <col min="3" max="3" width="47.5703125" style="122" customWidth="1"/>
    <col min="4" max="16384" width="9.140625" style="122"/>
  </cols>
  <sheetData>
    <row r="1" spans="1:3" ht="15.75" x14ac:dyDescent="0.25">
      <c r="A1" s="890" t="s">
        <v>614</v>
      </c>
      <c r="B1" s="890"/>
      <c r="C1" s="890"/>
    </row>
    <row r="2" spans="1:3" ht="15.75" x14ac:dyDescent="0.25">
      <c r="A2" s="890" t="s">
        <v>1</v>
      </c>
      <c r="B2" s="890"/>
      <c r="C2" s="890"/>
    </row>
    <row r="3" spans="1:3" ht="15.75" x14ac:dyDescent="0.25">
      <c r="A3" s="890" t="s">
        <v>2</v>
      </c>
      <c r="B3" s="890"/>
      <c r="C3" s="890"/>
    </row>
    <row r="4" spans="1:3" ht="15.75" x14ac:dyDescent="0.25">
      <c r="A4" s="890" t="s">
        <v>3090</v>
      </c>
      <c r="B4" s="890"/>
      <c r="C4" s="890"/>
    </row>
    <row r="5" spans="1:3" ht="15.75" x14ac:dyDescent="0.25">
      <c r="A5" s="32"/>
      <c r="B5" s="1"/>
      <c r="C5" s="1"/>
    </row>
    <row r="6" spans="1:3" ht="48" customHeight="1" x14ac:dyDescent="0.2">
      <c r="A6" s="891" t="s">
        <v>546</v>
      </c>
      <c r="B6" s="891"/>
      <c r="C6" s="891"/>
    </row>
    <row r="7" spans="1:3" ht="18.75" x14ac:dyDescent="0.3">
      <c r="A7" s="974"/>
      <c r="B7" s="974"/>
      <c r="C7" s="974"/>
    </row>
    <row r="8" spans="1:3" ht="15.75" x14ac:dyDescent="0.2">
      <c r="A8" s="967" t="s">
        <v>491</v>
      </c>
      <c r="B8" s="967"/>
      <c r="C8" s="967"/>
    </row>
    <row r="9" spans="1:3" ht="47.25" x14ac:dyDescent="0.2">
      <c r="A9" s="112">
        <v>955</v>
      </c>
      <c r="B9" s="112" t="s">
        <v>547</v>
      </c>
      <c r="C9" s="114" t="s">
        <v>343</v>
      </c>
    </row>
    <row r="10" spans="1:3" ht="47.25" x14ac:dyDescent="0.2">
      <c r="A10" s="112">
        <v>955</v>
      </c>
      <c r="B10" s="112" t="s">
        <v>548</v>
      </c>
      <c r="C10" s="114" t="s">
        <v>344</v>
      </c>
    </row>
    <row r="11" spans="1:3" ht="63" x14ac:dyDescent="0.2">
      <c r="A11" s="112">
        <v>955</v>
      </c>
      <c r="B11" s="112" t="s">
        <v>549</v>
      </c>
      <c r="C11" s="114" t="s">
        <v>550</v>
      </c>
    </row>
    <row r="12" spans="1:3" ht="63" x14ac:dyDescent="0.2">
      <c r="A12" s="112">
        <v>955</v>
      </c>
      <c r="B12" s="112" t="s">
        <v>551</v>
      </c>
      <c r="C12" s="114" t="s">
        <v>552</v>
      </c>
    </row>
    <row r="13" spans="1:3" ht="31.5" x14ac:dyDescent="0.2">
      <c r="A13" s="112">
        <v>955</v>
      </c>
      <c r="B13" s="112" t="s">
        <v>553</v>
      </c>
      <c r="C13" s="114" t="s">
        <v>348</v>
      </c>
    </row>
    <row r="14" spans="1:3" ht="31.5" x14ac:dyDescent="0.2">
      <c r="A14" s="112">
        <v>955</v>
      </c>
      <c r="B14" s="112" t="s">
        <v>554</v>
      </c>
      <c r="C14" s="114" t="s">
        <v>349</v>
      </c>
    </row>
    <row r="15" spans="1:3" ht="63" x14ac:dyDescent="0.2">
      <c r="A15" s="112">
        <v>955</v>
      </c>
      <c r="B15" s="112" t="s">
        <v>557</v>
      </c>
      <c r="C15" s="114" t="s">
        <v>558</v>
      </c>
    </row>
    <row r="16" spans="1:3" ht="78.75" x14ac:dyDescent="0.2">
      <c r="A16" s="112">
        <v>955</v>
      </c>
      <c r="B16" s="112" t="s">
        <v>559</v>
      </c>
      <c r="C16" s="114" t="s">
        <v>560</v>
      </c>
    </row>
    <row r="17" spans="1:3" ht="63" x14ac:dyDescent="0.25">
      <c r="A17" s="115">
        <v>955</v>
      </c>
      <c r="B17" s="115" t="s">
        <v>561</v>
      </c>
      <c r="C17" s="116" t="s">
        <v>562</v>
      </c>
    </row>
    <row r="18" spans="1:3" ht="63" x14ac:dyDescent="0.25">
      <c r="A18" s="115">
        <v>955</v>
      </c>
      <c r="B18" s="115" t="s">
        <v>563</v>
      </c>
      <c r="C18" s="116" t="s">
        <v>564</v>
      </c>
    </row>
  </sheetData>
  <mergeCells count="7">
    <mergeCell ref="A7:C7"/>
    <mergeCell ref="A8:C8"/>
    <mergeCell ref="A1:C1"/>
    <mergeCell ref="A2:C2"/>
    <mergeCell ref="A3:C3"/>
    <mergeCell ref="A4:C4"/>
    <mergeCell ref="A6:C6"/>
  </mergeCells>
  <printOptions gridLinesSet="0"/>
  <pageMargins left="0.70866141732283472" right="0.70866141732283472" top="0.74803149606299213" bottom="0.74803149606299213" header="0.51181102362204722" footer="0.51181102362204722"/>
  <pageSetup paperSize="9" fitToHeight="28" orientation="portrait" r:id="rId1"/>
  <headerFooter>
    <oddFooter>&amp;C&amp;P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226"/>
  <sheetViews>
    <sheetView showGridLines="0" view="pageBreakPreview" zoomScale="85" zoomScaleSheetLayoutView="85" workbookViewId="0">
      <selection activeCell="A4" sqref="A4:I4"/>
    </sheetView>
  </sheetViews>
  <sheetFormatPr defaultColWidth="9.140625" defaultRowHeight="15.75" x14ac:dyDescent="0.25"/>
  <cols>
    <col min="1" max="1" width="43.5703125" style="132" customWidth="1"/>
    <col min="2" max="2" width="9.5703125" style="133" customWidth="1"/>
    <col min="3" max="3" width="7.28515625" style="133" customWidth="1"/>
    <col min="4" max="4" width="10.140625" style="134" customWidth="1"/>
    <col min="5" max="5" width="10.28515625" style="135" customWidth="1"/>
    <col min="6" max="6" width="10.42578125" style="133" customWidth="1"/>
    <col min="7" max="7" width="17.5703125" style="131" hidden="1" customWidth="1"/>
    <col min="8" max="8" width="17.42578125" style="131" customWidth="1"/>
    <col min="9" max="9" width="0.140625" style="131" customWidth="1"/>
    <col min="10" max="10" width="11.5703125" style="131" customWidth="1"/>
    <col min="11" max="16384" width="9.140625" style="131"/>
  </cols>
  <sheetData>
    <row r="1" spans="1:9" x14ac:dyDescent="0.25">
      <c r="A1" s="890" t="s">
        <v>3443</v>
      </c>
      <c r="B1" s="890"/>
      <c r="C1" s="890"/>
      <c r="D1" s="890"/>
      <c r="E1" s="890"/>
      <c r="F1" s="890"/>
      <c r="G1" s="890"/>
      <c r="H1" s="890"/>
      <c r="I1" s="890"/>
    </row>
    <row r="2" spans="1:9" x14ac:dyDescent="0.25">
      <c r="A2" s="890" t="s">
        <v>1</v>
      </c>
      <c r="B2" s="890"/>
      <c r="C2" s="890"/>
      <c r="D2" s="890"/>
      <c r="E2" s="890"/>
      <c r="F2" s="890"/>
      <c r="G2" s="890"/>
      <c r="H2" s="890"/>
      <c r="I2" s="890"/>
    </row>
    <row r="3" spans="1:9" x14ac:dyDescent="0.25">
      <c r="A3" s="890" t="s">
        <v>2</v>
      </c>
      <c r="B3" s="890"/>
      <c r="C3" s="890"/>
      <c r="D3" s="890"/>
      <c r="E3" s="890"/>
      <c r="F3" s="890"/>
      <c r="G3" s="890"/>
      <c r="H3" s="890"/>
      <c r="I3" s="890"/>
    </row>
    <row r="4" spans="1:9" x14ac:dyDescent="0.25">
      <c r="A4" s="890" t="s">
        <v>3501</v>
      </c>
      <c r="B4" s="890"/>
      <c r="C4" s="890"/>
      <c r="D4" s="890"/>
      <c r="E4" s="890"/>
      <c r="F4" s="890"/>
      <c r="G4" s="890"/>
      <c r="H4" s="890"/>
      <c r="I4" s="890"/>
    </row>
    <row r="5" spans="1:9" x14ac:dyDescent="0.25">
      <c r="A5" s="136"/>
      <c r="B5" s="137"/>
      <c r="C5" s="137"/>
      <c r="D5" s="138"/>
      <c r="E5" s="139"/>
      <c r="F5" s="137"/>
    </row>
    <row r="6" spans="1:9" x14ac:dyDescent="0.25">
      <c r="A6" s="999" t="s">
        <v>3471</v>
      </c>
      <c r="B6" s="999"/>
      <c r="C6" s="999"/>
      <c r="D6" s="999"/>
      <c r="E6" s="999"/>
      <c r="F6" s="999"/>
      <c r="G6" s="999"/>
      <c r="H6" s="999"/>
      <c r="I6" s="999"/>
    </row>
    <row r="7" spans="1:9" ht="18.75" x14ac:dyDescent="0.3">
      <c r="A7" s="140"/>
      <c r="B7" s="140"/>
      <c r="C7" s="140"/>
      <c r="D7" s="140"/>
      <c r="E7" s="140"/>
      <c r="F7" s="140"/>
    </row>
    <row r="8" spans="1:9" x14ac:dyDescent="0.25">
      <c r="A8" s="997" t="s">
        <v>191</v>
      </c>
      <c r="B8" s="1000" t="s">
        <v>616</v>
      </c>
      <c r="C8" s="1000" t="s">
        <v>617</v>
      </c>
      <c r="D8" s="1001" t="s">
        <v>618</v>
      </c>
      <c r="E8" s="1001"/>
      <c r="F8" s="1000" t="s">
        <v>619</v>
      </c>
      <c r="G8" s="997" t="s">
        <v>192</v>
      </c>
      <c r="H8" s="997" t="s">
        <v>3480</v>
      </c>
      <c r="I8" s="998" t="s">
        <v>192</v>
      </c>
    </row>
    <row r="9" spans="1:9" s="143" customFormat="1" x14ac:dyDescent="0.2">
      <c r="A9" s="997"/>
      <c r="B9" s="1000"/>
      <c r="C9" s="1000"/>
      <c r="D9" s="871" t="s">
        <v>620</v>
      </c>
      <c r="E9" s="872" t="s">
        <v>621</v>
      </c>
      <c r="F9" s="1000"/>
      <c r="G9" s="997"/>
      <c r="H9" s="997"/>
      <c r="I9" s="998"/>
    </row>
    <row r="10" spans="1:9" s="146" customFormat="1" ht="31.5" x14ac:dyDescent="0.25">
      <c r="A10" s="147" t="str">
        <f>IF(B10&gt;0,VLOOKUP(B10,КВСР!A1:B1166,2),IF(C10&gt;0,VLOOKUP(C10,КФСР!A1:B1513,2),IF(D10&gt;0,VLOOKUP(D10,Программа!A$1:B$5100,2),IF(F10&gt;0,VLOOKUP(F10,КВР!A$1:B$5001,2),IF(E10&gt;0,VLOOKUP(E10,Направление!A$1:B$4830,2))))))</f>
        <v>Администрация Тутаевского муниципального района</v>
      </c>
      <c r="B10" s="148">
        <v>950</v>
      </c>
      <c r="C10" s="149"/>
      <c r="D10" s="150"/>
      <c r="E10" s="149"/>
      <c r="F10" s="151"/>
      <c r="G10" s="605">
        <v>438249780.31</v>
      </c>
      <c r="H10" s="605">
        <f>H11+H15+H31+H35+H39+H133+H217+H244+H301+H292+H119+H157+H319+H129+H153+H297+H311+H240</f>
        <v>395187254</v>
      </c>
      <c r="I10" s="620">
        <f>SUM(G10:H10)+1</f>
        <v>833437035.30999994</v>
      </c>
    </row>
    <row r="11" spans="1:9" s="146" customFormat="1" ht="63" x14ac:dyDescent="0.25">
      <c r="A11" s="153" t="str">
        <f>IF(B11&gt;0,VLOOKUP(B11,КВСР!A2:B1167,2),IF(C11&gt;0,VLOOKUP(C11,КФСР!A2:B1514,2),IF(D11&gt;0,VLOOKUP(D11,Программа!A$1:B$5100,2),IF(F11&gt;0,VLOOKUP(F11,КВР!A$1:B$5001,2),IF(E11&gt;0,VLOOKUP(E11,Направление!A$1:B$4830,2))))))</f>
        <v>Функционирование высшего должностного лица субъекта Российской Федерации и муниципального образования</v>
      </c>
      <c r="B11" s="154"/>
      <c r="C11" s="149">
        <v>102</v>
      </c>
      <c r="D11" s="150"/>
      <c r="E11" s="149"/>
      <c r="F11" s="151"/>
      <c r="G11" s="500">
        <v>1511279</v>
      </c>
      <c r="H11" s="155">
        <f>H12</f>
        <v>1514981</v>
      </c>
      <c r="I11" s="157">
        <f t="shared" ref="I11:I80" si="0">SUM(G11:H11)</f>
        <v>3026260</v>
      </c>
    </row>
    <row r="12" spans="1:9" s="146" customFormat="1" x14ac:dyDescent="0.25">
      <c r="A12" s="153" t="str">
        <f>IF(B12&gt;0,VLOOKUP(B12,КВСР!A3:B1168,2),IF(C12&gt;0,VLOOKUP(C12,КФСР!A3:B1515,2),IF(D12&gt;0,VLOOKUP(D12,Программа!A$1:B$5100,2),IF(F12&gt;0,VLOOKUP(F12,КВР!A$1:B$5001,2),IF(E12&gt;0,VLOOKUP(E12,Направление!A$1:B$4830,2))))))</f>
        <v>Непрограммные расходы бюджета</v>
      </c>
      <c r="B12" s="154"/>
      <c r="C12" s="149"/>
      <c r="D12" s="150" t="s">
        <v>624</v>
      </c>
      <c r="E12" s="149"/>
      <c r="F12" s="151"/>
      <c r="G12" s="500">
        <v>1511279</v>
      </c>
      <c r="H12" s="155">
        <f>H13</f>
        <v>1514981</v>
      </c>
      <c r="I12" s="157">
        <f t="shared" si="0"/>
        <v>3026260</v>
      </c>
    </row>
    <row r="13" spans="1:9" s="146" customFormat="1" ht="31.5" x14ac:dyDescent="0.25">
      <c r="A13" s="153" t="str">
        <f>IF(B13&gt;0,VLOOKUP(B13,КВСР!A4:B1169,2),IF(C13&gt;0,VLOOKUP(C13,КФСР!A4:B1516,2),IF(D13&gt;0,VLOOKUP(D13,Программа!A$1:B$5100,2),IF(F13&gt;0,VLOOKUP(F13,КВР!A$1:B$5001,2),IF(E13&gt;0,VLOOKUP(E13,Направление!A$1:B$4830,2))))))</f>
        <v>Содержание главы муниципального образования</v>
      </c>
      <c r="B13" s="154"/>
      <c r="C13" s="149"/>
      <c r="D13" s="150"/>
      <c r="E13" s="149">
        <v>12020</v>
      </c>
      <c r="F13" s="151"/>
      <c r="G13" s="500">
        <v>1511279</v>
      </c>
      <c r="H13" s="155">
        <f>H14</f>
        <v>1514981</v>
      </c>
      <c r="I13" s="157">
        <f t="shared" si="0"/>
        <v>3026260</v>
      </c>
    </row>
    <row r="14" spans="1:9" s="146" customFormat="1" ht="126" x14ac:dyDescent="0.25">
      <c r="A14" s="153" t="str">
        <f>IF(B14&gt;0,VLOOKUP(B14,КВСР!A5:B1170,2),IF(C14&gt;0,VLOOKUP(C14,КФСР!A5:B1517,2),IF(D14&gt;0,VLOOKUP(D14,Программа!A$1:B$5100,2),IF(F14&gt;0,VLOOKUP(F14,КВР!A$1:B$5001,2),IF(E14&gt;0,VLOOKUP(E14,Направление!A$1:B$4830,2))))))</f>
        <v xml:space="preserve">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
</v>
      </c>
      <c r="B14" s="154"/>
      <c r="C14" s="149"/>
      <c r="D14" s="151"/>
      <c r="E14" s="149"/>
      <c r="F14" s="151">
        <v>100</v>
      </c>
      <c r="G14" s="156">
        <v>1511279</v>
      </c>
      <c r="H14" s="156">
        <v>1514981</v>
      </c>
      <c r="I14" s="157">
        <f t="shared" si="0"/>
        <v>3026260</v>
      </c>
    </row>
    <row r="15" spans="1:9" s="146" customFormat="1" ht="94.5" x14ac:dyDescent="0.25">
      <c r="A15" s="153" t="str">
        <f>IF(B15&gt;0,VLOOKUP(B15,КВСР!A7:B1172,2),IF(C15&gt;0,VLOOKUP(C15,КФСР!A7:B1519,2),IF(D15&gt;0,VLOOKUP(D15,Программа!A$1:B$5100,2),IF(F15&gt;0,VLOOKUP(F15,КВР!A$1:B$5001,2),IF(E15&gt;0,VLOOKUP(E15,Направление!A$1:B$4830,2))))))</f>
        <v>Функционирование Правительства Российской Федерации, высших исполнительных органов государственной власти субъектов Российской Федерации, местных администраций</v>
      </c>
      <c r="B15" s="154"/>
      <c r="C15" s="149">
        <v>104</v>
      </c>
      <c r="D15" s="150"/>
      <c r="E15" s="149"/>
      <c r="F15" s="151"/>
      <c r="G15" s="606">
        <v>36110165</v>
      </c>
      <c r="H15" s="157">
        <f>H20+H16</f>
        <v>35825450</v>
      </c>
      <c r="I15" s="157">
        <f t="shared" si="0"/>
        <v>71935615</v>
      </c>
    </row>
    <row r="16" spans="1:9" s="146" customFormat="1" ht="47.25" x14ac:dyDescent="0.25">
      <c r="A16" s="153" t="str">
        <f>IF(B16&gt;0,VLOOKUP(B16,КВСР!A8:B1173,2),IF(C16&gt;0,VLOOKUP(C16,КФСР!A8:B1520,2),IF(D16&gt;0,VLOOKUP(D16,Программа!A$1:B$5100,2),IF(F16&gt;0,VLOOKUP(F16,КВР!A$1:B$5001,2),IF(E16&gt;0,VLOOKUP(E16,Направление!A$1:B$4830,2))))))</f>
        <v>Муниципальная программа "Обеспечение муниципальных закупок в Тутаевском муниципальном районе"</v>
      </c>
      <c r="B16" s="154"/>
      <c r="C16" s="149"/>
      <c r="D16" s="150" t="s">
        <v>2927</v>
      </c>
      <c r="E16" s="149"/>
      <c r="F16" s="151"/>
      <c r="G16" s="606">
        <v>125000</v>
      </c>
      <c r="H16" s="606">
        <f>H17</f>
        <v>89812</v>
      </c>
      <c r="I16" s="157">
        <f t="shared" si="0"/>
        <v>214812</v>
      </c>
    </row>
    <row r="17" spans="1:9" s="146" customFormat="1" ht="63" x14ac:dyDescent="0.25">
      <c r="A17" s="153" t="str">
        <f>IF(B17&gt;0,VLOOKUP(B17,КВСР!A9:B1174,2),IF(C17&gt;0,VLOOKUP(C17,КФСР!A9:B1521,2),IF(D17&gt;0,VLOOKUP(D17,Программа!A$1:B$5100,2),IF(F17&gt;0,VLOOKUP(F17,КВР!A$1:B$5001,2),IF(E17&gt;0,VLOOKUP(E17,Направление!A$1:B$4830,2))))))</f>
        <v>Организация системы подготовки, планирования, информационного сопровождения и осуществления муниципальных закупок</v>
      </c>
      <c r="B17" s="154"/>
      <c r="C17" s="149"/>
      <c r="D17" s="150" t="s">
        <v>2929</v>
      </c>
      <c r="E17" s="149"/>
      <c r="F17" s="151"/>
      <c r="G17" s="606">
        <v>125000</v>
      </c>
      <c r="H17" s="606">
        <f>H18</f>
        <v>89812</v>
      </c>
      <c r="I17" s="157">
        <f t="shared" si="0"/>
        <v>214812</v>
      </c>
    </row>
    <row r="18" spans="1:9" s="146" customFormat="1" ht="47.25" x14ac:dyDescent="0.25">
      <c r="A18" s="153" t="str">
        <f>IF(B18&gt;0,VLOOKUP(B18,КВСР!A10:B1175,2),IF(C18&gt;0,VLOOKUP(C18,КФСР!A10:B1522,2),IF(D18&gt;0,VLOOKUP(D18,Программа!A$1:B$5100,2),IF(F18&gt;0,VLOOKUP(F18,КВР!A$1:B$5001,2),IF(E18&gt;0,VLOOKUP(E18,Направление!A$1:B$4830,2))))))</f>
        <v>Содержание органов местного самоуправления за счет средств поселений</v>
      </c>
      <c r="B18" s="154"/>
      <c r="C18" s="149"/>
      <c r="D18" s="150"/>
      <c r="E18" s="149">
        <v>29016</v>
      </c>
      <c r="F18" s="151"/>
      <c r="G18" s="606">
        <v>125000</v>
      </c>
      <c r="H18" s="606">
        <f>H19</f>
        <v>89812</v>
      </c>
      <c r="I18" s="157">
        <f t="shared" si="0"/>
        <v>214812</v>
      </c>
    </row>
    <row r="19" spans="1:9" s="146" customFormat="1" ht="63" x14ac:dyDescent="0.25">
      <c r="A19" s="153" t="str">
        <f>IF(B19&gt;0,VLOOKUP(B19,КВСР!A11:B1176,2),IF(C19&gt;0,VLOOKUP(C19,КФСР!A11:B1523,2),IF(D19&gt;0,VLOOKUP(D19,Программа!A$1:B$5100,2),IF(F19&gt;0,VLOOKUP(F19,КВР!A$1:B$5001,2),IF(E19&gt;0,VLOOKUP(E19,Направление!A$1:B$4830,2))))))</f>
        <v xml:space="preserve">Закупка товаров, работ и услуг для обеспечения государственных (муниципальных) нужд
</v>
      </c>
      <c r="B19" s="154"/>
      <c r="C19" s="149"/>
      <c r="D19" s="150"/>
      <c r="E19" s="149"/>
      <c r="F19" s="151">
        <v>200</v>
      </c>
      <c r="G19" s="606">
        <v>125000</v>
      </c>
      <c r="H19" s="157">
        <v>89812</v>
      </c>
      <c r="I19" s="157">
        <f t="shared" si="0"/>
        <v>214812</v>
      </c>
    </row>
    <row r="20" spans="1:9" s="146" customFormat="1" x14ac:dyDescent="0.25">
      <c r="A20" s="153" t="str">
        <f>IF(B20&gt;0,VLOOKUP(B20,КВСР!A8:B1173,2),IF(C20&gt;0,VLOOKUP(C20,КФСР!A8:B1520,2),IF(D20&gt;0,VLOOKUP(D20,Программа!A$1:B$5100,2),IF(F20&gt;0,VLOOKUP(F20,КВР!A$1:B$5001,2),IF(E20&gt;0,VLOOKUP(E20,Направление!A$1:B$4830,2))))))</f>
        <v>Непрограммные расходы бюджета</v>
      </c>
      <c r="B20" s="154"/>
      <c r="C20" s="149"/>
      <c r="D20" s="150" t="s">
        <v>624</v>
      </c>
      <c r="E20" s="149"/>
      <c r="F20" s="151"/>
      <c r="G20" s="606">
        <v>35985165</v>
      </c>
      <c r="H20" s="157">
        <f>H21+H28+H26</f>
        <v>35735638</v>
      </c>
      <c r="I20" s="157">
        <f t="shared" si="0"/>
        <v>71720803</v>
      </c>
    </row>
    <row r="21" spans="1:9" s="146" customFormat="1" x14ac:dyDescent="0.25">
      <c r="A21" s="153" t="str">
        <f>IF(B21&gt;0,VLOOKUP(B21,КВСР!A9:B1174,2),IF(C21&gt;0,VLOOKUP(C21,КФСР!A9:B1521,2),IF(D21&gt;0,VLOOKUP(D21,Программа!A$1:B$5100,2),IF(F21&gt;0,VLOOKUP(F21,КВР!A$1:B$5001,2),IF(E21&gt;0,VLOOKUP(E21,Направление!A$1:B$4830,2))))))</f>
        <v>Содержание центрального аппарата</v>
      </c>
      <c r="B21" s="154"/>
      <c r="C21" s="149"/>
      <c r="D21" s="150"/>
      <c r="E21" s="149">
        <v>12010</v>
      </c>
      <c r="F21" s="151"/>
      <c r="G21" s="606">
        <v>27666326</v>
      </c>
      <c r="H21" s="157">
        <f>H22+H23+H25+H24</f>
        <v>27381611</v>
      </c>
      <c r="I21" s="157">
        <f t="shared" si="0"/>
        <v>55047937</v>
      </c>
    </row>
    <row r="22" spans="1:9" s="146" customFormat="1" ht="126" x14ac:dyDescent="0.25">
      <c r="A22" s="153" t="str">
        <f>IF(B22&gt;0,VLOOKUP(B22,КВСР!A10:B1175,2),IF(C22&gt;0,VLOOKUP(C22,КФСР!A10:B1522,2),IF(D22&gt;0,VLOOKUP(D22,Программа!A$1:B$5100,2),IF(F22&gt;0,VLOOKUP(F22,КВР!A$1:B$5001,2),IF(E22&gt;0,VLOOKUP(E22,Направление!A$1:B$4830,2))))))</f>
        <v xml:space="preserve">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
</v>
      </c>
      <c r="B22" s="154"/>
      <c r="C22" s="149"/>
      <c r="D22" s="151"/>
      <c r="E22" s="149"/>
      <c r="F22" s="151">
        <v>100</v>
      </c>
      <c r="G22" s="498">
        <v>24524385</v>
      </c>
      <c r="H22" s="156">
        <v>24455738</v>
      </c>
      <c r="I22" s="157">
        <f t="shared" si="0"/>
        <v>48980123</v>
      </c>
    </row>
    <row r="23" spans="1:9" s="146" customFormat="1" ht="63" x14ac:dyDescent="0.25">
      <c r="A23" s="153" t="str">
        <f>IF(B23&gt;0,VLOOKUP(B23,КВСР!A11:B1176,2),IF(C23&gt;0,VLOOKUP(C23,КФСР!A11:B1523,2),IF(D23&gt;0,VLOOKUP(D23,Программа!A$1:B$5100,2),IF(F23&gt;0,VLOOKUP(F23,КВР!A$1:B$5001,2),IF(E23&gt;0,VLOOKUP(E23,Направление!A$1:B$4830,2))))))</f>
        <v xml:space="preserve">Закупка товаров, работ и услуг для обеспечения государственных (муниципальных) нужд
</v>
      </c>
      <c r="B23" s="154"/>
      <c r="C23" s="149"/>
      <c r="D23" s="151"/>
      <c r="E23" s="149"/>
      <c r="F23" s="151">
        <v>200</v>
      </c>
      <c r="G23" s="498">
        <v>2515779</v>
      </c>
      <c r="H23" s="156">
        <v>2316382</v>
      </c>
      <c r="I23" s="157">
        <f t="shared" si="0"/>
        <v>4832161</v>
      </c>
    </row>
    <row r="24" spans="1:9" s="146" customFormat="1" ht="31.5" x14ac:dyDescent="0.25">
      <c r="A24" s="153" t="str">
        <f>IF(B24&gt;0,VLOOKUP(B24,КВСР!A12:B1177,2),IF(C24&gt;0,VLOOKUP(C24,КФСР!A12:B1524,2),IF(D24&gt;0,VLOOKUP(D24,Программа!A$1:B$5100,2),IF(F24&gt;0,VLOOKUP(F24,КВР!A$1:B$5001,2),IF(E24&gt;0,VLOOKUP(E24,Направление!A$1:B$4830,2))))))</f>
        <v>Социальное обеспечение и иные выплаты населению</v>
      </c>
      <c r="B24" s="154"/>
      <c r="C24" s="149"/>
      <c r="D24" s="151"/>
      <c r="E24" s="149"/>
      <c r="F24" s="151">
        <v>300</v>
      </c>
      <c r="G24" s="498">
        <v>179106</v>
      </c>
      <c r="H24" s="156">
        <v>179107</v>
      </c>
      <c r="I24" s="157">
        <f t="shared" si="0"/>
        <v>358213</v>
      </c>
    </row>
    <row r="25" spans="1:9" s="146" customFormat="1" x14ac:dyDescent="0.25">
      <c r="A25" s="153" t="str">
        <f>IF(B25&gt;0,VLOOKUP(B25,КВСР!A12:B1177,2),IF(C25&gt;0,VLOOKUP(C25,КФСР!A12:B1524,2),IF(D25&gt;0,VLOOKUP(D25,Программа!A$1:B$5100,2),IF(F25&gt;0,VLOOKUP(F25,КВР!A$1:B$5001,2),IF(E25&gt;0,VLOOKUP(E25,Направление!A$1:B$4830,2))))))</f>
        <v>Иные бюджетные ассигнования</v>
      </c>
      <c r="B25" s="154"/>
      <c r="C25" s="149"/>
      <c r="D25" s="151"/>
      <c r="E25" s="149"/>
      <c r="F25" s="151">
        <v>800</v>
      </c>
      <c r="G25" s="498">
        <v>447056</v>
      </c>
      <c r="H25" s="156">
        <v>430384</v>
      </c>
      <c r="I25" s="157">
        <f t="shared" si="0"/>
        <v>877440</v>
      </c>
    </row>
    <row r="26" spans="1:9" s="146" customFormat="1" ht="31.5" hidden="1" x14ac:dyDescent="0.25">
      <c r="A26" s="153" t="str">
        <f>IF(B26&gt;0,VLOOKUP(B26,КВСР!A13:B1178,2),IF(C26&gt;0,VLOOKUP(C26,КФСР!A13:B1525,2),IF(D26&gt;0,VLOOKUP(D26,Программа!A$1:B$5100,2),IF(F26&gt;0,VLOOKUP(F26,КВР!A$1:B$5001,2),IF(E26&gt;0,VLOOKUP(E26,Направление!A$1:B$4830,2))))))</f>
        <v>Содержание Главы местной админситрации</v>
      </c>
      <c r="B26" s="154"/>
      <c r="C26" s="149"/>
      <c r="D26" s="151"/>
      <c r="E26" s="149">
        <v>12040</v>
      </c>
      <c r="F26" s="151"/>
      <c r="G26" s="500">
        <v>0</v>
      </c>
      <c r="H26" s="533">
        <f>H27</f>
        <v>0</v>
      </c>
      <c r="I26" s="157">
        <f t="shared" si="0"/>
        <v>0</v>
      </c>
    </row>
    <row r="27" spans="1:9" s="146" customFormat="1" ht="126" hidden="1" x14ac:dyDescent="0.25">
      <c r="A27" s="153" t="str">
        <f>IF(B27&gt;0,VLOOKUP(B27,КВСР!A14:B1179,2),IF(C27&gt;0,VLOOKUP(C27,КФСР!A14:B1526,2),IF(D27&gt;0,VLOOKUP(D27,Программа!A$1:B$5100,2),IF(F27&gt;0,VLOOKUP(F27,КВР!A$1:B$5001,2),IF(E27&gt;0,VLOOKUP(E27,Направление!A$1:B$4830,2))))))</f>
        <v xml:space="preserve">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
</v>
      </c>
      <c r="B27" s="154"/>
      <c r="C27" s="149"/>
      <c r="D27" s="151"/>
      <c r="E27" s="149"/>
      <c r="F27" s="151">
        <v>100</v>
      </c>
      <c r="G27" s="498">
        <v>0</v>
      </c>
      <c r="H27" s="156"/>
      <c r="I27" s="157">
        <f t="shared" si="0"/>
        <v>0</v>
      </c>
    </row>
    <row r="28" spans="1:9" s="146" customFormat="1" ht="47.25" x14ac:dyDescent="0.25">
      <c r="A28" s="153" t="str">
        <f>IF(B28&gt;0,VLOOKUP(B28,КВСР!A13:B1178,2),IF(C28&gt;0,VLOOKUP(C28,КФСР!A13:B1525,2),IF(D28&gt;0,VLOOKUP(D28,Программа!A$1:B$5100,2),IF(F28&gt;0,VLOOKUP(F28,КВР!A$1:B$5001,2),IF(E28&gt;0,VLOOKUP(E28,Направление!A$1:B$4830,2))))))</f>
        <v>Содержание органов местного самоуправления за счет средств поселений</v>
      </c>
      <c r="B28" s="154"/>
      <c r="C28" s="149"/>
      <c r="D28" s="150"/>
      <c r="E28" s="149">
        <v>29016</v>
      </c>
      <c r="F28" s="151"/>
      <c r="G28" s="500">
        <v>8318839</v>
      </c>
      <c r="H28" s="155">
        <f>H29+H30</f>
        <v>8354027</v>
      </c>
      <c r="I28" s="157">
        <f t="shared" si="0"/>
        <v>16672866</v>
      </c>
    </row>
    <row r="29" spans="1:9" s="146" customFormat="1" ht="126" x14ac:dyDescent="0.25">
      <c r="A29" s="153" t="str">
        <f>IF(B29&gt;0,VLOOKUP(B29,КВСР!A14:B1179,2),IF(C29&gt;0,VLOOKUP(C29,КФСР!A14:B1526,2),IF(D29&gt;0,VLOOKUP(D29,Программа!A$1:B$5100,2),IF(F29&gt;0,VLOOKUP(F29,КВР!A$1:B$5001,2),IF(E29&gt;0,VLOOKUP(E29,Направление!A$1:B$4830,2))))))</f>
        <v xml:space="preserve">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
</v>
      </c>
      <c r="B29" s="154"/>
      <c r="C29" s="149"/>
      <c r="D29" s="151"/>
      <c r="E29" s="149"/>
      <c r="F29" s="151">
        <v>100</v>
      </c>
      <c r="G29" s="498">
        <v>7532286</v>
      </c>
      <c r="H29" s="156">
        <v>7567474</v>
      </c>
      <c r="I29" s="157">
        <f t="shared" si="0"/>
        <v>15099760</v>
      </c>
    </row>
    <row r="30" spans="1:9" s="146" customFormat="1" ht="63" x14ac:dyDescent="0.25">
      <c r="A30" s="153" t="str">
        <f>IF(B30&gt;0,VLOOKUP(B30,КВСР!A15:B1180,2),IF(C30&gt;0,VLOOKUP(C30,КФСР!A15:B1527,2),IF(D30&gt;0,VLOOKUP(D30,Программа!A$1:B$5100,2),IF(F30&gt;0,VLOOKUP(F30,КВР!A$1:B$5001,2),IF(E30&gt;0,VLOOKUP(E30,Направление!A$1:B$4830,2))))))</f>
        <v xml:space="preserve">Закупка товаров, работ и услуг для обеспечения государственных (муниципальных) нужд
</v>
      </c>
      <c r="B30" s="154"/>
      <c r="C30" s="149"/>
      <c r="D30" s="151"/>
      <c r="E30" s="149"/>
      <c r="F30" s="151">
        <v>200</v>
      </c>
      <c r="G30" s="498">
        <v>786553</v>
      </c>
      <c r="H30" s="156">
        <v>786553</v>
      </c>
      <c r="I30" s="157">
        <f t="shared" si="0"/>
        <v>1573106</v>
      </c>
    </row>
    <row r="31" spans="1:9" s="146" customFormat="1" x14ac:dyDescent="0.25">
      <c r="A31" s="153" t="str">
        <f>IF(B31&gt;0,VLOOKUP(B31,КВСР!A16:B1181,2),IF(C31&gt;0,VLOOKUP(C31,КФСР!A16:B1528,2),IF(D31&gt;0,VLOOKUP(D31,Программа!A$1:B$5100,2),IF(F31&gt;0,VLOOKUP(F31,КВР!A$1:B$5001,2),IF(E31&gt;0,VLOOKUP(E31,Направление!A$1:B$4830,2))))))</f>
        <v>Судебная система</v>
      </c>
      <c r="B31" s="154"/>
      <c r="C31" s="149">
        <v>105</v>
      </c>
      <c r="D31" s="151"/>
      <c r="E31" s="149"/>
      <c r="F31" s="151"/>
      <c r="G31" s="500">
        <v>50977</v>
      </c>
      <c r="H31" s="155">
        <f>H32</f>
        <v>50977</v>
      </c>
      <c r="I31" s="157">
        <f t="shared" si="0"/>
        <v>101954</v>
      </c>
    </row>
    <row r="32" spans="1:9" s="146" customFormat="1" x14ac:dyDescent="0.25">
      <c r="A32" s="153" t="str">
        <f>IF(B32&gt;0,VLOOKUP(B32,КВСР!A17:B1182,2),IF(C32&gt;0,VLOOKUP(C32,КФСР!A17:B1529,2),IF(D32&gt;0,VLOOKUP(D32,Программа!A$1:B$5100,2),IF(F32&gt;0,VLOOKUP(F32,КВР!A$1:B$5001,2),IF(E32&gt;0,VLOOKUP(E32,Направление!A$1:B$4830,2))))))</f>
        <v>Непрограммные расходы бюджета</v>
      </c>
      <c r="B32" s="154"/>
      <c r="C32" s="149"/>
      <c r="D32" s="151" t="s">
        <v>624</v>
      </c>
      <c r="E32" s="149"/>
      <c r="F32" s="151"/>
      <c r="G32" s="500">
        <v>50977</v>
      </c>
      <c r="H32" s="155">
        <f>H33</f>
        <v>50977</v>
      </c>
      <c r="I32" s="157">
        <f t="shared" si="0"/>
        <v>101954</v>
      </c>
    </row>
    <row r="33" spans="1:9" s="146" customFormat="1" ht="94.5" x14ac:dyDescent="0.25">
      <c r="A33" s="153" t="str">
        <f>IF(B33&gt;0,VLOOKUP(B33,КВСР!A18:B1183,2),IF(C33&gt;0,VLOOKUP(C33,КФСР!A18:B1530,2),IF(D33&gt;0,VLOOKUP(D33,Программа!A$1:B$5100,2),IF(F33&gt;0,VLOOKUP(F33,КВР!A$1:B$5001,2),IF(E33&gt;0,VLOOKUP(E33,Направление!A$1:B$4830,2))))))</f>
        <v>Расходы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v>
      </c>
      <c r="B33" s="154"/>
      <c r="C33" s="149"/>
      <c r="D33" s="151"/>
      <c r="E33" s="149">
        <v>51200</v>
      </c>
      <c r="F33" s="151"/>
      <c r="G33" s="500">
        <v>50977</v>
      </c>
      <c r="H33" s="155">
        <f>H34</f>
        <v>50977</v>
      </c>
      <c r="I33" s="157">
        <f t="shared" si="0"/>
        <v>101954</v>
      </c>
    </row>
    <row r="34" spans="1:9" s="146" customFormat="1" ht="63" x14ac:dyDescent="0.25">
      <c r="A34" s="153" t="str">
        <f>IF(B34&gt;0,VLOOKUP(B34,КВСР!A19:B1184,2),IF(C34&gt;0,VLOOKUP(C34,КФСР!A19:B1531,2),IF(D34&gt;0,VLOOKUP(D34,Программа!A$1:B$5100,2),IF(F34&gt;0,VLOOKUP(F34,КВР!A$1:B$5001,2),IF(E34&gt;0,VLOOKUP(E34,Направление!A$1:B$4830,2))))))</f>
        <v xml:space="preserve">Закупка товаров, работ и услуг для обеспечения государственных (муниципальных) нужд
</v>
      </c>
      <c r="B34" s="154"/>
      <c r="C34" s="149"/>
      <c r="D34" s="151"/>
      <c r="E34" s="149"/>
      <c r="F34" s="151">
        <v>200</v>
      </c>
      <c r="G34" s="498">
        <v>50977</v>
      </c>
      <c r="H34" s="156">
        <v>50977</v>
      </c>
      <c r="I34" s="157">
        <f t="shared" si="0"/>
        <v>101954</v>
      </c>
    </row>
    <row r="35" spans="1:9" s="146" customFormat="1" hidden="1" x14ac:dyDescent="0.25">
      <c r="A35" s="153" t="str">
        <f>IF(B35&gt;0,VLOOKUP(B35,КВСР!A21:B1186,2),IF(C35&gt;0,VLOOKUP(C35,КФСР!A21:B1533,2),IF(D35&gt;0,VLOOKUP(D35,Программа!A$1:B$5100,2),IF(F35&gt;0,VLOOKUP(F35,КВР!A$1:B$5001,2),IF(E35&gt;0,VLOOKUP(E35,Направление!A$1:B$4830,2))))))</f>
        <v>Резервные фонды</v>
      </c>
      <c r="B35" s="154"/>
      <c r="C35" s="149">
        <v>111</v>
      </c>
      <c r="D35" s="150"/>
      <c r="E35" s="149"/>
      <c r="F35" s="151"/>
      <c r="G35" s="606">
        <v>471469</v>
      </c>
      <c r="H35" s="157">
        <f>H36</f>
        <v>0</v>
      </c>
      <c r="I35" s="157">
        <f t="shared" si="0"/>
        <v>471469</v>
      </c>
    </row>
    <row r="36" spans="1:9" s="146" customFormat="1" hidden="1" x14ac:dyDescent="0.25">
      <c r="A36" s="153" t="str">
        <f>IF(B36&gt;0,VLOOKUP(B36,КВСР!A22:B1187,2),IF(C36&gt;0,VLOOKUP(C36,КФСР!A22:B1534,2),IF(D36&gt;0,VLOOKUP(D36,Программа!A$1:B$5100,2),IF(F36&gt;0,VLOOKUP(F36,КВР!A$1:B$5001,2),IF(E36&gt;0,VLOOKUP(E36,Направление!A$1:B$4830,2))))))</f>
        <v>Непрограммные расходы бюджета</v>
      </c>
      <c r="B36" s="154"/>
      <c r="C36" s="149"/>
      <c r="D36" s="150" t="s">
        <v>624</v>
      </c>
      <c r="E36" s="149"/>
      <c r="F36" s="151"/>
      <c r="G36" s="606">
        <v>471469</v>
      </c>
      <c r="H36" s="157">
        <f>H37</f>
        <v>0</v>
      </c>
      <c r="I36" s="157">
        <f t="shared" si="0"/>
        <v>471469</v>
      </c>
    </row>
    <row r="37" spans="1:9" s="146" customFormat="1" ht="31.5" hidden="1" x14ac:dyDescent="0.25">
      <c r="A37" s="153" t="str">
        <f>IF(B37&gt;0,VLOOKUP(B37,КВСР!A23:B1188,2),IF(C37&gt;0,VLOOKUP(C37,КФСР!A23:B1535,2),IF(D37&gt;0,VLOOKUP(D37,Программа!A$1:B$5100,2),IF(F37&gt;0,VLOOKUP(F37,КВР!A$1:B$5001,2),IF(E37&gt;0,VLOOKUP(E37,Направление!A$1:B$4830,2))))))</f>
        <v>Резервные фонды местных администраций</v>
      </c>
      <c r="B37" s="154"/>
      <c r="C37" s="149"/>
      <c r="D37" s="150"/>
      <c r="E37" s="149">
        <v>12900</v>
      </c>
      <c r="F37" s="151"/>
      <c r="G37" s="606">
        <v>471469</v>
      </c>
      <c r="H37" s="157">
        <f>H38</f>
        <v>0</v>
      </c>
      <c r="I37" s="157">
        <f t="shared" si="0"/>
        <v>471469</v>
      </c>
    </row>
    <row r="38" spans="1:9" s="146" customFormat="1" hidden="1" x14ac:dyDescent="0.25">
      <c r="A38" s="153" t="str">
        <f>IF(B38&gt;0,VLOOKUP(B38,КВСР!A24:B1189,2),IF(C38&gt;0,VLOOKUP(C38,КФСР!A24:B1536,2),IF(D38&gt;0,VLOOKUP(D38,Программа!A$1:B$5100,2),IF(F38&gt;0,VLOOKUP(F38,КВР!A$1:B$5001,2),IF(E38&gt;0,VLOOKUP(E38,Направление!A$1:B$4830,2))))))</f>
        <v>Иные бюджетные ассигнования</v>
      </c>
      <c r="B38" s="154"/>
      <c r="C38" s="149"/>
      <c r="D38" s="151"/>
      <c r="E38" s="149"/>
      <c r="F38" s="151">
        <v>800</v>
      </c>
      <c r="G38" s="498">
        <v>471469</v>
      </c>
      <c r="H38" s="156"/>
      <c r="I38" s="157">
        <f t="shared" si="0"/>
        <v>471469</v>
      </c>
    </row>
    <row r="39" spans="1:9" s="146" customFormat="1" x14ac:dyDescent="0.25">
      <c r="A39" s="153" t="str">
        <f>IF(B39&gt;0,VLOOKUP(B39,КВСР!A25:B1190,2),IF(C39&gt;0,VLOOKUP(C39,КФСР!A25:B1537,2),IF(D39&gt;0,VLOOKUP(D39,Программа!A$1:B$5100,2),IF(F39&gt;0,VLOOKUP(F39,КВР!A$1:B$5001,2),IF(E39&gt;0,VLOOKUP(E39,Направление!A$1:B$4830,2))))))</f>
        <v>Другие общегосударственные вопросы</v>
      </c>
      <c r="B39" s="154"/>
      <c r="C39" s="149">
        <v>113</v>
      </c>
      <c r="D39" s="150"/>
      <c r="E39" s="149"/>
      <c r="F39" s="151"/>
      <c r="G39" s="606">
        <v>57121596</v>
      </c>
      <c r="H39" s="606">
        <f>H40+H45+H49+H84+H56+H80+H69+H74+H114</f>
        <v>53569771</v>
      </c>
      <c r="I39" s="606">
        <f>I40+I45+I49+I84+I56+I80+I69+I74+I114</f>
        <v>110691367</v>
      </c>
    </row>
    <row r="40" spans="1:9" s="146" customFormat="1" ht="63" hidden="1" x14ac:dyDescent="0.25">
      <c r="A40" s="153" t="str">
        <f>IF(B40&gt;0,VLOOKUP(B40,КВСР!A26:B1191,2),IF(C40&gt;0,VLOOKUP(C40,КФСР!A26:B1538,2),IF(D40&gt;0,VLOOKUP(D40,Программа!A$1:B$5100,2),IF(F40&gt;0,VLOOKUP(F40,КВР!A$1:B$5001,2),IF(E40&gt;0,VLOOKUP(E40,Направление!A$1:B$4830,2))))))</f>
        <v>Муниципальная программа "Повышение эффективности управления муниципальными финансами"</v>
      </c>
      <c r="B40" s="154"/>
      <c r="C40" s="149"/>
      <c r="D40" s="150" t="s">
        <v>632</v>
      </c>
      <c r="E40" s="149"/>
      <c r="F40" s="151"/>
      <c r="G40" s="606">
        <v>0</v>
      </c>
      <c r="H40" s="157">
        <f>H41</f>
        <v>0</v>
      </c>
      <c r="I40" s="157">
        <f t="shared" si="0"/>
        <v>0</v>
      </c>
    </row>
    <row r="41" spans="1:9" s="146" customFormat="1" ht="31.5" hidden="1" x14ac:dyDescent="0.25">
      <c r="A41" s="153" t="str">
        <f>IF(B41&gt;0,VLOOKUP(B41,КВСР!A27:B1192,2),IF(C41&gt;0,VLOOKUP(C41,КФСР!A27:B1539,2),IF(D41&gt;0,VLOOKUP(D41,Программа!A$1:B$5100,2),IF(F41&gt;0,VLOOKUP(F41,КВР!A$1:B$5001,2),IF(E41&gt;0,VLOOKUP(E41,Направление!A$1:B$4830,2))))))</f>
        <v>Обеспечение деятельности финансового органа</v>
      </c>
      <c r="B41" s="154"/>
      <c r="C41" s="149"/>
      <c r="D41" s="150" t="s">
        <v>633</v>
      </c>
      <c r="E41" s="149"/>
      <c r="F41" s="151"/>
      <c r="G41" s="606">
        <v>0</v>
      </c>
      <c r="H41" s="157">
        <f>H43</f>
        <v>0</v>
      </c>
      <c r="I41" s="157">
        <f t="shared" si="0"/>
        <v>0</v>
      </c>
    </row>
    <row r="42" spans="1:9" s="146" customFormat="1" ht="31.5" hidden="1" x14ac:dyDescent="0.25">
      <c r="A42" s="153" t="str">
        <f>IF(B42&gt;0,VLOOKUP(B42,КВСР!A28:B1193,2),IF(C42&gt;0,VLOOKUP(C42,КФСР!A28:B1540,2),IF(D42&gt;0,VLOOKUP(D42,Программа!A$1:B$5100,2),IF(F42&gt;0,VLOOKUP(F42,КВР!A$1:B$5001,2),IF(E42&gt;0,VLOOKUP(E42,Направление!A$1:B$4830,2))))))</f>
        <v>Обеспечение деятельности финансового органа</v>
      </c>
      <c r="B42" s="154"/>
      <c r="C42" s="149"/>
      <c r="D42" s="150" t="s">
        <v>634</v>
      </c>
      <c r="E42" s="149"/>
      <c r="F42" s="151"/>
      <c r="G42" s="606">
        <v>0</v>
      </c>
      <c r="H42" s="157">
        <f>H41</f>
        <v>0</v>
      </c>
      <c r="I42" s="157">
        <f t="shared" si="0"/>
        <v>0</v>
      </c>
    </row>
    <row r="43" spans="1:9" s="146" customFormat="1" ht="31.5" hidden="1" x14ac:dyDescent="0.25">
      <c r="A43" s="153" t="str">
        <f>IF(B43&gt;0,VLOOKUP(B43,КВСР!A28:B1193,2),IF(C43&gt;0,VLOOKUP(C43,КФСР!A28:B1540,2),IF(D43&gt;0,VLOOKUP(D43,Программа!A$1:B$5100,2),IF(F43&gt;0,VLOOKUP(F43,КВР!A$1:B$5001,2),IF(E43&gt;0,VLOOKUP(E43,Направление!A$1:B$4830,2))))))</f>
        <v>Расходы на развитие системы муниципального заказа</v>
      </c>
      <c r="B43" s="154"/>
      <c r="C43" s="149"/>
      <c r="D43" s="150"/>
      <c r="E43" s="149">
        <v>12220</v>
      </c>
      <c r="F43" s="151"/>
      <c r="G43" s="606">
        <v>0</v>
      </c>
      <c r="H43" s="157">
        <f>H44</f>
        <v>0</v>
      </c>
      <c r="I43" s="157">
        <f t="shared" si="0"/>
        <v>0</v>
      </c>
    </row>
    <row r="44" spans="1:9" s="146" customFormat="1" ht="63" hidden="1" x14ac:dyDescent="0.25">
      <c r="A44" s="153" t="str">
        <f>IF(B44&gt;0,VLOOKUP(B44,КВСР!A29:B1194,2),IF(C44&gt;0,VLOOKUP(C44,КФСР!A29:B1541,2),IF(D44&gt;0,VLOOKUP(D44,Программа!A$1:B$5100,2),IF(F44&gt;0,VLOOKUP(F44,КВР!A$1:B$5001,2),IF(E44&gt;0,VLOOKUP(E44,Направление!A$1:B$4830,2))))))</f>
        <v xml:space="preserve">Закупка товаров, работ и услуг для обеспечения государственных (муниципальных) нужд
</v>
      </c>
      <c r="B44" s="154"/>
      <c r="C44" s="149"/>
      <c r="D44" s="151"/>
      <c r="E44" s="149"/>
      <c r="F44" s="151">
        <v>200</v>
      </c>
      <c r="G44" s="516">
        <v>0</v>
      </c>
      <c r="H44" s="158"/>
      <c r="I44" s="157">
        <f t="shared" si="0"/>
        <v>0</v>
      </c>
    </row>
    <row r="45" spans="1:9" s="146" customFormat="1" ht="78.75" x14ac:dyDescent="0.25">
      <c r="A45" s="153" t="str">
        <f>IF(B45&gt;0,VLOOKUP(B45,КВСР!A26:B1191,2),IF(C45&gt;0,VLOOKUP(C45,КФСР!A26:B1538,2),IF(D45&gt;0,VLOOKUP(D45,Программа!A$1:B$5100,2),IF(F45&gt;0,VLOOKUP(F45,КВР!A$1:B$5001,2),IF(E45&gt;0,VLOOKUP(E45,Направление!A$1:B$4830,2))))))</f>
        <v>Муниципальная программа "Развитие муниципальной службы и повышение квалификации руководителей муниципальных учреждений в  Тутаевском муниципальном районе"</v>
      </c>
      <c r="B45" s="154"/>
      <c r="C45" s="149"/>
      <c r="D45" s="150" t="s">
        <v>636</v>
      </c>
      <c r="E45" s="149"/>
      <c r="F45" s="151"/>
      <c r="G45" s="606">
        <v>215000</v>
      </c>
      <c r="H45" s="157">
        <f>H46</f>
        <v>191900</v>
      </c>
      <c r="I45" s="157">
        <f t="shared" si="0"/>
        <v>406900</v>
      </c>
    </row>
    <row r="46" spans="1:9" s="146" customFormat="1" ht="78.75" x14ac:dyDescent="0.25">
      <c r="A46" s="153" t="str">
        <f>IF(B46&gt;0,VLOOKUP(B46,КВСР!A27:B1192,2),IF(C46&gt;0,VLOOKUP(C46,КФСР!A27:B1539,2),IF(D46&gt;0,VLOOKUP(D46,Программа!A$1:B$5100,2),IF(F46&gt;0,VLOOKUP(F46,КВР!A$1:B$5001,2),IF(E46&gt;0,VLOOKUP(E46,Направление!A$1:B$4830,2))))))</f>
        <v xml:space="preserve">Профессиональное развитие  муниципальных служащих и повышение квалификации руководителей муниципальных учреждений </v>
      </c>
      <c r="B46" s="154"/>
      <c r="C46" s="149"/>
      <c r="D46" s="150" t="s">
        <v>637</v>
      </c>
      <c r="E46" s="149"/>
      <c r="F46" s="151"/>
      <c r="G46" s="606">
        <v>215000</v>
      </c>
      <c r="H46" s="157">
        <f>H47</f>
        <v>191900</v>
      </c>
      <c r="I46" s="157">
        <f t="shared" si="0"/>
        <v>406900</v>
      </c>
    </row>
    <row r="47" spans="1:9" s="146" customFormat="1" ht="31.5" x14ac:dyDescent="0.25">
      <c r="A47" s="153" t="str">
        <f>IF(B47&gt;0,VLOOKUP(B47,КВСР!A28:B1193,2),IF(C47&gt;0,VLOOKUP(C47,КФСР!A28:B1540,2),IF(D47&gt;0,VLOOKUP(D47,Программа!A$1:B$5100,2),IF(F47&gt;0,VLOOKUP(F47,КВР!A$1:B$5001,2),IF(E47&gt;0,VLOOKUP(E47,Направление!A$1:B$4830,2))))))</f>
        <v>Расходы на развитие муниципальной службы</v>
      </c>
      <c r="B47" s="154"/>
      <c r="C47" s="149"/>
      <c r="D47" s="150"/>
      <c r="E47" s="149">
        <v>12200</v>
      </c>
      <c r="F47" s="151"/>
      <c r="G47" s="606">
        <v>215000</v>
      </c>
      <c r="H47" s="157">
        <f>H48</f>
        <v>191900</v>
      </c>
      <c r="I47" s="157">
        <f t="shared" si="0"/>
        <v>406900</v>
      </c>
    </row>
    <row r="48" spans="1:9" s="146" customFormat="1" ht="63" x14ac:dyDescent="0.25">
      <c r="A48" s="153" t="str">
        <f>IF(B48&gt;0,VLOOKUP(B48,КВСР!A29:B1194,2),IF(C48&gt;0,VLOOKUP(C48,КФСР!A29:B1541,2),IF(D48&gt;0,VLOOKUP(D48,Программа!A$1:B$5100,2),IF(F48&gt;0,VLOOKUP(F48,КВР!A$1:B$5001,2),IF(E48&gt;0,VLOOKUP(E48,Направление!A$1:B$4830,2))))))</f>
        <v xml:space="preserve">Закупка товаров, работ и услуг для обеспечения государственных (муниципальных) нужд
</v>
      </c>
      <c r="B48" s="154"/>
      <c r="C48" s="149"/>
      <c r="D48" s="151"/>
      <c r="E48" s="149"/>
      <c r="F48" s="151">
        <v>200</v>
      </c>
      <c r="G48" s="516">
        <v>215000</v>
      </c>
      <c r="H48" s="158">
        <v>191900</v>
      </c>
      <c r="I48" s="157">
        <f t="shared" si="0"/>
        <v>406900</v>
      </c>
    </row>
    <row r="49" spans="1:9" s="146" customFormat="1" ht="63" x14ac:dyDescent="0.25">
      <c r="A49" s="153" t="str">
        <f>IF(B49&gt;0,VLOOKUP(B49,КВСР!A30:B1195,2),IF(C49&gt;0,VLOOKUP(C49,КФСР!A30:B1542,2),IF(D49&gt;0,VLOOKUP(D49,Программа!A$1:B$5100,2),IF(F49&gt;0,VLOOKUP(F49,КВР!A$1:B$5001,2),IF(E49&gt;0,VLOOKUP(E49,Направление!A$1:B$4830,2))))))</f>
        <v>Муниципальная программа "Информатизация управленческой деятельности Администрации Тутаевского муниципального района"</v>
      </c>
      <c r="B49" s="154"/>
      <c r="C49" s="149"/>
      <c r="D49" s="151" t="s">
        <v>640</v>
      </c>
      <c r="E49" s="149"/>
      <c r="F49" s="151"/>
      <c r="G49" s="606">
        <v>600000</v>
      </c>
      <c r="H49" s="157">
        <f>H53+H50</f>
        <v>476373</v>
      </c>
      <c r="I49" s="157">
        <f t="shared" si="0"/>
        <v>1076373</v>
      </c>
    </row>
    <row r="50" spans="1:9" s="146" customFormat="1" ht="31.5" x14ac:dyDescent="0.25">
      <c r="A50" s="153" t="str">
        <f>IF(B50&gt;0,VLOOKUP(B50,КВСР!A31:B1196,2),IF(C50&gt;0,VLOOKUP(C50,КФСР!A31:B1543,2),IF(D50&gt;0,VLOOKUP(D50,Программа!A$1:B$5100,2),IF(F50&gt;0,VLOOKUP(F50,КВР!A$1:B$5001,2),IF(E50&gt;0,VLOOKUP(E50,Направление!A$1:B$4830,2))))))</f>
        <v>Бесперебойное функционирование информационных систем</v>
      </c>
      <c r="B50" s="154"/>
      <c r="C50" s="149"/>
      <c r="D50" s="151" t="s">
        <v>677</v>
      </c>
      <c r="E50" s="149"/>
      <c r="F50" s="151"/>
      <c r="G50" s="606">
        <v>300000</v>
      </c>
      <c r="H50" s="157">
        <f>H51</f>
        <v>250401</v>
      </c>
      <c r="I50" s="157">
        <f t="shared" si="0"/>
        <v>550401</v>
      </c>
    </row>
    <row r="51" spans="1:9" s="146" customFormat="1" ht="31.5" x14ac:dyDescent="0.25">
      <c r="A51" s="153" t="str">
        <f>IF(B51&gt;0,VLOOKUP(B51,КВСР!A32:B1197,2),IF(C51&gt;0,VLOOKUP(C51,КФСР!A32:B1544,2),IF(D51&gt;0,VLOOKUP(D51,Программа!A$1:B$5100,2),IF(F51&gt;0,VLOOKUP(F51,КВР!A$1:B$5001,2),IF(E51&gt;0,VLOOKUP(E51,Направление!A$1:B$4830,2))))))</f>
        <v>Расходы на проведение мероприятий по информатизации</v>
      </c>
      <c r="B51" s="154"/>
      <c r="C51" s="149"/>
      <c r="D51" s="151"/>
      <c r="E51" s="149">
        <v>12210</v>
      </c>
      <c r="F51" s="151"/>
      <c r="G51" s="606">
        <v>300000</v>
      </c>
      <c r="H51" s="157">
        <f>H52</f>
        <v>250401</v>
      </c>
      <c r="I51" s="157">
        <f t="shared" si="0"/>
        <v>550401</v>
      </c>
    </row>
    <row r="52" spans="1:9" s="146" customFormat="1" ht="63" x14ac:dyDescent="0.25">
      <c r="A52" s="153" t="str">
        <f>IF(B52&gt;0,VLOOKUP(B52,КВСР!A33:B1198,2),IF(C52&gt;0,VLOOKUP(C52,КФСР!A33:B1545,2),IF(D52&gt;0,VLOOKUP(D52,Программа!A$1:B$5100,2),IF(F52&gt;0,VLOOKUP(F52,КВР!A$1:B$5001,2),IF(E52&gt;0,VLOOKUP(E52,Направление!A$1:B$4830,2))))))</f>
        <v xml:space="preserve">Закупка товаров, работ и услуг для обеспечения государственных (муниципальных) нужд
</v>
      </c>
      <c r="B52" s="154"/>
      <c r="C52" s="149"/>
      <c r="D52" s="151"/>
      <c r="E52" s="149"/>
      <c r="F52" s="151">
        <v>200</v>
      </c>
      <c r="G52" s="549">
        <v>300000</v>
      </c>
      <c r="H52" s="157">
        <v>250401</v>
      </c>
      <c r="I52" s="157">
        <f t="shared" si="0"/>
        <v>550401</v>
      </c>
    </row>
    <row r="53" spans="1:9" s="146" customFormat="1" ht="63" x14ac:dyDescent="0.25">
      <c r="A53" s="153" t="str">
        <f>IF(B53&gt;0,VLOOKUP(B53,КВСР!A31:B1196,2),IF(C53&gt;0,VLOOKUP(C53,КФСР!A31:B1543,2),IF(D53&gt;0,VLOOKUP(D53,Программа!A$1:B$5100,2),IF(F53&gt;0,VLOOKUP(F53,КВР!A$1:B$5001,2),IF(E53&gt;0,VLOOKUP(E53,Направление!A$1:B$4830,2))))))</f>
        <v>Закупка компьютерного оборудования  и оргтехники для бесперебойного обеспечения деятельности органов местного самоуправления</v>
      </c>
      <c r="B53" s="154"/>
      <c r="C53" s="149"/>
      <c r="D53" s="151" t="s">
        <v>642</v>
      </c>
      <c r="E53" s="149"/>
      <c r="F53" s="151"/>
      <c r="G53" s="606">
        <v>300000</v>
      </c>
      <c r="H53" s="157">
        <f>H54</f>
        <v>225972</v>
      </c>
      <c r="I53" s="157">
        <f t="shared" si="0"/>
        <v>525972</v>
      </c>
    </row>
    <row r="54" spans="1:9" s="146" customFormat="1" ht="31.5" x14ac:dyDescent="0.25">
      <c r="A54" s="153" t="str">
        <f>IF(B54&gt;0,VLOOKUP(B54,КВСР!A32:B1197,2),IF(C54&gt;0,VLOOKUP(C54,КФСР!A32:B1544,2),IF(D54&gt;0,VLOOKUP(D54,Программа!A$1:B$5100,2),IF(F54&gt;0,VLOOKUP(F54,КВР!A$1:B$5001,2),IF(E54&gt;0,VLOOKUP(E54,Направление!A$1:B$4830,2))))))</f>
        <v>Расходы на проведение мероприятий по информатизации</v>
      </c>
      <c r="B54" s="154"/>
      <c r="C54" s="149"/>
      <c r="D54" s="151"/>
      <c r="E54" s="149">
        <v>12210</v>
      </c>
      <c r="F54" s="151"/>
      <c r="G54" s="606">
        <v>300000</v>
      </c>
      <c r="H54" s="157">
        <f>H55</f>
        <v>225972</v>
      </c>
      <c r="I54" s="157">
        <f t="shared" si="0"/>
        <v>525972</v>
      </c>
    </row>
    <row r="55" spans="1:9" s="146" customFormat="1" ht="63" x14ac:dyDescent="0.25">
      <c r="A55" s="153" t="str">
        <f>IF(B55&gt;0,VLOOKUP(B55,КВСР!A33:B1198,2),IF(C55&gt;0,VLOOKUP(C55,КФСР!A33:B1545,2),IF(D55&gt;0,VLOOKUP(D55,Программа!A$1:B$5100,2),IF(F55&gt;0,VLOOKUP(F55,КВР!A$1:B$5001,2),IF(E55&gt;0,VLOOKUP(E55,Направление!A$1:B$4830,2))))))</f>
        <v xml:space="preserve">Закупка товаров, работ и услуг для обеспечения государственных (муниципальных) нужд
</v>
      </c>
      <c r="B55" s="154"/>
      <c r="C55" s="149"/>
      <c r="D55" s="151"/>
      <c r="E55" s="149"/>
      <c r="F55" s="151">
        <v>200</v>
      </c>
      <c r="G55" s="158">
        <v>300000</v>
      </c>
      <c r="H55" s="158">
        <v>225972</v>
      </c>
      <c r="I55" s="157">
        <f t="shared" si="0"/>
        <v>525972</v>
      </c>
    </row>
    <row r="56" spans="1:9" s="146" customFormat="1" ht="110.25" x14ac:dyDescent="0.25">
      <c r="A56" s="153" t="str">
        <f>IF(B56&gt;0,VLOOKUP(B56,КВСР!A38:B1203,2),IF(C56&gt;0,VLOOKUP(C56,КФСР!A38:B1550,2),IF(D56&gt;0,VLOOKUP(D56,Программа!A$1:B$5100,2),IF(F56&gt;0,VLOOKUP(F56,КВР!A$1:B$5001,2),IF(E56&gt;0,VLOOKUP(E56,Направление!A$1:B$4830,2))))))</f>
        <v>Муниципальная программа "Поддержки гражданских инициатив, социально ориентированных некоммерческих организаций и территориального общественного самоуправления Тутаевского муниципального района"</v>
      </c>
      <c r="B56" s="154"/>
      <c r="C56" s="149"/>
      <c r="D56" s="150" t="s">
        <v>644</v>
      </c>
      <c r="E56" s="149"/>
      <c r="F56" s="151"/>
      <c r="G56" s="606">
        <v>1418352</v>
      </c>
      <c r="H56" s="157">
        <f>H57+H66</f>
        <v>1421012</v>
      </c>
      <c r="I56" s="157">
        <f t="shared" si="0"/>
        <v>2839364</v>
      </c>
    </row>
    <row r="57" spans="1:9" s="146" customFormat="1" ht="94.5" x14ac:dyDescent="0.25">
      <c r="A57" s="153" t="str">
        <f>IF(B57&gt;0,VLOOKUP(B57,КВСР!A31:B1196,2),IF(C57&gt;0,VLOOKUP(C57,КФСР!A31:B1543,2),IF(D57&gt;0,VLOOKUP(D57,Программа!A$1:B$5100,2),IF(F57&gt;0,VLOOKUP(F57,КВР!A$1:B$5001,2),IF(E57&gt;0,VLOOKUP(E57,Направление!A$1:B$4830,2))))))</f>
        <v xml:space="preserve">Стимулирование и поддержка реализации социально-значимых проектов и программ, реализуемых гражданскими активистами, СОНКО ИТОС, реализуемых на территории ТМР </v>
      </c>
      <c r="B57" s="154"/>
      <c r="C57" s="149"/>
      <c r="D57" s="150" t="s">
        <v>645</v>
      </c>
      <c r="E57" s="149"/>
      <c r="F57" s="151"/>
      <c r="G57" s="606">
        <v>1418352</v>
      </c>
      <c r="H57" s="606">
        <f>H60+H63+H58</f>
        <v>1421012</v>
      </c>
      <c r="I57" s="157">
        <f t="shared" si="0"/>
        <v>2839364</v>
      </c>
    </row>
    <row r="58" spans="1:9" s="146" customFormat="1" ht="47.25" x14ac:dyDescent="0.25">
      <c r="A58" s="153" t="str">
        <f>IF(B58&gt;0,VLOOKUP(B58,КВСР!A32:B1197,2),IF(C58&gt;0,VLOOKUP(C58,КФСР!A32:B1544,2),IF(D58&gt;0,VLOOKUP(D58,Программа!A$1:B$5100,2),IF(F58&gt;0,VLOOKUP(F58,КВР!A$1:B$5001,2),IF(E58&gt;0,VLOOKUP(E58,Направление!A$1:B$4830,2))))))</f>
        <v>Предоставление субсидий социально ориентированным некомерческим организациям на конкурсной основе</v>
      </c>
      <c r="B58" s="154"/>
      <c r="C58" s="149"/>
      <c r="D58" s="150"/>
      <c r="E58" s="149">
        <v>73140</v>
      </c>
      <c r="F58" s="151"/>
      <c r="G58" s="606">
        <v>568352</v>
      </c>
      <c r="H58" s="606">
        <f>H59</f>
        <v>568352</v>
      </c>
      <c r="I58" s="606">
        <f>I59</f>
        <v>1136704</v>
      </c>
    </row>
    <row r="59" spans="1:9" s="146" customFormat="1" ht="63" x14ac:dyDescent="0.25">
      <c r="A59" s="153" t="str">
        <f>IF(B59&gt;0,VLOOKUP(B59,КВСР!A33:B1198,2),IF(C59&gt;0,VLOOKUP(C59,КФСР!A33:B1545,2),IF(D59&gt;0,VLOOKUP(D59,Программа!A$1:B$5100,2),IF(F59&gt;0,VLOOKUP(F59,КВР!A$1:B$5001,2),IF(E59&gt;0,VLOOKUP(E59,Направление!A$1:B$4830,2))))))</f>
        <v>Предоставление субсидий бюджетным, автономным учреждениям и иным некоммерческим организациям</v>
      </c>
      <c r="B59" s="154"/>
      <c r="C59" s="149"/>
      <c r="D59" s="150"/>
      <c r="E59" s="149"/>
      <c r="F59" s="151">
        <v>600</v>
      </c>
      <c r="G59" s="606">
        <v>568352</v>
      </c>
      <c r="H59" s="606">
        <v>568352</v>
      </c>
      <c r="I59" s="157">
        <f>G59+H59</f>
        <v>1136704</v>
      </c>
    </row>
    <row r="60" spans="1:9" s="146" customFormat="1" ht="47.25" x14ac:dyDescent="0.25">
      <c r="A60" s="153" t="str">
        <f>IF(B60&gt;0,VLOOKUP(B60,КВСР!A32:B1197,2),IF(C60&gt;0,VLOOKUP(C60,КФСР!A32:B1544,2),IF(D60&gt;0,VLOOKUP(D60,Программа!A$1:B$5100,2),IF(F60&gt;0,VLOOKUP(F60,КВР!A$1:B$5001,2),IF(E60&gt;0,VLOOKUP(E60,Направление!A$1:B$4830,2))))))</f>
        <v>Предоставление субсидий социально ориентированным некомерческим организациям на конкурсной основе</v>
      </c>
      <c r="B60" s="154"/>
      <c r="C60" s="149"/>
      <c r="D60" s="150"/>
      <c r="E60" s="149">
        <v>13140</v>
      </c>
      <c r="F60" s="151"/>
      <c r="G60" s="606">
        <v>200000</v>
      </c>
      <c r="H60" s="157">
        <f>H62+H61</f>
        <v>202660</v>
      </c>
      <c r="I60" s="157">
        <f t="shared" si="0"/>
        <v>402660</v>
      </c>
    </row>
    <row r="61" spans="1:9" s="146" customFormat="1" ht="31.5" x14ac:dyDescent="0.25">
      <c r="A61" s="153" t="str">
        <f>IF(B61&gt;0,VLOOKUP(B61,КВСР!A33:B1198,2),IF(C61&gt;0,VLOOKUP(C61,КФСР!A33:B1545,2),IF(D61&gt;0,VLOOKUP(D61,Программа!A$1:B$5100,2),IF(F61&gt;0,VLOOKUP(F61,КВР!A$1:B$5001,2),IF(E61&gt;0,VLOOKUP(E61,Направление!A$1:B$4830,2))))))</f>
        <v>Социальное обеспечение и иные выплаты населению</v>
      </c>
      <c r="B61" s="154"/>
      <c r="C61" s="149"/>
      <c r="D61" s="150"/>
      <c r="E61" s="149"/>
      <c r="F61" s="151">
        <v>300</v>
      </c>
      <c r="G61" s="606">
        <v>40000</v>
      </c>
      <c r="H61" s="157">
        <v>200660</v>
      </c>
      <c r="I61" s="157">
        <f t="shared" si="0"/>
        <v>240660</v>
      </c>
    </row>
    <row r="62" spans="1:9" s="146" customFormat="1" ht="63" x14ac:dyDescent="0.25">
      <c r="A62" s="153" t="str">
        <f>IF(B62&gt;0,VLOOKUP(B62,КВСР!A33:B1198,2),IF(C62&gt;0,VLOOKUP(C62,КФСР!A33:B1545,2),IF(D62&gt;0,VLOOKUP(D62,Программа!A$1:B$5100,2),IF(F62&gt;0,VLOOKUP(F62,КВР!A$1:B$5001,2),IF(E62&gt;0,VLOOKUP(E62,Направление!A$1:B$4830,2))))))</f>
        <v>Предоставление субсидий бюджетным, автономным учреждениям и иным некоммерческим организациям</v>
      </c>
      <c r="B62" s="154"/>
      <c r="C62" s="149"/>
      <c r="D62" s="151"/>
      <c r="E62" s="149"/>
      <c r="F62" s="151">
        <v>600</v>
      </c>
      <c r="G62" s="158">
        <v>160000</v>
      </c>
      <c r="H62" s="158">
        <v>2000</v>
      </c>
      <c r="I62" s="157">
        <f t="shared" si="0"/>
        <v>162000</v>
      </c>
    </row>
    <row r="63" spans="1:9" s="146" customFormat="1" ht="47.25" x14ac:dyDescent="0.25">
      <c r="A63" s="153" t="str">
        <f>IF(B63&gt;0,VLOOKUP(B63,КВСР!A34:B1199,2),IF(C63&gt;0,VLOOKUP(C63,КФСР!A34:B1546,2),IF(D63&gt;0,VLOOKUP(D63,Программа!A$1:B$5100,2),IF(F63&gt;0,VLOOKUP(F63,КВР!A$1:B$5001,2),IF(E63&gt;0,VLOOKUP(E63,Направление!A$1:B$4830,2))))))</f>
        <v>Поддержки деятельности социально-ориентированных некоммерческих организаций</v>
      </c>
      <c r="B63" s="154"/>
      <c r="C63" s="149"/>
      <c r="D63" s="151"/>
      <c r="E63" s="149">
        <v>29516</v>
      </c>
      <c r="F63" s="151"/>
      <c r="G63" s="516">
        <v>650000</v>
      </c>
      <c r="H63" s="516">
        <f>H65+H64</f>
        <v>650000</v>
      </c>
      <c r="I63" s="516">
        <f>I65+I64</f>
        <v>1300000</v>
      </c>
    </row>
    <row r="64" spans="1:9" s="146" customFormat="1" ht="31.5" x14ac:dyDescent="0.25">
      <c r="A64" s="153" t="str">
        <f>IF(B64&gt;0,VLOOKUP(B64,КВСР!A35:B1200,2),IF(C64&gt;0,VLOOKUP(C64,КФСР!A35:B1547,2),IF(D64&gt;0,VLOOKUP(D64,Программа!A$1:B$5100,2),IF(F64&gt;0,VLOOKUP(F64,КВР!A$1:B$5001,2),IF(E64&gt;0,VLOOKUP(E64,Направление!A$1:B$4830,2))))))</f>
        <v>Социальное обеспечение и иные выплаты населению</v>
      </c>
      <c r="B64" s="154"/>
      <c r="C64" s="149"/>
      <c r="D64" s="151"/>
      <c r="E64" s="149"/>
      <c r="F64" s="151">
        <v>300</v>
      </c>
      <c r="G64" s="516"/>
      <c r="H64" s="516">
        <v>142940</v>
      </c>
      <c r="I64" s="157">
        <f t="shared" si="0"/>
        <v>142940</v>
      </c>
    </row>
    <row r="65" spans="1:9" s="146" customFormat="1" ht="63" x14ac:dyDescent="0.25">
      <c r="A65" s="153" t="str">
        <f>IF(B65&gt;0,VLOOKUP(B65,КВСР!A35:B1200,2),IF(C65&gt;0,VLOOKUP(C65,КФСР!A35:B1547,2),IF(D65&gt;0,VLOOKUP(D65,Программа!A$1:B$5100,2),IF(F65&gt;0,VLOOKUP(F65,КВР!A$1:B$5001,2),IF(E65&gt;0,VLOOKUP(E65,Направление!A$1:B$4830,2))))))</f>
        <v>Предоставление субсидий бюджетным, автономным учреждениям и иным некоммерческим организациям</v>
      </c>
      <c r="B65" s="154"/>
      <c r="C65" s="149"/>
      <c r="D65" s="151"/>
      <c r="E65" s="149"/>
      <c r="F65" s="151">
        <v>600</v>
      </c>
      <c r="G65" s="158">
        <v>650000</v>
      </c>
      <c r="H65" s="158">
        <v>507060</v>
      </c>
      <c r="I65" s="157">
        <f t="shared" si="0"/>
        <v>1157060</v>
      </c>
    </row>
    <row r="66" spans="1:9" s="146" customFormat="1" ht="63" hidden="1" x14ac:dyDescent="0.25">
      <c r="A66" s="153" t="str">
        <f>IF(B66&gt;0,VLOOKUP(B66,КВСР!A34:B1199,2),IF(C66&gt;0,VLOOKUP(C66,КФСР!A34:B1546,2),IF(D66&gt;0,VLOOKUP(D66,Программа!A$1:B$5100,2),IF(F66&gt;0,VLOOKUP(F66,КВР!A$1:B$5001,2),IF(E66&gt;0,VLOOKUP(E66,Направление!A$1:B$4830,2))))))</f>
        <v>Развитие взаимодействия органов местного самоуправления Тутаевского муниципального района, СОНКО и ТОС</v>
      </c>
      <c r="B66" s="154"/>
      <c r="C66" s="149"/>
      <c r="D66" s="151" t="s">
        <v>946</v>
      </c>
      <c r="E66" s="149"/>
      <c r="F66" s="151"/>
      <c r="G66" s="516">
        <v>0</v>
      </c>
      <c r="H66" s="516">
        <f>H67</f>
        <v>0</v>
      </c>
      <c r="I66" s="157">
        <f t="shared" si="0"/>
        <v>0</v>
      </c>
    </row>
    <row r="67" spans="1:9" s="146" customFormat="1" ht="47.25" hidden="1" x14ac:dyDescent="0.25">
      <c r="A67" s="153" t="str">
        <f>IF(B67&gt;0,VLOOKUP(B67,КВСР!A34:B1199,2),IF(C67&gt;0,VLOOKUP(C67,КФСР!A34:B1546,2),IF(D67&gt;0,VLOOKUP(D67,Программа!A$1:B$5100,2),IF(F67&gt;0,VLOOKUP(F67,КВР!A$1:B$5001,2),IF(E67&gt;0,VLOOKUP(E67,Направление!A$1:B$4830,2))))))</f>
        <v>Расходы на поддержку общественного самоуправления и некоммерческих организаций</v>
      </c>
      <c r="B67" s="154"/>
      <c r="C67" s="149"/>
      <c r="D67" s="151"/>
      <c r="E67" s="149">
        <v>12240</v>
      </c>
      <c r="F67" s="151"/>
      <c r="G67" s="516">
        <v>0</v>
      </c>
      <c r="H67" s="516">
        <f>H68</f>
        <v>0</v>
      </c>
      <c r="I67" s="157">
        <f t="shared" si="0"/>
        <v>0</v>
      </c>
    </row>
    <row r="68" spans="1:9" s="146" customFormat="1" ht="63" hidden="1" x14ac:dyDescent="0.25">
      <c r="A68" s="153" t="str">
        <f>IF(B68&gt;0,VLOOKUP(B68,КВСР!A35:B1200,2),IF(C68&gt;0,VLOOKUP(C68,КФСР!A35:B1547,2),IF(D68&gt;0,VLOOKUP(D68,Программа!A$1:B$5100,2),IF(F68&gt;0,VLOOKUP(F68,КВР!A$1:B$5001,2),IF(E68&gt;0,VLOOKUP(E68,Направление!A$1:B$4830,2))))))</f>
        <v xml:space="preserve">Закупка товаров, работ и услуг для обеспечения государственных (муниципальных) нужд
</v>
      </c>
      <c r="B68" s="154"/>
      <c r="C68" s="149"/>
      <c r="D68" s="151"/>
      <c r="E68" s="149"/>
      <c r="F68" s="151">
        <v>200</v>
      </c>
      <c r="G68" s="158">
        <v>0</v>
      </c>
      <c r="H68" s="158"/>
      <c r="I68" s="157">
        <f t="shared" si="0"/>
        <v>0</v>
      </c>
    </row>
    <row r="69" spans="1:9" s="146" customFormat="1" ht="63" x14ac:dyDescent="0.25">
      <c r="A69" s="153" t="str">
        <f>IF(B69&gt;0,VLOOKUP(B69,КВСР!A34:B1199,2),IF(C69&gt;0,VLOOKUP(C69,КФСР!A34:B1546,2),IF(D69&gt;0,VLOOKUP(D69,Программа!A$1:B$5100,2),IF(F69&gt;0,VLOOKUP(F69,КВР!A$1:B$5001,2),IF(E69&gt;0,VLOOKUP(E69,Направление!A$1:B$4830,2))))))</f>
        <v>Муниципальная программа "Профилактика правонарушений и усиление борьбы с преступностью в Тутаевском муниципальном районе"</v>
      </c>
      <c r="B69" s="154"/>
      <c r="C69" s="149"/>
      <c r="D69" s="151" t="s">
        <v>746</v>
      </c>
      <c r="E69" s="149"/>
      <c r="F69" s="151"/>
      <c r="G69" s="606">
        <v>15000</v>
      </c>
      <c r="H69" s="487">
        <f>H70</f>
        <v>15000</v>
      </c>
      <c r="I69" s="157">
        <f t="shared" si="0"/>
        <v>30000</v>
      </c>
    </row>
    <row r="70" spans="1:9" s="146" customFormat="1" ht="31.5" x14ac:dyDescent="0.25">
      <c r="A70" s="153" t="str">
        <f>IF(B70&gt;0,VLOOKUP(B70,КВСР!A35:B1200,2),IF(C70&gt;0,VLOOKUP(C70,КФСР!A35:B1547,2),IF(D70&gt;0,VLOOKUP(D70,Программа!A$1:B$5100,2),IF(F70&gt;0,VLOOKUP(F70,КВР!A$1:B$5001,2),IF(E70&gt;0,VLOOKUP(E70,Направление!A$1:B$4830,2))))))</f>
        <v>Реализация мероприятий по профилактике правонарушений</v>
      </c>
      <c r="B70" s="154"/>
      <c r="C70" s="149"/>
      <c r="D70" s="151" t="s">
        <v>748</v>
      </c>
      <c r="E70" s="149"/>
      <c r="F70" s="151"/>
      <c r="G70" s="606">
        <v>15000</v>
      </c>
      <c r="H70" s="487">
        <f>H71</f>
        <v>15000</v>
      </c>
      <c r="I70" s="157">
        <f t="shared" si="0"/>
        <v>30000</v>
      </c>
    </row>
    <row r="71" spans="1:9" s="146" customFormat="1" ht="47.25" x14ac:dyDescent="0.25">
      <c r="A71" s="153" t="str">
        <f>IF(B71&gt;0,VLOOKUP(B71,КВСР!A36:B1201,2),IF(C71&gt;0,VLOOKUP(C71,КФСР!A36:B1548,2),IF(D71&gt;0,VLOOKUP(D71,Программа!A$1:B$5100,2),IF(F71&gt;0,VLOOKUP(F71,КВР!A$1:B$5001,2),IF(E71&gt;0,VLOOKUP(E71,Направление!A$1:B$4830,2))))))</f>
        <v>Расходы на профилактику правонарушений и усиления борьбы с преступностью</v>
      </c>
      <c r="B71" s="154"/>
      <c r="C71" s="149"/>
      <c r="D71" s="151"/>
      <c r="E71" s="149">
        <v>12250</v>
      </c>
      <c r="F71" s="151"/>
      <c r="G71" s="606">
        <v>15000</v>
      </c>
      <c r="H71" s="487">
        <f>H72+H73</f>
        <v>15000</v>
      </c>
      <c r="I71" s="157">
        <f t="shared" si="0"/>
        <v>30000</v>
      </c>
    </row>
    <row r="72" spans="1:9" s="146" customFormat="1" ht="63" x14ac:dyDescent="0.25">
      <c r="A72" s="153" t="str">
        <f>IF(B72&gt;0,VLOOKUP(B72,КВСР!A37:B1202,2),IF(C72&gt;0,VLOOKUP(C72,КФСР!A37:B1549,2),IF(D72&gt;0,VLOOKUP(D72,Программа!A$1:B$5100,2),IF(F72&gt;0,VLOOKUP(F72,КВР!A$1:B$5001,2),IF(E72&gt;0,VLOOKUP(E72,Направление!A$1:B$4830,2))))))</f>
        <v xml:space="preserve">Закупка товаров, работ и услуг для обеспечения государственных (муниципальных) нужд
</v>
      </c>
      <c r="B72" s="154"/>
      <c r="C72" s="149"/>
      <c r="D72" s="151"/>
      <c r="E72" s="149"/>
      <c r="F72" s="151">
        <v>200</v>
      </c>
      <c r="G72" s="158">
        <v>15000</v>
      </c>
      <c r="H72" s="158">
        <v>15000</v>
      </c>
      <c r="I72" s="157">
        <f t="shared" si="0"/>
        <v>30000</v>
      </c>
    </row>
    <row r="73" spans="1:9" s="146" customFormat="1" hidden="1" x14ac:dyDescent="0.25">
      <c r="A73" s="153" t="str">
        <f>IF(B73&gt;0,VLOOKUP(B73,КВСР!A37:B1202,2),IF(C73&gt;0,VLOOKUP(C73,КФСР!A37:B1549,2),IF(D73&gt;0,VLOOKUP(D73,Программа!A$1:B$5100,2),IF(F73&gt;0,VLOOKUP(F73,КВР!A$1:B$5001,2),IF(E73&gt;0,VLOOKUP(E73,Направление!A$1:B$4830,2))))))</f>
        <v>Иные бюджетные ассигнования</v>
      </c>
      <c r="B73" s="154"/>
      <c r="C73" s="149"/>
      <c r="D73" s="151"/>
      <c r="E73" s="149"/>
      <c r="F73" s="151">
        <v>800</v>
      </c>
      <c r="G73" s="158">
        <v>0</v>
      </c>
      <c r="H73" s="158"/>
      <c r="I73" s="157">
        <f t="shared" si="0"/>
        <v>0</v>
      </c>
    </row>
    <row r="74" spans="1:9" s="146" customFormat="1" ht="47.25" x14ac:dyDescent="0.25">
      <c r="A74" s="153" t="str">
        <f>IF(B74&gt;0,VLOOKUP(B74,КВСР!A38:B1203,2),IF(C74&gt;0,VLOOKUP(C74,КФСР!A38:B1550,2),IF(D74&gt;0,VLOOKUP(D74,Программа!A$1:B$5100,2),IF(F74&gt;0,VLOOKUP(F74,КВР!A$1:B$5001,2),IF(E74&gt;0,VLOOKUP(E74,Направление!A$1:B$4830,2))))))</f>
        <v>Муниципальная программа "Обеспечение муниципальных закупок в Тутаевском муниципальном районе"</v>
      </c>
      <c r="B74" s="154"/>
      <c r="C74" s="149"/>
      <c r="D74" s="151" t="s">
        <v>2927</v>
      </c>
      <c r="E74" s="149"/>
      <c r="F74" s="151"/>
      <c r="G74" s="157">
        <v>307953</v>
      </c>
      <c r="H74" s="157">
        <f>H75</f>
        <v>271530</v>
      </c>
      <c r="I74" s="157">
        <f t="shared" si="0"/>
        <v>579483</v>
      </c>
    </row>
    <row r="75" spans="1:9" s="146" customFormat="1" ht="63" x14ac:dyDescent="0.25">
      <c r="A75" s="153" t="str">
        <f>IF(B75&gt;0,VLOOKUP(B75,КВСР!A39:B1204,2),IF(C75&gt;0,VLOOKUP(C75,КФСР!A39:B1551,2),IF(D75&gt;0,VLOOKUP(D75,Программа!A$1:B$5100,2),IF(F75&gt;0,VLOOKUP(F75,КВР!A$1:B$5001,2),IF(E75&gt;0,VLOOKUP(E75,Направление!A$1:B$4830,2))))))</f>
        <v>Организация системы подготовки, планирования, информационного сопровождения и осуществления муниципальных закупок</v>
      </c>
      <c r="B75" s="154"/>
      <c r="C75" s="149"/>
      <c r="D75" s="151" t="s">
        <v>2929</v>
      </c>
      <c r="E75" s="149"/>
      <c r="F75" s="151"/>
      <c r="G75" s="157">
        <v>307953</v>
      </c>
      <c r="H75" s="157">
        <f>H78+H76</f>
        <v>271530</v>
      </c>
      <c r="I75" s="157">
        <f t="shared" si="0"/>
        <v>579483</v>
      </c>
    </row>
    <row r="76" spans="1:9" s="146" customFormat="1" ht="47.25" x14ac:dyDescent="0.25">
      <c r="A76" s="153" t="str">
        <f>IF(B76&gt;0,VLOOKUP(B76,КВСР!A40:B1205,2),IF(C76&gt;0,VLOOKUP(C76,КФСР!A40:B1552,2),IF(D76&gt;0,VLOOKUP(D76,Программа!A$1:B$5100,2),IF(F76&gt;0,VLOOKUP(F76,КВР!A$1:B$5001,2),IF(E76&gt;0,VLOOKUP(E76,Направление!A$1:B$4830,2))))))</f>
        <v>Субсидия на реализацию мероприятий по информационному обеспечению муниципальных закупок</v>
      </c>
      <c r="B76" s="154"/>
      <c r="C76" s="149"/>
      <c r="D76" s="151"/>
      <c r="E76" s="149">
        <v>75800</v>
      </c>
      <c r="F76" s="151"/>
      <c r="G76" s="157">
        <v>257953</v>
      </c>
      <c r="H76" s="157">
        <f>H77</f>
        <v>257953</v>
      </c>
      <c r="I76" s="157">
        <f t="shared" si="0"/>
        <v>515906</v>
      </c>
    </row>
    <row r="77" spans="1:9" s="146" customFormat="1" ht="63" x14ac:dyDescent="0.25">
      <c r="A77" s="153" t="str">
        <f>IF(B77&gt;0,VLOOKUP(B77,КВСР!A41:B1206,2),IF(C77&gt;0,VLOOKUP(C77,КФСР!A41:B1553,2),IF(D77&gt;0,VLOOKUP(D77,Программа!A$1:B$5100,2),IF(F77&gt;0,VLOOKUP(F77,КВР!A$1:B$5001,2),IF(E77&gt;0,VLOOKUP(E77,Направление!A$1:B$4830,2))))))</f>
        <v xml:space="preserve">Закупка товаров, работ и услуг для обеспечения государственных (муниципальных) нужд
</v>
      </c>
      <c r="B77" s="154"/>
      <c r="C77" s="149"/>
      <c r="D77" s="151"/>
      <c r="E77" s="149"/>
      <c r="F77" s="151">
        <v>200</v>
      </c>
      <c r="G77" s="157">
        <v>257953</v>
      </c>
      <c r="H77" s="157">
        <v>257953</v>
      </c>
      <c r="I77" s="157">
        <f t="shared" si="0"/>
        <v>515906</v>
      </c>
    </row>
    <row r="78" spans="1:9" s="146" customFormat="1" ht="47.25" x14ac:dyDescent="0.25">
      <c r="A78" s="153" t="str">
        <f>IF(B78&gt;0,VLOOKUP(B78,КВСР!A40:B1205,2),IF(C78&gt;0,VLOOKUP(C78,КФСР!A40:B1552,2),IF(D78&gt;0,VLOOKUP(D78,Программа!A$1:B$5100,2),IF(F78&gt;0,VLOOKUP(F78,КВР!A$1:B$5001,2),IF(E78&gt;0,VLOOKUP(E78,Направление!A$1:B$4830,2))))))</f>
        <v>Субсидия на реализацию мероприятий по информационному обеспечению муниципальных закупок</v>
      </c>
      <c r="B78" s="154"/>
      <c r="C78" s="149"/>
      <c r="D78" s="151"/>
      <c r="E78" s="149">
        <v>15800</v>
      </c>
      <c r="F78" s="151"/>
      <c r="G78" s="157">
        <v>50000</v>
      </c>
      <c r="H78" s="157">
        <f>H79</f>
        <v>13577</v>
      </c>
      <c r="I78" s="157">
        <f t="shared" si="0"/>
        <v>63577</v>
      </c>
    </row>
    <row r="79" spans="1:9" s="146" customFormat="1" ht="63" x14ac:dyDescent="0.25">
      <c r="A79" s="153" t="str">
        <f>IF(B79&gt;0,VLOOKUP(B79,КВСР!A41:B1206,2),IF(C79&gt;0,VLOOKUP(C79,КФСР!A41:B1553,2),IF(D79&gt;0,VLOOKUP(D79,Программа!A$1:B$5100,2),IF(F79&gt;0,VLOOKUP(F79,КВР!A$1:B$5001,2),IF(E79&gt;0,VLOOKUP(E79,Направление!A$1:B$4830,2))))))</f>
        <v xml:space="preserve">Закупка товаров, работ и услуг для обеспечения государственных (муниципальных) нужд
</v>
      </c>
      <c r="B79" s="154"/>
      <c r="C79" s="149"/>
      <c r="D79" s="151"/>
      <c r="E79" s="149"/>
      <c r="F79" s="151">
        <v>200</v>
      </c>
      <c r="G79" s="158">
        <v>50000</v>
      </c>
      <c r="H79" s="158">
        <v>13577</v>
      </c>
      <c r="I79" s="157">
        <f t="shared" si="0"/>
        <v>63577</v>
      </c>
    </row>
    <row r="80" spans="1:9" s="146" customFormat="1" ht="63" x14ac:dyDescent="0.25">
      <c r="A80" s="153" t="str">
        <f>IF(B80&gt;0,VLOOKUP(B80,КВСР!A34:B1199,2),IF(C80&gt;0,VLOOKUP(C80,КФСР!A34:B1546,2),IF(D80&gt;0,VLOOKUP(D80,Программа!A$1:B$5100,2),IF(F80&gt;0,VLOOKUP(F80,КВР!A$1:B$5001,2),IF(E80&gt;0,VLOOKUP(E80,Направление!A$1:B$4830,2))))))</f>
        <v>Муниципальная программа "Внедрение и развитие аппаратно-программного комплекса "Безопасный город"</v>
      </c>
      <c r="B80" s="154"/>
      <c r="C80" s="149"/>
      <c r="D80" s="151" t="s">
        <v>3160</v>
      </c>
      <c r="E80" s="149"/>
      <c r="F80" s="151"/>
      <c r="G80" s="606">
        <v>957000</v>
      </c>
      <c r="H80" s="606">
        <f>H81</f>
        <v>813094</v>
      </c>
      <c r="I80" s="157">
        <f t="shared" si="0"/>
        <v>1770094</v>
      </c>
    </row>
    <row r="81" spans="1:9" s="146" customFormat="1" ht="31.5" x14ac:dyDescent="0.25">
      <c r="A81" s="153" t="str">
        <f>IF(B81&gt;0,VLOOKUP(B81,КВСР!A35:B1200,2),IF(C81&gt;0,VLOOKUP(C81,КФСР!A35:B1547,2),IF(D81&gt;0,VLOOKUP(D81,Программа!A$1:B$5100,2),IF(F81&gt;0,VLOOKUP(F81,КВР!A$1:B$5001,2),IF(E81&gt;0,VLOOKUP(E81,Направление!A$1:B$4830,2))))))</f>
        <v>Мероприятия по обеспечению безопасности жителей района</v>
      </c>
      <c r="B81" s="154"/>
      <c r="C81" s="149"/>
      <c r="D81" s="151" t="s">
        <v>3162</v>
      </c>
      <c r="E81" s="149"/>
      <c r="F81" s="151"/>
      <c r="G81" s="606">
        <v>957000</v>
      </c>
      <c r="H81" s="487">
        <f>H82</f>
        <v>813094</v>
      </c>
      <c r="I81" s="157">
        <f t="shared" ref="I81:I151" si="1">SUM(G81:H81)</f>
        <v>1770094</v>
      </c>
    </row>
    <row r="82" spans="1:9" s="146" customFormat="1" ht="31.5" x14ac:dyDescent="0.25">
      <c r="A82" s="153" t="str">
        <f>IF(B82&gt;0,VLOOKUP(B82,КВСР!A36:B1201,2),IF(C82&gt;0,VLOOKUP(C82,КФСР!A36:B1548,2),IF(D82&gt;0,VLOOKUP(D82,Программа!A$1:B$5100,2),IF(F82&gt;0,VLOOKUP(F82,КВР!A$1:B$5001,2),IF(E82&gt;0,VLOOKUP(E82,Направление!A$1:B$4830,2))))))</f>
        <v>Расходы на обеспечение безопасности жителей района</v>
      </c>
      <c r="B82" s="154"/>
      <c r="C82" s="149"/>
      <c r="D82" s="151"/>
      <c r="E82" s="149">
        <v>12270</v>
      </c>
      <c r="F82" s="151"/>
      <c r="G82" s="606">
        <v>957000</v>
      </c>
      <c r="H82" s="487">
        <f>H83</f>
        <v>813094</v>
      </c>
      <c r="I82" s="157">
        <f t="shared" si="1"/>
        <v>1770094</v>
      </c>
    </row>
    <row r="83" spans="1:9" s="146" customFormat="1" ht="63" x14ac:dyDescent="0.25">
      <c r="A83" s="153" t="str">
        <f>IF(B83&gt;0,VLOOKUP(B83,КВСР!A37:B1202,2),IF(C83&gt;0,VLOOKUP(C83,КФСР!A37:B1549,2),IF(D83&gt;0,VLOOKUP(D83,Программа!A$1:B$5100,2),IF(F83&gt;0,VLOOKUP(F83,КВР!A$1:B$5001,2),IF(E83&gt;0,VLOOKUP(E83,Направление!A$1:B$4830,2))))))</f>
        <v xml:space="preserve">Закупка товаров, работ и услуг для обеспечения государственных (муниципальных) нужд
</v>
      </c>
      <c r="B83" s="154"/>
      <c r="C83" s="149"/>
      <c r="D83" s="151"/>
      <c r="E83" s="149"/>
      <c r="F83" s="151">
        <v>200</v>
      </c>
      <c r="G83" s="516">
        <v>957000</v>
      </c>
      <c r="H83" s="158">
        <v>813094</v>
      </c>
      <c r="I83" s="157">
        <f t="shared" si="1"/>
        <v>1770094</v>
      </c>
    </row>
    <row r="84" spans="1:9" s="146" customFormat="1" x14ac:dyDescent="0.25">
      <c r="A84" s="153" t="str">
        <f>IF(B84&gt;0,VLOOKUP(B84,КВСР!A26:B1191,2),IF(C84&gt;0,VLOOKUP(C84,КФСР!A26:B1538,2),IF(D84&gt;0,VLOOKUP(D84,Программа!A$1:B$5100,2),IF(F84&gt;0,VLOOKUP(F84,КВР!A$1:B$5001,2),IF(E84&gt;0,VLOOKUP(E84,Направление!A$1:B$4830,2))))))</f>
        <v>Непрограммные расходы бюджета</v>
      </c>
      <c r="B84" s="154"/>
      <c r="C84" s="149"/>
      <c r="D84" s="150" t="s">
        <v>624</v>
      </c>
      <c r="E84" s="149"/>
      <c r="F84" s="151"/>
      <c r="G84" s="606">
        <v>36608291</v>
      </c>
      <c r="H84" s="157">
        <f>H106+H109+H103+H85+H87+H98+H95+H93+H112</f>
        <v>34557674</v>
      </c>
      <c r="I84" s="157">
        <f t="shared" si="1"/>
        <v>71165965</v>
      </c>
    </row>
    <row r="85" spans="1:9" s="146" customFormat="1" ht="31.5" x14ac:dyDescent="0.25">
      <c r="A85" s="153" t="str">
        <f>IF(B85&gt;0,VLOOKUP(B85,КВСР!A27:B1192,2),IF(C85&gt;0,VLOOKUP(C85,КФСР!A27:B1539,2),IF(D85&gt;0,VLOOKUP(D85,Программа!A$1:B$5100,2),IF(F85&gt;0,VLOOKUP(F85,КВР!A$1:B$5001,2),IF(E85&gt;0,VLOOKUP(E85,Направление!A$1:B$4830,2))))))</f>
        <v>Выполнение других обязательств органов местного самоуправления</v>
      </c>
      <c r="B85" s="154"/>
      <c r="C85" s="149"/>
      <c r="D85" s="150"/>
      <c r="E85" s="149">
        <v>12080</v>
      </c>
      <c r="F85" s="151"/>
      <c r="G85" s="606">
        <v>423599</v>
      </c>
      <c r="H85" s="157">
        <f>H86</f>
        <v>430811</v>
      </c>
      <c r="I85" s="157">
        <f t="shared" si="1"/>
        <v>854410</v>
      </c>
    </row>
    <row r="86" spans="1:9" s="146" customFormat="1" ht="63" x14ac:dyDescent="0.25">
      <c r="A86" s="153" t="str">
        <f>IF(B86&gt;0,VLOOKUP(B86,КВСР!A28:B1193,2),IF(C86&gt;0,VLOOKUP(C86,КФСР!A28:B1540,2),IF(D86&gt;0,VLOOKUP(D86,Программа!A$1:B$5100,2),IF(F86&gt;0,VLOOKUP(F86,КВР!A$1:B$5001,2),IF(E86&gt;0,VLOOKUP(E86,Направление!A$1:B$4830,2))))))</f>
        <v xml:space="preserve">Закупка товаров, работ и услуг для обеспечения государственных (муниципальных) нужд
</v>
      </c>
      <c r="B86" s="154"/>
      <c r="C86" s="149"/>
      <c r="D86" s="150"/>
      <c r="E86" s="149"/>
      <c r="F86" s="151">
        <v>200</v>
      </c>
      <c r="G86" s="607">
        <v>423599</v>
      </c>
      <c r="H86" s="159">
        <v>430811</v>
      </c>
      <c r="I86" s="157">
        <f t="shared" si="1"/>
        <v>854410</v>
      </c>
    </row>
    <row r="87" spans="1:9" s="146" customFormat="1" ht="47.25" x14ac:dyDescent="0.25">
      <c r="A87" s="153" t="str">
        <f>IF(B87&gt;0,VLOOKUP(B87,КВСР!A29:B1194,2),IF(C87&gt;0,VLOOKUP(C87,КФСР!A29:B1541,2),IF(D87&gt;0,VLOOKUP(D87,Программа!A$1:B$5100,2),IF(F87&gt;0,VLOOKUP(F87,КВР!A$1:B$5001,2),IF(E87&gt;0,VLOOKUP(E87,Направление!A$1:B$4830,2))))))</f>
        <v>Обеспечение деятельности подведомственных учреждений органов местного самоуправления</v>
      </c>
      <c r="B87" s="154"/>
      <c r="C87" s="149"/>
      <c r="D87" s="150"/>
      <c r="E87" s="149">
        <v>12100</v>
      </c>
      <c r="F87" s="151"/>
      <c r="G87" s="606">
        <v>28000360</v>
      </c>
      <c r="H87" s="606">
        <f>H88+H89+H92+H91+H90</f>
        <v>26310690</v>
      </c>
      <c r="I87" s="606">
        <f>I88+I89+I92+I91+I90</f>
        <v>54311050</v>
      </c>
    </row>
    <row r="88" spans="1:9" s="146" customFormat="1" ht="126" x14ac:dyDescent="0.25">
      <c r="A88" s="153" t="str">
        <f>IF(B88&gt;0,VLOOKUP(B88,КВСР!A28:B1193,2),IF(C88&gt;0,VLOOKUP(C88,КФСР!A28:B1540,2),IF(D88&gt;0,VLOOKUP(D88,Программа!A$1:B$5100,2),IF(F88&gt;0,VLOOKUP(F88,КВР!A$1:B$5001,2),IF(E88&gt;0,VLOOKUP(E88,Направление!A$1:B$4830,2))))))</f>
        <v xml:space="preserve">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
</v>
      </c>
      <c r="B88" s="154"/>
      <c r="C88" s="149"/>
      <c r="D88" s="150"/>
      <c r="E88" s="149"/>
      <c r="F88" s="151">
        <v>100</v>
      </c>
      <c r="G88" s="608">
        <v>10406718</v>
      </c>
      <c r="H88" s="160">
        <v>10406718</v>
      </c>
      <c r="I88" s="157">
        <f t="shared" si="1"/>
        <v>20813436</v>
      </c>
    </row>
    <row r="89" spans="1:9" s="146" customFormat="1" ht="63" x14ac:dyDescent="0.25">
      <c r="A89" s="153" t="str">
        <f>IF(B89&gt;0,VLOOKUP(B89,КВСР!A29:B1194,2),IF(C89&gt;0,VLOOKUP(C89,КФСР!A29:B1541,2),IF(D89&gt;0,VLOOKUP(D89,Программа!A$1:B$5100,2),IF(F89&gt;0,VLOOKUP(F89,КВР!A$1:B$5001,2),IF(E89&gt;0,VLOOKUP(E89,Направление!A$1:B$4830,2))))))</f>
        <v xml:space="preserve">Закупка товаров, работ и услуг для обеспечения государственных (муниципальных) нужд
</v>
      </c>
      <c r="B89" s="154"/>
      <c r="C89" s="149"/>
      <c r="D89" s="150"/>
      <c r="E89" s="149"/>
      <c r="F89" s="151">
        <v>200</v>
      </c>
      <c r="G89" s="608">
        <v>3150688</v>
      </c>
      <c r="H89" s="160">
        <v>2986791</v>
      </c>
      <c r="I89" s="157">
        <f t="shared" si="1"/>
        <v>6137479</v>
      </c>
    </row>
    <row r="90" spans="1:9" s="146" customFormat="1" ht="31.5" x14ac:dyDescent="0.25">
      <c r="A90" s="153" t="str">
        <f>IF(B90&gt;0,VLOOKUP(B90,КВСР!A30:B1195,2),IF(C90&gt;0,VLOOKUP(C90,КФСР!A30:B1542,2),IF(D90&gt;0,VLOOKUP(D90,Программа!A$1:B$5100,2),IF(F90&gt;0,VLOOKUP(F90,КВР!A$1:B$5001,2),IF(E90&gt;0,VLOOKUP(E90,Направление!A$1:B$4830,2))))))</f>
        <v>Социальное обеспечение и иные выплаты населению</v>
      </c>
      <c r="B90" s="154"/>
      <c r="C90" s="149"/>
      <c r="D90" s="150"/>
      <c r="E90" s="149"/>
      <c r="F90" s="151">
        <v>300</v>
      </c>
      <c r="G90" s="608">
        <v>114699</v>
      </c>
      <c r="H90" s="160">
        <v>114699</v>
      </c>
      <c r="I90" s="157">
        <f t="shared" si="1"/>
        <v>229398</v>
      </c>
    </row>
    <row r="91" spans="1:9" s="146" customFormat="1" ht="63" x14ac:dyDescent="0.25">
      <c r="A91" s="153" t="str">
        <f>IF(B91&gt;0,VLOOKUP(B91,КВСР!A30:B1195,2),IF(C91&gt;0,VLOOKUP(C91,КФСР!A30:B1542,2),IF(D91&gt;0,VLOOKUP(D91,Программа!A$1:B$5100,2),IF(F91&gt;0,VLOOKUP(F91,КВР!A$1:B$5001,2),IF(E91&gt;0,VLOOKUP(E91,Направление!A$1:B$4830,2))))))</f>
        <v>Предоставление субсидий бюджетным, автономным учреждениям и иным некоммерческим организациям</v>
      </c>
      <c r="B91" s="154"/>
      <c r="C91" s="149"/>
      <c r="D91" s="150"/>
      <c r="E91" s="149"/>
      <c r="F91" s="151">
        <v>600</v>
      </c>
      <c r="G91" s="608">
        <v>14257255</v>
      </c>
      <c r="H91" s="160">
        <v>12760959</v>
      </c>
      <c r="I91" s="157">
        <f t="shared" si="1"/>
        <v>27018214</v>
      </c>
    </row>
    <row r="92" spans="1:9" s="146" customFormat="1" x14ac:dyDescent="0.25">
      <c r="A92" s="153" t="str">
        <f>IF(B92&gt;0,VLOOKUP(B92,КВСР!A30:B1195,2),IF(C92&gt;0,VLOOKUP(C92,КФСР!A30:B1542,2),IF(D92&gt;0,VLOOKUP(D92,Программа!A$1:B$5100,2),IF(F92&gt;0,VLOOKUP(F92,КВР!A$1:B$5001,2),IF(E92&gt;0,VLOOKUP(E92,Направление!A$1:B$4830,2))))))</f>
        <v>Иные бюджетные ассигнования</v>
      </c>
      <c r="B92" s="154"/>
      <c r="C92" s="149"/>
      <c r="D92" s="150"/>
      <c r="E92" s="149"/>
      <c r="F92" s="151">
        <v>800</v>
      </c>
      <c r="G92" s="608">
        <v>71000</v>
      </c>
      <c r="H92" s="160">
        <v>41523</v>
      </c>
      <c r="I92" s="157">
        <f t="shared" si="1"/>
        <v>112523</v>
      </c>
    </row>
    <row r="93" spans="1:9" s="146" customFormat="1" ht="31.5" hidden="1" x14ac:dyDescent="0.25">
      <c r="A93" s="153" t="str">
        <f>IF(B93&gt;0,VLOOKUP(B93,КВСР!A31:B1196,2),IF(C93&gt;0,VLOOKUP(C93,КФСР!A31:B1543,2),IF(D93&gt;0,VLOOKUP(D93,Программа!A$1:B$5100,2),IF(F93&gt;0,VLOOKUP(F93,КВР!A$1:B$5001,2),IF(E93&gt;0,VLOOKUP(E93,Направление!A$1:B$4830,2))))))</f>
        <v>Выполнение других обязательств органов местного самоуправления</v>
      </c>
      <c r="B93" s="154"/>
      <c r="C93" s="149"/>
      <c r="D93" s="150"/>
      <c r="E93" s="149">
        <v>12080</v>
      </c>
      <c r="F93" s="151"/>
      <c r="G93" s="608">
        <v>0</v>
      </c>
      <c r="H93" s="608">
        <f>H94</f>
        <v>0</v>
      </c>
      <c r="I93" s="157">
        <f t="shared" si="1"/>
        <v>0</v>
      </c>
    </row>
    <row r="94" spans="1:9" s="146" customFormat="1" ht="63" hidden="1" x14ac:dyDescent="0.25">
      <c r="A94" s="153" t="str">
        <f>IF(B94&gt;0,VLOOKUP(B94,КВСР!A32:B1197,2),IF(C94&gt;0,VLOOKUP(C94,КФСР!A32:B1544,2),IF(D94&gt;0,VLOOKUP(D94,Программа!A$1:B$5100,2),IF(F94&gt;0,VLOOKUP(F94,КВР!A$1:B$5001,2),IF(E94&gt;0,VLOOKUP(E94,Направление!A$1:B$4830,2))))))</f>
        <v xml:space="preserve">Закупка товаров, работ и услуг для обеспечения государственных (муниципальных) нужд
</v>
      </c>
      <c r="B94" s="154"/>
      <c r="C94" s="149"/>
      <c r="D94" s="150"/>
      <c r="E94" s="149"/>
      <c r="F94" s="151">
        <v>200</v>
      </c>
      <c r="G94" s="608">
        <v>0</v>
      </c>
      <c r="H94" s="160"/>
      <c r="I94" s="157">
        <f t="shared" si="1"/>
        <v>0</v>
      </c>
    </row>
    <row r="95" spans="1:9" s="146" customFormat="1" ht="47.25" x14ac:dyDescent="0.25">
      <c r="A95" s="153" t="str">
        <f>IF(B95&gt;0,VLOOKUP(B95,КВСР!A31:B1196,2),IF(C95&gt;0,VLOOKUP(C95,КФСР!A31:B1543,2),IF(D95&gt;0,VLOOKUP(D95,Программа!A$1:B$5100,2),IF(F95&gt;0,VLOOKUP(F95,КВР!A$1:B$5001,2),IF(E95&gt;0,VLOOKUP(E95,Направление!A$1:B$4830,2))))))</f>
        <v>Исполнение судебных актов, актов других органов и должностных лиц, иных документов</v>
      </c>
      <c r="B95" s="154"/>
      <c r="C95" s="149"/>
      <c r="D95" s="150"/>
      <c r="E95" s="149">
        <v>12130</v>
      </c>
      <c r="F95" s="151"/>
      <c r="G95" s="608">
        <v>1998269</v>
      </c>
      <c r="H95" s="608">
        <f>H97+H96</f>
        <v>2103019</v>
      </c>
      <c r="I95" s="157">
        <f t="shared" si="1"/>
        <v>4101288</v>
      </c>
    </row>
    <row r="96" spans="1:9" s="146" customFormat="1" ht="63" x14ac:dyDescent="0.25">
      <c r="A96" s="153" t="str">
        <f>IF(B96&gt;0,VLOOKUP(B96,КВСР!A32:B1197,2),IF(C96&gt;0,VLOOKUP(C96,КФСР!A32:B1544,2),IF(D96&gt;0,VLOOKUP(D96,Программа!A$1:B$5100,2),IF(F96&gt;0,VLOOKUP(F96,КВР!A$1:B$5001,2),IF(E96&gt;0,VLOOKUP(E96,Направление!A$1:B$4830,2))))))</f>
        <v>Предоставление субсидий бюджетным, автономным учреждениям и иным некоммерческим организациям</v>
      </c>
      <c r="B96" s="154"/>
      <c r="C96" s="149"/>
      <c r="D96" s="150"/>
      <c r="E96" s="149"/>
      <c r="F96" s="151">
        <v>600</v>
      </c>
      <c r="G96" s="608">
        <v>236760</v>
      </c>
      <c r="H96" s="608">
        <v>236761</v>
      </c>
      <c r="I96" s="157">
        <f>G96+H96</f>
        <v>473521</v>
      </c>
    </row>
    <row r="97" spans="1:9" s="146" customFormat="1" x14ac:dyDescent="0.25">
      <c r="A97" s="153" t="str">
        <f>IF(B97&gt;0,VLOOKUP(B97,КВСР!A32:B1197,2),IF(C97&gt;0,VLOOKUP(C97,КФСР!A32:B1544,2),IF(D97&gt;0,VLOOKUP(D97,Программа!A$1:B$5100,2),IF(F97&gt;0,VLOOKUP(F97,КВР!A$1:B$5001,2),IF(E97&gt;0,VLOOKUP(E97,Направление!A$1:B$4830,2))))))</f>
        <v>Иные бюджетные ассигнования</v>
      </c>
      <c r="B97" s="154"/>
      <c r="C97" s="149"/>
      <c r="D97" s="150"/>
      <c r="E97" s="149"/>
      <c r="F97" s="151">
        <v>800</v>
      </c>
      <c r="G97" s="608">
        <v>1761509</v>
      </c>
      <c r="H97" s="160">
        <v>1866258</v>
      </c>
      <c r="I97" s="157">
        <f t="shared" si="1"/>
        <v>3627767</v>
      </c>
    </row>
    <row r="98" spans="1:9" s="146" customFormat="1" ht="31.5" x14ac:dyDescent="0.25">
      <c r="A98" s="153" t="str">
        <f>IF(B98&gt;0,VLOOKUP(B98,КВСР!A30:B1195,2),IF(C98&gt;0,VLOOKUP(C98,КФСР!A30:B1542,2),IF(D98&gt;0,VLOOKUP(D98,Программа!A$1:B$5100,2),IF(F98&gt;0,VLOOKUP(F98,КВР!A$1:B$5001,2),IF(E98&gt;0,VLOOKUP(E98,Направление!A$1:B$4830,2))))))</f>
        <v>Представительские расходы орагнов местного самоуправления</v>
      </c>
      <c r="B98" s="154"/>
      <c r="C98" s="149"/>
      <c r="D98" s="150"/>
      <c r="E98" s="149">
        <v>12600</v>
      </c>
      <c r="F98" s="151"/>
      <c r="G98" s="161">
        <v>420000</v>
      </c>
      <c r="H98" s="161">
        <f>H99+H100</f>
        <v>301634</v>
      </c>
      <c r="I98" s="157">
        <f t="shared" si="1"/>
        <v>721634</v>
      </c>
    </row>
    <row r="99" spans="1:9" s="146" customFormat="1" ht="126" hidden="1" x14ac:dyDescent="0.25">
      <c r="A99" s="153" t="str">
        <f>IF(B99&gt;0,VLOOKUP(B99,КВСР!A31:B1196,2),IF(C99&gt;0,VLOOKUP(C99,КФСР!A31:B1543,2),IF(D99&gt;0,VLOOKUP(D99,Программа!A$1:B$5100,2),IF(F99&gt;0,VLOOKUP(F99,КВР!A$1:B$5001,2),IF(E99&gt;0,VLOOKUP(E99,Направление!A$1:B$4830,2))))))</f>
        <v xml:space="preserve">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
</v>
      </c>
      <c r="B99" s="154"/>
      <c r="C99" s="149"/>
      <c r="D99" s="150"/>
      <c r="E99" s="149"/>
      <c r="F99" s="151">
        <v>100</v>
      </c>
      <c r="G99" s="609">
        <v>0</v>
      </c>
      <c r="H99" s="162"/>
      <c r="I99" s="157">
        <f t="shared" si="1"/>
        <v>0</v>
      </c>
    </row>
    <row r="100" spans="1:9" s="146" customFormat="1" ht="63" x14ac:dyDescent="0.25">
      <c r="A100" s="153" t="str">
        <f>IF(B100&gt;0,VLOOKUP(B100,КВСР!A32:B1197,2),IF(C100&gt;0,VLOOKUP(C100,КФСР!A32:B1544,2),IF(D100&gt;0,VLOOKUP(D100,Программа!A$1:B$5100,2),IF(F100&gt;0,VLOOKUP(F100,КВР!A$1:B$5001,2),IF(E100&gt;0,VLOOKUP(E100,Направление!A$1:B$4830,2))))))</f>
        <v xml:space="preserve">Закупка товаров, работ и услуг для обеспечения государственных (муниципальных) нужд
</v>
      </c>
      <c r="B100" s="154"/>
      <c r="C100" s="149"/>
      <c r="D100" s="150"/>
      <c r="E100" s="149"/>
      <c r="F100" s="151">
        <v>200</v>
      </c>
      <c r="G100" s="608">
        <v>420000</v>
      </c>
      <c r="H100" s="160">
        <v>301634</v>
      </c>
      <c r="I100" s="157">
        <f t="shared" si="1"/>
        <v>721634</v>
      </c>
    </row>
    <row r="101" spans="1:9" s="146" customFormat="1" ht="94.5" hidden="1" x14ac:dyDescent="0.25">
      <c r="A101" s="153" t="str">
        <f>IF(B101&gt;0,VLOOKUP(B101,КВСР!A33:B1198,2),IF(C101&gt;0,VLOOKUP(C101,КФСР!A33:B1545,2),IF(D101&gt;0,VLOOKUP(D101,Программа!A$1:B$5100,2),IF(F101&gt;0,VLOOKUP(F101,КВР!A$1:B$5001,2),IF(E101&gt;0,VLOOKUP(E101,Направление!A$1:B$4830,2))))))</f>
        <v>Расходы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v>
      </c>
      <c r="B101" s="154"/>
      <c r="C101" s="149"/>
      <c r="D101" s="150"/>
      <c r="E101" s="149">
        <v>51200</v>
      </c>
      <c r="F101" s="151"/>
      <c r="G101" s="608">
        <v>0</v>
      </c>
      <c r="H101" s="608">
        <f>H102</f>
        <v>0</v>
      </c>
      <c r="I101" s="157">
        <f t="shared" si="1"/>
        <v>0</v>
      </c>
    </row>
    <row r="102" spans="1:9" s="146" customFormat="1" ht="63" hidden="1" x14ac:dyDescent="0.25">
      <c r="A102" s="153" t="str">
        <f>IF(B102&gt;0,VLOOKUP(B102,КВСР!A34:B1199,2),IF(C102&gt;0,VLOOKUP(C102,КФСР!A34:B1546,2),IF(D102&gt;0,VLOOKUP(D102,Программа!A$1:B$5100,2),IF(F102&gt;0,VLOOKUP(F102,КВР!A$1:B$5001,2),IF(E102&gt;0,VLOOKUP(E102,Направление!A$1:B$4830,2))))))</f>
        <v xml:space="preserve">Закупка товаров, работ и услуг для обеспечения государственных (муниципальных) нужд
</v>
      </c>
      <c r="B102" s="154"/>
      <c r="C102" s="149"/>
      <c r="D102" s="150"/>
      <c r="E102" s="149"/>
      <c r="F102" s="151">
        <v>200</v>
      </c>
      <c r="G102" s="608">
        <v>0</v>
      </c>
      <c r="H102" s="160"/>
      <c r="I102" s="157">
        <f t="shared" si="1"/>
        <v>0</v>
      </c>
    </row>
    <row r="103" spans="1:9" s="146" customFormat="1" ht="63" x14ac:dyDescent="0.25">
      <c r="A103" s="153" t="str">
        <f>IF(B103&gt;0,VLOOKUP(B103,КВСР!A30:B1195,2),IF(C103&gt;0,VLOOKUP(C103,КФСР!A30:B1542,2),IF(D103&gt;0,VLOOKUP(D103,Программа!A$1:B$5100,2),IF(F103&gt;0,VLOOKUP(F103,КВР!A$1:B$5001,2),IF(E103&gt;0,VLOOKUP(E103,Направление!A$1:B$4830,2))))))</f>
        <v>Расходы на осуществление полномочий на государственную регистрацию актов гражданского состояния</v>
      </c>
      <c r="B103" s="154"/>
      <c r="C103" s="149"/>
      <c r="D103" s="150"/>
      <c r="E103" s="149">
        <v>59300</v>
      </c>
      <c r="F103" s="151"/>
      <c r="G103" s="606">
        <v>3240837</v>
      </c>
      <c r="H103" s="157">
        <f>H104+H105</f>
        <v>2862394</v>
      </c>
      <c r="I103" s="157">
        <f t="shared" si="1"/>
        <v>6103231</v>
      </c>
    </row>
    <row r="104" spans="1:9" s="146" customFormat="1" ht="126" x14ac:dyDescent="0.25">
      <c r="A104" s="153" t="str">
        <f>IF(B104&gt;0,VLOOKUP(B104,КВСР!A30:B1195,2),IF(C104&gt;0,VLOOKUP(C104,КФСР!A30:B1542,2),IF(D104&gt;0,VLOOKUP(D104,Программа!A$1:B$5100,2),IF(F104&gt;0,VLOOKUP(F104,КВР!A$1:B$5001,2),IF(E104&gt;0,VLOOKUP(E104,Направление!A$1:B$4830,2))))))</f>
        <v xml:space="preserve">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
</v>
      </c>
      <c r="B104" s="154"/>
      <c r="C104" s="149"/>
      <c r="D104" s="151"/>
      <c r="E104" s="149"/>
      <c r="F104" s="151">
        <v>100</v>
      </c>
      <c r="G104" s="610">
        <v>2100722</v>
      </c>
      <c r="H104" s="163">
        <v>2376512</v>
      </c>
      <c r="I104" s="157">
        <f t="shared" si="1"/>
        <v>4477234</v>
      </c>
    </row>
    <row r="105" spans="1:9" s="146" customFormat="1" ht="63" x14ac:dyDescent="0.25">
      <c r="A105" s="153" t="str">
        <f>IF(B105&gt;0,VLOOKUP(B105,КВСР!A31:B1196,2),IF(C105&gt;0,VLOOKUP(C105,КФСР!A31:B1543,2),IF(D105&gt;0,VLOOKUP(D105,Программа!A$1:B$5100,2),IF(F105&gt;0,VLOOKUP(F105,КВР!A$1:B$5001,2),IF(E105&gt;0,VLOOKUP(E105,Направление!A$1:B$4830,2))))))</f>
        <v xml:space="preserve">Закупка товаров, работ и услуг для обеспечения государственных (муниципальных) нужд
</v>
      </c>
      <c r="B105" s="154"/>
      <c r="C105" s="149"/>
      <c r="D105" s="151"/>
      <c r="E105" s="149"/>
      <c r="F105" s="151">
        <v>200</v>
      </c>
      <c r="G105" s="610">
        <v>1140115</v>
      </c>
      <c r="H105" s="163">
        <v>485882</v>
      </c>
      <c r="I105" s="157">
        <f t="shared" si="1"/>
        <v>1625997</v>
      </c>
    </row>
    <row r="106" spans="1:9" s="146" customFormat="1" ht="78.75" x14ac:dyDescent="0.25">
      <c r="A106" s="153" t="str">
        <f>IF(B106&gt;0,VLOOKUP(B106,КВСР!A27:B1192,2),IF(C106&gt;0,VLOOKUP(C106,КФСР!A27:B1539,2),IF(D106&gt;0,VLOOKUP(D106,Программа!A$1:B$5100,2),IF(F106&gt;0,VLOOKUP(F106,КВР!A$1:B$5001,2),IF(E106&gt;0,VLOOKUP(E106,Направление!A$1:B$4830,2))))))</f>
        <v>Расходы на обеспечение профилактики безнадзорности, правонарушений несовершеннолетних и защиты их прав за счет средств областного бюджета</v>
      </c>
      <c r="B106" s="154"/>
      <c r="C106" s="149"/>
      <c r="D106" s="150"/>
      <c r="E106" s="149">
        <v>80190</v>
      </c>
      <c r="F106" s="151"/>
      <c r="G106" s="606">
        <v>2286641</v>
      </c>
      <c r="H106" s="157">
        <f>H107+H108</f>
        <v>2306641</v>
      </c>
      <c r="I106" s="157">
        <f t="shared" si="1"/>
        <v>4593282</v>
      </c>
    </row>
    <row r="107" spans="1:9" s="146" customFormat="1" ht="126" x14ac:dyDescent="0.25">
      <c r="A107" s="153" t="str">
        <f>IF(B107&gt;0,VLOOKUP(B107,КВСР!A28:B1193,2),IF(C107&gt;0,VLOOKUP(C107,КФСР!A28:B1540,2),IF(D107&gt;0,VLOOKUP(D107,Программа!A$1:B$5100,2),IF(F107&gt;0,VLOOKUP(F107,КВР!A$1:B$5001,2),IF(E107&gt;0,VLOOKUP(E107,Направление!A$1:B$4830,2))))))</f>
        <v xml:space="preserve">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
</v>
      </c>
      <c r="B107" s="154"/>
      <c r="C107" s="149"/>
      <c r="D107" s="151"/>
      <c r="E107" s="149"/>
      <c r="F107" s="151">
        <v>100</v>
      </c>
      <c r="G107" s="498">
        <v>2131345</v>
      </c>
      <c r="H107" s="156">
        <v>2162300</v>
      </c>
      <c r="I107" s="157">
        <f t="shared" si="1"/>
        <v>4293645</v>
      </c>
    </row>
    <row r="108" spans="1:9" s="146" customFormat="1" ht="63" x14ac:dyDescent="0.25">
      <c r="A108" s="153" t="str">
        <f>IF(B108&gt;0,VLOOKUP(B108,КВСР!A29:B1194,2),IF(C108&gt;0,VLOOKUP(C108,КФСР!A29:B1541,2),IF(D108&gt;0,VLOOKUP(D108,Программа!A$1:B$5100,2),IF(F108&gt;0,VLOOKUP(F108,КВР!A$1:B$5001,2),IF(E108&gt;0,VLOOKUP(E108,Направление!A$1:B$4830,2))))))</f>
        <v xml:space="preserve">Закупка товаров, работ и услуг для обеспечения государственных (муниципальных) нужд
</v>
      </c>
      <c r="B108" s="154"/>
      <c r="C108" s="149"/>
      <c r="D108" s="151"/>
      <c r="E108" s="149"/>
      <c r="F108" s="151">
        <v>200</v>
      </c>
      <c r="G108" s="498">
        <v>155296</v>
      </c>
      <c r="H108" s="156">
        <v>144341</v>
      </c>
      <c r="I108" s="157">
        <f t="shared" si="1"/>
        <v>299637</v>
      </c>
    </row>
    <row r="109" spans="1:9" s="146" customFormat="1" ht="78.75" x14ac:dyDescent="0.25">
      <c r="A109" s="153" t="str">
        <f>IF(B109&gt;0,VLOOKUP(B109,КВСР!A30:B1195,2),IF(C109&gt;0,VLOOKUP(C109,КФСР!A30:B1542,2),IF(D109&gt;0,VLOOKUP(D109,Программа!A$1:B$5100,2),IF(F109&gt;0,VLOOKUP(F109,КВР!A$1:B$5001,2),IF(E109&gt;0,VLOOKUP(E109,Направление!A$1:B$4830,2))))))</f>
        <v>Расходы на реализацию отдельных полномочий в сфере законодательства об административных правонарушениях за счет средств областного бюджета</v>
      </c>
      <c r="B109" s="154"/>
      <c r="C109" s="149"/>
      <c r="D109" s="150"/>
      <c r="E109" s="149">
        <v>80200</v>
      </c>
      <c r="F109" s="151"/>
      <c r="G109" s="500">
        <v>238585</v>
      </c>
      <c r="H109" s="155">
        <f>H110+H111</f>
        <v>242485</v>
      </c>
      <c r="I109" s="157">
        <f t="shared" si="1"/>
        <v>481070</v>
      </c>
    </row>
    <row r="110" spans="1:9" s="146" customFormat="1" ht="126" x14ac:dyDescent="0.25">
      <c r="A110" s="153" t="str">
        <f>IF(B110&gt;0,VLOOKUP(B110,КВСР!A31:B1196,2),IF(C110&gt;0,VLOOKUP(C110,КФСР!A31:B1543,2),IF(D110&gt;0,VLOOKUP(D110,Программа!A$1:B$5100,2),IF(F110&gt;0,VLOOKUP(F110,КВР!A$1:B$5001,2),IF(E110&gt;0,VLOOKUP(E110,Направление!A$1:B$4830,2))))))</f>
        <v xml:space="preserve">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
</v>
      </c>
      <c r="B110" s="154"/>
      <c r="C110" s="149"/>
      <c r="D110" s="151"/>
      <c r="E110" s="149"/>
      <c r="F110" s="151">
        <v>100</v>
      </c>
      <c r="G110" s="498">
        <v>188790</v>
      </c>
      <c r="H110" s="156">
        <v>211107</v>
      </c>
      <c r="I110" s="157">
        <f t="shared" si="1"/>
        <v>399897</v>
      </c>
    </row>
    <row r="111" spans="1:9" s="146" customFormat="1" ht="63" x14ac:dyDescent="0.25">
      <c r="A111" s="153" t="str">
        <f>IF(B111&gt;0,VLOOKUP(B111,КВСР!A32:B1197,2),IF(C111&gt;0,VLOOKUP(C111,КФСР!A32:B1544,2),IF(D111&gt;0,VLOOKUP(D111,Программа!A$1:B$5100,2),IF(F111&gt;0,VLOOKUP(F111,КВР!A$1:B$5001,2),IF(E111&gt;0,VLOOKUP(E111,Направление!A$1:B$4830,2))))))</f>
        <v xml:space="preserve">Закупка товаров, работ и услуг для обеспечения государственных (муниципальных) нужд
</v>
      </c>
      <c r="B111" s="154"/>
      <c r="C111" s="149"/>
      <c r="D111" s="151"/>
      <c r="E111" s="149"/>
      <c r="F111" s="151">
        <v>200</v>
      </c>
      <c r="G111" s="516">
        <v>49795</v>
      </c>
      <c r="H111" s="158">
        <v>31378</v>
      </c>
      <c r="I111" s="157">
        <f t="shared" si="1"/>
        <v>81173</v>
      </c>
    </row>
    <row r="112" spans="1:9" s="146" customFormat="1" ht="94.5" hidden="1" x14ac:dyDescent="0.25">
      <c r="A112" s="153" t="str">
        <f>IF(B112&gt;0,VLOOKUP(B112,КВСР!A33:B1198,2),IF(C112&gt;0,VLOOKUP(C112,КФСР!A33:B1545,2),IF(D112&gt;0,VLOOKUP(D112,Программа!A$1:B$5100,2),IF(F112&gt;0,VLOOKUP(F112,КВР!A$1:B$5001,2),IF(E112&gt;0,VLOOKUP(E112,Направление!A$1:B$4830,2))))))</f>
        <v>На реализацию мероприятий по поощрению достижения наилучших значений показателей по отдельным направлениям развития муниципальных образований Ярославской области</v>
      </c>
      <c r="B112" s="154"/>
      <c r="C112" s="149"/>
      <c r="D112" s="151"/>
      <c r="E112" s="149">
        <v>75870</v>
      </c>
      <c r="F112" s="151"/>
      <c r="G112" s="516">
        <v>0</v>
      </c>
      <c r="H112" s="516">
        <f>H113</f>
        <v>0</v>
      </c>
      <c r="I112" s="516">
        <f>I113</f>
        <v>0</v>
      </c>
    </row>
    <row r="113" spans="1:9" s="146" customFormat="1" ht="63" hidden="1" x14ac:dyDescent="0.25">
      <c r="A113" s="153" t="str">
        <f>IF(B113&gt;0,VLOOKUP(B113,КВСР!A34:B1199,2),IF(C113&gt;0,VLOOKUP(C113,КФСР!A34:B1546,2),IF(D113&gt;0,VLOOKUP(D113,Программа!A$1:B$5100,2),IF(F113&gt;0,VLOOKUP(F113,КВР!A$1:B$5001,2),IF(E113&gt;0,VLOOKUP(E113,Направление!A$1:B$4830,2))))))</f>
        <v>Предоставление субсидий бюджетным, автономным учреждениям и иным некоммерческим организациям</v>
      </c>
      <c r="B113" s="154"/>
      <c r="C113" s="149"/>
      <c r="D113" s="151"/>
      <c r="E113" s="149"/>
      <c r="F113" s="151">
        <v>600</v>
      </c>
      <c r="G113" s="516">
        <v>0</v>
      </c>
      <c r="H113" s="158"/>
      <c r="I113" s="157">
        <f t="shared" si="1"/>
        <v>0</v>
      </c>
    </row>
    <row r="114" spans="1:9" s="146" customFormat="1" ht="31.5" x14ac:dyDescent="0.25">
      <c r="A114" s="153" t="str">
        <f>IF(B114&gt;0,VLOOKUP(B114,КВСР!A33:B1198,2),IF(C114&gt;0,VLOOKUP(C114,КФСР!A33:B1545,2),IF(D114&gt;0,VLOOKUP(D114,Программа!A$1:B$5100,2),IF(F114&gt;0,VLOOKUP(F114,КВР!A$1:B$5001,2),IF(E114&gt;0,VLOOKUP(E114,Направление!A$1:B$4830,2))))))</f>
        <v>Межбюджетные трансферты  поселениям района</v>
      </c>
      <c r="B114" s="154"/>
      <c r="C114" s="149"/>
      <c r="D114" s="151" t="s">
        <v>799</v>
      </c>
      <c r="E114" s="149"/>
      <c r="F114" s="151"/>
      <c r="G114" s="516">
        <v>17000000</v>
      </c>
      <c r="H114" s="516">
        <f>H115+H117</f>
        <v>15823188</v>
      </c>
      <c r="I114" s="157">
        <f t="shared" si="1"/>
        <v>32823188</v>
      </c>
    </row>
    <row r="115" spans="1:9" s="146" customFormat="1" ht="94.5" x14ac:dyDescent="0.25">
      <c r="A115" s="153" t="str">
        <f>IF(B115&gt;0,VLOOKUP(B115,КВСР!A34:B1199,2),IF(C115&gt;0,VLOOKUP(C115,КФСР!A34:B1546,2),IF(D115&gt;0,VLOOKUP(D115,Программа!A$1:B$5100,2),IF(F115&gt;0,VLOOKUP(F115,КВР!A$1:B$5001,2),IF(E115&gt;0,VLOOKUP(E115,Направление!A$1:B$4830,2))))))</f>
        <v>На реализацию мероприятий по поощрению достижения наилучших значений показателей по отдельным направлениям развития муниципальных образований Ярославской области</v>
      </c>
      <c r="B115" s="154"/>
      <c r="C115" s="149"/>
      <c r="D115" s="151"/>
      <c r="E115" s="149">
        <v>75870</v>
      </c>
      <c r="F115" s="151"/>
      <c r="G115" s="516">
        <v>7000000</v>
      </c>
      <c r="H115" s="516">
        <f>H116</f>
        <v>6956447</v>
      </c>
      <c r="I115" s="157">
        <f t="shared" si="1"/>
        <v>13956447</v>
      </c>
    </row>
    <row r="116" spans="1:9" s="146" customFormat="1" x14ac:dyDescent="0.25">
      <c r="A116" s="153" t="str">
        <f>IF(B116&gt;0,VLOOKUP(B116,КВСР!A35:B1200,2),IF(C116&gt;0,VLOOKUP(C116,КФСР!A35:B1547,2),IF(D116&gt;0,VLOOKUP(D116,Программа!A$1:B$5100,2),IF(F116&gt;0,VLOOKUP(F116,КВР!A$1:B$5001,2),IF(E116&gt;0,VLOOKUP(E116,Направление!A$1:B$4830,2))))))</f>
        <v xml:space="preserve"> Межбюджетные трансферты</v>
      </c>
      <c r="B116" s="154"/>
      <c r="C116" s="149"/>
      <c r="D116" s="151"/>
      <c r="E116" s="149"/>
      <c r="F116" s="151">
        <v>500</v>
      </c>
      <c r="G116" s="516">
        <v>7000000</v>
      </c>
      <c r="H116" s="158">
        <v>6956447</v>
      </c>
      <c r="I116" s="157">
        <f t="shared" si="1"/>
        <v>13956447</v>
      </c>
    </row>
    <row r="117" spans="1:9" s="146" customFormat="1" ht="47.25" x14ac:dyDescent="0.25">
      <c r="A117" s="153" t="str">
        <f>IF(B117&gt;0,VLOOKUP(B117,КВСР!A36:B1201,2),IF(C117&gt;0,VLOOKUP(C117,КФСР!A36:B1548,2),IF(D117&gt;0,VLOOKUP(D117,Программа!A$1:B$5100,2),IF(F117&gt;0,VLOOKUP(F117,КВР!A$1:B$5001,2),IF(E117&gt;0,VLOOKUP(E117,Направление!A$1:B$4830,2))))))</f>
        <v>Расходы на реализацию мероприятий инициативного бюджетирования на территории Ярославской области</v>
      </c>
      <c r="B117" s="154"/>
      <c r="C117" s="149"/>
      <c r="D117" s="151"/>
      <c r="E117" s="149">
        <v>75350</v>
      </c>
      <c r="F117" s="151"/>
      <c r="G117" s="516">
        <v>10000000</v>
      </c>
      <c r="H117" s="516">
        <f>H118</f>
        <v>8866741</v>
      </c>
      <c r="I117" s="157">
        <f t="shared" si="1"/>
        <v>18866741</v>
      </c>
    </row>
    <row r="118" spans="1:9" s="146" customFormat="1" x14ac:dyDescent="0.25">
      <c r="A118" s="153" t="str">
        <f>IF(B118&gt;0,VLOOKUP(B118,КВСР!A37:B1202,2),IF(C118&gt;0,VLOOKUP(C118,КФСР!A37:B1549,2),IF(D118&gt;0,VLOOKUP(D118,Программа!A$1:B$5100,2),IF(F118&gt;0,VLOOKUP(F118,КВР!A$1:B$5001,2),IF(E118&gt;0,VLOOKUP(E118,Направление!A$1:B$4830,2))))))</f>
        <v xml:space="preserve"> Межбюджетные трансферты</v>
      </c>
      <c r="B118" s="154"/>
      <c r="C118" s="149"/>
      <c r="D118" s="151"/>
      <c r="E118" s="149"/>
      <c r="F118" s="151">
        <v>500</v>
      </c>
      <c r="G118" s="516">
        <v>10000000</v>
      </c>
      <c r="H118" s="158">
        <v>8866741</v>
      </c>
      <c r="I118" s="157">
        <f t="shared" si="1"/>
        <v>18866741</v>
      </c>
    </row>
    <row r="119" spans="1:9" s="146" customFormat="1" ht="63" x14ac:dyDescent="0.25">
      <c r="A119" s="153" t="str">
        <f>IF(B119&gt;0,VLOOKUP(B119,КВСР!A33:B1198,2),IF(C119&gt;0,VLOOKUP(C119,КФСР!A33:B1545,2),IF(D119&gt;0,VLOOKUP(D119,Программа!A$1:B$5100,2),IF(F119&gt;0,VLOOKUP(F119,КВР!A$1:B$5001,2),IF(E119&gt;0,VLOOKUP(E119,Направление!A$1:B$4830,2))))))</f>
        <v>Защита населения и территории от последствий чрезвычайных ситуаций природного и техногенного характера, гражданская оборона</v>
      </c>
      <c r="B119" s="154"/>
      <c r="C119" s="149">
        <v>309</v>
      </c>
      <c r="D119" s="151"/>
      <c r="E119" s="149"/>
      <c r="F119" s="151"/>
      <c r="G119" s="516">
        <v>2109000</v>
      </c>
      <c r="H119" s="516">
        <f>H120+H126</f>
        <v>2121383</v>
      </c>
      <c r="I119" s="157">
        <f t="shared" si="1"/>
        <v>4230383</v>
      </c>
    </row>
    <row r="120" spans="1:9" s="146" customFormat="1" x14ac:dyDescent="0.25">
      <c r="A120" s="153" t="str">
        <f>IF(B120&gt;0,VLOOKUP(B120,КВСР!A34:B1199,2),IF(C120&gt;0,VLOOKUP(C120,КФСР!A34:B1546,2),IF(D120&gt;0,VLOOKUP(D120,Программа!A$1:B$5100,2),IF(F120&gt;0,VLOOKUP(F120,КВР!A$1:B$5001,2),IF(E120&gt;0,VLOOKUP(E120,Направление!A$1:B$4830,2))))))</f>
        <v>Непрограммные расходы бюджета</v>
      </c>
      <c r="B120" s="154"/>
      <c r="C120" s="149"/>
      <c r="D120" s="151" t="s">
        <v>624</v>
      </c>
      <c r="E120" s="149"/>
      <c r="F120" s="151"/>
      <c r="G120" s="516">
        <v>2050000</v>
      </c>
      <c r="H120" s="516">
        <f>H123+H121</f>
        <v>2062383</v>
      </c>
      <c r="I120" s="157">
        <f t="shared" si="1"/>
        <v>4112383</v>
      </c>
    </row>
    <row r="121" spans="1:9" s="146" customFormat="1" ht="63" x14ac:dyDescent="0.25">
      <c r="A121" s="153" t="str">
        <f>IF(B121&gt;0,VLOOKUP(B121,КВСР!A35:B1200,2),IF(C121&gt;0,VLOOKUP(C121,КФСР!A35:B1547,2),IF(D121&gt;0,VLOOKUP(D121,Программа!A$1:B$5100,2),IF(F121&gt;0,VLOOKUP(F121,КВР!A$1:B$5001,2),IF(E121&gt;0,VLOOKUP(E121,Направление!A$1:B$4830,2))))))</f>
        <v>Обеспечение мероприятий по  предупреждению и ликвидации последствий чрезвычайных ситуаций в границах поселения</v>
      </c>
      <c r="B121" s="154"/>
      <c r="C121" s="149"/>
      <c r="D121" s="151"/>
      <c r="E121" s="149">
        <v>29186</v>
      </c>
      <c r="F121" s="151"/>
      <c r="G121" s="516">
        <v>50000</v>
      </c>
      <c r="H121" s="516">
        <f>H122</f>
        <v>62383</v>
      </c>
      <c r="I121" s="157">
        <f t="shared" si="1"/>
        <v>112383</v>
      </c>
    </row>
    <row r="122" spans="1:9" s="146" customFormat="1" ht="63" x14ac:dyDescent="0.25">
      <c r="A122" s="153" t="str">
        <f>IF(B122&gt;0,VLOOKUP(B122,КВСР!A36:B1201,2),IF(C122&gt;0,VLOOKUP(C122,КФСР!A36:B1548,2),IF(D122&gt;0,VLOOKUP(D122,Программа!A$1:B$5100,2),IF(F122&gt;0,VLOOKUP(F122,КВР!A$1:B$5001,2),IF(E122&gt;0,VLOOKUP(E122,Направление!A$1:B$4830,2))))))</f>
        <v xml:space="preserve">Закупка товаров, работ и услуг для обеспечения государственных (муниципальных) нужд
</v>
      </c>
      <c r="B122" s="154"/>
      <c r="C122" s="149"/>
      <c r="D122" s="151"/>
      <c r="E122" s="149"/>
      <c r="F122" s="151">
        <v>200</v>
      </c>
      <c r="G122" s="516">
        <v>50000</v>
      </c>
      <c r="H122" s="516">
        <v>62383</v>
      </c>
      <c r="I122" s="157">
        <f t="shared" si="1"/>
        <v>112383</v>
      </c>
    </row>
    <row r="123" spans="1:9" s="146" customFormat="1" ht="47.25" x14ac:dyDescent="0.25">
      <c r="A123" s="153" t="str">
        <f>IF(B123&gt;0,VLOOKUP(B123,КВСР!A35:B1200,2),IF(C123&gt;0,VLOOKUP(C123,КФСР!A35:B1547,2),IF(D123&gt;0,VLOOKUP(D123,Программа!A$1:B$5100,2),IF(F123&gt;0,VLOOKUP(F123,КВР!A$1:B$5001,2),IF(E123&gt;0,VLOOKUP(E123,Направление!A$1:B$4830,2))))))</f>
        <v>Содержание и организация деятельности аварийно-спасательных служб</v>
      </c>
      <c r="B123" s="154"/>
      <c r="C123" s="149"/>
      <c r="D123" s="151"/>
      <c r="E123" s="149">
        <v>29566</v>
      </c>
      <c r="F123" s="151"/>
      <c r="G123" s="516">
        <v>2000000</v>
      </c>
      <c r="H123" s="516">
        <f>H124+H125</f>
        <v>2000000</v>
      </c>
      <c r="I123" s="157">
        <f t="shared" si="1"/>
        <v>4000000</v>
      </c>
    </row>
    <row r="124" spans="1:9" s="146" customFormat="1" ht="126" x14ac:dyDescent="0.25">
      <c r="A124" s="153" t="str">
        <f>IF(B124&gt;0,VLOOKUP(B124,КВСР!A36:B1201,2),IF(C124&gt;0,VLOOKUP(C124,КФСР!A36:B1548,2),IF(D124&gt;0,VLOOKUP(D124,Программа!A$1:B$5100,2),IF(F124&gt;0,VLOOKUP(F124,КВР!A$1:B$5001,2),IF(E124&gt;0,VLOOKUP(E124,Направление!A$1:B$4830,2))))))</f>
        <v xml:space="preserve">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
</v>
      </c>
      <c r="B124" s="154"/>
      <c r="C124" s="149"/>
      <c r="D124" s="151"/>
      <c r="E124" s="149"/>
      <c r="F124" s="151">
        <v>100</v>
      </c>
      <c r="G124" s="158">
        <v>1531602</v>
      </c>
      <c r="H124" s="158">
        <v>1499156</v>
      </c>
      <c r="I124" s="157">
        <f t="shared" si="1"/>
        <v>3030758</v>
      </c>
    </row>
    <row r="125" spans="1:9" s="146" customFormat="1" ht="63" x14ac:dyDescent="0.25">
      <c r="A125" s="153" t="str">
        <f>IF(B125&gt;0,VLOOKUP(B125,КВСР!A37:B1202,2),IF(C125&gt;0,VLOOKUP(C125,КФСР!A37:B1549,2),IF(D125&gt;0,VLOOKUP(D125,Программа!A$1:B$5100,2),IF(F125&gt;0,VLOOKUP(F125,КВР!A$1:B$5001,2),IF(E125&gt;0,VLOOKUP(E125,Направление!A$1:B$4830,2))))))</f>
        <v xml:space="preserve">Закупка товаров, работ и услуг для обеспечения государственных (муниципальных) нужд
</v>
      </c>
      <c r="B125" s="154"/>
      <c r="C125" s="149"/>
      <c r="D125" s="151"/>
      <c r="E125" s="149"/>
      <c r="F125" s="151">
        <v>200</v>
      </c>
      <c r="G125" s="158">
        <v>468398</v>
      </c>
      <c r="H125" s="158">
        <v>500844</v>
      </c>
      <c r="I125" s="157">
        <f t="shared" si="1"/>
        <v>969242</v>
      </c>
    </row>
    <row r="126" spans="1:9" s="146" customFormat="1" ht="31.5" x14ac:dyDescent="0.25">
      <c r="A126" s="153" t="str">
        <f>IF(B126&gt;0,VLOOKUP(B126,КВСР!A38:B1203,2),IF(C126&gt;0,VLOOKUP(C126,КФСР!A38:B1550,2),IF(D126&gt;0,VLOOKUP(D126,Программа!A$1:B$5100,2),IF(F126&gt;0,VLOOKUP(F126,КВР!A$1:B$5001,2),IF(E126&gt;0,VLOOKUP(E126,Направление!A$1:B$4830,2))))))</f>
        <v>Межбюджетные трансферты  поселениям района</v>
      </c>
      <c r="B126" s="154"/>
      <c r="C126" s="149"/>
      <c r="D126" s="151" t="s">
        <v>799</v>
      </c>
      <c r="E126" s="149"/>
      <c r="F126" s="151"/>
      <c r="G126" s="487">
        <v>59000</v>
      </c>
      <c r="H126" s="487">
        <f>H127</f>
        <v>59000</v>
      </c>
      <c r="I126" s="157">
        <f t="shared" si="1"/>
        <v>118000</v>
      </c>
    </row>
    <row r="127" spans="1:9" s="146" customFormat="1" ht="47.25" x14ac:dyDescent="0.25">
      <c r="A127" s="153" t="str">
        <f>IF(B127&gt;0,VLOOKUP(B127,КВСР!A39:B1204,2),IF(C127&gt;0,VLOOKUP(C127,КФСР!A39:B1551,2),IF(D127&gt;0,VLOOKUP(D127,Программа!A$1:B$5100,2),IF(F127&gt;0,VLOOKUP(F127,КВР!A$1:B$5001,2),IF(E127&gt;0,VLOOKUP(E127,Направление!A$1:B$4830,2))))))</f>
        <v>Субсидия на реализацию мероприятий по обеспечению безопасности граждан на водных объектах</v>
      </c>
      <c r="B127" s="154"/>
      <c r="C127" s="149"/>
      <c r="D127" s="151"/>
      <c r="E127" s="149">
        <v>71450</v>
      </c>
      <c r="F127" s="151"/>
      <c r="G127" s="487">
        <v>59000</v>
      </c>
      <c r="H127" s="487">
        <f>H128</f>
        <v>59000</v>
      </c>
      <c r="I127" s="157">
        <f t="shared" si="1"/>
        <v>118000</v>
      </c>
    </row>
    <row r="128" spans="1:9" s="146" customFormat="1" x14ac:dyDescent="0.25">
      <c r="A128" s="153" t="str">
        <f>IF(B128&gt;0,VLOOKUP(B128,КВСР!A40:B1205,2),IF(C128&gt;0,VLOOKUP(C128,КФСР!A40:B1552,2),IF(D128&gt;0,VLOOKUP(D128,Программа!A$1:B$5100,2),IF(F128&gt;0,VLOOKUP(F128,КВР!A$1:B$5001,2),IF(E128&gt;0,VLOOKUP(E128,Направление!A$1:B$4830,2))))))</f>
        <v xml:space="preserve"> Межбюджетные трансферты</v>
      </c>
      <c r="B128" s="154"/>
      <c r="C128" s="149"/>
      <c r="D128" s="151"/>
      <c r="E128" s="149"/>
      <c r="F128" s="151">
        <v>500</v>
      </c>
      <c r="G128" s="158">
        <v>59000</v>
      </c>
      <c r="H128" s="158">
        <v>59000</v>
      </c>
      <c r="I128" s="157">
        <f t="shared" si="1"/>
        <v>118000</v>
      </c>
    </row>
    <row r="129" spans="1:9" s="146" customFormat="1" x14ac:dyDescent="0.25">
      <c r="A129" s="153" t="str">
        <f>IF(B129&gt;0,VLOOKUP(B129,КВСР!A41:B1206,2),IF(C129&gt;0,VLOOKUP(C129,КФСР!A41:B1553,2),IF(D129&gt;0,VLOOKUP(D129,Программа!A$1:B$5100,2),IF(F129&gt;0,VLOOKUP(F129,КВР!A$1:B$5001,2),IF(E129&gt;0,VLOOKUP(E129,Направление!A$1:B$4830,2))))))</f>
        <v>Обеспечение пожарной безопасности</v>
      </c>
      <c r="B129" s="154"/>
      <c r="C129" s="149">
        <v>310</v>
      </c>
      <c r="D129" s="151"/>
      <c r="E129" s="149"/>
      <c r="F129" s="151"/>
      <c r="G129" s="158">
        <v>50000</v>
      </c>
      <c r="H129" s="158">
        <f>H130</f>
        <v>14550</v>
      </c>
      <c r="I129" s="157">
        <f t="shared" si="1"/>
        <v>64550</v>
      </c>
    </row>
    <row r="130" spans="1:9" s="146" customFormat="1" x14ac:dyDescent="0.25">
      <c r="A130" s="153" t="str">
        <f>IF(B130&gt;0,VLOOKUP(B130,КВСР!A42:B1207,2),IF(C130&gt;0,VLOOKUP(C130,КФСР!A42:B1554,2),IF(D130&gt;0,VLOOKUP(D130,Программа!A$1:B$5100,2),IF(F130&gt;0,VLOOKUP(F130,КВР!A$1:B$5001,2),IF(E130&gt;0,VLOOKUP(E130,Направление!A$1:B$4830,2))))))</f>
        <v>Непрограммные расходы бюджета</v>
      </c>
      <c r="B130" s="154"/>
      <c r="C130" s="149"/>
      <c r="D130" s="151" t="s">
        <v>624</v>
      </c>
      <c r="E130" s="149"/>
      <c r="F130" s="151"/>
      <c r="G130" s="158">
        <v>50000</v>
      </c>
      <c r="H130" s="158">
        <f>H131</f>
        <v>14550</v>
      </c>
      <c r="I130" s="157">
        <f t="shared" si="1"/>
        <v>64550</v>
      </c>
    </row>
    <row r="131" spans="1:9" s="146" customFormat="1" ht="47.25" x14ac:dyDescent="0.25">
      <c r="A131" s="153" t="str">
        <f>IF(B131&gt;0,VLOOKUP(B131,КВСР!A43:B1208,2),IF(C131&gt;0,VLOOKUP(C131,КФСР!A43:B1555,2),IF(D131&gt;0,VLOOKUP(D131,Программа!A$1:B$5100,2),IF(F131&gt;0,VLOOKUP(F131,КВР!A$1:B$5001,2),IF(E131&gt;0,VLOOKUP(E131,Направление!A$1:B$4830,2))))))</f>
        <v>Обеспечение   первичных мер пожарной безопасности в границах населенных пунктов поселения</v>
      </c>
      <c r="B131" s="154"/>
      <c r="C131" s="149"/>
      <c r="D131" s="151"/>
      <c r="E131" s="149">
        <v>29196</v>
      </c>
      <c r="F131" s="151"/>
      <c r="G131" s="158">
        <v>50000</v>
      </c>
      <c r="H131" s="158">
        <f>H132</f>
        <v>14550</v>
      </c>
      <c r="I131" s="157">
        <f t="shared" si="1"/>
        <v>64550</v>
      </c>
    </row>
    <row r="132" spans="1:9" s="146" customFormat="1" ht="63" x14ac:dyDescent="0.25">
      <c r="A132" s="153" t="str">
        <f>IF(B132&gt;0,VLOOKUP(B132,КВСР!A44:B1209,2),IF(C132&gt;0,VLOOKUP(C132,КФСР!A44:B1556,2),IF(D132&gt;0,VLOOKUP(D132,Программа!A$1:B$5100,2),IF(F132&gt;0,VLOOKUP(F132,КВР!A$1:B$5001,2),IF(E132&gt;0,VLOOKUP(E132,Направление!A$1:B$4830,2))))))</f>
        <v xml:space="preserve">Закупка товаров, работ и услуг для обеспечения государственных (муниципальных) нужд
</v>
      </c>
      <c r="B132" s="154"/>
      <c r="C132" s="149"/>
      <c r="D132" s="151"/>
      <c r="E132" s="149"/>
      <c r="F132" s="151">
        <v>200</v>
      </c>
      <c r="G132" s="158">
        <v>50000</v>
      </c>
      <c r="H132" s="158">
        <v>14550</v>
      </c>
      <c r="I132" s="157">
        <f t="shared" si="1"/>
        <v>64550</v>
      </c>
    </row>
    <row r="133" spans="1:9" s="146" customFormat="1" x14ac:dyDescent="0.25">
      <c r="A133" s="153" t="str">
        <f>IF(B133&gt;0,VLOOKUP(B133,КВСР!A37:B1202,2),IF(C133&gt;0,VLOOKUP(C133,КФСР!A37:B1549,2),IF(D133&gt;0,VLOOKUP(D133,Программа!A$1:B$5100,2),IF(F133&gt;0,VLOOKUP(F133,КВР!A$1:B$5001,2),IF(E133&gt;0,VLOOKUP(E133,Направление!A$1:B$4830,2))))))</f>
        <v>Сельское хозяйство и рыболовство</v>
      </c>
      <c r="B133" s="154"/>
      <c r="C133" s="149">
        <v>405</v>
      </c>
      <c r="D133" s="150"/>
      <c r="E133" s="149"/>
      <c r="F133" s="151"/>
      <c r="G133" s="500">
        <v>2301017</v>
      </c>
      <c r="H133" s="155">
        <f>H134</f>
        <v>2246707</v>
      </c>
      <c r="I133" s="157">
        <f t="shared" si="1"/>
        <v>4547724</v>
      </c>
    </row>
    <row r="134" spans="1:9" s="146" customFormat="1" ht="94.5" x14ac:dyDescent="0.25">
      <c r="A134" s="153" t="str">
        <f>IF(B134&gt;0,VLOOKUP(B134,КВСР!A49:B1214,2),IF(C134&gt;0,VLOOKUP(C134,КФСР!A49:B1561,2),IF(D134&gt;0,VLOOKUP(D134,Программа!A$1:B$5100,2),IF(F134&gt;0,VLOOKUP(F134,КВР!A$1:B$5001,2),IF(E134&gt;0,VLOOKUP(E134,Направление!A$1:B$4830,2))))))</f>
        <v>Муниципальная программа "Экономическое развитие и инновационная экономика, развитие предпринимательства и сельского хозяйства в Тутаевском муниципальном районе"</v>
      </c>
      <c r="B134" s="154"/>
      <c r="C134" s="149"/>
      <c r="D134" s="150" t="s">
        <v>653</v>
      </c>
      <c r="E134" s="149"/>
      <c r="F134" s="151"/>
      <c r="G134" s="500">
        <v>2301017</v>
      </c>
      <c r="H134" s="500">
        <f>H135</f>
        <v>2246707</v>
      </c>
      <c r="I134" s="157">
        <f t="shared" si="1"/>
        <v>4547724</v>
      </c>
    </row>
    <row r="135" spans="1:9" s="146" customFormat="1" ht="63" x14ac:dyDescent="0.25">
      <c r="A135" s="153" t="str">
        <f>IF(B135&gt;0,VLOOKUP(B135,КВСР!A50:B1215,2),IF(C135&gt;0,VLOOKUP(C135,КФСР!A50:B1562,2),IF(D135&gt;0,VLOOKUP(D135,Программа!A$1:B$5100,2),IF(F135&gt;0,VLOOKUP(F135,КВР!A$1:B$5001,2),IF(E135&gt;0,VLOOKUP(E135,Направление!A$1:B$4830,2))))))</f>
        <v>Муниципальная целевая программа "Развитие агропромышленного комплекса и сельских территорий Тутаевского муниципального района"</v>
      </c>
      <c r="B135" s="154"/>
      <c r="C135" s="149"/>
      <c r="D135" s="150" t="s">
        <v>655</v>
      </c>
      <c r="E135" s="149"/>
      <c r="F135" s="151"/>
      <c r="G135" s="500">
        <v>2301017</v>
      </c>
      <c r="H135" s="155">
        <f>H136+H145+H148</f>
        <v>2246707</v>
      </c>
      <c r="I135" s="157">
        <f t="shared" si="1"/>
        <v>4547724</v>
      </c>
    </row>
    <row r="136" spans="1:9" s="146" customFormat="1" ht="78.75" x14ac:dyDescent="0.25">
      <c r="A136" s="153" t="str">
        <f>IF(B136&gt;0,VLOOKUP(B136,КВСР!A50:B1215,2),IF(C136&gt;0,VLOOKUP(C136,КФСР!A50:B1562,2),IF(D136&gt;0,VLOOKUP(D136,Программа!A$1:B$5100,2),IF(F136&gt;0,VLOOKUP(F136,КВР!A$1:B$5001,2),IF(E136&gt;0,VLOOKUP(E136,Направление!A$1:B$4830,2))))))</f>
        <v>Поддержка сельскохозяйственного производства в рамках субсидирования  (молоко, овцеводство) сельскохозяйственных товаропроизводителей</v>
      </c>
      <c r="B136" s="154"/>
      <c r="C136" s="149"/>
      <c r="D136" s="150" t="s">
        <v>657</v>
      </c>
      <c r="E136" s="149"/>
      <c r="F136" s="151"/>
      <c r="G136" s="500">
        <v>2005900</v>
      </c>
      <c r="H136" s="500">
        <f>H137+H141+H139+H143</f>
        <v>1971590</v>
      </c>
      <c r="I136" s="157">
        <f t="shared" si="1"/>
        <v>3977490</v>
      </c>
    </row>
    <row r="137" spans="1:9" s="146" customFormat="1" ht="47.25" x14ac:dyDescent="0.25">
      <c r="A137" s="153" t="str">
        <f>IF(B137&gt;0,VLOOKUP(B137,КВСР!A55:B1220,2),IF(C137&gt;0,VLOOKUP(C137,КФСР!A55:B1567,2),IF(D137&gt;0,VLOOKUP(D137,Программа!A$1:B$5100,2),IF(F137&gt;0,VLOOKUP(F137,КВР!A$1:B$5001,2),IF(E137&gt;0,VLOOKUP(E137,Направление!A$1:B$4830,2))))))</f>
        <v>Субсидия на возмещение части затрат сельхозтоваропроиизводителям на реализованное молоко</v>
      </c>
      <c r="B137" s="154"/>
      <c r="C137" s="149"/>
      <c r="D137" s="151"/>
      <c r="E137" s="149">
        <v>10701</v>
      </c>
      <c r="F137" s="151"/>
      <c r="G137" s="498">
        <v>1850000</v>
      </c>
      <c r="H137" s="498">
        <f>H138</f>
        <v>1815690</v>
      </c>
      <c r="I137" s="157">
        <f t="shared" si="1"/>
        <v>3665690</v>
      </c>
    </row>
    <row r="138" spans="1:9" s="146" customFormat="1" x14ac:dyDescent="0.25">
      <c r="A138" s="153" t="str">
        <f>IF(B138&gt;0,VLOOKUP(B138,КВСР!A56:B1221,2),IF(C138&gt;0,VLOOKUP(C138,КФСР!A56:B1568,2),IF(D138&gt;0,VLOOKUP(D138,Программа!A$1:B$5100,2),IF(F138&gt;0,VLOOKUP(F138,КВР!A$1:B$5001,2),IF(E138&gt;0,VLOOKUP(E138,Направление!A$1:B$4830,2))))))</f>
        <v>Иные бюджетные ассигнования</v>
      </c>
      <c r="B138" s="154"/>
      <c r="C138" s="149"/>
      <c r="D138" s="151"/>
      <c r="E138" s="149"/>
      <c r="F138" s="151">
        <v>800</v>
      </c>
      <c r="G138" s="498">
        <v>1850000</v>
      </c>
      <c r="H138" s="156">
        <v>1815690</v>
      </c>
      <c r="I138" s="157">
        <f t="shared" si="1"/>
        <v>3665690</v>
      </c>
    </row>
    <row r="139" spans="1:9" s="146" customFormat="1" ht="47.25" hidden="1" x14ac:dyDescent="0.25">
      <c r="A139" s="153" t="str">
        <f>IF(B139&gt;0,VLOOKUP(B139,КВСР!A57:B1222,2),IF(C139&gt;0,VLOOKUP(C139,КФСР!A57:B1569,2),IF(D139&gt;0,VLOOKUP(D139,Программа!A$1:B$5100,2),IF(F139&gt;0,VLOOKUP(F139,КВР!A$1:B$5001,2),IF(E139&gt;0,VLOOKUP(E139,Направление!A$1:B$4830,2))))))</f>
        <v>Субсидия на возмещение части затрат по вводу земель сельскохозяйственного назначения</v>
      </c>
      <c r="B139" s="154"/>
      <c r="C139" s="149"/>
      <c r="D139" s="151"/>
      <c r="E139" s="149">
        <v>10704</v>
      </c>
      <c r="F139" s="151"/>
      <c r="G139" s="498">
        <v>0</v>
      </c>
      <c r="H139" s="498">
        <f>H140</f>
        <v>0</v>
      </c>
      <c r="I139" s="157">
        <f t="shared" si="1"/>
        <v>0</v>
      </c>
    </row>
    <row r="140" spans="1:9" s="146" customFormat="1" hidden="1" x14ac:dyDescent="0.25">
      <c r="A140" s="153" t="str">
        <f>IF(B140&gt;0,VLOOKUP(B140,КВСР!A58:B1223,2),IF(C140&gt;0,VLOOKUP(C140,КФСР!A58:B1570,2),IF(D140&gt;0,VLOOKUP(D140,Программа!A$1:B$5100,2),IF(F140&gt;0,VLOOKUP(F140,КВР!A$1:B$5001,2),IF(E140&gt;0,VLOOKUP(E140,Направление!A$1:B$4830,2))))))</f>
        <v>Иные бюджетные ассигнования</v>
      </c>
      <c r="B140" s="154"/>
      <c r="C140" s="149"/>
      <c r="D140" s="151"/>
      <c r="E140" s="149"/>
      <c r="F140" s="151">
        <v>800</v>
      </c>
      <c r="G140" s="498">
        <v>0</v>
      </c>
      <c r="H140" s="156"/>
      <c r="I140" s="157">
        <f t="shared" si="1"/>
        <v>0</v>
      </c>
    </row>
    <row r="141" spans="1:9" s="146" customFormat="1" ht="63" x14ac:dyDescent="0.25">
      <c r="A141" s="153" t="str">
        <f>IF(B141&gt;0,VLOOKUP(B141,КВСР!A57:B1222,2),IF(C141&gt;0,VLOOKUP(C141,КФСР!A57:B1569,2),IF(D141&gt;0,VLOOKUP(D141,Программа!A$1:B$5100,2),IF(F141&gt;0,VLOOKUP(F141,КВР!A$1:B$5001,2),IF(E141&gt;0,VLOOKUP(E141,Направление!A$1:B$4830,2))))))</f>
        <v xml:space="preserve">Субсидия на возмещение части затрат сельхозтоваропроиизводителям на содержание маточного поголовья овец романовской породы </v>
      </c>
      <c r="B141" s="154"/>
      <c r="C141" s="149"/>
      <c r="D141" s="151"/>
      <c r="E141" s="149">
        <v>10702</v>
      </c>
      <c r="F141" s="151"/>
      <c r="G141" s="498">
        <v>150000</v>
      </c>
      <c r="H141" s="498">
        <f>H142</f>
        <v>150000</v>
      </c>
      <c r="I141" s="157">
        <f t="shared" si="1"/>
        <v>300000</v>
      </c>
    </row>
    <row r="142" spans="1:9" s="146" customFormat="1" x14ac:dyDescent="0.25">
      <c r="A142" s="153" t="str">
        <f>IF(B142&gt;0,VLOOKUP(B142,КВСР!A58:B1223,2),IF(C142&gt;0,VLOOKUP(C142,КФСР!A58:B1570,2),IF(D142&gt;0,VLOOKUP(D142,Программа!A$1:B$5100,2),IF(F142&gt;0,VLOOKUP(F142,КВР!A$1:B$5001,2),IF(E142&gt;0,VLOOKUP(E142,Направление!A$1:B$4830,2))))))</f>
        <v>Иные бюджетные ассигнования</v>
      </c>
      <c r="B142" s="154"/>
      <c r="C142" s="149"/>
      <c r="D142" s="151"/>
      <c r="E142" s="149"/>
      <c r="F142" s="151">
        <v>800</v>
      </c>
      <c r="G142" s="498">
        <v>150000</v>
      </c>
      <c r="H142" s="156">
        <v>150000</v>
      </c>
      <c r="I142" s="157">
        <f t="shared" si="1"/>
        <v>300000</v>
      </c>
    </row>
    <row r="143" spans="1:9" s="146" customFormat="1" ht="94.5" x14ac:dyDescent="0.25">
      <c r="A143" s="153" t="str">
        <f>IF(B143&gt;0,VLOOKUP(B143,КВСР!A57:B1222,2),IF(C143&gt;0,VLOOKUP(C143,КФСР!A57:B1569,2),IF(D143&gt;0,VLOOKUP(D143,Программа!A$1:B$5100,2),IF(F143&gt;0,VLOOKUP(F143,КВР!A$1:B$5001,2),IF(E143&gt;0,VLOOKUP(E143,Направление!A$1:B$4830,2))))))</f>
        <v>Субвенция на поддержку сельскохозяйственного производства в части организационных мероприятий в рамках предоставления субсидий сельскохозяйственным производителям</v>
      </c>
      <c r="B143" s="154"/>
      <c r="C143" s="149"/>
      <c r="D143" s="151"/>
      <c r="E143" s="149">
        <v>74450</v>
      </c>
      <c r="F143" s="151"/>
      <c r="G143" s="498">
        <v>5900</v>
      </c>
      <c r="H143" s="498">
        <f>H144</f>
        <v>5900</v>
      </c>
      <c r="I143" s="157">
        <f t="shared" si="1"/>
        <v>11800</v>
      </c>
    </row>
    <row r="144" spans="1:9" s="146" customFormat="1" ht="63" x14ac:dyDescent="0.25">
      <c r="A144" s="153" t="str">
        <f>IF(B144&gt;0,VLOOKUP(B144,КВСР!A58:B1223,2),IF(C144&gt;0,VLOOKUP(C144,КФСР!A58:B1570,2),IF(D144&gt;0,VLOOKUP(D144,Программа!A$1:B$5100,2),IF(F144&gt;0,VLOOKUP(F144,КВР!A$1:B$5001,2),IF(E144&gt;0,VLOOKUP(E144,Направление!A$1:B$4830,2))))))</f>
        <v xml:space="preserve">Закупка товаров, работ и услуг для обеспечения государственных (муниципальных) нужд
</v>
      </c>
      <c r="B144" s="154"/>
      <c r="C144" s="149"/>
      <c r="D144" s="151"/>
      <c r="E144" s="149"/>
      <c r="F144" s="151">
        <v>200</v>
      </c>
      <c r="G144" s="498">
        <v>5900</v>
      </c>
      <c r="H144" s="156">
        <v>5900</v>
      </c>
      <c r="I144" s="157">
        <f t="shared" si="1"/>
        <v>11800</v>
      </c>
    </row>
    <row r="145" spans="1:9" s="146" customFormat="1" ht="31.5" x14ac:dyDescent="0.25">
      <c r="A145" s="153" t="str">
        <f>IF(B145&gt;0,VLOOKUP(B145,КВСР!A59:B1224,2),IF(C145&gt;0,VLOOKUP(C145,КФСР!A59:B1571,2),IF(D145&gt;0,VLOOKUP(D145,Программа!A$1:B$5100,2),IF(F145&gt;0,VLOOKUP(F145,КВР!A$1:B$5001,2),IF(E145&gt;0,VLOOKUP(E145,Направление!A$1:B$4830,2))))))</f>
        <v xml:space="preserve">Кадровое обеспечение агропромышленного комплекса </v>
      </c>
      <c r="B145" s="154"/>
      <c r="C145" s="149"/>
      <c r="D145" s="150" t="s">
        <v>659</v>
      </c>
      <c r="E145" s="149"/>
      <c r="F145" s="151"/>
      <c r="G145" s="164">
        <v>50000</v>
      </c>
      <c r="H145" s="164">
        <f>H146</f>
        <v>30000</v>
      </c>
      <c r="I145" s="157">
        <f t="shared" si="1"/>
        <v>80000</v>
      </c>
    </row>
    <row r="146" spans="1:9" s="146" customFormat="1" ht="47.25" x14ac:dyDescent="0.25">
      <c r="A146" s="153" t="str">
        <f>IF(B146&gt;0,VLOOKUP(B146,КВСР!A60:B1225,2),IF(C146&gt;0,VLOOKUP(C146,КФСР!A60:B1572,2),IF(D146&gt;0,VLOOKUP(D146,Программа!A$1:B$5100,2),IF(F146&gt;0,VLOOKUP(F146,КВР!A$1:B$5001,2),IF(E146&gt;0,VLOOKUP(E146,Направление!A$1:B$4830,2))))))</f>
        <v>Мероприятия  направленные на развитие агропромышленного комплекса</v>
      </c>
      <c r="B146" s="154"/>
      <c r="C146" s="149"/>
      <c r="D146" s="150"/>
      <c r="E146" s="149">
        <v>10700</v>
      </c>
      <c r="F146" s="151"/>
      <c r="G146" s="164">
        <v>50000</v>
      </c>
      <c r="H146" s="164">
        <f>H147</f>
        <v>30000</v>
      </c>
      <c r="I146" s="157">
        <f t="shared" si="1"/>
        <v>80000</v>
      </c>
    </row>
    <row r="147" spans="1:9" s="146" customFormat="1" ht="31.5" x14ac:dyDescent="0.25">
      <c r="A147" s="153" t="str">
        <f>IF(B147&gt;0,VLOOKUP(B147,КВСР!A61:B1226,2),IF(C147&gt;0,VLOOKUP(C147,КФСР!A61:B1573,2),IF(D147&gt;0,VLOOKUP(D147,Программа!A$1:B$5100,2),IF(F147&gt;0,VLOOKUP(F147,КВР!A$1:B$5001,2),IF(E147&gt;0,VLOOKUP(E147,Направление!A$1:B$4830,2))))))</f>
        <v>Социальное обеспечение и иные выплаты населению</v>
      </c>
      <c r="B147" s="154"/>
      <c r="C147" s="149"/>
      <c r="D147" s="150"/>
      <c r="E147" s="149"/>
      <c r="F147" s="151">
        <v>300</v>
      </c>
      <c r="G147" s="498">
        <v>50000</v>
      </c>
      <c r="H147" s="156">
        <v>30000</v>
      </c>
      <c r="I147" s="157">
        <f t="shared" si="1"/>
        <v>80000</v>
      </c>
    </row>
    <row r="148" spans="1:9" s="146" customFormat="1" ht="110.25" x14ac:dyDescent="0.25">
      <c r="A148" s="153" t="str">
        <f>IF(B148&gt;0,VLOOKUP(B148,КВСР!A62:B1227,2),IF(C148&gt;0,VLOOKUP(C148,КФСР!A62:B1574,2),IF(D148&gt;0,VLOOKUP(D148,Программа!A$1:B$5100,2),IF(F148&gt;0,VLOOKUP(F148,КВР!A$1:B$5001,2),IF(E148&gt;0,VLOOKUP(E148,Направление!A$1:B$4830,2))))))</f>
        <v>Повышение стимула роста профессионального мастерства, привлечение овцеводов и туристов для популяризации бренда романовской овцы, поощрение передовиков сельскохозяйственного  производства</v>
      </c>
      <c r="B148" s="154"/>
      <c r="C148" s="149"/>
      <c r="D148" s="150" t="s">
        <v>662</v>
      </c>
      <c r="E148" s="149"/>
      <c r="F148" s="151"/>
      <c r="G148" s="164">
        <v>245117</v>
      </c>
      <c r="H148" s="164">
        <f>H149+H151</f>
        <v>245117</v>
      </c>
      <c r="I148" s="157">
        <f t="shared" si="1"/>
        <v>490234</v>
      </c>
    </row>
    <row r="149" spans="1:9" s="146" customFormat="1" ht="47.25" x14ac:dyDescent="0.25">
      <c r="A149" s="153" t="str">
        <f>IF(B149&gt;0,VLOOKUP(B149,КВСР!A63:B1228,2),IF(C149&gt;0,VLOOKUP(C149,КФСР!A63:B1575,2),IF(D149&gt;0,VLOOKUP(D149,Программа!A$1:B$5100,2),IF(F149&gt;0,VLOOKUP(F149,КВР!A$1:B$5001,2),IF(E149&gt;0,VLOOKUP(E149,Направление!A$1:B$4830,2))))))</f>
        <v>Мероприятия  направленные на развитие агропромышленного комплекса</v>
      </c>
      <c r="B149" s="154"/>
      <c r="C149" s="149"/>
      <c r="D149" s="150"/>
      <c r="E149" s="149">
        <v>10700</v>
      </c>
      <c r="F149" s="151"/>
      <c r="G149" s="164">
        <v>65117</v>
      </c>
      <c r="H149" s="164">
        <f>H150</f>
        <v>65117</v>
      </c>
      <c r="I149" s="157">
        <f t="shared" si="1"/>
        <v>130234</v>
      </c>
    </row>
    <row r="150" spans="1:9" s="146" customFormat="1" ht="63" x14ac:dyDescent="0.25">
      <c r="A150" s="153" t="str">
        <f>IF(B150&gt;0,VLOOKUP(B150,КВСР!A64:B1229,2),IF(C150&gt;0,VLOOKUP(C150,КФСР!A64:B1576,2),IF(D150&gt;0,VLOOKUP(D150,Программа!A$1:B$5100,2),IF(F150&gt;0,VLOOKUP(F150,КВР!A$1:B$5001,2),IF(E150&gt;0,VLOOKUP(E150,Направление!A$1:B$4830,2))))))</f>
        <v xml:space="preserve">Закупка товаров, работ и услуг для обеспечения государственных (муниципальных) нужд
</v>
      </c>
      <c r="B150" s="154"/>
      <c r="C150" s="149"/>
      <c r="D150" s="150"/>
      <c r="E150" s="149"/>
      <c r="F150" s="151">
        <v>200</v>
      </c>
      <c r="G150" s="498">
        <v>65117</v>
      </c>
      <c r="H150" s="156">
        <v>65117</v>
      </c>
      <c r="I150" s="157">
        <f t="shared" si="1"/>
        <v>130234</v>
      </c>
    </row>
    <row r="151" spans="1:9" s="146" customFormat="1" ht="63" x14ac:dyDescent="0.25">
      <c r="A151" s="153" t="str">
        <f>IF(B151&gt;0,VLOOKUP(B151,КВСР!A65:B1230,2),IF(C151&gt;0,VLOOKUP(C151,КФСР!A65:B1577,2),IF(D151&gt;0,VLOOKUP(D151,Программа!A$1:B$5100,2),IF(F151&gt;0,VLOOKUP(F151,КВР!A$1:B$5001,2),IF(E151&gt;0,VLOOKUP(E151,Направление!A$1:B$4830,2))))))</f>
        <v>Гранты, в форме субсидий, на выплату  вознаграждения сельхозтоваропроизхводителям - победителям конкурса</v>
      </c>
      <c r="B151" s="154"/>
      <c r="C151" s="149"/>
      <c r="D151" s="150"/>
      <c r="E151" s="652">
        <v>10703</v>
      </c>
      <c r="F151" s="653"/>
      <c r="G151" s="623">
        <v>180000</v>
      </c>
      <c r="H151" s="623">
        <f>H152</f>
        <v>180000</v>
      </c>
      <c r="I151" s="157">
        <f t="shared" si="1"/>
        <v>360000</v>
      </c>
    </row>
    <row r="152" spans="1:9" s="146" customFormat="1" x14ac:dyDescent="0.25">
      <c r="A152" s="153" t="str">
        <f>IF(B152&gt;0,VLOOKUP(B152,КВСР!A66:B1231,2),IF(C152&gt;0,VLOOKUP(C152,КФСР!A66:B1578,2),IF(D152&gt;0,VLOOKUP(D152,Программа!A$1:B$5100,2),IF(F152&gt;0,VLOOKUP(F152,КВР!A$1:B$5001,2),IF(E152&gt;0,VLOOKUP(E152,Направление!A$1:B$4830,2))))))</f>
        <v>Иные бюджетные ассигнования</v>
      </c>
      <c r="B152" s="154"/>
      <c r="C152" s="149"/>
      <c r="D152" s="150"/>
      <c r="E152" s="149"/>
      <c r="F152" s="151">
        <v>800</v>
      </c>
      <c r="G152" s="498">
        <v>180000</v>
      </c>
      <c r="H152" s="156">
        <v>180000</v>
      </c>
      <c r="I152" s="157">
        <f t="shared" ref="I152:I246" si="2">SUM(G152:H152)</f>
        <v>360000</v>
      </c>
    </row>
    <row r="153" spans="1:9" s="146" customFormat="1" x14ac:dyDescent="0.25">
      <c r="A153" s="153" t="str">
        <f>IF(B153&gt;0,VLOOKUP(B153,КВСР!A67:B1232,2),IF(C153&gt;0,VLOOKUP(C153,КФСР!A67:B1579,2),IF(D153&gt;0,VLOOKUP(D153,Программа!A$1:B$5100,2),IF(F153&gt;0,VLOOKUP(F153,КВР!A$1:B$5001,2),IF(E153&gt;0,VLOOKUP(E153,Направление!A$1:B$4830,2))))))</f>
        <v>Транспорт</v>
      </c>
      <c r="B153" s="154"/>
      <c r="C153" s="149">
        <v>408</v>
      </c>
      <c r="D153" s="150"/>
      <c r="E153" s="149"/>
      <c r="F153" s="151"/>
      <c r="G153" s="498">
        <v>1376164</v>
      </c>
      <c r="H153" s="498">
        <f>H154</f>
        <v>1200000</v>
      </c>
      <c r="I153" s="157">
        <f t="shared" si="2"/>
        <v>2576164</v>
      </c>
    </row>
    <row r="154" spans="1:9" s="146" customFormat="1" x14ac:dyDescent="0.25">
      <c r="A154" s="153" t="str">
        <f>IF(B154&gt;0,VLOOKUP(B154,КВСР!A68:B1233,2),IF(C154&gt;0,VLOOKUP(C154,КФСР!A68:B1580,2),IF(D154&gt;0,VLOOKUP(D154,Программа!A$1:B$5100,2),IF(F154&gt;0,VLOOKUP(F154,КВР!A$1:B$5001,2),IF(E154&gt;0,VLOOKUP(E154,Направление!A$1:B$4830,2))))))</f>
        <v>Непрограммные расходы бюджета</v>
      </c>
      <c r="B154" s="154"/>
      <c r="C154" s="149"/>
      <c r="D154" s="150" t="s">
        <v>624</v>
      </c>
      <c r="E154" s="149"/>
      <c r="F154" s="151"/>
      <c r="G154" s="498">
        <v>1376164</v>
      </c>
      <c r="H154" s="498">
        <f>H155</f>
        <v>1200000</v>
      </c>
      <c r="I154" s="157">
        <f t="shared" si="2"/>
        <v>2576164</v>
      </c>
    </row>
    <row r="155" spans="1:9" s="146" customFormat="1" ht="47.25" x14ac:dyDescent="0.25">
      <c r="A155" s="153" t="str">
        <f>IF(B155&gt;0,VLOOKUP(B155,КВСР!A69:B1234,2),IF(C155&gt;0,VLOOKUP(C155,КФСР!A69:B1581,2),IF(D155&gt;0,VLOOKUP(D155,Программа!A$1:B$5100,2),IF(F155&gt;0,VLOOKUP(F155,КВР!A$1:B$5001,2),IF(E155&gt;0,VLOOKUP(E155,Направление!A$1:B$4830,2))))))</f>
        <v>Обеспечение мероприятий по строительству канатной дороги через   р. Волга</v>
      </c>
      <c r="B155" s="154"/>
      <c r="C155" s="149"/>
      <c r="D155" s="150"/>
      <c r="E155" s="149">
        <v>29606</v>
      </c>
      <c r="F155" s="151"/>
      <c r="G155" s="498">
        <v>1376164</v>
      </c>
      <c r="H155" s="498">
        <f>H156</f>
        <v>1200000</v>
      </c>
      <c r="I155" s="157">
        <f t="shared" si="2"/>
        <v>2576164</v>
      </c>
    </row>
    <row r="156" spans="1:9" s="146" customFormat="1" ht="63" x14ac:dyDescent="0.25">
      <c r="A156" s="153" t="str">
        <f>IF(B156&gt;0,VLOOKUP(B156,КВСР!A70:B1235,2),IF(C156&gt;0,VLOOKUP(C156,КФСР!A70:B1582,2),IF(D156&gt;0,VLOOKUP(D156,Программа!A$1:B$5100,2),IF(F156&gt;0,VLOOKUP(F156,КВР!A$1:B$5001,2),IF(E156&gt;0,VLOOKUP(E156,Направление!A$1:B$4830,2))))))</f>
        <v>Предоставление субсидий бюджетным, автономным учреждениям и иным некоммерческим организациям</v>
      </c>
      <c r="B156" s="154"/>
      <c r="C156" s="149"/>
      <c r="D156" s="150"/>
      <c r="E156" s="149"/>
      <c r="F156" s="151">
        <v>600</v>
      </c>
      <c r="G156" s="498">
        <v>1376164</v>
      </c>
      <c r="H156" s="156">
        <v>1200000</v>
      </c>
      <c r="I156" s="157">
        <f t="shared" si="2"/>
        <v>2576164</v>
      </c>
    </row>
    <row r="157" spans="1:9" s="146" customFormat="1" x14ac:dyDescent="0.25">
      <c r="A157" s="153" t="str">
        <f>IF(B157&gt;0,VLOOKUP(B157,КВСР!A71:B1236,2),IF(C157&gt;0,VLOOKUP(C157,КФСР!A71:B1583,2),IF(D157&gt;0,VLOOKUP(D157,Программа!A$1:B$5100,2),IF(F157&gt;0,VLOOKUP(F157,КВР!A$1:B$5001,2),IF(E157&gt;0,VLOOKUP(E157,Направление!A$1:B$4830,2))))))</f>
        <v>Дорожное хозяйство</v>
      </c>
      <c r="B157" s="154"/>
      <c r="C157" s="149">
        <v>409</v>
      </c>
      <c r="D157" s="150"/>
      <c r="E157" s="149"/>
      <c r="F157" s="151"/>
      <c r="G157" s="498">
        <v>253584448.72000003</v>
      </c>
      <c r="H157" s="498">
        <f>H158+H194+H208+H201</f>
        <v>231402017</v>
      </c>
      <c r="I157" s="157">
        <f t="shared" si="2"/>
        <v>484986465.72000003</v>
      </c>
    </row>
    <row r="158" spans="1:9" s="146" customFormat="1" ht="47.25" x14ac:dyDescent="0.25">
      <c r="A158" s="153" t="str">
        <f>IF(B158&gt;0,VLOOKUP(B158,КВСР!A72:B1237,2),IF(C158&gt;0,VLOOKUP(C158,КФСР!A72:B1584,2),IF(D158&gt;0,VLOOKUP(D158,Программа!A$1:B$5100,2),IF(F158&gt;0,VLOOKUP(F158,КВР!A$1:B$5001,2),IF(E158&gt;0,VLOOKUP(E158,Направление!A$1:B$4830,2))))))</f>
        <v>Муниципальная программа "Развитие дорожного хозяйства и транспорта в Тутаевском муниципальном районе"</v>
      </c>
      <c r="B158" s="148"/>
      <c r="C158" s="149"/>
      <c r="D158" s="150" t="s">
        <v>867</v>
      </c>
      <c r="E158" s="149"/>
      <c r="F158" s="151"/>
      <c r="G158" s="500">
        <v>145957145.51999998</v>
      </c>
      <c r="H158" s="155">
        <f>H159+H167</f>
        <v>137312414</v>
      </c>
      <c r="I158" s="157">
        <f t="shared" si="2"/>
        <v>283269559.51999998</v>
      </c>
    </row>
    <row r="159" spans="1:9" s="146" customFormat="1" ht="63" x14ac:dyDescent="0.25">
      <c r="A159" s="153" t="str">
        <f>IF(B159&gt;0,VLOOKUP(B159,КВСР!A73:B1238,2),IF(C159&gt;0,VLOOKUP(C159,КФСР!A73:B1585,2),IF(D159&gt;0,VLOOKUP(D159,Программа!A$1:B$5100,2),IF(F159&gt;0,VLOOKUP(F159,КВР!A$1:B$5001,2),IF(E159&gt;0,VLOOKUP(E159,Направление!A$1:B$4830,2))))))</f>
        <v>Муниципальная целевая программа «Повышение безопасности дорожного движения на территории Тутаевского муниципального района»</v>
      </c>
      <c r="B159" s="148"/>
      <c r="C159" s="149"/>
      <c r="D159" s="150" t="s">
        <v>869</v>
      </c>
      <c r="E159" s="149"/>
      <c r="F159" s="151"/>
      <c r="G159" s="500">
        <v>5283221</v>
      </c>
      <c r="H159" s="155">
        <f>H160</f>
        <v>2934143</v>
      </c>
      <c r="I159" s="157">
        <f t="shared" si="2"/>
        <v>8217364</v>
      </c>
    </row>
    <row r="160" spans="1:9" s="146" customFormat="1" ht="31.5" x14ac:dyDescent="0.25">
      <c r="A160" s="153" t="str">
        <f>IF(B160&gt;0,VLOOKUP(B160,КВСР!A74:B1239,2),IF(C160&gt;0,VLOOKUP(C160,КФСР!A74:B1586,2),IF(D160&gt;0,VLOOKUP(D160,Программа!A$1:B$5100,2),IF(F160&gt;0,VLOOKUP(F160,КВР!A$1:B$5001,2),IF(E160&gt;0,VLOOKUP(E160,Направление!A$1:B$4830,2))))))</f>
        <v>Повышение безопасности дорожного движения на автомобильных дорогах</v>
      </c>
      <c r="B160" s="148"/>
      <c r="C160" s="149"/>
      <c r="D160" s="150" t="s">
        <v>871</v>
      </c>
      <c r="E160" s="149"/>
      <c r="F160" s="151"/>
      <c r="G160" s="500">
        <v>5283221</v>
      </c>
      <c r="H160" s="155">
        <f>H161+H163+H165</f>
        <v>2934143</v>
      </c>
      <c r="I160" s="157">
        <f t="shared" si="2"/>
        <v>8217364</v>
      </c>
    </row>
    <row r="161" spans="1:9" s="146" customFormat="1" ht="31.5" x14ac:dyDescent="0.25">
      <c r="A161" s="153" t="str">
        <f>IF(B161&gt;0,VLOOKUP(B161,КВСР!A75:B1240,2),IF(C161&gt;0,VLOOKUP(C161,КФСР!A75:B1587,2),IF(D161&gt;0,VLOOKUP(D161,Программа!A$1:B$5100,2),IF(F161&gt;0,VLOOKUP(F161,КВР!A$1:B$5001,2),IF(E161&gt;0,VLOOKUP(E161,Направление!A$1:B$4830,2))))))</f>
        <v>Содержание и ремонт  автомобильных дорог общего пользования</v>
      </c>
      <c r="B161" s="148"/>
      <c r="C161" s="149"/>
      <c r="D161" s="150"/>
      <c r="E161" s="149">
        <v>10200</v>
      </c>
      <c r="F161" s="151"/>
      <c r="G161" s="500">
        <v>1000000</v>
      </c>
      <c r="H161" s="155">
        <f>H162</f>
        <v>979335</v>
      </c>
      <c r="I161" s="157">
        <f t="shared" si="2"/>
        <v>1979335</v>
      </c>
    </row>
    <row r="162" spans="1:9" s="146" customFormat="1" ht="63" x14ac:dyDescent="0.25">
      <c r="A162" s="153" t="str">
        <f>IF(B162&gt;0,VLOOKUP(B162,КВСР!A76:B1241,2),IF(C162&gt;0,VLOOKUP(C162,КФСР!A76:B1588,2),IF(D162&gt;0,VLOOKUP(D162,Программа!A$1:B$5100,2),IF(F162&gt;0,VLOOKUP(F162,КВР!A$1:B$5001,2),IF(E162&gt;0,VLOOKUP(E162,Направление!A$1:B$4830,2))))))</f>
        <v>Предоставление субсидий бюджетным, автономным учреждениям и иным некоммерческим организациям</v>
      </c>
      <c r="B162" s="148"/>
      <c r="C162" s="149"/>
      <c r="D162" s="151"/>
      <c r="E162" s="149"/>
      <c r="F162" s="151">
        <v>600</v>
      </c>
      <c r="G162" s="498">
        <v>1000000</v>
      </c>
      <c r="H162" s="156">
        <v>979335</v>
      </c>
      <c r="I162" s="157">
        <f t="shared" si="2"/>
        <v>1979335</v>
      </c>
    </row>
    <row r="163" spans="1:9" s="146" customFormat="1" ht="47.25" x14ac:dyDescent="0.25">
      <c r="A163" s="153" t="str">
        <f>IF(B163&gt;0,VLOOKUP(B163,КВСР!A77:B1242,2),IF(C163&gt;0,VLOOKUP(C163,КФСР!A77:B1589,2),IF(D163&gt;0,VLOOKUP(D163,Программа!A$1:B$5100,2),IF(F163&gt;0,VLOOKUP(F163,КВР!A$1:B$5001,2),IF(E163&gt;0,VLOOKUP(E163,Направление!A$1:B$4830,2))))))</f>
        <v>Обеспечение   мероприятий в области  дорожного хозяйства  по повышению безопасности дорожного движения</v>
      </c>
      <c r="B163" s="148"/>
      <c r="C163" s="149"/>
      <c r="D163" s="151"/>
      <c r="E163" s="149">
        <v>29096</v>
      </c>
      <c r="F163" s="151"/>
      <c r="G163" s="498">
        <v>3666221</v>
      </c>
      <c r="H163" s="498">
        <f>H164</f>
        <v>1338210</v>
      </c>
      <c r="I163" s="157">
        <f t="shared" si="2"/>
        <v>5004431</v>
      </c>
    </row>
    <row r="164" spans="1:9" s="146" customFormat="1" ht="63" x14ac:dyDescent="0.25">
      <c r="A164" s="153" t="str">
        <f>IF(B164&gt;0,VLOOKUP(B164,КВСР!A78:B1243,2),IF(C164&gt;0,VLOOKUP(C164,КФСР!A78:B1590,2),IF(D164&gt;0,VLOOKUP(D164,Программа!A$1:B$5100,2),IF(F164&gt;0,VLOOKUP(F164,КВР!A$1:B$5001,2),IF(E164&gt;0,VLOOKUP(E164,Направление!A$1:B$4830,2))))))</f>
        <v>Предоставление субсидий бюджетным, автономным учреждениям и иным некоммерческим организациям</v>
      </c>
      <c r="B164" s="148"/>
      <c r="C164" s="149"/>
      <c r="D164" s="151"/>
      <c r="E164" s="149"/>
      <c r="F164" s="151">
        <v>600</v>
      </c>
      <c r="G164" s="498">
        <v>3666221</v>
      </c>
      <c r="H164" s="156">
        <v>1338210</v>
      </c>
      <c r="I164" s="157">
        <f t="shared" si="2"/>
        <v>5004431</v>
      </c>
    </row>
    <row r="165" spans="1:9" s="146" customFormat="1" ht="47.25" x14ac:dyDescent="0.25">
      <c r="A165" s="153" t="str">
        <f>IF(B165&gt;0,VLOOKUP(B165,КВСР!A79:B1244,2),IF(C165&gt;0,VLOOKUP(C165,КФСР!A79:B1591,2),IF(D165&gt;0,VLOOKUP(D165,Программа!A$1:B$5100,2),IF(F165&gt;0,VLOOKUP(F165,КВР!A$1:B$5001,2),IF(E165&gt;0,VLOOKUP(E165,Направление!A$1:B$4830,2))))))</f>
        <v xml:space="preserve">Обеспечение мероприятий в области дорожного хозяйства по строительству светофорных объектов </v>
      </c>
      <c r="B165" s="148"/>
      <c r="C165" s="149"/>
      <c r="D165" s="151"/>
      <c r="E165" s="149">
        <v>29106</v>
      </c>
      <c r="F165" s="151"/>
      <c r="G165" s="498">
        <v>617000</v>
      </c>
      <c r="H165" s="498">
        <f>H166</f>
        <v>616598</v>
      </c>
      <c r="I165" s="157">
        <f t="shared" si="2"/>
        <v>1233598</v>
      </c>
    </row>
    <row r="166" spans="1:9" s="146" customFormat="1" ht="63" x14ac:dyDescent="0.25">
      <c r="A166" s="153" t="str">
        <f>IF(B166&gt;0,VLOOKUP(B166,КВСР!A80:B1245,2),IF(C166&gt;0,VLOOKUP(C166,КФСР!A80:B1592,2),IF(D166&gt;0,VLOOKUP(D166,Программа!A$1:B$5100,2),IF(F166&gt;0,VLOOKUP(F166,КВР!A$1:B$5001,2),IF(E166&gt;0,VLOOKUP(E166,Направление!A$1:B$4830,2))))))</f>
        <v>Предоставление субсидий бюджетным, автономным учреждениям и иным некоммерческим организациям</v>
      </c>
      <c r="B166" s="148"/>
      <c r="C166" s="149"/>
      <c r="D166" s="151"/>
      <c r="E166" s="149"/>
      <c r="F166" s="151">
        <v>600</v>
      </c>
      <c r="G166" s="498">
        <v>617000</v>
      </c>
      <c r="H166" s="156">
        <v>616598</v>
      </c>
      <c r="I166" s="157">
        <f t="shared" si="2"/>
        <v>1233598</v>
      </c>
    </row>
    <row r="167" spans="1:9" s="146" customFormat="1" ht="63" x14ac:dyDescent="0.25">
      <c r="A167" s="153" t="str">
        <f>IF(B167&gt;0,VLOOKUP(B167,КВСР!A81:B1246,2),IF(C167&gt;0,VLOOKUP(C167,КФСР!A81:B1593,2),IF(D167&gt;0,VLOOKUP(D167,Программа!A$1:B$5100,2),IF(F167&gt;0,VLOOKUP(F167,КВР!A$1:B$5001,2),IF(E167&gt;0,VLOOKUP(E167,Направление!A$1:B$4830,2))))))</f>
        <v>Муниципальная целевая программа «Сохранность автомобильных дорог общего пользования Тутаевского муниципального района»</v>
      </c>
      <c r="B167" s="148"/>
      <c r="C167" s="149"/>
      <c r="D167" s="150" t="s">
        <v>874</v>
      </c>
      <c r="E167" s="149"/>
      <c r="F167" s="151"/>
      <c r="G167" s="500">
        <v>140673924.51999998</v>
      </c>
      <c r="H167" s="155">
        <f>H168</f>
        <v>134378271</v>
      </c>
      <c r="I167" s="157">
        <f t="shared" si="2"/>
        <v>275052195.51999998</v>
      </c>
    </row>
    <row r="168" spans="1:9" s="146" customFormat="1" ht="47.25" x14ac:dyDescent="0.25">
      <c r="A168" s="153" t="str">
        <f>IF(B168&gt;0,VLOOKUP(B168,КВСР!A82:B1247,2),IF(C168&gt;0,VLOOKUP(C168,КФСР!A82:B1594,2),IF(D168&gt;0,VLOOKUP(D168,Программа!A$1:B$5100,2),IF(F168&gt;0,VLOOKUP(F168,КВР!A$1:B$5001,2),IF(E168&gt;0,VLOOKUP(E168,Направление!A$1:B$4830,2))))))</f>
        <v>Приведение  в нормативное состояние автомобильных дорог общего пользования</v>
      </c>
      <c r="B168" s="148"/>
      <c r="C168" s="149"/>
      <c r="D168" s="150" t="s">
        <v>876</v>
      </c>
      <c r="E168" s="149"/>
      <c r="F168" s="151"/>
      <c r="G168" s="500">
        <v>140673924.51999998</v>
      </c>
      <c r="H168" s="155">
        <f>H169+H171+H173+H177+H181+H184+H188+H175+H179+H186+H191</f>
        <v>134378271</v>
      </c>
      <c r="I168" s="157">
        <f t="shared" si="2"/>
        <v>275052195.51999998</v>
      </c>
    </row>
    <row r="169" spans="1:9" s="146" customFormat="1" ht="31.5" x14ac:dyDescent="0.25">
      <c r="A169" s="153" t="str">
        <f>IF(B169&gt;0,VLOOKUP(B169,КВСР!A83:B1248,2),IF(C169&gt;0,VLOOKUP(C169,КФСР!A83:B1595,2),IF(D169&gt;0,VLOOKUP(D169,Программа!A$1:B$5100,2),IF(F169&gt;0,VLOOKUP(F169,КВР!A$1:B$5001,2),IF(E169&gt;0,VLOOKUP(E169,Направление!A$1:B$4830,2))))))</f>
        <v>Содержание и ремонт  автомобильных дорог общего пользования</v>
      </c>
      <c r="B169" s="148"/>
      <c r="C169" s="149"/>
      <c r="D169" s="150"/>
      <c r="E169" s="149">
        <v>10200</v>
      </c>
      <c r="F169" s="151"/>
      <c r="G169" s="164">
        <v>21959365</v>
      </c>
      <c r="H169" s="164">
        <f>H170</f>
        <v>19919026</v>
      </c>
      <c r="I169" s="157">
        <f t="shared" si="2"/>
        <v>41878391</v>
      </c>
    </row>
    <row r="170" spans="1:9" s="146" customFormat="1" ht="63" x14ac:dyDescent="0.25">
      <c r="A170" s="153" t="str">
        <f>IF(B170&gt;0,VLOOKUP(B170,КВСР!A84:B1249,2),IF(C170&gt;0,VLOOKUP(C170,КФСР!A84:B1596,2),IF(D170&gt;0,VLOOKUP(D170,Программа!A$1:B$5100,2),IF(F170&gt;0,VLOOKUP(F170,КВР!A$1:B$5001,2),IF(E170&gt;0,VLOOKUP(E170,Направление!A$1:B$4830,2))))))</f>
        <v>Предоставление субсидий бюджетным, автономным учреждениям и иным некоммерческим организациям</v>
      </c>
      <c r="B170" s="148"/>
      <c r="C170" s="149"/>
      <c r="D170" s="151"/>
      <c r="E170" s="149"/>
      <c r="F170" s="151">
        <v>600</v>
      </c>
      <c r="G170" s="498">
        <v>21959365</v>
      </c>
      <c r="H170" s="156">
        <v>19919026</v>
      </c>
      <c r="I170" s="157">
        <f t="shared" si="2"/>
        <v>41878391</v>
      </c>
    </row>
    <row r="171" spans="1:9" s="146" customFormat="1" ht="47.25" x14ac:dyDescent="0.25">
      <c r="A171" s="153" t="str">
        <f>IF(B171&gt;0,VLOOKUP(B171,КВСР!A85:B1250,2),IF(C171&gt;0,VLOOKUP(C171,КФСР!A85:B1597,2),IF(D171&gt;0,VLOOKUP(D171,Программа!A$1:B$5100,2),IF(F171&gt;0,VLOOKUP(F171,КВР!A$1:B$5001,2),IF(E171&gt;0,VLOOKUP(E171,Направление!A$1:B$4830,2))))))</f>
        <v>Обеспечение   мероприятий в области  дорожного хозяйства  на  ремонт и содержание автомобильных дорог</v>
      </c>
      <c r="B171" s="148"/>
      <c r="C171" s="149"/>
      <c r="D171" s="151"/>
      <c r="E171" s="149">
        <v>29086</v>
      </c>
      <c r="F171" s="151"/>
      <c r="G171" s="498">
        <v>21418337</v>
      </c>
      <c r="H171" s="498">
        <f>H172</f>
        <v>13652542</v>
      </c>
      <c r="I171" s="157">
        <f t="shared" si="2"/>
        <v>35070879</v>
      </c>
    </row>
    <row r="172" spans="1:9" s="146" customFormat="1" ht="63" x14ac:dyDescent="0.25">
      <c r="A172" s="153" t="str">
        <f>IF(B172&gt;0,VLOOKUP(B172,КВСР!A86:B1251,2),IF(C172&gt;0,VLOOKUP(C172,КФСР!A86:B1598,2),IF(D172&gt;0,VLOOKUP(D172,Программа!A$1:B$5100,2),IF(F172&gt;0,VLOOKUP(F172,КВР!A$1:B$5001,2),IF(E172&gt;0,VLOOKUP(E172,Направление!A$1:B$4830,2))))))</f>
        <v>Предоставление субсидий бюджетным, автономным учреждениям и иным некоммерческим организациям</v>
      </c>
      <c r="B172" s="148"/>
      <c r="C172" s="149"/>
      <c r="D172" s="151"/>
      <c r="E172" s="149"/>
      <c r="F172" s="151">
        <v>600</v>
      </c>
      <c r="G172" s="498">
        <v>21418337</v>
      </c>
      <c r="H172" s="156">
        <v>13652542</v>
      </c>
      <c r="I172" s="157">
        <f t="shared" si="2"/>
        <v>35070879</v>
      </c>
    </row>
    <row r="173" spans="1:9" s="146" customFormat="1" ht="47.25" x14ac:dyDescent="0.25">
      <c r="A173" s="153" t="str">
        <f>IF(B173&gt;0,VLOOKUP(B173,КВСР!A87:B1252,2),IF(C173&gt;0,VLOOKUP(C173,КФСР!A87:B1599,2),IF(D173&gt;0,VLOOKUP(D173,Программа!A$1:B$5100,2),IF(F173&gt;0,VLOOKUP(F173,КВР!A$1:B$5001,2),IF(E173&gt;0,VLOOKUP(E173,Направление!A$1:B$4830,2))))))</f>
        <v xml:space="preserve">Обеспечение мероприятий в области дорожного хозяйства по ремонту дворовых территорий </v>
      </c>
      <c r="B173" s="148"/>
      <c r="C173" s="149"/>
      <c r="D173" s="151"/>
      <c r="E173" s="149">
        <v>29496</v>
      </c>
      <c r="F173" s="151"/>
      <c r="G173" s="498">
        <v>100000</v>
      </c>
      <c r="H173" s="498">
        <f>H174</f>
        <v>65209</v>
      </c>
      <c r="I173" s="157">
        <f t="shared" si="2"/>
        <v>165209</v>
      </c>
    </row>
    <row r="174" spans="1:9" s="146" customFormat="1" ht="63" x14ac:dyDescent="0.25">
      <c r="A174" s="153" t="str">
        <f>IF(B174&gt;0,VLOOKUP(B174,КВСР!A88:B1253,2),IF(C174&gt;0,VLOOKUP(C174,КФСР!A88:B1600,2),IF(D174&gt;0,VLOOKUP(D174,Программа!A$1:B$5100,2),IF(F174&gt;0,VLOOKUP(F174,КВР!A$1:B$5001,2),IF(E174&gt;0,VLOOKUP(E174,Направление!A$1:B$4830,2))))))</f>
        <v>Предоставление субсидий бюджетным, автономным учреждениям и иным некоммерческим организациям</v>
      </c>
      <c r="B174" s="148"/>
      <c r="C174" s="149"/>
      <c r="D174" s="151"/>
      <c r="E174" s="149"/>
      <c r="F174" s="151">
        <v>600</v>
      </c>
      <c r="G174" s="498">
        <v>100000</v>
      </c>
      <c r="H174" s="156">
        <v>65209</v>
      </c>
      <c r="I174" s="157">
        <f t="shared" si="2"/>
        <v>165209</v>
      </c>
    </row>
    <row r="175" spans="1:9" s="146" customFormat="1" ht="31.5" x14ac:dyDescent="0.25">
      <c r="A175" s="153" t="str">
        <f>IF(B175&gt;0,VLOOKUP(B175,КВСР!A89:B1254,2),IF(C175&gt;0,VLOOKUP(C175,КФСР!A89:B1601,2),IF(D175&gt;0,VLOOKUP(D175,Программа!A$1:B$5100,2),IF(F175&gt;0,VLOOKUP(F175,КВР!A$1:B$5001,2),IF(E175&gt;0,VLOOKUP(E175,Направление!A$1:B$4830,2))))))</f>
        <v>Содержание и организация деятельности дорожного хозяйства</v>
      </c>
      <c r="B175" s="148"/>
      <c r="C175" s="149"/>
      <c r="D175" s="151"/>
      <c r="E175" s="149">
        <v>29696</v>
      </c>
      <c r="F175" s="151"/>
      <c r="G175" s="498">
        <v>5578657</v>
      </c>
      <c r="H175" s="498">
        <f>H176</f>
        <v>5578657</v>
      </c>
      <c r="I175" s="157">
        <f t="shared" si="2"/>
        <v>11157314</v>
      </c>
    </row>
    <row r="176" spans="1:9" s="146" customFormat="1" ht="63" x14ac:dyDescent="0.25">
      <c r="A176" s="153" t="str">
        <f>IF(B176&gt;0,VLOOKUP(B176,КВСР!A90:B1255,2),IF(C176&gt;0,VLOOKUP(C176,КФСР!A90:B1602,2),IF(D176&gt;0,VLOOKUP(D176,Программа!A$1:B$5100,2),IF(F176&gt;0,VLOOKUP(F176,КВР!A$1:B$5001,2),IF(E176&gt;0,VLOOKUP(E176,Направление!A$1:B$4830,2))))))</f>
        <v>Предоставление субсидий бюджетным, автономным учреждениям и иным некоммерческим организациям</v>
      </c>
      <c r="B176" s="148"/>
      <c r="C176" s="149"/>
      <c r="D176" s="151"/>
      <c r="E176" s="149"/>
      <c r="F176" s="151">
        <v>600</v>
      </c>
      <c r="G176" s="498">
        <v>5578657</v>
      </c>
      <c r="H176" s="156">
        <v>5578657</v>
      </c>
      <c r="I176" s="157">
        <f t="shared" si="2"/>
        <v>11157314</v>
      </c>
    </row>
    <row r="177" spans="1:9" s="146" customFormat="1" ht="47.25" x14ac:dyDescent="0.25">
      <c r="A177" s="153" t="str">
        <f>IF(B177&gt;0,VLOOKUP(B177,КВСР!A89:B1254,2),IF(C177&gt;0,VLOOKUP(C177,КФСР!A89:B1601,2),IF(D177&gt;0,VLOOKUP(D177,Программа!A$1:B$5100,2),IF(F177&gt;0,VLOOKUP(F177,КВР!A$1:B$5001,2),IF(E177&gt;0,VLOOKUP(E177,Направление!A$1:B$4830,2))))))</f>
        <v>Расходы на финансирование дорожного хозяйства за счет средств областного бюджета</v>
      </c>
      <c r="B177" s="148"/>
      <c r="C177" s="149"/>
      <c r="D177" s="150"/>
      <c r="E177" s="149">
        <v>72446</v>
      </c>
      <c r="F177" s="151"/>
      <c r="G177" s="500">
        <v>17633489.350000001</v>
      </c>
      <c r="H177" s="155">
        <f>H178</f>
        <v>18160907</v>
      </c>
      <c r="I177" s="157">
        <f t="shared" si="2"/>
        <v>35794396.350000001</v>
      </c>
    </row>
    <row r="178" spans="1:9" s="146" customFormat="1" ht="63" x14ac:dyDescent="0.25">
      <c r="A178" s="153" t="str">
        <f>IF(B178&gt;0,VLOOKUP(B178,КВСР!A90:B1255,2),IF(C178&gt;0,VLOOKUP(C178,КФСР!A90:B1602,2),IF(D178&gt;0,VLOOKUP(D178,Программа!A$1:B$5100,2),IF(F178&gt;0,VLOOKUP(F178,КВР!A$1:B$5001,2),IF(E178&gt;0,VLOOKUP(E178,Направление!A$1:B$4830,2))))))</f>
        <v>Предоставление субсидий бюджетным, автономным учреждениям и иным некоммерческим организациям</v>
      </c>
      <c r="B178" s="148"/>
      <c r="C178" s="149"/>
      <c r="D178" s="151"/>
      <c r="E178" s="149"/>
      <c r="F178" s="151">
        <v>600</v>
      </c>
      <c r="G178" s="498">
        <v>17633489.350000001</v>
      </c>
      <c r="H178" s="156">
        <v>18160907</v>
      </c>
      <c r="I178" s="157">
        <f t="shared" si="2"/>
        <v>35794396.350000001</v>
      </c>
    </row>
    <row r="179" spans="1:9" s="146" customFormat="1" ht="63" x14ac:dyDescent="0.25">
      <c r="A179" s="153" t="str">
        <f>IF(B179&gt;0,VLOOKUP(B179,КВСР!A91:B1256,2),IF(C179&gt;0,VLOOKUP(C179,КФСР!A91:B1603,2),IF(D179&gt;0,VLOOKUP(D179,Программа!A$1:B$5100,2),IF(F179&gt;0,VLOOKUP(F179,КВР!A$1:B$5001,2),IF(E179&gt;0,VLOOKUP(E179,Направление!A$1:B$4830,2))))))</f>
        <v>Мероприятия по благоустройству и ремонту дворовых  территории в рамках софинансирования инициативного бюджетирования</v>
      </c>
      <c r="B179" s="148"/>
      <c r="C179" s="149"/>
      <c r="D179" s="151"/>
      <c r="E179" s="414">
        <v>75356</v>
      </c>
      <c r="F179" s="151"/>
      <c r="G179" s="498">
        <v>7750061.4500000002</v>
      </c>
      <c r="H179" s="498">
        <f>H180</f>
        <v>7217027</v>
      </c>
      <c r="I179" s="157">
        <f t="shared" si="2"/>
        <v>14967088.449999999</v>
      </c>
    </row>
    <row r="180" spans="1:9" s="146" customFormat="1" ht="63" x14ac:dyDescent="0.25">
      <c r="A180" s="153" t="str">
        <f>IF(B180&gt;0,VLOOKUP(B180,КВСР!A92:B1257,2),IF(C180&gt;0,VLOOKUP(C180,КФСР!A92:B1604,2),IF(D180&gt;0,VLOOKUP(D180,Программа!A$1:B$5100,2),IF(F180&gt;0,VLOOKUP(F180,КВР!A$1:B$5001,2),IF(E180&gt;0,VLOOKUP(E180,Направление!A$1:B$4830,2))))))</f>
        <v>Предоставление субсидий бюджетным, автономным учреждениям и иным некоммерческим организациям</v>
      </c>
      <c r="B180" s="148"/>
      <c r="C180" s="149"/>
      <c r="D180" s="151"/>
      <c r="E180" s="149"/>
      <c r="F180" s="151">
        <v>600</v>
      </c>
      <c r="G180" s="498">
        <v>7750061.4500000002</v>
      </c>
      <c r="H180" s="156">
        <v>7217027</v>
      </c>
      <c r="I180" s="157">
        <f t="shared" si="2"/>
        <v>14967088.449999999</v>
      </c>
    </row>
    <row r="181" spans="1:9" s="146" customFormat="1" ht="47.25" x14ac:dyDescent="0.25">
      <c r="A181" s="153" t="str">
        <f>IF(B181&gt;0,VLOOKUP(B181,КВСР!A91:B1256,2),IF(C181&gt;0,VLOOKUP(C181,КФСР!A91:B1603,2),IF(D181&gt;0,VLOOKUP(D181,Программа!A$1:B$5100,2),IF(F181&gt;0,VLOOKUP(F181,КВР!A$1:B$5001,2),IF(E181&gt;0,VLOOKUP(E181,Направление!A$1:B$4830,2))))))</f>
        <v>Субсидия на ремонт дорожных объектов муниципальной собственности</v>
      </c>
      <c r="B181" s="148"/>
      <c r="C181" s="149"/>
      <c r="D181" s="151"/>
      <c r="E181" s="149">
        <v>75626</v>
      </c>
      <c r="F181" s="151"/>
      <c r="G181" s="498">
        <v>62210986.719999999</v>
      </c>
      <c r="H181" s="498">
        <f>H183+H182</f>
        <v>61653041</v>
      </c>
      <c r="I181" s="157">
        <f t="shared" si="2"/>
        <v>123864027.72</v>
      </c>
    </row>
    <row r="182" spans="1:9" s="146" customFormat="1" ht="47.25" x14ac:dyDescent="0.25">
      <c r="A182" s="153" t="str">
        <f>IF(B182&gt;0,VLOOKUP(B182,КВСР!A92:B1257,2),IF(C182&gt;0,VLOOKUP(C182,КФСР!A92:B1604,2),IF(D182&gt;0,VLOOKUP(D182,Программа!A$1:B$5100,2),IF(F182&gt;0,VLOOKUP(F182,КВР!A$1:B$5001,2),IF(E182&gt;0,VLOOKUP(E182,Направление!A$1:B$4830,2))))))</f>
        <v>Капитальные вложения в объекты государственной (муниципальной) собственности</v>
      </c>
      <c r="B182" s="148"/>
      <c r="C182" s="149"/>
      <c r="D182" s="151"/>
      <c r="E182" s="149"/>
      <c r="F182" s="151">
        <v>400</v>
      </c>
      <c r="G182" s="498">
        <v>3203833</v>
      </c>
      <c r="H182" s="156">
        <v>3187383</v>
      </c>
      <c r="I182" s="157">
        <f>SUM(G182:H182)</f>
        <v>6391216</v>
      </c>
    </row>
    <row r="183" spans="1:9" s="146" customFormat="1" ht="63" x14ac:dyDescent="0.25">
      <c r="A183" s="153" t="str">
        <f>IF(B183&gt;0,VLOOKUP(B183,КВСР!A92:B1257,2),IF(C183&gt;0,VLOOKUP(C183,КФСР!A92:B1604,2),IF(D183&gt;0,VLOOKUP(D183,Программа!A$1:B$5100,2),IF(F183&gt;0,VLOOKUP(F183,КВР!A$1:B$5001,2),IF(E183&gt;0,VLOOKUP(E183,Направление!A$1:B$4830,2))))))</f>
        <v>Предоставление субсидий бюджетным, автономным учреждениям и иным некоммерческим организациям</v>
      </c>
      <c r="B183" s="148"/>
      <c r="C183" s="149"/>
      <c r="D183" s="151"/>
      <c r="E183" s="149"/>
      <c r="F183" s="151">
        <v>600</v>
      </c>
      <c r="G183" s="498">
        <v>59007153.719999999</v>
      </c>
      <c r="H183" s="156">
        <v>58465658</v>
      </c>
      <c r="I183" s="157">
        <f t="shared" si="2"/>
        <v>117472811.72</v>
      </c>
    </row>
    <row r="184" spans="1:9" s="146" customFormat="1" ht="47.25" x14ac:dyDescent="0.25">
      <c r="A184" s="153" t="str">
        <f>IF(B184&gt;0,VLOOKUP(B184,КВСР!A93:B1258,2),IF(C184&gt;0,VLOOKUP(C184,КФСР!A93:B1605,2),IF(D184&gt;0,VLOOKUP(D184,Программа!A$1:B$5100,2),IF(F184&gt;0,VLOOKUP(F184,КВР!A$1:B$5001,2),IF(E184&gt;0,VLOOKUP(E184,Направление!A$1:B$4830,2))))))</f>
        <v>Обеспечение   мероприятий в области  дорожного хозяйства  на  ремонт и содержание автомобильных дорог</v>
      </c>
      <c r="B184" s="148"/>
      <c r="C184" s="149"/>
      <c r="D184" s="151"/>
      <c r="E184" s="149">
        <v>22446</v>
      </c>
      <c r="F184" s="151"/>
      <c r="G184" s="498">
        <v>1778173</v>
      </c>
      <c r="H184" s="498">
        <f>H185</f>
        <v>3483625</v>
      </c>
      <c r="I184" s="157">
        <f t="shared" si="2"/>
        <v>5261798</v>
      </c>
    </row>
    <row r="185" spans="1:9" s="146" customFormat="1" ht="63" x14ac:dyDescent="0.25">
      <c r="A185" s="153" t="str">
        <f>IF(B185&gt;0,VLOOKUP(B185,КВСР!A94:B1259,2),IF(C185&gt;0,VLOOKUP(C185,КФСР!A94:B1606,2),IF(D185&gt;0,VLOOKUP(D185,Программа!A$1:B$5100,2),IF(F185&gt;0,VLOOKUP(F185,КВР!A$1:B$5001,2),IF(E185&gt;0,VLOOKUP(E185,Направление!A$1:B$4830,2))))))</f>
        <v>Предоставление субсидий бюджетным, автономным учреждениям и иным некоммерческим организациям</v>
      </c>
      <c r="B185" s="148"/>
      <c r="C185" s="149"/>
      <c r="D185" s="151"/>
      <c r="E185" s="149"/>
      <c r="F185" s="151">
        <v>600</v>
      </c>
      <c r="G185" s="498">
        <v>1778173</v>
      </c>
      <c r="H185" s="156">
        <v>3483625</v>
      </c>
      <c r="I185" s="157">
        <f t="shared" si="2"/>
        <v>5261798</v>
      </c>
    </row>
    <row r="186" spans="1:9" s="146" customFormat="1" ht="63" x14ac:dyDescent="0.25">
      <c r="A186" s="153" t="str">
        <f>IF(B186&gt;0,VLOOKUP(B186,КВСР!A95:B1260,2),IF(C186&gt;0,VLOOKUP(C186,КФСР!A95:B1607,2),IF(D186&gt;0,VLOOKUP(D186,Программа!A$1:B$5100,2),IF(F186&gt;0,VLOOKUP(F186,КВР!A$1:B$5001,2),IF(E186&gt;0,VLOOKUP(E186,Направление!A$1:B$4830,2))))))</f>
        <v>Мероприятия по благоустройству и ремонту дворовых территории в рамках софинансирования инициативного бюджетирования</v>
      </c>
      <c r="B186" s="148"/>
      <c r="C186" s="149"/>
      <c r="D186" s="151"/>
      <c r="E186" s="414">
        <v>25356</v>
      </c>
      <c r="F186" s="151"/>
      <c r="G186" s="498">
        <v>897855</v>
      </c>
      <c r="H186" s="498">
        <f>H187</f>
        <v>830603</v>
      </c>
      <c r="I186" s="157">
        <f t="shared" si="2"/>
        <v>1728458</v>
      </c>
    </row>
    <row r="187" spans="1:9" s="146" customFormat="1" ht="63" x14ac:dyDescent="0.25">
      <c r="A187" s="153" t="str">
        <f>IF(B187&gt;0,VLOOKUP(B187,КВСР!A96:B1261,2),IF(C187&gt;0,VLOOKUP(C187,КФСР!A96:B1608,2),IF(D187&gt;0,VLOOKUP(D187,Программа!A$1:B$5100,2),IF(F187&gt;0,VLOOKUP(F187,КВР!A$1:B$5001,2),IF(E187&gt;0,VLOOKUP(E187,Направление!A$1:B$4830,2))))))</f>
        <v>Предоставление субсидий бюджетным, автономным учреждениям и иным некоммерческим организациям</v>
      </c>
      <c r="B187" s="148"/>
      <c r="C187" s="149"/>
      <c r="D187" s="151"/>
      <c r="E187" s="149"/>
      <c r="F187" s="151">
        <v>600</v>
      </c>
      <c r="G187" s="498">
        <v>897855</v>
      </c>
      <c r="H187" s="156">
        <v>830603</v>
      </c>
      <c r="I187" s="157">
        <f t="shared" si="2"/>
        <v>1728458</v>
      </c>
    </row>
    <row r="188" spans="1:9" s="146" customFormat="1" ht="47.25" x14ac:dyDescent="0.25">
      <c r="A188" s="153" t="str">
        <f>IF(B188&gt;0,VLOOKUP(B188,КВСР!A95:B1260,2),IF(C188&gt;0,VLOOKUP(C188,КФСР!A95:B1607,2),IF(D188&gt;0,VLOOKUP(D188,Программа!A$1:B$5100,2),IF(F188&gt;0,VLOOKUP(F188,КВР!A$1:B$5001,2),IF(E188&gt;0,VLOOKUP(E188,Направление!A$1:B$4830,2))))))</f>
        <v>Субсидия на ремонт дорожных объектов муниципальной собственности</v>
      </c>
      <c r="B188" s="148"/>
      <c r="C188" s="149"/>
      <c r="D188" s="151"/>
      <c r="E188" s="149">
        <v>25626</v>
      </c>
      <c r="F188" s="151"/>
      <c r="G188" s="498">
        <v>1347000</v>
      </c>
      <c r="H188" s="498">
        <f>H190+H189</f>
        <v>1317634</v>
      </c>
      <c r="I188" s="157">
        <f t="shared" si="2"/>
        <v>2664634</v>
      </c>
    </row>
    <row r="189" spans="1:9" s="146" customFormat="1" ht="47.25" x14ac:dyDescent="0.25">
      <c r="A189" s="153" t="str">
        <f>IF(B189&gt;0,VLOOKUP(B189,КВСР!A96:B1261,2),IF(C189&gt;0,VLOOKUP(C189,КФСР!A96:B1608,2),IF(D189&gt;0,VLOOKUP(D189,Программа!A$1:B$5100,2),IF(F189&gt;0,VLOOKUP(F189,КВР!A$1:B$5001,2),IF(E189&gt;0,VLOOKUP(E189,Направление!A$1:B$4830,2))))))</f>
        <v>Капитальные вложения в объекты государственной (муниципальной) собственности</v>
      </c>
      <c r="B189" s="148"/>
      <c r="C189" s="149"/>
      <c r="D189" s="151"/>
      <c r="E189" s="149"/>
      <c r="F189" s="151">
        <v>400</v>
      </c>
      <c r="G189" s="498">
        <v>168623</v>
      </c>
      <c r="H189" s="156">
        <v>167757</v>
      </c>
      <c r="I189" s="157">
        <f>SUM(G189:H189)</f>
        <v>336380</v>
      </c>
    </row>
    <row r="190" spans="1:9" s="146" customFormat="1" ht="63" x14ac:dyDescent="0.25">
      <c r="A190" s="153" t="str">
        <f>IF(B190&gt;0,VLOOKUP(B190,КВСР!A96:B1261,2),IF(C190&gt;0,VLOOKUP(C190,КФСР!A96:B1608,2),IF(D190&gt;0,VLOOKUP(D190,Программа!A$1:B$5100,2),IF(F190&gt;0,VLOOKUP(F190,КВР!A$1:B$5001,2),IF(E190&gt;0,VLOOKUP(E190,Направление!A$1:B$4830,2))))))</f>
        <v>Предоставление субсидий бюджетным, автономным учреждениям и иным некоммерческим организациям</v>
      </c>
      <c r="B190" s="148"/>
      <c r="C190" s="149"/>
      <c r="D190" s="151"/>
      <c r="E190" s="149"/>
      <c r="F190" s="151">
        <v>600</v>
      </c>
      <c r="G190" s="498">
        <v>1178377</v>
      </c>
      <c r="H190" s="156">
        <v>1149877</v>
      </c>
      <c r="I190" s="157">
        <f t="shared" si="2"/>
        <v>2328254</v>
      </c>
    </row>
    <row r="191" spans="1:9" s="146" customFormat="1" ht="47.25" x14ac:dyDescent="0.25">
      <c r="A191" s="153" t="str">
        <f>IF(B191&gt;0,VLOOKUP(B191,КВСР!A97:B1262,2),IF(C191&gt;0,VLOOKUP(C191,КФСР!A97:B1609,2),IF(D191&gt;0,VLOOKUP(D191,Программа!A$1:B$5100,2),IF(F191&gt;0,VLOOKUP(F191,КВР!A$1:B$5001,2),IF(E191&gt;0,VLOOKUP(E191,Направление!A$1:B$4830,2))))))</f>
        <v xml:space="preserve">Мероприятия по содержанию территории города  из средств гранта района </v>
      </c>
      <c r="B191" s="148"/>
      <c r="C191" s="149"/>
      <c r="D191" s="151"/>
      <c r="E191" s="149">
        <v>75876</v>
      </c>
      <c r="F191" s="151"/>
      <c r="G191" s="498">
        <f>G192</f>
        <v>0</v>
      </c>
      <c r="H191" s="498">
        <f>H192</f>
        <v>2500000</v>
      </c>
      <c r="I191" s="498">
        <f>I192</f>
        <v>2500000</v>
      </c>
    </row>
    <row r="192" spans="1:9" s="146" customFormat="1" ht="63" x14ac:dyDescent="0.25">
      <c r="A192" s="153" t="str">
        <f>IF(B192&gt;0,VLOOKUP(B192,КВСР!A98:B1263,2),IF(C192&gt;0,VLOOKUP(C192,КФСР!A98:B1610,2),IF(D192&gt;0,VLOOKUP(D192,Программа!A$1:B$5100,2),IF(F192&gt;0,VLOOKUP(F192,КВР!A$1:B$5001,2),IF(E192&gt;0,VLOOKUP(E192,Направление!A$1:B$4830,2))))))</f>
        <v>Предоставление субсидий бюджетным, автономным учреждениям и иным некоммерческим организациям</v>
      </c>
      <c r="B192" s="148"/>
      <c r="C192" s="149"/>
      <c r="D192" s="151"/>
      <c r="E192" s="149"/>
      <c r="F192" s="151">
        <v>600</v>
      </c>
      <c r="G192" s="498"/>
      <c r="H192" s="156">
        <v>2500000</v>
      </c>
      <c r="I192" s="157">
        <f>SUM(G192:H192)</f>
        <v>2500000</v>
      </c>
    </row>
    <row r="193" spans="1:9" s="146" customFormat="1" ht="63" x14ac:dyDescent="0.25">
      <c r="A193" s="153" t="str">
        <f>IF(B193&gt;0,VLOOKUP(B193,КВСР!A95:B1260,2),IF(C193&gt;0,VLOOKUP(C193,КФСР!A95:B1607,2),IF(D193&gt;0,VLOOKUP(D193,Программа!A$1:B$5100,2),IF(F193&gt;0,VLOOKUP(F193,КВР!A$1:B$5001,2),IF(E193&gt;0,VLOOKUP(E193,Направление!A$1:B$4830,2))))))</f>
        <v>Муниципальная программа "Формирование  современной городской среды"  Тутаевского муниципального района</v>
      </c>
      <c r="B193" s="148"/>
      <c r="C193" s="149"/>
      <c r="D193" s="151" t="s">
        <v>3155</v>
      </c>
      <c r="E193" s="149"/>
      <c r="F193" s="151"/>
      <c r="G193" s="498">
        <v>17071884.759999998</v>
      </c>
      <c r="H193" s="498">
        <f>H194</f>
        <v>4304401</v>
      </c>
      <c r="I193" s="157">
        <f t="shared" si="2"/>
        <v>21376285.759999998</v>
      </c>
    </row>
    <row r="194" spans="1:9" s="146" customFormat="1" ht="63" x14ac:dyDescent="0.25">
      <c r="A194" s="153" t="str">
        <f>IF(B194&gt;0,VLOOKUP(B194,КВСР!A95:B1260,2),IF(C194&gt;0,VLOOKUP(C194,КФСР!A95:B1607,2),IF(D194&gt;0,VLOOKUP(D194,Программа!A$1:B$5100,2),IF(F194&gt;0,VLOOKUP(F194,КВР!A$1:B$5001,2),IF(E194&gt;0,VLOOKUP(E194,Направление!A$1:B$4830,2))))))</f>
        <v>Повышение безопасности движения пешеходов и транспортных средств на придомовых территориях и проездах к дворовым территориям МКД</v>
      </c>
      <c r="B194" s="148"/>
      <c r="C194" s="149"/>
      <c r="D194" s="151" t="s">
        <v>3185</v>
      </c>
      <c r="E194" s="149"/>
      <c r="F194" s="151"/>
      <c r="G194" s="498">
        <v>17071884.759999998</v>
      </c>
      <c r="H194" s="498">
        <f>H195+H199+H197</f>
        <v>4304401</v>
      </c>
      <c r="I194" s="157">
        <f t="shared" si="2"/>
        <v>21376285.759999998</v>
      </c>
    </row>
    <row r="195" spans="1:9" s="146" customFormat="1" ht="47.25" x14ac:dyDescent="0.25">
      <c r="A195" s="153" t="str">
        <f>IF(B195&gt;0,VLOOKUP(B195,КВСР!A96:B1261,2),IF(C195&gt;0,VLOOKUP(C195,КФСР!A96:B1608,2),IF(D195&gt;0,VLOOKUP(D195,Программа!A$1:B$5100,2),IF(F195&gt;0,VLOOKUP(F195,КВР!A$1:B$5001,2),IF(E195&gt;0,VLOOKUP(E195,Направление!A$1:B$4830,2))))))</f>
        <v>Обеспечение  мероприятий по формированию современной городской среды</v>
      </c>
      <c r="B195" s="148"/>
      <c r="C195" s="149"/>
      <c r="D195" s="151"/>
      <c r="E195" s="149" t="s">
        <v>3267</v>
      </c>
      <c r="F195" s="151"/>
      <c r="G195" s="498">
        <v>13768823</v>
      </c>
      <c r="H195" s="498">
        <f>H196</f>
        <v>1007020</v>
      </c>
      <c r="I195" s="157">
        <f t="shared" si="2"/>
        <v>14775843</v>
      </c>
    </row>
    <row r="196" spans="1:9" s="146" customFormat="1" ht="63" x14ac:dyDescent="0.25">
      <c r="A196" s="153" t="str">
        <f>IF(B196&gt;0,VLOOKUP(B196,КВСР!A97:B1262,2),IF(C196&gt;0,VLOOKUP(C196,КФСР!A97:B1609,2),IF(D196&gt;0,VLOOKUP(D196,Программа!A$1:B$5100,2),IF(F196&gt;0,VLOOKUP(F196,КВР!A$1:B$5001,2),IF(E196&gt;0,VLOOKUP(E196,Направление!A$1:B$4830,2))))))</f>
        <v>Предоставление субсидий бюджетным, автономным учреждениям и иным некоммерческим организациям</v>
      </c>
      <c r="B196" s="148"/>
      <c r="C196" s="149"/>
      <c r="D196" s="151"/>
      <c r="E196" s="149"/>
      <c r="F196" s="151">
        <v>600</v>
      </c>
      <c r="G196" s="498">
        <v>13768823</v>
      </c>
      <c r="H196" s="156">
        <v>1007020</v>
      </c>
      <c r="I196" s="157">
        <f t="shared" si="2"/>
        <v>14775843</v>
      </c>
    </row>
    <row r="197" spans="1:9" s="146" customFormat="1" ht="63" x14ac:dyDescent="0.25">
      <c r="A197" s="153" t="str">
        <f>IF(B197&gt;0,VLOOKUP(B197,КВСР!A98:B1263,2),IF(C197&gt;0,VLOOKUP(C197,КФСР!A98:B1610,2),IF(D197&gt;0,VLOOKUP(D197,Программа!A$1:B$5100,2),IF(F197&gt;0,VLOOKUP(F197,КВР!A$1:B$5001,2),IF(E197&gt;0,VLOOKUP(E197,Направление!A$1:B$4830,2))))))</f>
        <v>Обеспечение мероприятий по  формированию современной городской среды в области дорожного хозяйства</v>
      </c>
      <c r="B197" s="148"/>
      <c r="C197" s="149"/>
      <c r="D197" s="151"/>
      <c r="E197" s="149">
        <v>29646</v>
      </c>
      <c r="F197" s="151"/>
      <c r="G197" s="498">
        <v>149164</v>
      </c>
      <c r="H197" s="498">
        <f>H198</f>
        <v>143483</v>
      </c>
      <c r="I197" s="498">
        <f>I198</f>
        <v>292647</v>
      </c>
    </row>
    <row r="198" spans="1:9" s="146" customFormat="1" ht="63" x14ac:dyDescent="0.25">
      <c r="A198" s="153" t="str">
        <f>IF(B198&gt;0,VLOOKUP(B198,КВСР!A99:B1264,2),IF(C198&gt;0,VLOOKUP(C198,КФСР!A99:B1611,2),IF(D198&gt;0,VLOOKUP(D198,Программа!A$1:B$5100,2),IF(F198&gt;0,VLOOKUP(F198,КВР!A$1:B$5001,2),IF(E198&gt;0,VLOOKUP(E198,Направление!A$1:B$4830,2))))))</f>
        <v>Предоставление субсидий бюджетным, автономным учреждениям и иным некоммерческим организациям</v>
      </c>
      <c r="B198" s="148"/>
      <c r="C198" s="149"/>
      <c r="D198" s="151"/>
      <c r="E198" s="149"/>
      <c r="F198" s="151">
        <v>600</v>
      </c>
      <c r="G198" s="498">
        <v>149164</v>
      </c>
      <c r="H198" s="156">
        <v>143483</v>
      </c>
      <c r="I198" s="157">
        <f>SUM(G198:H198)</f>
        <v>292647</v>
      </c>
    </row>
    <row r="199" spans="1:9" s="146" customFormat="1" ht="31.5" x14ac:dyDescent="0.25">
      <c r="A199" s="153" t="str">
        <f>IF(B199&gt;0,VLOOKUP(B199,КВСР!A98:B1263,2),IF(C199&gt;0,VLOOKUP(C199,КФСР!A98:B1610,2),IF(D199&gt;0,VLOOKUP(D199,Программа!A$1:B$5100,2),IF(F199&gt;0,VLOOKUP(F199,КВР!A$1:B$5001,2),IF(E199&gt;0,VLOOKUP(E199,Направление!A$1:B$4830,2))))))</f>
        <v xml:space="preserve">Субсидия на формирование современной городской среды </v>
      </c>
      <c r="B199" s="148"/>
      <c r="C199" s="149"/>
      <c r="D199" s="151"/>
      <c r="E199" s="149">
        <v>75556</v>
      </c>
      <c r="F199" s="151"/>
      <c r="G199" s="498">
        <v>3153897.76</v>
      </c>
      <c r="H199" s="498">
        <f>H200</f>
        <v>3153898</v>
      </c>
      <c r="I199" s="157">
        <f t="shared" si="2"/>
        <v>6307795.7599999998</v>
      </c>
    </row>
    <row r="200" spans="1:9" s="146" customFormat="1" ht="63" x14ac:dyDescent="0.25">
      <c r="A200" s="153" t="str">
        <f>IF(B200&gt;0,VLOOKUP(B200,КВСР!A99:B1264,2),IF(C200&gt;0,VLOOKUP(C200,КФСР!A99:B1611,2),IF(D200&gt;0,VLOOKUP(D200,Программа!A$1:B$5100,2),IF(F200&gt;0,VLOOKUP(F200,КВР!A$1:B$5001,2),IF(E200&gt;0,VLOOKUP(E200,Направление!A$1:B$4830,2))))))</f>
        <v>Предоставление субсидий бюджетным, автономным учреждениям и иным некоммерческим организациям</v>
      </c>
      <c r="B200" s="148"/>
      <c r="C200" s="149"/>
      <c r="D200" s="151"/>
      <c r="E200" s="149"/>
      <c r="F200" s="151">
        <v>600</v>
      </c>
      <c r="G200" s="498">
        <v>3153897.76</v>
      </c>
      <c r="H200" s="156">
        <v>3153898</v>
      </c>
      <c r="I200" s="157">
        <f t="shared" si="2"/>
        <v>6307795.7599999998</v>
      </c>
    </row>
    <row r="201" spans="1:9" s="146" customFormat="1" x14ac:dyDescent="0.25">
      <c r="A201" s="153" t="str">
        <f>IF(B201&gt;0,VLOOKUP(B201,КВСР!A100:B1265,2),IF(C201&gt;0,VLOOKUP(C201,КФСР!A100:B1612,2),IF(D201&gt;0,VLOOKUP(D201,Программа!A$1:B$5100,2),IF(F201&gt;0,VLOOKUP(F201,КВР!A$1:B$5001,2),IF(E201&gt;0,VLOOKUP(E201,Направление!A$1:B$4830,2))))))</f>
        <v>Непрограммные расходы бюджета</v>
      </c>
      <c r="B201" s="148"/>
      <c r="C201" s="149"/>
      <c r="D201" s="151" t="s">
        <v>624</v>
      </c>
      <c r="E201" s="149"/>
      <c r="F201" s="151"/>
      <c r="G201" s="498">
        <v>1389926.2599999998</v>
      </c>
      <c r="H201" s="498">
        <f>H202+H206+H204</f>
        <v>1319550</v>
      </c>
      <c r="I201" s="157">
        <f>SUM(G201:H201)</f>
        <v>2709476.26</v>
      </c>
    </row>
    <row r="202" spans="1:9" s="146" customFormat="1" ht="63" hidden="1" x14ac:dyDescent="0.25">
      <c r="A202" s="153" t="str">
        <f>IF(B202&gt;0,VLOOKUP(B202,КВСР!A101:B1266,2),IF(C202&gt;0,VLOOKUP(C202,КФСР!A101:B1613,2),IF(D202&gt;0,VLOOKUP(D202,Программа!A$1:B$5100,2),IF(F202&gt;0,VLOOKUP(F202,КВР!A$1:B$5001,2),IF(E202&gt;0,VLOOKUP(E202,Направление!A$1:B$4830,2))))))</f>
        <v>Обеспечение мероприятий по разработке комплексных схем организации дорожного движения в рамках агломерации "Ярославская"</v>
      </c>
      <c r="B202" s="148"/>
      <c r="C202" s="149"/>
      <c r="D202" s="151"/>
      <c r="E202" s="414">
        <v>29726</v>
      </c>
      <c r="F202" s="151"/>
      <c r="G202" s="498">
        <v>0.26000000000931323</v>
      </c>
      <c r="H202" s="498">
        <f>H203</f>
        <v>0</v>
      </c>
      <c r="I202" s="157">
        <f t="shared" si="2"/>
        <v>0.26000000000931323</v>
      </c>
    </row>
    <row r="203" spans="1:9" s="146" customFormat="1" ht="63" hidden="1" x14ac:dyDescent="0.25">
      <c r="A203" s="153" t="str">
        <f>IF(B203&gt;0,VLOOKUP(B203,КВСР!A102:B1267,2),IF(C203&gt;0,VLOOKUP(C203,КФСР!A102:B1614,2),IF(D203&gt;0,VLOOKUP(D203,Программа!A$1:B$5100,2),IF(F203&gt;0,VLOOKUP(F203,КВР!A$1:B$5001,2),IF(E203&gt;0,VLOOKUP(E203,Направление!A$1:B$4830,2))))))</f>
        <v>Предоставление субсидий бюджетным, автономным учреждениям и иным некоммерческим организациям</v>
      </c>
      <c r="B203" s="148"/>
      <c r="C203" s="149"/>
      <c r="D203" s="151"/>
      <c r="E203" s="149"/>
      <c r="F203" s="151">
        <v>600</v>
      </c>
      <c r="G203" s="498">
        <v>0.26000000000931323</v>
      </c>
      <c r="H203" s="156"/>
      <c r="I203" s="157">
        <f t="shared" si="2"/>
        <v>0.26000000000931323</v>
      </c>
    </row>
    <row r="204" spans="1:9" s="146" customFormat="1" ht="78.75" x14ac:dyDescent="0.25">
      <c r="A204" s="153" t="str">
        <f>IF(B204&gt;0,VLOOKUP(B204,КВСР!A103:B1268,2),IF(C204&gt;0,VLOOKUP(C204,КФСР!A103:B1615,2),IF(D204&gt;0,VLOOKUP(D204,Программа!A$1:B$5100,2),IF(F204&gt;0,VLOOKUP(F204,КВР!A$1:B$5001,2),IF(E204&gt;0,VLOOKUP(E204,Направление!A$1:B$4830,2))))))</f>
        <v>Обеспечение софинансирования мероприятий по  по разработке комплексных схем организации дорожного движения в рамках агломерации "Ярославская"</v>
      </c>
      <c r="B204" s="148"/>
      <c r="C204" s="149"/>
      <c r="D204" s="151"/>
      <c r="E204" s="149">
        <v>23906</v>
      </c>
      <c r="F204" s="151"/>
      <c r="G204" s="498">
        <v>138993</v>
      </c>
      <c r="H204" s="498">
        <f>H205</f>
        <v>131955</v>
      </c>
      <c r="I204" s="157">
        <f>SUM(G204:H204)</f>
        <v>270948</v>
      </c>
    </row>
    <row r="205" spans="1:9" s="146" customFormat="1" ht="63" x14ac:dyDescent="0.25">
      <c r="A205" s="153" t="str">
        <f>IF(B205&gt;0,VLOOKUP(B205,КВСР!A104:B1269,2),IF(C205&gt;0,VLOOKUP(C205,КФСР!A104:B1616,2),IF(D205&gt;0,VLOOKUP(D205,Программа!A$1:B$5100,2),IF(F205&gt;0,VLOOKUP(F205,КВР!A$1:B$5001,2),IF(E205&gt;0,VLOOKUP(E205,Направление!A$1:B$4830,2))))))</f>
        <v>Предоставление субсидий бюджетным, автономным учреждениям и иным некоммерческим организациям</v>
      </c>
      <c r="B205" s="148"/>
      <c r="C205" s="149"/>
      <c r="D205" s="151"/>
      <c r="E205" s="149"/>
      <c r="F205" s="151">
        <v>600</v>
      </c>
      <c r="G205" s="498">
        <v>138993</v>
      </c>
      <c r="H205" s="156">
        <v>131955</v>
      </c>
      <c r="I205" s="157">
        <f>SUM(G205:H205)</f>
        <v>270948</v>
      </c>
    </row>
    <row r="206" spans="1:9" s="146" customFormat="1" ht="47.25" x14ac:dyDescent="0.25">
      <c r="A206" s="153" t="str">
        <f>IF(B206&gt;0,VLOOKUP(B206,КВСР!A103:B1268,2),IF(C206&gt;0,VLOOKUP(C206,КФСР!A103:B1615,2),IF(D206&gt;0,VLOOKUP(D206,Программа!A$1:B$5100,2),IF(F206&gt;0,VLOOKUP(F206,КВР!A$1:B$5001,2),IF(E206&gt;0,VLOOKUP(E206,Направление!A$1:B$4830,2))))))</f>
        <v>Расходы на комплексное развитие транспортной инфраструктуры городской агломерации "Ярославская"</v>
      </c>
      <c r="B206" s="148"/>
      <c r="C206" s="149"/>
      <c r="D206" s="151"/>
      <c r="E206" s="149">
        <v>73906</v>
      </c>
      <c r="F206" s="151"/>
      <c r="G206" s="498">
        <v>1250933</v>
      </c>
      <c r="H206" s="498">
        <f>H207</f>
        <v>1187595</v>
      </c>
      <c r="I206" s="498">
        <f>I207</f>
        <v>2438528</v>
      </c>
    </row>
    <row r="207" spans="1:9" s="146" customFormat="1" ht="63" x14ac:dyDescent="0.25">
      <c r="A207" s="153" t="str">
        <f>IF(B207&gt;0,VLOOKUP(B207,КВСР!A104:B1269,2),IF(C207&gt;0,VLOOKUP(C207,КФСР!A104:B1616,2),IF(D207&gt;0,VLOOKUP(D207,Программа!A$1:B$5100,2),IF(F207&gt;0,VLOOKUP(F207,КВР!A$1:B$5001,2),IF(E207&gt;0,VLOOKUP(E207,Направление!A$1:B$4830,2))))))</f>
        <v>Предоставление субсидий бюджетным, автономным учреждениям и иным некоммерческим организациям</v>
      </c>
      <c r="B207" s="148"/>
      <c r="C207" s="149"/>
      <c r="D207" s="151"/>
      <c r="E207" s="149"/>
      <c r="F207" s="151">
        <v>600</v>
      </c>
      <c r="G207" s="498">
        <v>1250933</v>
      </c>
      <c r="H207" s="156">
        <v>1187595</v>
      </c>
      <c r="I207" s="157">
        <f>SUM(G207:H207)</f>
        <v>2438528</v>
      </c>
    </row>
    <row r="208" spans="1:9" s="146" customFormat="1" ht="31.5" x14ac:dyDescent="0.25">
      <c r="A208" s="153" t="str">
        <f>IF(B208&gt;0,VLOOKUP(B208,КВСР!A98:B1263,2),IF(C208&gt;0,VLOOKUP(C208,КФСР!A98:B1610,2),IF(D208&gt;0,VLOOKUP(D208,Программа!A$1:B$5100,2),IF(F208&gt;0,VLOOKUP(F208,КВР!A$1:B$5001,2),IF(E208&gt;0,VLOOKUP(E208,Направление!A$1:B$4830,2))))))</f>
        <v>Межбюджетные трансферты  поселениям района</v>
      </c>
      <c r="B208" s="148"/>
      <c r="C208" s="149"/>
      <c r="D208" s="151" t="s">
        <v>799</v>
      </c>
      <c r="E208" s="149"/>
      <c r="F208" s="151"/>
      <c r="G208" s="498">
        <v>89165492.180000007</v>
      </c>
      <c r="H208" s="498">
        <f>H209+H211+H215+H213</f>
        <v>88465652</v>
      </c>
      <c r="I208" s="157">
        <f t="shared" si="2"/>
        <v>177631144.18000001</v>
      </c>
    </row>
    <row r="209" spans="1:9" s="146" customFormat="1" ht="63" x14ac:dyDescent="0.25">
      <c r="A209" s="680" t="str">
        <f>IF(B209&gt;0,VLOOKUP(B209,КВСР!A99:B1264,2),IF(C209&gt;0,VLOOKUP(C209,КФСР!A99:B1611,2),IF(D209&gt;0,VLOOKUP(D209,Программа!A$1:B$5100,2),IF(F209&gt;0,VLOOKUP(F209,КВР!A$1:B$5001,2),IF(E209&gt;0,VLOOKUP(E209,Направление!A$1:B$4830,2))))))</f>
        <v>Субсидия на комплексное развитие транспортной инфраструктуры городской агломерации "Ярославская" за счет средств областного бюджета</v>
      </c>
      <c r="B209" s="184"/>
      <c r="C209" s="150"/>
      <c r="D209" s="150"/>
      <c r="E209" s="149">
        <v>73900</v>
      </c>
      <c r="F209" s="151"/>
      <c r="G209" s="498">
        <v>1250933</v>
      </c>
      <c r="H209" s="498">
        <f>H210</f>
        <v>1187595</v>
      </c>
      <c r="I209" s="157">
        <f t="shared" si="2"/>
        <v>2438528</v>
      </c>
    </row>
    <row r="210" spans="1:9" s="146" customFormat="1" x14ac:dyDescent="0.25">
      <c r="A210" s="153" t="str">
        <f>IF(B210&gt;0,VLOOKUP(B210,КВСР!A100:B1265,2),IF(C210&gt;0,VLOOKUP(C210,КФСР!A100:B1612,2),IF(D210&gt;0,VLOOKUP(D210,Программа!A$1:B$5100,2),IF(F210&gt;0,VLOOKUP(F210,КВР!A$1:B$5001,2),IF(E210&gt;0,VLOOKUP(E210,Направление!A$1:B$4830,2))))))</f>
        <v xml:space="preserve"> Межбюджетные трансферты</v>
      </c>
      <c r="B210" s="148"/>
      <c r="C210" s="149"/>
      <c r="D210" s="151"/>
      <c r="E210" s="149"/>
      <c r="F210" s="151">
        <v>500</v>
      </c>
      <c r="G210" s="498">
        <v>1250933</v>
      </c>
      <c r="H210" s="156">
        <v>1187595</v>
      </c>
      <c r="I210" s="157">
        <f t="shared" si="2"/>
        <v>2438528</v>
      </c>
    </row>
    <row r="211" spans="1:9" s="146" customFormat="1" ht="47.25" x14ac:dyDescent="0.25">
      <c r="A211" s="153" t="str">
        <f>IF(B211&gt;0,VLOOKUP(B211,КВСР!A101:B1266,2),IF(C211&gt;0,VLOOKUP(C211,КФСР!A101:B1613,2),IF(D211&gt;0,VLOOKUP(D211,Программа!A$1:B$5100,2),IF(F211&gt;0,VLOOKUP(F211,КВР!A$1:B$5001,2),IF(E211&gt;0,VLOOKUP(E211,Направление!A$1:B$4830,2))))))</f>
        <v>Расходы на финансирование дорожного хозяйства за счет средств областного бюджета</v>
      </c>
      <c r="B211" s="148"/>
      <c r="C211" s="149"/>
      <c r="D211" s="151"/>
      <c r="E211" s="149">
        <v>72440</v>
      </c>
      <c r="F211" s="151"/>
      <c r="G211" s="498">
        <v>22549674.699999999</v>
      </c>
      <c r="H211" s="498">
        <f>H212</f>
        <v>22471118</v>
      </c>
      <c r="I211" s="157">
        <f t="shared" si="2"/>
        <v>45020792.700000003</v>
      </c>
    </row>
    <row r="212" spans="1:9" s="146" customFormat="1" x14ac:dyDescent="0.25">
      <c r="A212" s="153" t="str">
        <f>IF(B212&gt;0,VLOOKUP(B212,КВСР!A102:B1267,2),IF(C212&gt;0,VLOOKUP(C212,КФСР!A102:B1614,2),IF(D212&gt;0,VLOOKUP(D212,Программа!A$1:B$5100,2),IF(F212&gt;0,VLOOKUP(F212,КВР!A$1:B$5001,2),IF(E212&gt;0,VLOOKUP(E212,Направление!A$1:B$4830,2))))))</f>
        <v xml:space="preserve"> Межбюджетные трансферты</v>
      </c>
      <c r="B212" s="148"/>
      <c r="C212" s="149"/>
      <c r="D212" s="151"/>
      <c r="E212" s="149"/>
      <c r="F212" s="151">
        <v>500</v>
      </c>
      <c r="G212" s="498">
        <v>22549674.699999999</v>
      </c>
      <c r="H212" s="156">
        <v>22471118</v>
      </c>
      <c r="I212" s="157">
        <f t="shared" si="2"/>
        <v>45020792.700000003</v>
      </c>
    </row>
    <row r="213" spans="1:9" s="146" customFormat="1" ht="47.25" x14ac:dyDescent="0.25">
      <c r="A213" s="153" t="str">
        <f>IF(B213&gt;0,VLOOKUP(B213,КВСР!A103:B1268,2),IF(C213&gt;0,VLOOKUP(C213,КФСР!A103:B1615,2),IF(D213&gt;0,VLOOKUP(D213,Программа!A$1:B$5100,2),IF(F213&gt;0,VLOOKUP(F213,КВР!A$1:B$5001,2),IF(E213&gt;0,VLOOKUP(E213,Направление!A$1:B$4830,2))))))</f>
        <v>Субсидия на формирование современной городской среды  (кредиторская задолженность)</v>
      </c>
      <c r="B213" s="148"/>
      <c r="C213" s="149"/>
      <c r="D213" s="151"/>
      <c r="E213" s="149">
        <v>75550</v>
      </c>
      <c r="F213" s="151"/>
      <c r="G213" s="498">
        <v>3153897.76</v>
      </c>
      <c r="H213" s="498">
        <f>H214</f>
        <v>3153898</v>
      </c>
      <c r="I213" s="157">
        <f t="shared" si="2"/>
        <v>6307795.7599999998</v>
      </c>
    </row>
    <row r="214" spans="1:9" s="146" customFormat="1" x14ac:dyDescent="0.25">
      <c r="A214" s="153" t="str">
        <f>IF(B214&gt;0,VLOOKUP(B214,КВСР!A104:B1269,2),IF(C214&gt;0,VLOOKUP(C214,КФСР!A104:B1616,2),IF(D214&gt;0,VLOOKUP(D214,Программа!A$1:B$5100,2),IF(F214&gt;0,VLOOKUP(F214,КВР!A$1:B$5001,2),IF(E214&gt;0,VLOOKUP(E214,Направление!A$1:B$4830,2))))))</f>
        <v xml:space="preserve"> Межбюджетные трансферты</v>
      </c>
      <c r="B214" s="148"/>
      <c r="C214" s="149"/>
      <c r="D214" s="151"/>
      <c r="E214" s="149"/>
      <c r="F214" s="151">
        <v>500</v>
      </c>
      <c r="G214" s="498">
        <v>3153897.76</v>
      </c>
      <c r="H214" s="156">
        <v>3153898</v>
      </c>
      <c r="I214" s="157">
        <f t="shared" si="2"/>
        <v>6307795.7599999998</v>
      </c>
    </row>
    <row r="215" spans="1:9" s="146" customFormat="1" ht="63" x14ac:dyDescent="0.25">
      <c r="A215" s="153" t="str">
        <f>IF(B215&gt;0,VLOOKUP(B215,КВСР!A103:B1268,2),IF(C215&gt;0,VLOOKUP(C215,КФСР!A103:B1615,2),IF(D215&gt;0,VLOOKUP(D215,Программа!A$1:B$5100,2),IF(F215&gt;0,VLOOKUP(F215,КВР!A$1:B$5001,2),IF(E215&gt;0,VLOOKUP(E215,Направление!A$1:B$4830,2))))))</f>
        <v>Субсидия на капитальный ремонт и ремонт дорожных объектов мунициальной собственности  из бюджета ЯО</v>
      </c>
      <c r="B215" s="148"/>
      <c r="C215" s="149"/>
      <c r="D215" s="151"/>
      <c r="E215" s="149">
        <v>75620</v>
      </c>
      <c r="F215" s="151"/>
      <c r="G215" s="498">
        <v>62210986.719999999</v>
      </c>
      <c r="H215" s="498">
        <f>H216</f>
        <v>61653041</v>
      </c>
      <c r="I215" s="157">
        <f t="shared" si="2"/>
        <v>123864027.72</v>
      </c>
    </row>
    <row r="216" spans="1:9" s="146" customFormat="1" x14ac:dyDescent="0.25">
      <c r="A216" s="153" t="str">
        <f>IF(B216&gt;0,VLOOKUP(B216,КВСР!A104:B1269,2),IF(C216&gt;0,VLOOKUP(C216,КФСР!A104:B1616,2),IF(D216&gt;0,VLOOKUP(D216,Программа!A$1:B$5100,2),IF(F216&gt;0,VLOOKUP(F216,КВР!A$1:B$5001,2),IF(E216&gt;0,VLOOKUP(E216,Направление!A$1:B$4830,2))))))</f>
        <v xml:space="preserve"> Межбюджетные трансферты</v>
      </c>
      <c r="B216" s="148"/>
      <c r="C216" s="149"/>
      <c r="D216" s="151"/>
      <c r="E216" s="149"/>
      <c r="F216" s="151">
        <v>500</v>
      </c>
      <c r="G216" s="498">
        <v>62210986.719999999</v>
      </c>
      <c r="H216" s="156">
        <v>61653041</v>
      </c>
      <c r="I216" s="157">
        <f t="shared" si="2"/>
        <v>123864027.72</v>
      </c>
    </row>
    <row r="217" spans="1:9" s="146" customFormat="1" ht="31.5" x14ac:dyDescent="0.25">
      <c r="A217" s="153" t="str">
        <f>IF(B217&gt;0,VLOOKUP(B217,КВСР!A48:B1213,2),IF(C217&gt;0,VLOOKUP(C217,КФСР!A48:B1560,2),IF(D217&gt;0,VLOOKUP(D217,Программа!A$1:B$5100,2),IF(F218&gt;0,VLOOKUP(F218,КВР!A$1:B$5001,2),IF(E217&gt;0,VLOOKUP(E217,Направление!A$1:B$4830,2))))))</f>
        <v>Другие вопросы в области национальной экономики</v>
      </c>
      <c r="B217" s="154"/>
      <c r="C217" s="149">
        <v>412</v>
      </c>
      <c r="D217" s="150"/>
      <c r="E217" s="149"/>
      <c r="F217" s="151"/>
      <c r="G217" s="500">
        <v>4230587</v>
      </c>
      <c r="H217" s="155">
        <f>H218+H236</f>
        <v>3353468</v>
      </c>
      <c r="I217" s="157">
        <f t="shared" si="2"/>
        <v>7584055</v>
      </c>
    </row>
    <row r="218" spans="1:9" s="146" customFormat="1" ht="94.5" x14ac:dyDescent="0.25">
      <c r="A218" s="153" t="str">
        <f>IF(B218&gt;0,VLOOKUP(B218,КВСР!A49:B1214,2),IF(C218&gt;0,VLOOKUP(C218,КФСР!A49:B1561,2),IF(D218&gt;0,VLOOKUP(D218,Программа!A$1:B$5100,2),IF(F219&gt;0,VLOOKUP(F219,КВР!A$1:B$5001,2),IF(E218&gt;0,VLOOKUP(E218,Направление!A$1:B$4830,2))))))</f>
        <v>Муниципальная программа "Экономическое развитие и инновационная экономика, развитие предпринимательства и сельского хозяйства в Тутаевском муниципальном районе"</v>
      </c>
      <c r="B218" s="154"/>
      <c r="C218" s="149"/>
      <c r="D218" s="150" t="s">
        <v>653</v>
      </c>
      <c r="E218" s="149"/>
      <c r="F218" s="151"/>
      <c r="G218" s="500">
        <v>4230587</v>
      </c>
      <c r="H218" s="155">
        <f>H228+H219</f>
        <v>3353468</v>
      </c>
      <c r="I218" s="157">
        <f t="shared" si="2"/>
        <v>7584055</v>
      </c>
    </row>
    <row r="219" spans="1:9" s="146" customFormat="1" ht="63" x14ac:dyDescent="0.25">
      <c r="A219" s="153" t="str">
        <f>IF(B219&gt;0,VLOOKUP(B219,КВСР!A50:B1215,2),IF(C219&gt;0,VLOOKUP(C219,КФСР!A50:B1562,2),IF(D219&gt;0,VLOOKUP(D219,Программа!A$1:B$5100,2),IF(F220&gt;0,VLOOKUP(F220,КВР!A$1:B$5001,2),IF(E219&gt;0,VLOOKUP(E219,Направление!A$1:B$4830,2))))))</f>
        <v>Муниципальная целевая программа «Развитие субъектов малого и среднего предпринимательства Тутаевского муниципального района»</v>
      </c>
      <c r="B219" s="154"/>
      <c r="C219" s="149"/>
      <c r="D219" s="150" t="s">
        <v>664</v>
      </c>
      <c r="E219" s="149"/>
      <c r="F219" s="151"/>
      <c r="G219" s="500">
        <v>4000001</v>
      </c>
      <c r="H219" s="155">
        <f>H220+H223</f>
        <v>3177882</v>
      </c>
      <c r="I219" s="157">
        <f t="shared" si="2"/>
        <v>7177883</v>
      </c>
    </row>
    <row r="220" spans="1:9" s="146" customFormat="1" ht="94.5" hidden="1" x14ac:dyDescent="0.25">
      <c r="A220" s="153" t="str">
        <f>IF(B220&gt;0,VLOOKUP(B220,КВСР!A51:B1216,2),IF(C220&gt;0,VLOOKUP(C220,КФСР!A51:B1563,2),IF(D220&gt;0,VLOOKUP(D220,Программа!A$1:B$5100,2),IF(F221&gt;0,VLOOKUP(F221,КВР!A$1:B$5001,2),IF(E220&gt;0,VLOOKUP(E220,Направление!A$1:B$4830,2))))))</f>
        <v>Популяризация роли предпринимательства, информационная, консультационная и организационная поддержка субъектов малого и среднего предпринимательства</v>
      </c>
      <c r="B220" s="154"/>
      <c r="C220" s="149"/>
      <c r="D220" s="150" t="s">
        <v>666</v>
      </c>
      <c r="E220" s="149"/>
      <c r="F220" s="151"/>
      <c r="G220" s="500">
        <v>0</v>
      </c>
      <c r="H220" s="155">
        <f>H221</f>
        <v>0</v>
      </c>
      <c r="I220" s="157">
        <f t="shared" si="2"/>
        <v>0</v>
      </c>
    </row>
    <row r="221" spans="1:9" s="146" customFormat="1" ht="63" hidden="1" x14ac:dyDescent="0.25">
      <c r="A221" s="153" t="str">
        <f>IF(B221&gt;0,VLOOKUP(B221,КВСР!A52:B1217,2),IF(C221&gt;0,VLOOKUP(C221,КФСР!A52:B1564,2),IF(D221&gt;0,VLOOKUP(D221,Программа!A$1:B$5100,2),IF(F222&gt;0,VLOOKUP(F222,КВР!A$1:B$5001,2),IF(E221&gt;0,VLOOKUP(E221,Направление!A$1:B$4830,2))))))</f>
        <v xml:space="preserve">Закупка товаров, работ и услуг для обеспечения государственных (муниципальных) нужд
</v>
      </c>
      <c r="B221" s="154"/>
      <c r="C221" s="149"/>
      <c r="D221" s="150"/>
      <c r="E221" s="149">
        <v>10300</v>
      </c>
      <c r="F221" s="151"/>
      <c r="G221" s="500">
        <v>0</v>
      </c>
      <c r="H221" s="155">
        <f>H222</f>
        <v>0</v>
      </c>
      <c r="I221" s="157">
        <f t="shared" si="2"/>
        <v>0</v>
      </c>
    </row>
    <row r="222" spans="1:9" s="146" customFormat="1" ht="63" hidden="1" x14ac:dyDescent="0.25">
      <c r="A222" s="153" t="str">
        <f>IF(B222&gt;0,VLOOKUP(B222,КВСР!A53:B1218,2),IF(C222&gt;0,VLOOKUP(C222,КФСР!A53:B1565,2),IF(D222&gt;0,VLOOKUP(D222,Программа!A$1:B$5100,2),IF(F222&gt;0,VLOOKUP(F222,КВР!A$1:B$5001,2),IF(E222&gt;0,VLOOKUP(E222,Направление!A$1:B$4830,2))))))</f>
        <v xml:space="preserve">Закупка товаров, работ и услуг для обеспечения государственных (муниципальных) нужд
</v>
      </c>
      <c r="B222" s="154"/>
      <c r="C222" s="149"/>
      <c r="D222" s="150"/>
      <c r="E222" s="149"/>
      <c r="F222" s="151">
        <v>200</v>
      </c>
      <c r="G222" s="611">
        <v>0</v>
      </c>
      <c r="H222" s="165"/>
      <c r="I222" s="157">
        <f t="shared" si="2"/>
        <v>0</v>
      </c>
    </row>
    <row r="223" spans="1:9" s="146" customFormat="1" ht="47.25" x14ac:dyDescent="0.25">
      <c r="A223" s="153" t="str">
        <f>IF(B223&gt;0,VLOOKUP(B223,КВСР!A54:B1219,2),IF(C223&gt;0,VLOOKUP(C223,КФСР!A54:B1566,2),IF(D223&gt;0,VLOOKUP(D223,Программа!A$1:B$5100,2),IF(F223&gt;0,VLOOKUP(F223,КВР!A$1:B$5001,2),IF(E223&gt;0,VLOOKUP(E223,Направление!A$1:B$4830,2))))))</f>
        <v>Развитие системы финансовой поддержки субъектов малого и среднего предпринимательства</v>
      </c>
      <c r="B223" s="154"/>
      <c r="C223" s="149"/>
      <c r="D223" s="150" t="s">
        <v>668</v>
      </c>
      <c r="E223" s="149"/>
      <c r="F223" s="151"/>
      <c r="G223" s="164">
        <v>4000001</v>
      </c>
      <c r="H223" s="164">
        <f>H224+H226</f>
        <v>3177882</v>
      </c>
      <c r="I223" s="157">
        <f t="shared" si="2"/>
        <v>7177883</v>
      </c>
    </row>
    <row r="224" spans="1:9" s="146" customFormat="1" ht="47.25" hidden="1" x14ac:dyDescent="0.25">
      <c r="A224" s="153" t="str">
        <f>IF(B224&gt;0,VLOOKUP(B224,КВСР!A55:B1220,2),IF(C224&gt;0,VLOOKUP(C224,КФСР!A55:B1567,2),IF(D224&gt;0,VLOOKUP(D224,Программа!A$1:B$5100,2),IF(F224&gt;0,VLOOKUP(F224,КВР!A$1:B$5001,2),IF(E224&gt;0,VLOOKUP(E224,Направление!A$1:B$4830,2))))))</f>
        <v>Субсидия на мероприятия по  содействию развития малого и среднего предпринимательства</v>
      </c>
      <c r="B224" s="154"/>
      <c r="C224" s="149"/>
      <c r="D224" s="150"/>
      <c r="E224" s="149">
        <v>10300</v>
      </c>
      <c r="F224" s="151"/>
      <c r="G224" s="164">
        <v>0</v>
      </c>
      <c r="H224" s="164">
        <f>H225</f>
        <v>0</v>
      </c>
      <c r="I224" s="157">
        <f t="shared" si="2"/>
        <v>0</v>
      </c>
    </row>
    <row r="225" spans="1:9" s="146" customFormat="1" hidden="1" x14ac:dyDescent="0.25">
      <c r="A225" s="153" t="str">
        <f>IF(B225&gt;0,VLOOKUP(B225,КВСР!A56:B1221,2),IF(C225&gt;0,VLOOKUP(C225,КФСР!A56:B1568,2),IF(D225&gt;0,VLOOKUP(D225,Программа!A$1:B$5100,2),IF(F225&gt;0,VLOOKUP(F225,КВР!A$1:B$5001,2),IF(E225&gt;0,VLOOKUP(E225,Направление!A$1:B$4830,2))))))</f>
        <v>Иные бюджетные ассигнования</v>
      </c>
      <c r="B225" s="154"/>
      <c r="C225" s="149"/>
      <c r="D225" s="150"/>
      <c r="E225" s="149"/>
      <c r="F225" s="151">
        <v>800</v>
      </c>
      <c r="G225" s="611">
        <v>0</v>
      </c>
      <c r="H225" s="165"/>
      <c r="I225" s="157">
        <f t="shared" si="2"/>
        <v>0</v>
      </c>
    </row>
    <row r="226" spans="1:9" s="146" customFormat="1" ht="94.5" x14ac:dyDescent="0.25">
      <c r="A226" s="153" t="str">
        <f>IF(B226&gt;0,VLOOKUP(B226,КВСР!A57:B1222,2),IF(C226&gt;0,VLOOKUP(C226,КФСР!A57:B1569,2),IF(D226&gt;0,VLOOKUP(D226,Программа!A$1:B$5100,2),IF(F226&gt;0,VLOOKUP(F226,КВР!A$1:B$5001,2),IF(E226&gt;0,VLOOKUP(E226,Направление!A$1:B$4830,2))))))</f>
        <v>Субсидия  на реализацию муниципальных программ (подпрограмм) развития малого и среднего предпринимательства, в том числе монопрофильных муниципальных образований</v>
      </c>
      <c r="B226" s="154"/>
      <c r="C226" s="149"/>
      <c r="D226" s="150"/>
      <c r="E226" s="149" t="s">
        <v>3295</v>
      </c>
      <c r="F226" s="151"/>
      <c r="G226" s="611">
        <v>4000001</v>
      </c>
      <c r="H226" s="611">
        <f>H227</f>
        <v>3177882</v>
      </c>
      <c r="I226" s="157">
        <f t="shared" si="2"/>
        <v>7177883</v>
      </c>
    </row>
    <row r="227" spans="1:9" s="146" customFormat="1" x14ac:dyDescent="0.25">
      <c r="A227" s="153" t="str">
        <f>IF(B227&gt;0,VLOOKUP(B227,КВСР!A58:B1223,2),IF(C227&gt;0,VLOOKUP(C227,КФСР!A58:B1570,2),IF(D227&gt;0,VLOOKUP(D227,Программа!A$1:B$5100,2),IF(F227&gt;0,VLOOKUP(F227,КВР!A$1:B$5001,2),IF(E227&gt;0,VLOOKUP(E227,Направление!A$1:B$4830,2))))))</f>
        <v>Иные бюджетные ассигнования</v>
      </c>
      <c r="B227" s="154"/>
      <c r="C227" s="149"/>
      <c r="D227" s="150"/>
      <c r="E227" s="149"/>
      <c r="F227" s="151">
        <v>800</v>
      </c>
      <c r="G227" s="611">
        <v>4000001</v>
      </c>
      <c r="H227" s="165">
        <v>3177882</v>
      </c>
      <c r="I227" s="157">
        <f t="shared" si="2"/>
        <v>7177883</v>
      </c>
    </row>
    <row r="228" spans="1:9" s="146" customFormat="1" ht="47.25" x14ac:dyDescent="0.25">
      <c r="A228" s="153" t="str">
        <f>IF(B228&gt;0,VLOOKUP(B228,КВСР!A49:B1214,2),IF(C228&gt;0,VLOOKUP(C228,КФСР!A49:B1561,2),IF(D228&gt;0,VLOOKUP(D228,Программа!A$1:B$5100,2),IF(F228&gt;0,VLOOKUP(F228,КВР!A$1:B$5001,2),IF(E228&gt;0,VLOOKUP(E228,Направление!A$1:B$4830,2))))))</f>
        <v>Муниципальная целевая программа "Развитие потребительского рынка Тутаевского муниципального района "</v>
      </c>
      <c r="B228" s="154"/>
      <c r="C228" s="149"/>
      <c r="D228" s="150" t="s">
        <v>670</v>
      </c>
      <c r="E228" s="149"/>
      <c r="F228" s="151"/>
      <c r="G228" s="500">
        <v>230586</v>
      </c>
      <c r="H228" s="155">
        <f>H229</f>
        <v>175586</v>
      </c>
      <c r="I228" s="157">
        <f t="shared" si="2"/>
        <v>406172</v>
      </c>
    </row>
    <row r="229" spans="1:9" s="146" customFormat="1" ht="47.25" x14ac:dyDescent="0.25">
      <c r="A229" s="153" t="str">
        <f>IF(B229&gt;0,VLOOKUP(B229,КВСР!A50:B1215,2),IF(C229&gt;0,VLOOKUP(C229,КФСР!A50:B1562,2),IF(D229&gt;0,VLOOKUP(D229,Программа!A$1:B$5100,2),IF(F229&gt;0,VLOOKUP(F229,КВР!A$1:B$5001,2),IF(E229&gt;0,VLOOKUP(E229,Направление!A$1:B$4830,2))))))</f>
        <v>Обеспечение доступности товаров для сельского населения путем оказания государственной поддержки</v>
      </c>
      <c r="B229" s="154"/>
      <c r="C229" s="149"/>
      <c r="D229" s="150" t="s">
        <v>672</v>
      </c>
      <c r="E229" s="149"/>
      <c r="F229" s="151"/>
      <c r="G229" s="500">
        <v>230586</v>
      </c>
      <c r="H229" s="155">
        <f>H232+H234+H230</f>
        <v>175586</v>
      </c>
      <c r="I229" s="157">
        <f t="shared" si="2"/>
        <v>406172</v>
      </c>
    </row>
    <row r="230" spans="1:9" s="146" customFormat="1" ht="126" x14ac:dyDescent="0.25">
      <c r="A230" s="153" t="str">
        <f>IF(B230&gt;0,VLOOKUP(B230,КВСР!A51:B1216,2),IF(C230&gt;0,VLOOKUP(C230,КФСР!A51:B1563,2),IF(D230&gt;0,VLOOKUP(D230,Программа!A$1:B$5100,2),IF(F230&gt;0,VLOOKUP(F230,КВР!A$1:B$5001,2),IF(E230&gt;0,VLOOKUP(E230,Направление!A$1:B$4830,2))))))</f>
        <v>Субсидия на реализацию мероприятий по возмещению части затрат организациям любых форм собственности и индивидуальным предпринимателям, занимающимся доставкой товаров в отдаленные сельские населенные пункты за счет средств областного бюджета</v>
      </c>
      <c r="B230" s="154"/>
      <c r="C230" s="149"/>
      <c r="D230" s="150"/>
      <c r="E230" s="414">
        <v>72880</v>
      </c>
      <c r="F230" s="151"/>
      <c r="G230" s="500">
        <v>82532</v>
      </c>
      <c r="H230" s="155">
        <f>H231</f>
        <v>82532</v>
      </c>
      <c r="I230" s="157">
        <f>SUM(G230:H230)</f>
        <v>165064</v>
      </c>
    </row>
    <row r="231" spans="1:9" s="146" customFormat="1" x14ac:dyDescent="0.25">
      <c r="A231" s="153" t="str">
        <f>IF(B231&gt;0,VLOOKUP(B231,КВСР!A52:B1217,2),IF(C231&gt;0,VLOOKUP(C231,КФСР!A52:B1564,2),IF(D231&gt;0,VLOOKUP(D231,Программа!A$1:B$5100,2),IF(F231&gt;0,VLOOKUP(F231,КВР!A$1:B$5001,2),IF(E231&gt;0,VLOOKUP(E231,Направление!A$1:B$4830,2))))))</f>
        <v>Иные бюджетные ассигнования</v>
      </c>
      <c r="B231" s="154"/>
      <c r="C231" s="149"/>
      <c r="D231" s="150"/>
      <c r="E231" s="149"/>
      <c r="F231" s="151">
        <v>800</v>
      </c>
      <c r="G231" s="500">
        <v>82532</v>
      </c>
      <c r="H231" s="486">
        <v>82532</v>
      </c>
      <c r="I231" s="157">
        <f>SUM(G231:H231)</f>
        <v>165064</v>
      </c>
    </row>
    <row r="232" spans="1:9" s="146" customFormat="1" ht="110.25" x14ac:dyDescent="0.25">
      <c r="A232" s="153" t="str">
        <f>IF(B232&gt;0,VLOOKUP(B232,КВСР!A51:B1216,2),IF(C232&gt;0,VLOOKUP(C232,КФСР!A51:B1563,2),IF(D232&gt;0,VLOOKUP(D232,Программа!A$1:B$5100,2),IF(F232&gt;0,VLOOKUP(F232,КВР!A$1:B$5001,2),IF(E232&gt;0,VLOOKUP(E232,Направление!A$1:B$4830,2))))))</f>
        <v>Субсидия на реализацию мероприятий по возмещению части затрат организациям любых форм собственности и индивидуальным предпринимателям, занимающимся доставкой товаров в отдаленные сельские населенные пункты</v>
      </c>
      <c r="B232" s="154"/>
      <c r="C232" s="149"/>
      <c r="D232" s="150"/>
      <c r="E232" s="149">
        <v>12880</v>
      </c>
      <c r="F232" s="151"/>
      <c r="G232" s="500">
        <v>105000</v>
      </c>
      <c r="H232" s="500">
        <f>H233</f>
        <v>50000</v>
      </c>
      <c r="I232" s="157">
        <f t="shared" si="2"/>
        <v>155000</v>
      </c>
    </row>
    <row r="233" spans="1:9" s="146" customFormat="1" x14ac:dyDescent="0.25">
      <c r="A233" s="153" t="str">
        <f>IF(B233&gt;0,VLOOKUP(B233,КВСР!A52:B1217,2),IF(C233&gt;0,VLOOKUP(C233,КФСР!A52:B1564,2),IF(D233&gt;0,VLOOKUP(D233,Программа!A$1:B$5100,2),IF(F233&gt;0,VLOOKUP(F233,КВР!A$1:B$5001,2),IF(E233&gt;0,VLOOKUP(E233,Направление!A$1:B$4830,2))))))</f>
        <v>Иные бюджетные ассигнования</v>
      </c>
      <c r="B233" s="154"/>
      <c r="C233" s="149"/>
      <c r="D233" s="150"/>
      <c r="E233" s="149"/>
      <c r="F233" s="151">
        <v>800</v>
      </c>
      <c r="G233" s="500">
        <v>105000</v>
      </c>
      <c r="H233" s="486">
        <v>50000</v>
      </c>
      <c r="I233" s="157">
        <f>G233+H233</f>
        <v>155000</v>
      </c>
    </row>
    <row r="234" spans="1:9" s="146" customFormat="1" ht="47.25" x14ac:dyDescent="0.25">
      <c r="A234" s="153" t="str">
        <f>IF(B234&gt;0,VLOOKUP(B234,КВСР!A53:B1218,2),IF(C234&gt;0,VLOOKUP(C234,КФСР!A53:B1565,2),IF(D234&gt;0,VLOOKUP(D234,Программа!A$1:B$5100,2),IF(F234&gt;0,VLOOKUP(F234,КВР!A$1:B$5001,2),IF(E234&gt;0,VLOOKUP(E234,Направление!A$1:B$4830,2))))))</f>
        <v>Обеспечение мероприятий по организации населению услуг торговли</v>
      </c>
      <c r="B234" s="154"/>
      <c r="C234" s="149"/>
      <c r="D234" s="150"/>
      <c r="E234" s="149">
        <v>29526</v>
      </c>
      <c r="F234" s="151"/>
      <c r="G234" s="500">
        <v>43054</v>
      </c>
      <c r="H234" s="155">
        <f>H235</f>
        <v>43054</v>
      </c>
      <c r="I234" s="157">
        <f t="shared" si="2"/>
        <v>86108</v>
      </c>
    </row>
    <row r="235" spans="1:9" s="146" customFormat="1" x14ac:dyDescent="0.25">
      <c r="A235" s="153" t="str">
        <f>IF(B235&gt;0,VLOOKUP(B235,КВСР!A54:B1219,2),IF(C235&gt;0,VLOOKUP(C235,КФСР!A54:B1566,2),IF(D235&gt;0,VLOOKUP(D235,Программа!A$1:B$5100,2),IF(F235&gt;0,VLOOKUP(F235,КВР!A$1:B$5001,2),IF(E235&gt;0,VLOOKUP(E235,Направление!A$1:B$4830,2))))))</f>
        <v>Иные бюджетные ассигнования</v>
      </c>
      <c r="B235" s="154"/>
      <c r="C235" s="149"/>
      <c r="D235" s="150"/>
      <c r="E235" s="149"/>
      <c r="F235" s="151">
        <v>800</v>
      </c>
      <c r="G235" s="500">
        <v>43054</v>
      </c>
      <c r="H235" s="486">
        <v>43054</v>
      </c>
      <c r="I235" s="157">
        <f t="shared" si="2"/>
        <v>86108</v>
      </c>
    </row>
    <row r="236" spans="1:9" s="146" customFormat="1" hidden="1" x14ac:dyDescent="0.25">
      <c r="A236" s="153" t="str">
        <f>IF(B236&gt;0,VLOOKUP(B236,КВСР!A52:B1217,2),IF(C236&gt;0,VLOOKUP(C236,КФСР!A52:B1564,2),IF(D236&gt;0,VLOOKUP(D236,Программа!A$1:B$5100,2),IF(F236&gt;0,VLOOKUP(F236,КВР!A$1:B$5001,2),IF(E236&gt;0,VLOOKUP(E236,Направление!A$1:B$4830,2))))))</f>
        <v>Непрограммные расходы бюджета</v>
      </c>
      <c r="B236" s="154"/>
      <c r="C236" s="149"/>
      <c r="D236" s="150" t="s">
        <v>624</v>
      </c>
      <c r="E236" s="149"/>
      <c r="F236" s="151"/>
      <c r="G236" s="500">
        <v>0</v>
      </c>
      <c r="H236" s="155">
        <f>H237</f>
        <v>0</v>
      </c>
      <c r="I236" s="157">
        <f t="shared" si="2"/>
        <v>0</v>
      </c>
    </row>
    <row r="237" spans="1:9" s="146" customFormat="1" ht="31.5" hidden="1" x14ac:dyDescent="0.25">
      <c r="A237" s="153" t="str">
        <f>IF(B237&gt;0,VLOOKUP(B237,КВСР!A53:B1218,2),IF(C237&gt;0,VLOOKUP(C237,КФСР!A53:B1565,2),IF(D237&gt;0,VLOOKUP(D237,Программа!A$1:B$5100,2),IF(F237&gt;0,VLOOKUP(F237,КВР!A$1:B$5001,2),IF(E237&gt;0,VLOOKUP(E237,Направление!A$1:B$4830,2))))))</f>
        <v>Мероприятия в области градостроительства</v>
      </c>
      <c r="B237" s="154"/>
      <c r="C237" s="149"/>
      <c r="D237" s="150"/>
      <c r="E237" s="149">
        <v>10500</v>
      </c>
      <c r="F237" s="151"/>
      <c r="G237" s="500">
        <v>0</v>
      </c>
      <c r="H237" s="155">
        <f>H238</f>
        <v>0</v>
      </c>
      <c r="I237" s="157">
        <f t="shared" si="2"/>
        <v>0</v>
      </c>
    </row>
    <row r="238" spans="1:9" s="146" customFormat="1" ht="63" hidden="1" x14ac:dyDescent="0.25">
      <c r="A238" s="153" t="str">
        <f>IF(B238&gt;0,VLOOKUP(B238,КВСР!A54:B1219,2),IF(C238&gt;0,VLOOKUP(C238,КФСР!A54:B1566,2),IF(D238&gt;0,VLOOKUP(D238,Программа!A$1:B$5100,2),IF(F238&gt;0,VLOOKUP(F238,КВР!A$1:B$5001,2),IF(E238&gt;0,VLOOKUP(E238,Направление!A$1:B$4830,2))))))</f>
        <v xml:space="preserve">Закупка товаров, работ и услуг для обеспечения государственных (муниципальных) нужд
</v>
      </c>
      <c r="B238" s="154"/>
      <c r="C238" s="149"/>
      <c r="D238" s="150"/>
      <c r="E238" s="149"/>
      <c r="F238" s="151">
        <v>200</v>
      </c>
      <c r="G238" s="500">
        <v>0</v>
      </c>
      <c r="H238" s="155"/>
      <c r="I238" s="157">
        <f t="shared" si="2"/>
        <v>0</v>
      </c>
    </row>
    <row r="239" spans="1:9" s="146" customFormat="1" hidden="1" x14ac:dyDescent="0.25">
      <c r="A239" s="153" t="str">
        <f>IF(B239&gt;0,VLOOKUP(B239,КВСР!A51:B1216,2),IF(C239&gt;0,VLOOKUP(C239,КФСР!A51:B1563,2),IF(D239&gt;0,VLOOKUP(D239,Программа!A$1:B$5100,2),IF(F239&gt;0,VLOOKUP(F239,КВР!A$1:B$5001,2),IF(E239&gt;0,VLOOKUP(E239,Направление!A$1:B$4830,2))))))</f>
        <v>Иные бюджетные ассигнования</v>
      </c>
      <c r="B239" s="154"/>
      <c r="C239" s="149"/>
      <c r="D239" s="151"/>
      <c r="E239" s="149"/>
      <c r="F239" s="151">
        <v>800</v>
      </c>
      <c r="G239" s="498">
        <v>0</v>
      </c>
      <c r="H239" s="156"/>
      <c r="I239" s="157">
        <f t="shared" si="2"/>
        <v>0</v>
      </c>
    </row>
    <row r="240" spans="1:9" s="146" customFormat="1" x14ac:dyDescent="0.25">
      <c r="A240" s="153" t="str">
        <f>IF(B240&gt;0,VLOOKUP(B240,КВСР!A52:B1217,2),IF(C240&gt;0,VLOOKUP(C240,КФСР!A52:B1564,2),IF(D240&gt;0,VLOOKUP(D240,Программа!A$1:B$5100,2),IF(F240&gt;0,VLOOKUP(F240,КВР!A$1:B$5001,2),IF(E240&gt;0,VLOOKUP(E240,Направление!A$1:B$4830,2))))))</f>
        <v>Жилищное хозяйство</v>
      </c>
      <c r="B240" s="154"/>
      <c r="C240" s="149">
        <v>501</v>
      </c>
      <c r="D240" s="151"/>
      <c r="E240" s="149"/>
      <c r="F240" s="151"/>
      <c r="G240" s="498">
        <v>5302790</v>
      </c>
      <c r="H240" s="498">
        <f t="shared" ref="H240:I242" si="3">H241</f>
        <v>5302790</v>
      </c>
      <c r="I240" s="498">
        <f t="shared" si="3"/>
        <v>10605580</v>
      </c>
    </row>
    <row r="241" spans="1:9" s="146" customFormat="1" ht="31.5" x14ac:dyDescent="0.25">
      <c r="A241" s="153" t="str">
        <f>IF(B241&gt;0,VLOOKUP(B241,КВСР!A53:B1218,2),IF(C241&gt;0,VLOOKUP(C241,КФСР!A53:B1565,2),IF(D241&gt;0,VLOOKUP(D241,Программа!A$1:B$5100,2),IF(F241&gt;0,VLOOKUP(F241,КВР!A$1:B$5001,2),IF(E241&gt;0,VLOOKUP(E241,Направление!A$1:B$4830,2))))))</f>
        <v>Межбюджетные трансферты  поселениям района</v>
      </c>
      <c r="B241" s="154"/>
      <c r="C241" s="149"/>
      <c r="D241" s="151" t="s">
        <v>799</v>
      </c>
      <c r="E241" s="149"/>
      <c r="F241" s="151"/>
      <c r="G241" s="498">
        <v>5302790</v>
      </c>
      <c r="H241" s="498">
        <f t="shared" si="3"/>
        <v>5302790</v>
      </c>
      <c r="I241" s="498">
        <f t="shared" si="3"/>
        <v>10605580</v>
      </c>
    </row>
    <row r="242" spans="1:9" s="146" customFormat="1" ht="94.5" x14ac:dyDescent="0.25">
      <c r="A242" s="153" t="str">
        <f>IF(B242&gt;0,VLOOKUP(B242,КВСР!A54:B1219,2),IF(C242&gt;0,VLOOKUP(C242,КФСР!A54:B1566,2),IF(D242&gt;0,VLOOKUP(D242,Программа!A$1:B$5100,2),IF(F242&gt;0,VLOOKUP(F242,КВР!A$1:B$5001,2),IF(E242&gt;0,VLOOKUP(E242,Направление!A$1:B$4830,2))))))</f>
        <v>Субсидия на обеспечение мероприятий по переселению граждан из ааврийного жилищного фонда на приобретение жилых помещений, площадь которых больше площади занимаемых помещений</v>
      </c>
      <c r="B242" s="154"/>
      <c r="C242" s="149"/>
      <c r="D242" s="151"/>
      <c r="E242" s="149">
        <v>90050</v>
      </c>
      <c r="F242" s="151"/>
      <c r="G242" s="498">
        <v>5302790</v>
      </c>
      <c r="H242" s="498">
        <f t="shared" si="3"/>
        <v>5302790</v>
      </c>
      <c r="I242" s="498">
        <f t="shared" si="3"/>
        <v>10605580</v>
      </c>
    </row>
    <row r="243" spans="1:9" s="146" customFormat="1" x14ac:dyDescent="0.25">
      <c r="A243" s="153" t="str">
        <f>IF(B243&gt;0,VLOOKUP(B243,КВСР!A55:B1220,2),IF(C243&gt;0,VLOOKUP(C243,КФСР!A55:B1567,2),IF(D243&gt;0,VLOOKUP(D243,Программа!A$1:B$5100,2),IF(F243&gt;0,VLOOKUP(F243,КВР!A$1:B$5001,2),IF(E243&gt;0,VLOOKUP(E243,Направление!A$1:B$4830,2))))))</f>
        <v xml:space="preserve"> Межбюджетные трансферты</v>
      </c>
      <c r="B243" s="154"/>
      <c r="C243" s="149"/>
      <c r="D243" s="151"/>
      <c r="E243" s="149"/>
      <c r="F243" s="151">
        <v>500</v>
      </c>
      <c r="G243" s="498">
        <v>5302790</v>
      </c>
      <c r="H243" s="156">
        <v>5302790</v>
      </c>
      <c r="I243" s="157">
        <f>SUM(G243:H243)</f>
        <v>10605580</v>
      </c>
    </row>
    <row r="244" spans="1:9" s="146" customFormat="1" x14ac:dyDescent="0.25">
      <c r="A244" s="153" t="str">
        <f>IF(B244&gt;0,VLOOKUP(B244,КВСР!A52:B1217,2),IF(C244&gt;0,VLOOKUP(C244,КФСР!A52:B1564,2),IF(D244&gt;0,VLOOKUP(D244,Программа!A$1:B$5100,2),IF(F244&gt;0,VLOOKUP(F244,КВР!A$1:B$5001,2),IF(E244&gt;0,VLOOKUP(E244,Направление!A$1:B$4830,2))))))</f>
        <v>Благоустройство</v>
      </c>
      <c r="B244" s="154"/>
      <c r="C244" s="149">
        <v>503</v>
      </c>
      <c r="D244" s="151"/>
      <c r="E244" s="149"/>
      <c r="F244" s="151"/>
      <c r="G244" s="498">
        <v>56244241.460000001</v>
      </c>
      <c r="H244" s="498">
        <f>H245+H274+H289</f>
        <v>42120458</v>
      </c>
      <c r="I244" s="157">
        <f t="shared" si="2"/>
        <v>98364699.460000008</v>
      </c>
    </row>
    <row r="245" spans="1:9" s="146" customFormat="1" ht="63" x14ac:dyDescent="0.25">
      <c r="A245" s="153" t="str">
        <f>IF(B245&gt;0,VLOOKUP(B245,КВСР!A53:B1218,2),IF(C245&gt;0,VLOOKUP(C245,КФСР!A53:B1565,2),IF(D245&gt;0,VLOOKUP(D245,Программа!A$1:B$5100,2),IF(F245&gt;0,VLOOKUP(F245,КВР!A$1:B$5001,2),IF(E245&gt;0,VLOOKUP(E245,Направление!A$1:B$4830,2))))))</f>
        <v>Муниципальная программа "Благоустройство  и санитарно-эпидемиологическая безопасность  Тутаевского муниципального района</v>
      </c>
      <c r="B245" s="154"/>
      <c r="C245" s="149"/>
      <c r="D245" s="151" t="s">
        <v>972</v>
      </c>
      <c r="E245" s="149"/>
      <c r="F245" s="151"/>
      <c r="G245" s="498">
        <v>35724105.219999999</v>
      </c>
      <c r="H245" s="498">
        <f>H246+H252</f>
        <v>28920960</v>
      </c>
      <c r="I245" s="157">
        <f t="shared" si="2"/>
        <v>64645065.219999999</v>
      </c>
    </row>
    <row r="246" spans="1:9" s="146" customFormat="1" ht="63" x14ac:dyDescent="0.25">
      <c r="A246" s="153" t="str">
        <f>IF(B246&gt;0,VLOOKUP(B246,КВСР!A54:B1219,2),IF(C246&gt;0,VLOOKUP(C246,КФСР!A54:B1566,2),IF(D246&gt;0,VLOOKUP(D246,Программа!A$1:B$5100,2),IF(F246&gt;0,VLOOKUP(F246,КВР!A$1:B$5001,2),IF(E246&gt;0,VLOOKUP(E246,Направление!A$1:B$4830,2))))))</f>
        <v>Муниципальная целевая программа "Организация и развитие ритуальных услуг и мест захоронения в Тутаевском муниципальном районе"</v>
      </c>
      <c r="B246" s="154"/>
      <c r="C246" s="149"/>
      <c r="D246" s="150" t="s">
        <v>974</v>
      </c>
      <c r="E246" s="149"/>
      <c r="F246" s="151"/>
      <c r="G246" s="498">
        <v>1007324</v>
      </c>
      <c r="H246" s="498">
        <f>H247</f>
        <v>837120</v>
      </c>
      <c r="I246" s="157">
        <f t="shared" si="2"/>
        <v>1844444</v>
      </c>
    </row>
    <row r="247" spans="1:9" s="146" customFormat="1" ht="47.25" x14ac:dyDescent="0.25">
      <c r="A247" s="685" t="str">
        <f>IF(B247&gt;0,VLOOKUP(B247,КВСР!A55:B1220,2),IF(C247&gt;0,VLOOKUP(C247,КФСР!A55:B1567,2),IF(D247&gt;0,VLOOKUP(D247,Программа!A$1:B$5100,2),IF(F247&gt;0,VLOOKUP(F247,КВР!A$1:B$5001,2),IF(E247&gt;0,VLOOKUP(E247,Направление!A$1:B$4830,2))))))</f>
        <v>Обеспечение комплекса работ по повышению уровня благоустройства мест погребений</v>
      </c>
      <c r="B247" s="154"/>
      <c r="C247" s="149"/>
      <c r="D247" s="150" t="s">
        <v>976</v>
      </c>
      <c r="E247" s="149"/>
      <c r="F247" s="151"/>
      <c r="G247" s="498">
        <v>1007324</v>
      </c>
      <c r="H247" s="498">
        <f>H248+H250</f>
        <v>837120</v>
      </c>
      <c r="I247" s="157">
        <f>SUM(G247:H247)</f>
        <v>1844444</v>
      </c>
    </row>
    <row r="248" spans="1:9" s="146" customFormat="1" ht="47.25" x14ac:dyDescent="0.25">
      <c r="A248" s="685" t="str">
        <f>IF(B248&gt;0,VLOOKUP(B248,КВСР!A56:B1221,2),IF(C248&gt;0,VLOOKUP(C248,КФСР!A56:B1568,2),IF(D248&gt;0,VLOOKUP(D248,Программа!A$1:B$5100,2),IF(F248&gt;0,VLOOKUP(F248,КВР!A$1:B$5001,2),IF(E248&gt;0,VLOOKUP(E248,Направление!A$1:B$4830,2))))))</f>
        <v>Расходы на мероприятия по содержанию мунициальных мест захоронений</v>
      </c>
      <c r="B248" s="154"/>
      <c r="C248" s="149"/>
      <c r="D248" s="150"/>
      <c r="E248" s="149">
        <v>10070</v>
      </c>
      <c r="F248" s="150"/>
      <c r="G248" s="498">
        <v>150000</v>
      </c>
      <c r="H248" s="498">
        <f>H249</f>
        <v>47094</v>
      </c>
      <c r="I248" s="157">
        <f t="shared" ref="I248:I355" si="4">SUM(G248:H248)</f>
        <v>197094</v>
      </c>
    </row>
    <row r="249" spans="1:9" s="146" customFormat="1" ht="63" x14ac:dyDescent="0.25">
      <c r="A249" s="685" t="str">
        <f>IF(B249&gt;0,VLOOKUP(B249,КВСР!A57:B1222,2),IF(C249&gt;0,VLOOKUP(C249,КФСР!A57:B1569,2),IF(D249&gt;0,VLOOKUP(D249,Программа!A$1:B$5100,2),IF(F249&gt;0,VLOOKUP(F249,КВР!A$1:B$5001,2),IF(E249&gt;0,VLOOKUP(E249,Направление!A$1:B$4830,2))))))</f>
        <v>Предоставление субсидий бюджетным, автономным учреждениям и иным некоммерческим организациям</v>
      </c>
      <c r="B249" s="154"/>
      <c r="C249" s="149"/>
      <c r="D249" s="150"/>
      <c r="E249" s="149"/>
      <c r="F249" s="151">
        <v>600</v>
      </c>
      <c r="G249" s="498">
        <v>150000</v>
      </c>
      <c r="H249" s="156">
        <v>47094</v>
      </c>
      <c r="I249" s="157">
        <f t="shared" si="4"/>
        <v>197094</v>
      </c>
    </row>
    <row r="250" spans="1:9" s="146" customFormat="1" ht="31.5" x14ac:dyDescent="0.25">
      <c r="A250" s="153" t="str">
        <f>IF(B250&gt;0,VLOOKUP(B250,КВСР!A58:B1223,2),IF(C250&gt;0,VLOOKUP(C250,КФСР!A58:B1570,2),IF(D250&gt;0,VLOOKUP(D250,Программа!A$1:B$5100,2),IF(F250&gt;0,VLOOKUP(F250,КВР!A$1:B$5001,2),IF(E250&gt;0,VLOOKUP(E250,Направление!A$1:B$4830,2))))))</f>
        <v>Обеспечение мероприятий по  содержанию мест захоронения</v>
      </c>
      <c r="B250" s="154"/>
      <c r="C250" s="149"/>
      <c r="D250" s="150"/>
      <c r="E250" s="149">
        <v>29316</v>
      </c>
      <c r="F250" s="151"/>
      <c r="G250" s="498">
        <v>857324</v>
      </c>
      <c r="H250" s="498">
        <f>H251</f>
        <v>790026</v>
      </c>
      <c r="I250" s="157">
        <f t="shared" si="4"/>
        <v>1647350</v>
      </c>
    </row>
    <row r="251" spans="1:9" s="146" customFormat="1" ht="63" x14ac:dyDescent="0.25">
      <c r="A251" s="153" t="str">
        <f>IF(B251&gt;0,VLOOKUP(B251,КВСР!A59:B1224,2),IF(C251&gt;0,VLOOKUP(C251,КФСР!A59:B1571,2),IF(D251&gt;0,VLOOKUP(D251,Программа!A$1:B$5100,2),IF(F251&gt;0,VLOOKUP(F251,КВР!A$1:B$5001,2),IF(E251&gt;0,VLOOKUP(E251,Направление!A$1:B$4830,2))))))</f>
        <v>Предоставление субсидий бюджетным, автономным учреждениям и иным некоммерческим организациям</v>
      </c>
      <c r="B251" s="154"/>
      <c r="C251" s="149"/>
      <c r="D251" s="150"/>
      <c r="E251" s="149"/>
      <c r="F251" s="151">
        <v>600</v>
      </c>
      <c r="G251" s="498">
        <v>857324</v>
      </c>
      <c r="H251" s="156">
        <v>790026</v>
      </c>
      <c r="I251" s="157">
        <f t="shared" si="4"/>
        <v>1647350</v>
      </c>
    </row>
    <row r="252" spans="1:9" s="146" customFormat="1" ht="63" x14ac:dyDescent="0.25">
      <c r="A252" s="153" t="str">
        <f>IF(B252&gt;0,VLOOKUP(B252,КВСР!A60:B1225,2),IF(C252&gt;0,VLOOKUP(C252,КФСР!A60:B1572,2),IF(D252&gt;0,VLOOKUP(D252,Программа!A$1:B$5100,2),IF(F252&gt;0,VLOOKUP(F252,КВР!A$1:B$5001,2),IF(E252&gt;0,VLOOKUP(E252,Направление!A$1:B$4830,2))))))</f>
        <v>Муниципальная целевая программа "Благоустройство и озеленение территории  в Тутаевского муниципального  района"</v>
      </c>
      <c r="B252" s="154"/>
      <c r="C252" s="149"/>
      <c r="D252" s="150" t="s">
        <v>978</v>
      </c>
      <c r="E252" s="149"/>
      <c r="F252" s="151"/>
      <c r="G252" s="498">
        <v>34716781.219999999</v>
      </c>
      <c r="H252" s="498">
        <f>H253</f>
        <v>28083840</v>
      </c>
      <c r="I252" s="157">
        <f t="shared" si="4"/>
        <v>62800621.219999999</v>
      </c>
    </row>
    <row r="253" spans="1:9" s="146" customFormat="1" ht="63" x14ac:dyDescent="0.25">
      <c r="A253" s="153" t="str">
        <f>IF(B253&gt;0,VLOOKUP(B253,КВСР!A61:B1226,2),IF(C253&gt;0,VLOOKUP(C253,КФСР!A61:B1573,2),IF(D253&gt;0,VLOOKUP(D253,Программа!A$1:B$5100,2),IF(F253&gt;0,VLOOKUP(F253,КВР!A$1:B$5001,2),IF(E253&gt;0,VLOOKUP(E253,Направление!A$1:B$4830,2))))))</f>
        <v>Улучшение уровня внешнего благоустройства и санитарного  состояния территорий Тутаевского муниципального района</v>
      </c>
      <c r="B253" s="154"/>
      <c r="C253" s="149"/>
      <c r="D253" s="150" t="s">
        <v>980</v>
      </c>
      <c r="E253" s="149"/>
      <c r="F253" s="151"/>
      <c r="G253" s="498">
        <v>34716781.219999999</v>
      </c>
      <c r="H253" s="498">
        <f>H256+H258+H260+H262+H264+H266+H268+H272+H254+H270</f>
        <v>28083840</v>
      </c>
      <c r="I253" s="157">
        <f>SUM(G253:H253)</f>
        <v>62800621.219999999</v>
      </c>
    </row>
    <row r="254" spans="1:9" s="146" customFormat="1" ht="63" x14ac:dyDescent="0.25">
      <c r="A254" s="153" t="str">
        <f>IF(B254&gt;0,VLOOKUP(B254,КВСР!A62:B1227,2),IF(C254&gt;0,VLOOKUP(C254,КФСР!A62:B1574,2),IF(D254&gt;0,VLOOKUP(D254,Программа!A$1:B$5100,2),IF(F254&gt;0,VLOOKUP(F254,КВР!A$1:B$5001,2),IF(E254&gt;0,VLOOKUP(E254,Направление!A$1:B$4830,2))))))</f>
        <v>Мероприятия по благоустройству и ремонту дворовых территории в рамках софинансирования инициативного бюджетирования</v>
      </c>
      <c r="B254" s="154"/>
      <c r="C254" s="149"/>
      <c r="D254" s="150"/>
      <c r="E254" s="149">
        <v>25356</v>
      </c>
      <c r="F254" s="151"/>
      <c r="G254" s="498">
        <v>118419</v>
      </c>
      <c r="H254" s="498">
        <f>H255</f>
        <v>109507</v>
      </c>
      <c r="I254" s="498">
        <f>I255</f>
        <v>227926</v>
      </c>
    </row>
    <row r="255" spans="1:9" s="146" customFormat="1" ht="63" x14ac:dyDescent="0.25">
      <c r="A255" s="153" t="str">
        <f>IF(B255&gt;0,VLOOKUP(B255,КВСР!A63:B1228,2),IF(C255&gt;0,VLOOKUP(C255,КФСР!A63:B1575,2),IF(D255&gt;0,VLOOKUP(D255,Программа!A$1:B$5100,2),IF(F255&gt;0,VLOOKUP(F255,КВР!A$1:B$5001,2),IF(E255&gt;0,VLOOKUP(E255,Направление!A$1:B$4830,2))))))</f>
        <v>Предоставление субсидий бюджетным, автономным учреждениям и иным некоммерческим организациям</v>
      </c>
      <c r="B255" s="154"/>
      <c r="C255" s="149"/>
      <c r="D255" s="150"/>
      <c r="E255" s="149"/>
      <c r="F255" s="151">
        <v>600</v>
      </c>
      <c r="G255" s="498">
        <v>118419</v>
      </c>
      <c r="H255" s="156">
        <v>109507</v>
      </c>
      <c r="I255" s="157">
        <f>SUM(G255:H255)</f>
        <v>227926</v>
      </c>
    </row>
    <row r="256" spans="1:9" s="146" customFormat="1" ht="31.5" x14ac:dyDescent="0.25">
      <c r="A256" s="153" t="str">
        <f>IF(B256&gt;0,VLOOKUP(B256,КВСР!A62:B1227,2),IF(C256&gt;0,VLOOKUP(C256,КФСР!A62:B1574,2),IF(D256&gt;0,VLOOKUP(D256,Программа!A$1:B$5100,2),IF(F256&gt;0,VLOOKUP(F256,КВР!A$1:B$5001,2),IF(E256&gt;0,VLOOKUP(E256,Направление!A$1:B$4830,2))))))</f>
        <v>Обеспечение мероприятий по уличному освещению</v>
      </c>
      <c r="B256" s="154"/>
      <c r="C256" s="149"/>
      <c r="D256" s="150"/>
      <c r="E256" s="149">
        <v>29236</v>
      </c>
      <c r="F256" s="151"/>
      <c r="G256" s="498">
        <v>15251898</v>
      </c>
      <c r="H256" s="498">
        <f>H257</f>
        <v>11922845</v>
      </c>
      <c r="I256" s="157">
        <f t="shared" si="4"/>
        <v>27174743</v>
      </c>
    </row>
    <row r="257" spans="1:9" s="146" customFormat="1" ht="63" x14ac:dyDescent="0.25">
      <c r="A257" s="153" t="str">
        <f>IF(B257&gt;0,VLOOKUP(B257,КВСР!A63:B1228,2),IF(C257&gt;0,VLOOKUP(C257,КФСР!A63:B1575,2),IF(D257&gt;0,VLOOKUP(D257,Программа!A$1:B$5100,2),IF(F257&gt;0,VLOOKUP(F257,КВР!A$1:B$5001,2),IF(E257&gt;0,VLOOKUP(E257,Направление!A$1:B$4830,2))))))</f>
        <v>Предоставление субсидий бюджетным, автономным учреждениям и иным некоммерческим организациям</v>
      </c>
      <c r="B257" s="154"/>
      <c r="C257" s="149"/>
      <c r="D257" s="150"/>
      <c r="E257" s="149"/>
      <c r="F257" s="151">
        <v>600</v>
      </c>
      <c r="G257" s="498">
        <v>15251898</v>
      </c>
      <c r="H257" s="156">
        <v>11922845</v>
      </c>
      <c r="I257" s="157">
        <f t="shared" si="4"/>
        <v>27174743</v>
      </c>
    </row>
    <row r="258" spans="1:9" s="146" customFormat="1" ht="63" x14ac:dyDescent="0.25">
      <c r="A258" s="153" t="str">
        <f>IF(B258&gt;0,VLOOKUP(B258,КВСР!A64:B1229,2),IF(C258&gt;0,VLOOKUP(C258,КФСР!A64:B1576,2),IF(D258&gt;0,VLOOKUP(D258,Программа!A$1:B$5100,2),IF(F258&gt;0,VLOOKUP(F258,КВР!A$1:B$5001,2),IF(E258&gt;0,VLOOKUP(E258,Направление!A$1:B$4830,2))))))</f>
        <v>Обеспечение мероприятий по техническому содержанию, текущему и капитальному ремонту сетей уличного освещения</v>
      </c>
      <c r="B258" s="154"/>
      <c r="C258" s="149"/>
      <c r="D258" s="150"/>
      <c r="E258" s="149">
        <v>29246</v>
      </c>
      <c r="F258" s="151"/>
      <c r="G258" s="498">
        <v>2948102</v>
      </c>
      <c r="H258" s="498">
        <f>H259</f>
        <v>2948102</v>
      </c>
      <c r="I258" s="157">
        <f t="shared" si="4"/>
        <v>5896204</v>
      </c>
    </row>
    <row r="259" spans="1:9" s="146" customFormat="1" ht="63" x14ac:dyDescent="0.25">
      <c r="A259" s="153" t="str">
        <f>IF(B259&gt;0,VLOOKUP(B259,КВСР!A65:B1230,2),IF(C259&gt;0,VLOOKUP(C259,КФСР!A65:B1577,2),IF(D259&gt;0,VLOOKUP(D259,Программа!A$1:B$5100,2),IF(F259&gt;0,VLOOKUP(F259,КВР!A$1:B$5001,2),IF(E259&gt;0,VLOOKUP(E259,Направление!A$1:B$4830,2))))))</f>
        <v>Предоставление субсидий бюджетным, автономным учреждениям и иным некоммерческим организациям</v>
      </c>
      <c r="B259" s="154"/>
      <c r="C259" s="149"/>
      <c r="D259" s="150"/>
      <c r="E259" s="149"/>
      <c r="F259" s="151">
        <v>600</v>
      </c>
      <c r="G259" s="498">
        <v>2948102</v>
      </c>
      <c r="H259" s="156">
        <v>2948102</v>
      </c>
      <c r="I259" s="157">
        <f t="shared" si="4"/>
        <v>5896204</v>
      </c>
    </row>
    <row r="260" spans="1:9" s="146" customFormat="1" ht="47.25" x14ac:dyDescent="0.25">
      <c r="A260" s="153" t="str">
        <f>IF(B260&gt;0,VLOOKUP(B260,КВСР!A66:B1231,2),IF(C260&gt;0,VLOOKUP(C260,КФСР!A66:B1578,2),IF(D260&gt;0,VLOOKUP(D260,Программа!A$1:B$5100,2),IF(F260&gt;0,VLOOKUP(F260,КВР!A$1:B$5001,2),IF(E260&gt;0,VLOOKUP(E260,Направление!A$1:B$4830,2))))))</f>
        <v>Содержание и организация деятельности по благоустройству на территории поселения</v>
      </c>
      <c r="B260" s="154"/>
      <c r="C260" s="149"/>
      <c r="D260" s="150"/>
      <c r="E260" s="149">
        <v>29256</v>
      </c>
      <c r="F260" s="151"/>
      <c r="G260" s="498">
        <v>5862800</v>
      </c>
      <c r="H260" s="498">
        <f>H261</f>
        <v>5862800</v>
      </c>
      <c r="I260" s="157">
        <f t="shared" si="4"/>
        <v>11725600</v>
      </c>
    </row>
    <row r="261" spans="1:9" s="146" customFormat="1" ht="63" x14ac:dyDescent="0.25">
      <c r="A261" s="153" t="str">
        <f>IF(B261&gt;0,VLOOKUP(B261,КВСР!A67:B1232,2),IF(C261&gt;0,VLOOKUP(C261,КФСР!A67:B1579,2),IF(D261&gt;0,VLOOKUP(D261,Программа!A$1:B$5100,2),IF(F261&gt;0,VLOOKUP(F261,КВР!A$1:B$5001,2),IF(E261&gt;0,VLOOKUP(E261,Направление!A$1:B$4830,2))))))</f>
        <v>Предоставление субсидий бюджетным, автономным учреждениям и иным некоммерческим организациям</v>
      </c>
      <c r="B261" s="154"/>
      <c r="C261" s="149"/>
      <c r="D261" s="150"/>
      <c r="E261" s="149"/>
      <c r="F261" s="151">
        <v>600</v>
      </c>
      <c r="G261" s="498">
        <v>5862800</v>
      </c>
      <c r="H261" s="156">
        <v>5862800</v>
      </c>
      <c r="I261" s="157">
        <f t="shared" si="4"/>
        <v>11725600</v>
      </c>
    </row>
    <row r="262" spans="1:9" s="146" customFormat="1" ht="31.5" x14ac:dyDescent="0.25">
      <c r="A262" s="153" t="str">
        <f>IF(B262&gt;0,VLOOKUP(B262,КВСР!A68:B1233,2),IF(C262&gt;0,VLOOKUP(C262,КФСР!A68:B1580,2),IF(D262&gt;0,VLOOKUP(D262,Программа!A$1:B$5100,2),IF(F262&gt;0,VLOOKUP(F262,КВР!A$1:B$5001,2),IF(E262&gt;0,VLOOKUP(E262,Направление!A$1:B$4830,2))))))</f>
        <v>Обеспечение мероприятий в области благоустройства и озеленения</v>
      </c>
      <c r="B262" s="154"/>
      <c r="C262" s="149"/>
      <c r="D262" s="150"/>
      <c r="E262" s="149">
        <v>29266</v>
      </c>
      <c r="F262" s="151"/>
      <c r="G262" s="498">
        <v>2156455</v>
      </c>
      <c r="H262" s="498">
        <f>H263</f>
        <v>2031145</v>
      </c>
      <c r="I262" s="157">
        <f t="shared" si="4"/>
        <v>4187600</v>
      </c>
    </row>
    <row r="263" spans="1:9" s="146" customFormat="1" ht="63" x14ac:dyDescent="0.25">
      <c r="A263" s="153" t="str">
        <f>IF(B263&gt;0,VLOOKUP(B263,КВСР!A69:B1234,2),IF(C263&gt;0,VLOOKUP(C263,КФСР!A69:B1581,2),IF(D263&gt;0,VLOOKUP(D263,Программа!A$1:B$5100,2),IF(F263&gt;0,VLOOKUP(F263,КВР!A$1:B$5001,2),IF(E263&gt;0,VLOOKUP(E263,Направление!A$1:B$4830,2))))))</f>
        <v>Предоставление субсидий бюджетным, автономным учреждениям и иным некоммерческим организациям</v>
      </c>
      <c r="B263" s="154"/>
      <c r="C263" s="149"/>
      <c r="D263" s="150"/>
      <c r="E263" s="149"/>
      <c r="F263" s="151">
        <v>600</v>
      </c>
      <c r="G263" s="498">
        <v>2156455</v>
      </c>
      <c r="H263" s="156">
        <v>2031145</v>
      </c>
      <c r="I263" s="157">
        <f t="shared" si="4"/>
        <v>4187600</v>
      </c>
    </row>
    <row r="264" spans="1:9" s="146" customFormat="1" ht="47.25" x14ac:dyDescent="0.25">
      <c r="A264" s="153" t="str">
        <f>IF(B264&gt;0,VLOOKUP(B264,КВСР!A70:B1235,2),IF(C264&gt;0,VLOOKUP(C264,КФСР!A70:B1582,2),IF(D264&gt;0,VLOOKUP(D264,Программа!A$1:B$5100,2),IF(F264&gt;0,VLOOKUP(F264,КВР!A$1:B$5001,2),IF(E264&gt;0,VLOOKUP(E264,Направление!A$1:B$4830,2))))))</f>
        <v>Обеспечение доп.финансирования мероприятий  по формированию современной городской среды</v>
      </c>
      <c r="B264" s="154"/>
      <c r="C264" s="149"/>
      <c r="D264" s="150"/>
      <c r="E264" s="149">
        <v>29656</v>
      </c>
      <c r="F264" s="151"/>
      <c r="G264" s="498">
        <v>100000</v>
      </c>
      <c r="H264" s="498">
        <f>H265</f>
        <v>25807</v>
      </c>
      <c r="I264" s="498">
        <f>I265</f>
        <v>125807</v>
      </c>
    </row>
    <row r="265" spans="1:9" s="146" customFormat="1" ht="63" x14ac:dyDescent="0.25">
      <c r="A265" s="153" t="str">
        <f>IF(B265&gt;0,VLOOKUP(B265,КВСР!A71:B1236,2),IF(C265&gt;0,VLOOKUP(C265,КФСР!A71:B1583,2),IF(D265&gt;0,VLOOKUP(D265,Программа!A$1:B$5100,2),IF(F265&gt;0,VLOOKUP(F265,КВР!A$1:B$5001,2),IF(E265&gt;0,VLOOKUP(E265,Направление!A$1:B$4830,2))))))</f>
        <v>Предоставление субсидий бюджетным, автономным учреждениям и иным некоммерческим организациям</v>
      </c>
      <c r="B265" s="154"/>
      <c r="C265" s="149"/>
      <c r="D265" s="150"/>
      <c r="E265" s="149"/>
      <c r="F265" s="151">
        <v>600</v>
      </c>
      <c r="G265" s="498">
        <v>100000</v>
      </c>
      <c r="H265" s="156">
        <v>25807</v>
      </c>
      <c r="I265" s="157">
        <f>SUM(G265:H265)</f>
        <v>125807</v>
      </c>
    </row>
    <row r="266" spans="1:9" s="146" customFormat="1" ht="47.25" x14ac:dyDescent="0.25">
      <c r="A266" s="153" t="str">
        <f>IF(B266&gt;0,VLOOKUP(B266,КВСР!A72:B1237,2),IF(C266&gt;0,VLOOKUP(C266,КФСР!A72:B1584,2),IF(D266&gt;0,VLOOKUP(D266,Программа!A$1:B$5100,2),IF(F266&gt;0,VLOOKUP(F266,КВР!A$1:B$5001,2),IF(E266&gt;0,VLOOKUP(E266,Направление!A$1:B$4830,2))))))</f>
        <v xml:space="preserve">Мероприятия по содержанию территории города  из средств гранта района </v>
      </c>
      <c r="B266" s="154"/>
      <c r="C266" s="149"/>
      <c r="D266" s="150"/>
      <c r="E266" s="149">
        <v>75876</v>
      </c>
      <c r="F266" s="151"/>
      <c r="G266" s="498">
        <v>5403000</v>
      </c>
      <c r="H266" s="498">
        <f>H267</f>
        <v>2912817</v>
      </c>
      <c r="I266" s="498">
        <f>I267</f>
        <v>8315817</v>
      </c>
    </row>
    <row r="267" spans="1:9" s="146" customFormat="1" ht="63" x14ac:dyDescent="0.25">
      <c r="A267" s="153" t="str">
        <f>IF(B267&gt;0,VLOOKUP(B267,КВСР!A73:B1238,2),IF(C267&gt;0,VLOOKUP(C267,КФСР!A73:B1585,2),IF(D267&gt;0,VLOOKUP(D267,Программа!A$1:B$5100,2),IF(F267&gt;0,VLOOKUP(F267,КВР!A$1:B$5001,2),IF(E267&gt;0,VLOOKUP(E267,Направление!A$1:B$4830,2))))))</f>
        <v>Предоставление субсидий бюджетным, автономным учреждениям и иным некоммерческим организациям</v>
      </c>
      <c r="B267" s="154"/>
      <c r="C267" s="149"/>
      <c r="D267" s="150"/>
      <c r="E267" s="149"/>
      <c r="F267" s="151">
        <v>600</v>
      </c>
      <c r="G267" s="498">
        <v>5403000</v>
      </c>
      <c r="H267" s="156">
        <v>2912817</v>
      </c>
      <c r="I267" s="157">
        <f>SUM(G267:H267)</f>
        <v>8315817</v>
      </c>
    </row>
    <row r="268" spans="1:9" s="146" customFormat="1" ht="63" x14ac:dyDescent="0.25">
      <c r="A268" s="153" t="str">
        <f>IF(B268&gt;0,VLOOKUP(B268,КВСР!A74:B1239,2),IF(C268&gt;0,VLOOKUP(C268,КФСР!A74:B1586,2),IF(D268&gt;0,VLOOKUP(D268,Программа!A$1:B$5100,2),IF(F268&gt;0,VLOOKUP(F268,КВР!A$1:B$5001,2),IF(E268&gt;0,VLOOKUP(E268,Направление!A$1:B$4830,2))))))</f>
        <v>Мероприятия по благоустройству и ремонту дворовых  территории в рамках софинансирования инициативного бюджетирования</v>
      </c>
      <c r="B268" s="154"/>
      <c r="C268" s="149"/>
      <c r="D268" s="150"/>
      <c r="E268" s="149">
        <v>75356</v>
      </c>
      <c r="F268" s="151"/>
      <c r="G268" s="498">
        <v>2249938.2200000002</v>
      </c>
      <c r="H268" s="498">
        <f>H269</f>
        <v>1649715</v>
      </c>
      <c r="I268" s="157">
        <f>SUM(G268:H268)</f>
        <v>3899653.22</v>
      </c>
    </row>
    <row r="269" spans="1:9" s="146" customFormat="1" ht="63" x14ac:dyDescent="0.25">
      <c r="A269" s="153" t="str">
        <f>IF(B269&gt;0,VLOOKUP(B269,КВСР!A75:B1240,2),IF(C269&gt;0,VLOOKUP(C269,КФСР!A75:B1587,2),IF(D269&gt;0,VLOOKUP(D269,Программа!A$1:B$5100,2),IF(F269&gt;0,VLOOKUP(F269,КВР!A$1:B$5001,2),IF(E269&gt;0,VLOOKUP(E269,Направление!A$1:B$4830,2))))))</f>
        <v>Предоставление субсидий бюджетным, автономным учреждениям и иным некоммерческим организациям</v>
      </c>
      <c r="B269" s="154"/>
      <c r="C269" s="149"/>
      <c r="D269" s="150"/>
      <c r="E269" s="149"/>
      <c r="F269" s="151">
        <v>600</v>
      </c>
      <c r="G269" s="498">
        <v>2249938.2200000002</v>
      </c>
      <c r="H269" s="156">
        <v>1649715</v>
      </c>
      <c r="I269" s="157">
        <f>SUM(G269:H269)</f>
        <v>3899653.22</v>
      </c>
    </row>
    <row r="270" spans="1:9" s="146" customFormat="1" ht="47.25" x14ac:dyDescent="0.25">
      <c r="A270" s="153" t="str">
        <f>IF(B270&gt;0,VLOOKUP(B270,КВСР!A76:B1241,2),IF(C270&gt;0,VLOOKUP(C270,КФСР!A76:B1588,2),IF(D270&gt;0,VLOOKUP(D270,Программа!A$1:B$5100,2),IF(F270&gt;0,VLOOKUP(F270,КВР!A$1:B$5001,2),IF(E270&gt;0,VLOOKUP(E270,Направление!A$1:B$4830,2))))))</f>
        <v>Обеспечение мероприятий по благоустргойству территории , предкусмотренных по НПА ЯО</v>
      </c>
      <c r="B270" s="154"/>
      <c r="C270" s="149"/>
      <c r="D270" s="150"/>
      <c r="E270" s="149">
        <v>73266</v>
      </c>
      <c r="F270" s="151"/>
      <c r="G270" s="498">
        <v>626169</v>
      </c>
      <c r="H270" s="498">
        <f>H271</f>
        <v>621102</v>
      </c>
      <c r="I270" s="498">
        <f>I271</f>
        <v>1247271</v>
      </c>
    </row>
    <row r="271" spans="1:9" s="146" customFormat="1" ht="63" x14ac:dyDescent="0.25">
      <c r="A271" s="153" t="str">
        <f>IF(B271&gt;0,VLOOKUP(B271,КВСР!A77:B1242,2),IF(C271&gt;0,VLOOKUP(C271,КФСР!A77:B1589,2),IF(D271&gt;0,VLOOKUP(D271,Программа!A$1:B$5100,2),IF(F271&gt;0,VLOOKUP(F271,КВР!A$1:B$5001,2),IF(E271&gt;0,VLOOKUP(E271,Направление!A$1:B$4830,2))))))</f>
        <v>Предоставление субсидий бюджетным, автономным учреждениям и иным некоммерческим организациям</v>
      </c>
      <c r="B271" s="154"/>
      <c r="C271" s="149"/>
      <c r="D271" s="150"/>
      <c r="E271" s="149"/>
      <c r="F271" s="151">
        <v>600</v>
      </c>
      <c r="G271" s="498">
        <v>626169</v>
      </c>
      <c r="H271" s="156">
        <v>621102</v>
      </c>
      <c r="I271" s="157">
        <f>SUM(G271:H271)</f>
        <v>1247271</v>
      </c>
    </row>
    <row r="272" spans="1:9" s="146" customFormat="1" ht="31.5" hidden="1" x14ac:dyDescent="0.25">
      <c r="A272" s="153" t="str">
        <f>IF(B272&gt;0,VLOOKUP(B272,КВСР!A76:B1241,2),IF(C272&gt;0,VLOOKUP(C272,КФСР!A76:B1588,2),IF(D272&gt;0,VLOOKUP(D272,Программа!A$1:B$5100,2),IF(F272&gt;0,VLOOKUP(F272,КВР!A$1:B$5001,2),IF(E272&gt;0,VLOOKUP(E272,Направление!A$1:B$4830,2))))))</f>
        <v>Обеспечение мероприятий в области благоустройства и озеленения</v>
      </c>
      <c r="B272" s="154"/>
      <c r="C272" s="149"/>
      <c r="D272" s="150"/>
      <c r="E272" s="149">
        <v>29266</v>
      </c>
      <c r="F272" s="151"/>
      <c r="G272" s="498">
        <v>0</v>
      </c>
      <c r="H272" s="498">
        <f>H273</f>
        <v>0</v>
      </c>
      <c r="I272" s="498">
        <f>I273</f>
        <v>0</v>
      </c>
    </row>
    <row r="273" spans="1:9" s="146" customFormat="1" ht="63" hidden="1" x14ac:dyDescent="0.25">
      <c r="A273" s="153" t="str">
        <f>IF(B273&gt;0,VLOOKUP(B273,КВСР!A77:B1242,2),IF(C273&gt;0,VLOOKUP(C273,КФСР!A77:B1589,2),IF(D273&gt;0,VLOOKUP(D273,Программа!A$1:B$5100,2),IF(F273&gt;0,VLOOKUP(F273,КВР!A$1:B$5001,2),IF(E273&gt;0,VLOOKUP(E273,Направление!A$1:B$4830,2))))))</f>
        <v>Предоставление субсидий бюджетным, автономным учреждениям и иным некоммерческим организациям</v>
      </c>
      <c r="B273" s="154"/>
      <c r="C273" s="149"/>
      <c r="D273" s="150"/>
      <c r="E273" s="149"/>
      <c r="F273" s="151">
        <v>600</v>
      </c>
      <c r="G273" s="498">
        <v>0</v>
      </c>
      <c r="H273" s="156"/>
      <c r="I273" s="157">
        <f>SUM(G273:H273)</f>
        <v>0</v>
      </c>
    </row>
    <row r="274" spans="1:9" s="146" customFormat="1" ht="63" x14ac:dyDescent="0.25">
      <c r="A274" s="153" t="str">
        <f>IF(B274&gt;0,VLOOKUP(B274,КВСР!A70:B1235,2),IF(C274&gt;0,VLOOKUP(C274,КФСР!A70:B1582,2),IF(D274&gt;0,VLOOKUP(D274,Программа!A$1:B$5100,2),IF(F274&gt;0,VLOOKUP(F274,КВР!A$1:B$5001,2),IF(E274&gt;0,VLOOKUP(E274,Направление!A$1:B$4830,2))))))</f>
        <v>Муниципальная программа "Формирование  современной городской среды"  Тутаевского муниципального района</v>
      </c>
      <c r="B274" s="154"/>
      <c r="C274" s="149"/>
      <c r="D274" s="150" t="s">
        <v>3155</v>
      </c>
      <c r="E274" s="149"/>
      <c r="F274" s="151"/>
      <c r="G274" s="498">
        <v>17127950.620000001</v>
      </c>
      <c r="H274" s="498">
        <f>H275+H284</f>
        <v>9807313</v>
      </c>
      <c r="I274" s="157">
        <f t="shared" si="4"/>
        <v>26935263.620000001</v>
      </c>
    </row>
    <row r="275" spans="1:9" s="146" customFormat="1" ht="31.5" x14ac:dyDescent="0.25">
      <c r="A275" s="153" t="str">
        <f>IF(B275&gt;0,VLOOKUP(B275,КВСР!A71:B1236,2),IF(C275&gt;0,VLOOKUP(C275,КФСР!A71:B1583,2),IF(D275&gt;0,VLOOKUP(D275,Программа!A$1:B$5100,2),IF(F275&gt;0,VLOOKUP(F275,КВР!A$1:B$5001,2),IF(E275&gt;0,VLOOKUP(E275,Направление!A$1:B$4830,2))))))</f>
        <v>Повышение уровня благоустройства дворовых территорий</v>
      </c>
      <c r="B275" s="154"/>
      <c r="C275" s="149"/>
      <c r="D275" s="150" t="s">
        <v>3183</v>
      </c>
      <c r="E275" s="149"/>
      <c r="F275" s="151"/>
      <c r="G275" s="498">
        <v>12056203.620000001</v>
      </c>
      <c r="H275" s="498">
        <f>H276+H282+H278+H280</f>
        <v>8718070</v>
      </c>
      <c r="I275" s="157">
        <f t="shared" si="4"/>
        <v>20774273.620000001</v>
      </c>
    </row>
    <row r="276" spans="1:9" s="146" customFormat="1" ht="47.25" x14ac:dyDescent="0.25">
      <c r="A276" s="153" t="str">
        <f>IF(B276&gt;0,VLOOKUP(B276,КВСР!A72:B1237,2),IF(C276&gt;0,VLOOKUP(C276,КФСР!A72:B1584,2),IF(D276&gt;0,VLOOKUP(D276,Программа!A$1:B$5100,2),IF(F276&gt;0,VLOOKUP(F276,КВР!A$1:B$5001,2),IF(E276&gt;0,VLOOKUP(E276,Направление!A$1:B$4830,2))))))</f>
        <v>Обеспечение  мероприятий по формированию современной городской среды</v>
      </c>
      <c r="B276" s="154"/>
      <c r="C276" s="149"/>
      <c r="D276" s="150"/>
      <c r="E276" s="149" t="s">
        <v>3267</v>
      </c>
      <c r="F276" s="151"/>
      <c r="G276" s="498">
        <v>4441253</v>
      </c>
      <c r="H276" s="498">
        <f>H277</f>
        <v>1234700</v>
      </c>
      <c r="I276" s="157">
        <f t="shared" si="4"/>
        <v>5675953</v>
      </c>
    </row>
    <row r="277" spans="1:9" s="146" customFormat="1" ht="63" x14ac:dyDescent="0.25">
      <c r="A277" s="153" t="str">
        <f>IF(B277&gt;0,VLOOKUP(B277,КВСР!A73:B1238,2),IF(C277&gt;0,VLOOKUP(C277,КФСР!A73:B1585,2),IF(D277&gt;0,VLOOKUP(D277,Программа!A$1:B$5100,2),IF(F277&gt;0,VLOOKUP(F277,КВР!A$1:B$5001,2),IF(E277&gt;0,VLOOKUP(E277,Направление!A$1:B$4830,2))))))</f>
        <v>Предоставление субсидий бюджетным, автономным учреждениям и иным некоммерческим организациям</v>
      </c>
      <c r="B277" s="154"/>
      <c r="C277" s="149"/>
      <c r="D277" s="150"/>
      <c r="E277" s="149"/>
      <c r="F277" s="151">
        <v>600</v>
      </c>
      <c r="G277" s="498">
        <v>4441253</v>
      </c>
      <c r="H277" s="156">
        <v>1234700</v>
      </c>
      <c r="I277" s="157">
        <f t="shared" si="4"/>
        <v>5675953</v>
      </c>
    </row>
    <row r="278" spans="1:9" s="146" customFormat="1" ht="47.25" x14ac:dyDescent="0.25">
      <c r="A278" s="153" t="str">
        <f>IF(B278&gt;0,VLOOKUP(B278,КВСР!A74:B1239,2),IF(C278&gt;0,VLOOKUP(C278,КФСР!A74:B1586,2),IF(D278&gt;0,VLOOKUP(D278,Программа!A$1:B$5100,2),IF(F278&gt;0,VLOOKUP(F278,КВР!A$1:B$5001,2),IF(E278&gt;0,VLOOKUP(E278,Направление!A$1:B$4830,2))))))</f>
        <v>Обеспечение доп.финансирования мероприятий  по формированию современной городской среды</v>
      </c>
      <c r="B278" s="154"/>
      <c r="C278" s="149"/>
      <c r="D278" s="150"/>
      <c r="E278" s="149">
        <v>29656</v>
      </c>
      <c r="F278" s="151"/>
      <c r="G278" s="498">
        <v>822765</v>
      </c>
      <c r="H278" s="498">
        <f>H279</f>
        <v>691184</v>
      </c>
      <c r="I278" s="498">
        <f>I279</f>
        <v>1513949</v>
      </c>
    </row>
    <row r="279" spans="1:9" s="146" customFormat="1" ht="63" x14ac:dyDescent="0.25">
      <c r="A279" s="153" t="str">
        <f>IF(B279&gt;0,VLOOKUP(B279,КВСР!A75:B1240,2),IF(C279&gt;0,VLOOKUP(C279,КФСР!A75:B1587,2),IF(D279&gt;0,VLOOKUP(D279,Программа!A$1:B$5100,2),IF(F279&gt;0,VLOOKUP(F279,КВР!A$1:B$5001,2),IF(E279&gt;0,VLOOKUP(E279,Направление!A$1:B$4830,2))))))</f>
        <v>Предоставление субсидий бюджетным, автономным учреждениям и иным некоммерческим организациям</v>
      </c>
      <c r="B279" s="154"/>
      <c r="C279" s="149"/>
      <c r="D279" s="150"/>
      <c r="E279" s="149"/>
      <c r="F279" s="151">
        <v>600</v>
      </c>
      <c r="G279" s="498">
        <v>822765</v>
      </c>
      <c r="H279" s="156">
        <v>691184</v>
      </c>
      <c r="I279" s="157">
        <f>SUM(G279:H279)</f>
        <v>1513949</v>
      </c>
    </row>
    <row r="280" spans="1:9" s="146" customFormat="1" ht="47.25" x14ac:dyDescent="0.25">
      <c r="A280" s="153" t="str">
        <f>IF(B280&gt;0,VLOOKUP(B280,КВСР!A76:B1241,2),IF(C280&gt;0,VLOOKUP(C280,КФСР!A76:B1588,2),IF(D280&gt;0,VLOOKUP(D280,Программа!A$1:B$5100,2),IF(F280&gt;0,VLOOKUP(F280,КВР!A$1:B$5001,2),IF(E280&gt;0,VLOOKUP(E280,Направление!A$1:B$4830,2))))))</f>
        <v>Обеспечение мероприятий по благоустргойству территории , предкусмотренных по НПА ЯО</v>
      </c>
      <c r="B280" s="154"/>
      <c r="C280" s="149"/>
      <c r="D280" s="150"/>
      <c r="E280" s="149">
        <v>73266</v>
      </c>
      <c r="F280" s="151"/>
      <c r="G280" s="498">
        <v>3400000</v>
      </c>
      <c r="H280" s="498">
        <f>H281</f>
        <v>3400000</v>
      </c>
      <c r="I280" s="498">
        <f>I281</f>
        <v>6800000</v>
      </c>
    </row>
    <row r="281" spans="1:9" s="146" customFormat="1" ht="63" x14ac:dyDescent="0.25">
      <c r="A281" s="153" t="str">
        <f>IF(B281&gt;0,VLOOKUP(B281,КВСР!A77:B1242,2),IF(C281&gt;0,VLOOKUP(C281,КФСР!A77:B1589,2),IF(D281&gt;0,VLOOKUP(D281,Программа!A$1:B$5100,2),IF(F281&gt;0,VLOOKUP(F281,КВР!A$1:B$5001,2),IF(E281&gt;0,VLOOKUP(E281,Направление!A$1:B$4830,2))))))</f>
        <v>Предоставление субсидий бюджетным, автономным учреждениям и иным некоммерческим организациям</v>
      </c>
      <c r="B281" s="154"/>
      <c r="C281" s="149"/>
      <c r="D281" s="150"/>
      <c r="E281" s="149"/>
      <c r="F281" s="151">
        <v>600</v>
      </c>
      <c r="G281" s="498">
        <v>3400000</v>
      </c>
      <c r="H281" s="156">
        <v>3400000</v>
      </c>
      <c r="I281" s="157">
        <f>SUM(G281:H281)</f>
        <v>6800000</v>
      </c>
    </row>
    <row r="282" spans="1:9" s="146" customFormat="1" ht="31.5" x14ac:dyDescent="0.25">
      <c r="A282" s="153" t="str">
        <f>IF(B282&gt;0,VLOOKUP(B282,КВСР!A74:B1239,2),IF(C282&gt;0,VLOOKUP(C282,КФСР!A74:B1586,2),IF(D282&gt;0,VLOOKUP(D282,Программа!A$1:B$5100,2),IF(F282&gt;0,VLOOKUP(F282,КВР!A$1:B$5001,2),IF(E282&gt;0,VLOOKUP(E282,Направление!A$1:B$4830,2))))))</f>
        <v xml:space="preserve">Субсидия на формирование современной городской среды </v>
      </c>
      <c r="B282" s="154"/>
      <c r="C282" s="149"/>
      <c r="D282" s="150"/>
      <c r="E282" s="149">
        <v>75556</v>
      </c>
      <c r="F282" s="151"/>
      <c r="G282" s="498">
        <v>3392185.62</v>
      </c>
      <c r="H282" s="498">
        <f>H283</f>
        <v>3392186</v>
      </c>
      <c r="I282" s="157">
        <f t="shared" ref="I282:I291" si="5">SUM(G282:H282)</f>
        <v>6784371.6200000001</v>
      </c>
    </row>
    <row r="283" spans="1:9" s="146" customFormat="1" ht="63" x14ac:dyDescent="0.25">
      <c r="A283" s="153" t="str">
        <f>IF(B283&gt;0,VLOOKUP(B283,КВСР!A75:B1240,2),IF(C283&gt;0,VLOOKUP(C283,КФСР!A75:B1587,2),IF(D283&gt;0,VLOOKUP(D283,Программа!A$1:B$5100,2),IF(F283&gt;0,VLOOKUP(F283,КВР!A$1:B$5001,2),IF(E283&gt;0,VLOOKUP(E283,Направление!A$1:B$4830,2))))))</f>
        <v>Предоставление субсидий бюджетным, автономным учреждениям и иным некоммерческим организациям</v>
      </c>
      <c r="B283" s="154"/>
      <c r="C283" s="149"/>
      <c r="D283" s="150"/>
      <c r="E283" s="149"/>
      <c r="F283" s="151">
        <v>600</v>
      </c>
      <c r="G283" s="498">
        <v>3392185.62</v>
      </c>
      <c r="H283" s="156">
        <v>3392186</v>
      </c>
      <c r="I283" s="157">
        <f t="shared" si="5"/>
        <v>6784371.6200000001</v>
      </c>
    </row>
    <row r="284" spans="1:9" s="146" customFormat="1" ht="31.5" x14ac:dyDescent="0.25">
      <c r="A284" s="153" t="str">
        <f>IF(B284&gt;0,VLOOKUP(B284,КВСР!A76:B1241,2),IF(C284&gt;0,VLOOKUP(C284,КФСР!A76:B1588,2),IF(D284&gt;0,VLOOKUP(D284,Программа!A$1:B$5100,2),IF(F284&gt;0,VLOOKUP(F284,КВР!A$1:B$5001,2),IF(E284&gt;0,VLOOKUP(E284,Направление!A$1:B$4830,2))))))</f>
        <v>Повышение  уровня благоустройства  мест массового отдыха людей</v>
      </c>
      <c r="B284" s="154"/>
      <c r="C284" s="149"/>
      <c r="D284" s="150" t="s">
        <v>3184</v>
      </c>
      <c r="E284" s="149"/>
      <c r="F284" s="151"/>
      <c r="G284" s="498">
        <v>5071747</v>
      </c>
      <c r="H284" s="498">
        <f>H285+H287</f>
        <v>1089243</v>
      </c>
      <c r="I284" s="498">
        <f>SUM(G284:H284)</f>
        <v>6160990</v>
      </c>
    </row>
    <row r="285" spans="1:9" s="146" customFormat="1" ht="78.75" hidden="1" x14ac:dyDescent="0.25">
      <c r="A285" s="153" t="str">
        <f>IF(B285&gt;0,VLOOKUP(B285,КВСР!A77:B1242,2),IF(C285&gt;0,VLOOKUP(C285,КФСР!A77:B1589,2),IF(D285&gt;0,VLOOKUP(D285,Программа!A$1:B$5100,2),IF(F285&gt;0,VLOOKUP(F285,КВР!A$1:B$5001,2),IF(E285&gt;0,VLOOKUP(E285,Направление!A$1:B$4830,2))))))</f>
        <v>Обеспечение  мероприятий по формированию современной городской среды в области благоустройства мест массового отдыха</v>
      </c>
      <c r="B285" s="154"/>
      <c r="C285" s="149"/>
      <c r="D285" s="150"/>
      <c r="E285" s="149" t="s">
        <v>3369</v>
      </c>
      <c r="F285" s="151"/>
      <c r="G285" s="498">
        <v>3856014</v>
      </c>
      <c r="H285" s="498">
        <f>H286</f>
        <v>0</v>
      </c>
      <c r="I285" s="498">
        <f>I286</f>
        <v>3856014</v>
      </c>
    </row>
    <row r="286" spans="1:9" s="146" customFormat="1" ht="63" hidden="1" x14ac:dyDescent="0.25">
      <c r="A286" s="153" t="str">
        <f>IF(B286&gt;0,VLOOKUP(B286,КВСР!A78:B1243,2),IF(C286&gt;0,VLOOKUP(C286,КФСР!A78:B1590,2),IF(D286&gt;0,VLOOKUP(D286,Программа!A$1:B$5100,2),IF(F286&gt;0,VLOOKUP(F286,КВР!A$1:B$5001,2),IF(E286&gt;0,VLOOKUP(E286,Направление!A$1:B$4830,2))))))</f>
        <v>Предоставление субсидий бюджетным, автономным учреждениям и иным некоммерческим организациям</v>
      </c>
      <c r="B286" s="154"/>
      <c r="C286" s="149"/>
      <c r="D286" s="150"/>
      <c r="E286" s="149"/>
      <c r="F286" s="151">
        <v>600</v>
      </c>
      <c r="G286" s="498">
        <v>3856014</v>
      </c>
      <c r="H286" s="156"/>
      <c r="I286" s="157">
        <f>SUM(G286:H286)</f>
        <v>3856014</v>
      </c>
    </row>
    <row r="287" spans="1:9" s="146" customFormat="1" ht="63" x14ac:dyDescent="0.25">
      <c r="A287" s="153" t="str">
        <f>IF(B287&gt;0,VLOOKUP(B287,КВСР!A79:B1244,2),IF(C287&gt;0,VLOOKUP(C287,КФСР!A79:B1591,2),IF(D287&gt;0,VLOOKUP(D287,Программа!A$1:B$5100,2),IF(F287&gt;0,VLOOKUP(F287,КВР!A$1:B$5001,2),IF(E287&gt;0,VLOOKUP(E287,Направление!A$1:B$4830,2))))))</f>
        <v>Обеспечение мероприятий по обустройству мест массового отдыха в рамках реализации губернаторского проекта «Решаем вместе!»</v>
      </c>
      <c r="B287" s="154"/>
      <c r="C287" s="149"/>
      <c r="D287" s="150"/>
      <c r="E287" s="149">
        <v>29676</v>
      </c>
      <c r="F287" s="151"/>
      <c r="G287" s="498">
        <v>1215733</v>
      </c>
      <c r="H287" s="498">
        <f>H288</f>
        <v>1089243</v>
      </c>
      <c r="I287" s="498">
        <f>I288</f>
        <v>2304976</v>
      </c>
    </row>
    <row r="288" spans="1:9" s="146" customFormat="1" ht="63" x14ac:dyDescent="0.25">
      <c r="A288" s="153" t="str">
        <f>IF(B288&gt;0,VLOOKUP(B288,КВСР!A80:B1245,2),IF(C288&gt;0,VLOOKUP(C288,КФСР!A80:B1592,2),IF(D288&gt;0,VLOOKUP(D288,Программа!A$1:B$5100,2),IF(F288&gt;0,VLOOKUP(F288,КВР!A$1:B$5001,2),IF(E288&gt;0,VLOOKUP(E288,Направление!A$1:B$4830,2))))))</f>
        <v>Предоставление субсидий бюджетным, автономным учреждениям и иным некоммерческим организациям</v>
      </c>
      <c r="B288" s="154"/>
      <c r="C288" s="149"/>
      <c r="D288" s="150"/>
      <c r="E288" s="149"/>
      <c r="F288" s="151">
        <v>600</v>
      </c>
      <c r="G288" s="498">
        <v>1215733</v>
      </c>
      <c r="H288" s="156">
        <v>1089243</v>
      </c>
      <c r="I288" s="157">
        <f>SUM(G288:H288)</f>
        <v>2304976</v>
      </c>
    </row>
    <row r="289" spans="1:9" s="146" customFormat="1" ht="31.5" x14ac:dyDescent="0.25">
      <c r="A289" s="153" t="str">
        <f>IF(B289&gt;0,VLOOKUP(B289,КВСР!A76:B1241,2),IF(C289&gt;0,VLOOKUP(C289,КФСР!A76:B1588,2),IF(D289&gt;0,VLOOKUP(D289,Программа!A$1:B$5100,2),IF(F289&gt;0,VLOOKUP(F289,КВР!A$1:B$5001,2),IF(E289&gt;0,VLOOKUP(E289,Направление!A$1:B$4830,2))))))</f>
        <v>Межбюджетные трансферты  поселениям района</v>
      </c>
      <c r="B289" s="154"/>
      <c r="C289" s="149"/>
      <c r="D289" s="150" t="s">
        <v>799</v>
      </c>
      <c r="E289" s="149"/>
      <c r="F289" s="151"/>
      <c r="G289" s="498">
        <v>3392185.62</v>
      </c>
      <c r="H289" s="498">
        <f>H290</f>
        <v>3392185</v>
      </c>
      <c r="I289" s="157">
        <f t="shared" si="5"/>
        <v>6784370.6200000001</v>
      </c>
    </row>
    <row r="290" spans="1:9" s="146" customFormat="1" ht="47.25" x14ac:dyDescent="0.25">
      <c r="A290" s="153" t="str">
        <f>IF(B290&gt;0,VLOOKUP(B290,КВСР!A77:B1242,2),IF(C290&gt;0,VLOOKUP(C290,КФСР!A77:B1589,2),IF(D290&gt;0,VLOOKUP(D290,Программа!A$1:B$5100,2),IF(F290&gt;0,VLOOKUP(F290,КВР!A$1:B$5001,2),IF(E290&gt;0,VLOOKUP(E290,Направление!A$1:B$4830,2))))))</f>
        <v>Субсидия на формирование современной городской среды  (кредиторская задолженность)</v>
      </c>
      <c r="B290" s="154"/>
      <c r="C290" s="149"/>
      <c r="D290" s="150"/>
      <c r="E290" s="149">
        <v>75550</v>
      </c>
      <c r="F290" s="151"/>
      <c r="G290" s="498">
        <v>3392185.62</v>
      </c>
      <c r="H290" s="498">
        <f>H291</f>
        <v>3392185</v>
      </c>
      <c r="I290" s="157">
        <f t="shared" si="5"/>
        <v>6784370.6200000001</v>
      </c>
    </row>
    <row r="291" spans="1:9" s="146" customFormat="1" x14ac:dyDescent="0.25">
      <c r="A291" s="153" t="str">
        <f>IF(B291&gt;0,VLOOKUP(B291,КВСР!A78:B1243,2),IF(C291&gt;0,VLOOKUP(C291,КФСР!A78:B1590,2),IF(D291&gt;0,VLOOKUP(D291,Программа!A$1:B$5100,2),IF(F291&gt;0,VLOOKUP(F291,КВР!A$1:B$5001,2),IF(E291&gt;0,VLOOKUP(E291,Направление!A$1:B$4830,2))))))</f>
        <v xml:space="preserve"> Межбюджетные трансферты</v>
      </c>
      <c r="B291" s="154"/>
      <c r="C291" s="149"/>
      <c r="D291" s="150"/>
      <c r="E291" s="149"/>
      <c r="F291" s="151">
        <v>500</v>
      </c>
      <c r="G291" s="498">
        <v>3392185.62</v>
      </c>
      <c r="H291" s="156">
        <v>3392185</v>
      </c>
      <c r="I291" s="157">
        <f t="shared" si="5"/>
        <v>6784370.6200000001</v>
      </c>
    </row>
    <row r="292" spans="1:9" s="146" customFormat="1" ht="31.5" x14ac:dyDescent="0.25">
      <c r="A292" s="153" t="str">
        <f>IF(B292&gt;0,VLOOKUP(B292,КВСР!A58:B1223,2),IF(C292&gt;0,VLOOKUP(C292,КФСР!A58:B1570,2),IF(D292&gt;0,VLOOKUP(D292,Программа!A$1:B$5100,2),IF(F292&gt;0,VLOOKUP(F292,КВР!A$1:B$5001,2),IF(E292&gt;0,VLOOKUP(E292,Направление!A$1:B$4830,2))))))</f>
        <v>Другие вопросы в области охраны окружающей среды</v>
      </c>
      <c r="B292" s="154"/>
      <c r="C292" s="149">
        <v>605</v>
      </c>
      <c r="D292" s="151"/>
      <c r="E292" s="149"/>
      <c r="F292" s="151"/>
      <c r="G292" s="164">
        <v>913855.13</v>
      </c>
      <c r="H292" s="164">
        <f>H293</f>
        <v>791919</v>
      </c>
      <c r="I292" s="157">
        <f t="shared" si="4"/>
        <v>1705774.13</v>
      </c>
    </row>
    <row r="293" spans="1:9" s="146" customFormat="1" ht="63" x14ac:dyDescent="0.25">
      <c r="A293" s="153" t="str">
        <f>IF(B293&gt;0,VLOOKUP(B293,КВСР!A59:B1224,2),IF(C293&gt;0,VLOOKUP(C293,КФСР!A59:B1571,2),IF(D293&gt;0,VLOOKUP(D293,Программа!A$1:B$5100,2),IF(F293&gt;0,VLOOKUP(F293,КВР!A$1:B$5001,2),IF(E293&gt;0,VLOOKUP(E293,Направление!A$1:B$4830,2))))))</f>
        <v>Муниципальная программа "Охрана окружающей среды и рациональное природопользование в Тутаевском муниципальном районе"</v>
      </c>
      <c r="B293" s="154"/>
      <c r="C293" s="149"/>
      <c r="D293" s="151" t="s">
        <v>2911</v>
      </c>
      <c r="E293" s="149"/>
      <c r="F293" s="151"/>
      <c r="G293" s="164">
        <v>913855.13</v>
      </c>
      <c r="H293" s="164">
        <f>H294</f>
        <v>791919</v>
      </c>
      <c r="I293" s="157">
        <f t="shared" si="4"/>
        <v>1705774.13</v>
      </c>
    </row>
    <row r="294" spans="1:9" s="146" customFormat="1" ht="63" x14ac:dyDescent="0.25">
      <c r="A294" s="153" t="str">
        <f>IF(B294&gt;0,VLOOKUP(B294,КВСР!A60:B1225,2),IF(C294&gt;0,VLOOKUP(C294,КФСР!A60:B1572,2),IF(D294&gt;0,VLOOKUP(D294,Программа!A$1:B$5100,2),IF(F294&gt;0,VLOOKUP(F294,КВР!A$1:B$5001,2),IF(E294&gt;0,VLOOKUP(E294,Направление!A$1:B$4830,2))))))</f>
        <v>Проведение мероприятий по охране окружающей среды и природопользованию на территории Тутаевского муниципального района</v>
      </c>
      <c r="B294" s="154"/>
      <c r="C294" s="149"/>
      <c r="D294" s="151" t="s">
        <v>2959</v>
      </c>
      <c r="E294" s="149"/>
      <c r="F294" s="151"/>
      <c r="G294" s="164">
        <v>913855.13</v>
      </c>
      <c r="H294" s="164">
        <f>H295</f>
        <v>791919</v>
      </c>
      <c r="I294" s="157">
        <f t="shared" si="4"/>
        <v>1705774.13</v>
      </c>
    </row>
    <row r="295" spans="1:9" s="146" customFormat="1" ht="31.5" x14ac:dyDescent="0.25">
      <c r="A295" s="153" t="str">
        <f>IF(B295&gt;0,VLOOKUP(B295,КВСР!A60:B1225,2),IF(C295&gt;0,VLOOKUP(C295,КФСР!A60:B1572,2),IF(D295&gt;0,VLOOKUP(D295,Программа!A$1:B$5100,2),IF(F295&gt;0,VLOOKUP(F295,КВР!A$1:B$5001,2),IF(E295&gt;0,VLOOKUP(E295,Направление!A$1:B$4830,2))))))</f>
        <v>Расходы на природоохранные мероприятия</v>
      </c>
      <c r="B295" s="154"/>
      <c r="C295" s="149"/>
      <c r="D295" s="151"/>
      <c r="E295" s="149">
        <v>10600</v>
      </c>
      <c r="F295" s="151"/>
      <c r="G295" s="164">
        <v>913855.13</v>
      </c>
      <c r="H295" s="164">
        <f>H296</f>
        <v>791919</v>
      </c>
      <c r="I295" s="157">
        <f t="shared" si="4"/>
        <v>1705774.13</v>
      </c>
    </row>
    <row r="296" spans="1:9" s="146" customFormat="1" ht="63" x14ac:dyDescent="0.25">
      <c r="A296" s="153" t="str">
        <f>IF(B296&gt;0,VLOOKUP(B296,КВСР!A61:B1226,2),IF(C296&gt;0,VLOOKUP(C296,КФСР!A61:B1573,2),IF(D296&gt;0,VLOOKUP(D296,Программа!A$1:B$5100,2),IF(F296&gt;0,VLOOKUP(F296,КВР!A$1:B$5001,2),IF(E296&gt;0,VLOOKUP(E296,Направление!A$1:B$4830,2))))))</f>
        <v xml:space="preserve">Закупка товаров, работ и услуг для обеспечения государственных (муниципальных) нужд
</v>
      </c>
      <c r="B296" s="154"/>
      <c r="C296" s="149"/>
      <c r="D296" s="151"/>
      <c r="E296" s="149"/>
      <c r="F296" s="151">
        <v>200</v>
      </c>
      <c r="G296" s="498">
        <v>913855.13</v>
      </c>
      <c r="H296" s="156">
        <v>791919</v>
      </c>
      <c r="I296" s="157">
        <f t="shared" si="4"/>
        <v>1705774.13</v>
      </c>
    </row>
    <row r="297" spans="1:9" s="146" customFormat="1" hidden="1" x14ac:dyDescent="0.25">
      <c r="A297" s="153" t="str">
        <f>IF(B297&gt;0,VLOOKUP(B297,КВСР!A62:B1227,2),IF(C297&gt;0,VLOOKUP(C297,КФСР!A62:B1574,2),IF(D297&gt;0,VLOOKUP(D297,Программа!A$1:B$5100,2),IF(F297&gt;0,VLOOKUP(F297,КВР!A$1:B$5001,2),IF(E297&gt;0,VLOOKUP(E297,Направление!A$1:B$4830,2))))))</f>
        <v>Общее образование</v>
      </c>
      <c r="B297" s="154"/>
      <c r="C297" s="149">
        <v>702</v>
      </c>
      <c r="D297" s="151"/>
      <c r="E297" s="149"/>
      <c r="F297" s="151"/>
      <c r="G297" s="498">
        <v>0</v>
      </c>
      <c r="H297" s="498">
        <f>H298</f>
        <v>0</v>
      </c>
      <c r="I297" s="157">
        <f t="shared" si="4"/>
        <v>0</v>
      </c>
    </row>
    <row r="298" spans="1:9" s="146" customFormat="1" hidden="1" x14ac:dyDescent="0.25">
      <c r="A298" s="153" t="str">
        <f>IF(B298&gt;0,VLOOKUP(B298,КВСР!A63:B1228,2),IF(C298&gt;0,VLOOKUP(C298,КФСР!A63:B1575,2),IF(D298&gt;0,VLOOKUP(D298,Программа!A$1:B$5100,2),IF(F298&gt;0,VLOOKUP(F298,КВР!A$1:B$5001,2),IF(E298&gt;0,VLOOKUP(E298,Направление!A$1:B$4830,2))))))</f>
        <v>Непрограммные расходы бюджета</v>
      </c>
      <c r="B298" s="154"/>
      <c r="C298" s="149"/>
      <c r="D298" s="151" t="s">
        <v>624</v>
      </c>
      <c r="E298" s="149"/>
      <c r="F298" s="151"/>
      <c r="G298" s="498">
        <v>0</v>
      </c>
      <c r="H298" s="498">
        <f>H299</f>
        <v>0</v>
      </c>
      <c r="I298" s="157">
        <f t="shared" si="4"/>
        <v>0</v>
      </c>
    </row>
    <row r="299" spans="1:9" s="146" customFormat="1" ht="31.5" hidden="1" x14ac:dyDescent="0.25">
      <c r="A299" s="153" t="str">
        <f>IF(B299&gt;0,VLOOKUP(B299,КВСР!A64:B1229,2),IF(C299&gt;0,VLOOKUP(C299,КФСР!A64:B1576,2),IF(D299&gt;0,VLOOKUP(D299,Программа!A$1:B$5100,2),IF(F299&gt;0,VLOOKUP(F299,КВР!A$1:B$5001,2),IF(E299&gt;0,VLOOKUP(E299,Направление!A$1:B$4830,2))))))</f>
        <v>Обеспечение деятельности общеобразовательных учреждений</v>
      </c>
      <c r="B299" s="154"/>
      <c r="C299" s="149"/>
      <c r="D299" s="151"/>
      <c r="E299" s="149">
        <v>13110</v>
      </c>
      <c r="F299" s="151"/>
      <c r="G299" s="498">
        <v>0</v>
      </c>
      <c r="H299" s="498">
        <f>H300</f>
        <v>0</v>
      </c>
      <c r="I299" s="157">
        <f t="shared" si="4"/>
        <v>0</v>
      </c>
    </row>
    <row r="300" spans="1:9" s="146" customFormat="1" ht="63" hidden="1" x14ac:dyDescent="0.25">
      <c r="A300" s="153" t="str">
        <f>IF(B300&gt;0,VLOOKUP(B300,КВСР!A65:B1230,2),IF(C300&gt;0,VLOOKUP(C300,КФСР!A65:B1577,2),IF(D300&gt;0,VLOOKUP(D300,Программа!A$1:B$5100,2),IF(F300&gt;0,VLOOKUP(F300,КВР!A$1:B$5001,2),IF(E300&gt;0,VLOOKUP(E300,Направление!A$1:B$4830,2))))))</f>
        <v>Предоставление субсидий бюджетным, автономным учреждениям и иным некоммерческим организациям</v>
      </c>
      <c r="B300" s="154"/>
      <c r="C300" s="149"/>
      <c r="D300" s="151"/>
      <c r="E300" s="149"/>
      <c r="F300" s="151">
        <v>600</v>
      </c>
      <c r="G300" s="498">
        <v>0</v>
      </c>
      <c r="H300" s="156"/>
      <c r="I300" s="157">
        <f t="shared" si="4"/>
        <v>0</v>
      </c>
    </row>
    <row r="301" spans="1:9" s="146" customFormat="1" x14ac:dyDescent="0.25">
      <c r="A301" s="153" t="str">
        <f>IF(B301&gt;0,VLOOKUP(B301,КВСР!A62:B1227,2),IF(C301&gt;0,VLOOKUP(C301,КФСР!A62:B1574,2),IF(D301&gt;0,VLOOKUP(D301,Программа!A$1:B$5100,2),IF(F301&gt;0,VLOOKUP(F301,КВР!A$1:B$5001,2),IF(E301&gt;0,VLOOKUP(E301,Направление!A$1:B$4830,2))))))</f>
        <v>Культура</v>
      </c>
      <c r="B301" s="154"/>
      <c r="C301" s="149">
        <v>801</v>
      </c>
      <c r="D301" s="150"/>
      <c r="E301" s="149"/>
      <c r="F301" s="151"/>
      <c r="G301" s="500">
        <v>7560754</v>
      </c>
      <c r="H301" s="155">
        <f>H303</f>
        <v>7403164</v>
      </c>
      <c r="I301" s="157">
        <f t="shared" si="4"/>
        <v>14963918</v>
      </c>
    </row>
    <row r="302" spans="1:9" s="146" customFormat="1" ht="63" x14ac:dyDescent="0.25">
      <c r="A302" s="153" t="str">
        <f>IF(B302&gt;0,VLOOKUP(B302,КВСР!A63:B1228,2),IF(C302&gt;0,VLOOKUP(C302,КФСР!A63:B1575,2),IF(D302&gt;0,VLOOKUP(D302,Программа!A$1:B$5100,2),IF(F302&gt;0,VLOOKUP(F302,КВР!A$1:B$5001,2),IF(E302&gt;0,VLOOKUP(E302,Направление!A$1:B$4830,2))))))</f>
        <v>Муниципальная программа  "Развитие культуры, туризма и молодежной политики в Тутаевском муниципальном районе"</v>
      </c>
      <c r="B302" s="154"/>
      <c r="C302" s="149"/>
      <c r="D302" s="150" t="s">
        <v>714</v>
      </c>
      <c r="E302" s="149"/>
      <c r="F302" s="151"/>
      <c r="G302" s="500">
        <v>7560754</v>
      </c>
      <c r="H302" s="500">
        <f>H303</f>
        <v>7403164</v>
      </c>
      <c r="I302" s="157">
        <f t="shared" si="4"/>
        <v>14963918</v>
      </c>
    </row>
    <row r="303" spans="1:9" s="146" customFormat="1" ht="47.25" x14ac:dyDescent="0.25">
      <c r="A303" s="153" t="str">
        <f>IF(B303&gt;0,VLOOKUP(B303,КВСР!A63:B1228,2),IF(C303&gt;0,VLOOKUP(C303,КФСР!A63:B1575,2),IF(D303&gt;0,VLOOKUP(D303,Программа!A$1:B$5100,2),IF(F303&gt;0,VLOOKUP(F303,КВР!A$1:B$5001,2),IF(E303&gt;0,VLOOKUP(E303,Направление!A$1:B$4830,2))))))</f>
        <v>Ведомственная целевая программа «Сохранение и развитие культуры Тутаевского муниципального района»</v>
      </c>
      <c r="B303" s="154"/>
      <c r="C303" s="149"/>
      <c r="D303" s="150" t="s">
        <v>817</v>
      </c>
      <c r="E303" s="149"/>
      <c r="F303" s="151"/>
      <c r="G303" s="164">
        <v>7560754</v>
      </c>
      <c r="H303" s="164">
        <f>H304</f>
        <v>7403164</v>
      </c>
      <c r="I303" s="157">
        <f t="shared" si="4"/>
        <v>14963918</v>
      </c>
    </row>
    <row r="304" spans="1:9" s="146" customFormat="1" ht="31.5" x14ac:dyDescent="0.25">
      <c r="A304" s="153" t="str">
        <f>IF(B304&gt;0,VLOOKUP(B304,КВСР!A64:B1229,2),IF(C304&gt;0,VLOOKUP(C304,КФСР!A64:B1576,2),IF(D304&gt;0,VLOOKUP(D304,Программа!A$1:B$5100,2),IF(F304&gt;0,VLOOKUP(F304,КВР!A$1:B$5001,2),IF(E304&gt;0,VLOOKUP(E304,Направление!A$1:B$4830,2))))))</f>
        <v>Содействие доступу граждан к культурным ценностям</v>
      </c>
      <c r="B304" s="154"/>
      <c r="C304" s="149"/>
      <c r="D304" s="150" t="s">
        <v>836</v>
      </c>
      <c r="E304" s="149"/>
      <c r="F304" s="151"/>
      <c r="G304" s="164">
        <v>7560754</v>
      </c>
      <c r="H304" s="164">
        <f>H309+H305+H307</f>
        <v>7403164</v>
      </c>
      <c r="I304" s="157">
        <f t="shared" si="4"/>
        <v>14963918</v>
      </c>
    </row>
    <row r="305" spans="1:9" s="146" customFormat="1" ht="47.25" x14ac:dyDescent="0.25">
      <c r="A305" s="153" t="str">
        <f>IF(B305&gt;0,VLOOKUP(B305,КВСР!A65:B1230,2),IF(C305&gt;0,VLOOKUP(C305,КФСР!A65:B1577,2),IF(D305&gt;0,VLOOKUP(D305,Программа!A$1:B$5100,2),IF(F305&gt;0,VLOOKUP(F305,КВР!A$1:B$5001,2),IF(E305&gt;0,VLOOKUP(E305,Направление!A$1:B$4830,2))))))</f>
        <v>Расходы на проведение капитального ремонта муниципальных учреждений культуры</v>
      </c>
      <c r="B305" s="154"/>
      <c r="C305" s="149"/>
      <c r="D305" s="150"/>
      <c r="E305" s="149">
        <v>71690</v>
      </c>
      <c r="F305" s="151"/>
      <c r="G305" s="164">
        <v>3171690</v>
      </c>
      <c r="H305" s="164">
        <f>H306</f>
        <v>3014100</v>
      </c>
      <c r="I305" s="157">
        <f t="shared" si="4"/>
        <v>6185790</v>
      </c>
    </row>
    <row r="306" spans="1:9" s="146" customFormat="1" ht="63" x14ac:dyDescent="0.25">
      <c r="A306" s="153" t="str">
        <f>IF(B306&gt;0,VLOOKUP(B306,КВСР!A66:B1231,2),IF(C306&gt;0,VLOOKUP(C306,КФСР!A66:B1578,2),IF(D306&gt;0,VLOOKUP(D306,Программа!A$1:B$5100,2),IF(F306&gt;0,VLOOKUP(F306,КВР!A$1:B$5001,2),IF(E306&gt;0,VLOOKUP(E306,Направление!A$1:B$4830,2))))))</f>
        <v>Предоставление субсидий бюджетным, автономным учреждениям и иным некоммерческим организациям</v>
      </c>
      <c r="B306" s="154"/>
      <c r="C306" s="149"/>
      <c r="D306" s="150"/>
      <c r="E306" s="149"/>
      <c r="F306" s="151">
        <v>600</v>
      </c>
      <c r="G306" s="164">
        <v>3171690</v>
      </c>
      <c r="H306" s="164">
        <v>3014100</v>
      </c>
      <c r="I306" s="157">
        <f t="shared" si="4"/>
        <v>6185790</v>
      </c>
    </row>
    <row r="307" spans="1:9" s="146" customFormat="1" ht="47.25" x14ac:dyDescent="0.25">
      <c r="A307" s="153" t="str">
        <f>IF(B307&gt;0,VLOOKUP(B307,КВСР!A67:B1232,2),IF(C307&gt;0,VLOOKUP(C307,КФСР!A67:B1579,2),IF(D307&gt;0,VLOOKUP(D307,Программа!A$1:B$5100,2),IF(F307&gt;0,VLOOKUP(F307,КВР!A$1:B$5001,2),IF(E307&gt;0,VLOOKUP(E307,Направление!A$1:B$4830,2))))))</f>
        <v>Расходы на реализацию мероприятий инициативного бюджетирования на территории Ярославской области</v>
      </c>
      <c r="B307" s="154"/>
      <c r="C307" s="149"/>
      <c r="D307" s="150"/>
      <c r="E307" s="149">
        <v>75350</v>
      </c>
      <c r="F307" s="151"/>
      <c r="G307" s="164">
        <v>4200365</v>
      </c>
      <c r="H307" s="164">
        <f>H308</f>
        <v>4200365</v>
      </c>
      <c r="I307" s="157">
        <f t="shared" si="4"/>
        <v>8400730</v>
      </c>
    </row>
    <row r="308" spans="1:9" s="146" customFormat="1" ht="63" x14ac:dyDescent="0.25">
      <c r="A308" s="153" t="str">
        <f>IF(B308&gt;0,VLOOKUP(B308,КВСР!A68:B1233,2),IF(C308&gt;0,VLOOKUP(C308,КФСР!A68:B1580,2),IF(D308&gt;0,VLOOKUP(D308,Программа!A$1:B$5100,2),IF(F308&gt;0,VLOOKUP(F308,КВР!A$1:B$5001,2),IF(E308&gt;0,VLOOKUP(E308,Направление!A$1:B$4830,2))))))</f>
        <v>Предоставление субсидий бюджетным, автономным учреждениям и иным некоммерческим организациям</v>
      </c>
      <c r="B308" s="154"/>
      <c r="C308" s="149"/>
      <c r="D308" s="150"/>
      <c r="E308" s="149"/>
      <c r="F308" s="151">
        <v>600</v>
      </c>
      <c r="G308" s="164">
        <v>4200365</v>
      </c>
      <c r="H308" s="164">
        <v>4200365</v>
      </c>
      <c r="I308" s="157">
        <f t="shared" si="4"/>
        <v>8400730</v>
      </c>
    </row>
    <row r="309" spans="1:9" s="146" customFormat="1" ht="47.25" x14ac:dyDescent="0.25">
      <c r="A309" s="153" t="str">
        <f>IF(B309&gt;0,VLOOKUP(B309,КВСР!A65:B1230,2),IF(C309&gt;0,VLOOKUP(C309,КФСР!A65:B1577,2),IF(D309&gt;0,VLOOKUP(D309,Программа!A$1:B$5100,2),IF(F309&gt;0,VLOOKUP(F309,КВР!A$1:B$5001,2),IF(E309&gt;0,VLOOKUP(E309,Направление!A$1:B$4830,2))))))</f>
        <v>Расходы на проведение капитального ремонта муниципальных учреждений культуры</v>
      </c>
      <c r="B309" s="154"/>
      <c r="C309" s="149"/>
      <c r="D309" s="151"/>
      <c r="E309" s="149">
        <v>11690</v>
      </c>
      <c r="F309" s="151"/>
      <c r="G309" s="164">
        <v>188699</v>
      </c>
      <c r="H309" s="164">
        <f>H310</f>
        <v>188699</v>
      </c>
      <c r="I309" s="157">
        <f t="shared" si="4"/>
        <v>377398</v>
      </c>
    </row>
    <row r="310" spans="1:9" s="146" customFormat="1" ht="63" x14ac:dyDescent="0.25">
      <c r="A310" s="153" t="str">
        <f>IF(B310&gt;0,VLOOKUP(B310,КВСР!A65:B1230,2),IF(C310&gt;0,VLOOKUP(C310,КФСР!A65:B1577,2),IF(D310&gt;0,VLOOKUP(D310,Программа!A$1:B$5100,2),IF(F310&gt;0,VLOOKUP(F310,КВР!A$1:B$5001,2),IF(E310&gt;0,VLOOKUP(E310,Направление!A$1:B$4830,2))))))</f>
        <v>Предоставление субсидий бюджетным, автономным учреждениям и иным некоммерческим организациям</v>
      </c>
      <c r="B310" s="154"/>
      <c r="C310" s="149"/>
      <c r="D310" s="151"/>
      <c r="E310" s="149"/>
      <c r="F310" s="151">
        <v>600</v>
      </c>
      <c r="G310" s="498">
        <v>188699</v>
      </c>
      <c r="H310" s="156">
        <v>188699</v>
      </c>
      <c r="I310" s="157">
        <f t="shared" si="4"/>
        <v>377398</v>
      </c>
    </row>
    <row r="311" spans="1:9" s="146" customFormat="1" x14ac:dyDescent="0.25">
      <c r="A311" s="153" t="str">
        <f>IF(B311&gt;0,VLOOKUP(B311,КВСР!A66:B1231,2),IF(C311&gt;0,VLOOKUP(C311,КФСР!A66:B1578,2),IF(D311&gt;0,VLOOKUP(D311,Программа!A$1:B$5100,2),IF(F311&gt;0,VLOOKUP(F311,КВР!A$1:B$5001,2),IF(E311&gt;0,VLOOKUP(E311,Направление!A$1:B$4830,2))))))</f>
        <v>Социальное обслуживание населения</v>
      </c>
      <c r="B311" s="154"/>
      <c r="C311" s="149">
        <v>1002</v>
      </c>
      <c r="D311" s="151"/>
      <c r="E311" s="149"/>
      <c r="F311" s="151"/>
      <c r="G311" s="498">
        <v>4782977</v>
      </c>
      <c r="H311" s="498">
        <f t="shared" ref="H311:I317" si="6">H312</f>
        <v>4099532</v>
      </c>
      <c r="I311" s="498">
        <f t="shared" si="6"/>
        <v>8882509</v>
      </c>
    </row>
    <row r="312" spans="1:9" s="146" customFormat="1" ht="47.25" x14ac:dyDescent="0.25">
      <c r="A312" s="153" t="str">
        <f>IF(B312&gt;0,VLOOKUP(B312,КВСР!A67:B1232,2),IF(C312&gt;0,VLOOKUP(C312,КФСР!A67:B1579,2),IF(D312&gt;0,VLOOKUP(D312,Программа!A$1:B$5100,2),IF(F312&gt;0,VLOOKUP(F312,КВР!A$1:B$5001,2),IF(E312&gt;0,VLOOKUP(E312,Направление!A$1:B$4830,2))))))</f>
        <v>Муниципальная программа "Социальная поддержка населения Тутаевского муниципального района"</v>
      </c>
      <c r="B312" s="154"/>
      <c r="C312" s="149"/>
      <c r="D312" s="151" t="s">
        <v>693</v>
      </c>
      <c r="E312" s="149"/>
      <c r="F312" s="151"/>
      <c r="G312" s="498">
        <v>4782977</v>
      </c>
      <c r="H312" s="498">
        <f t="shared" si="6"/>
        <v>4099532</v>
      </c>
      <c r="I312" s="498">
        <f t="shared" si="6"/>
        <v>8882509</v>
      </c>
    </row>
    <row r="313" spans="1:9" s="146" customFormat="1" ht="47.25" x14ac:dyDescent="0.25">
      <c r="A313" s="153" t="str">
        <f>IF(B313&gt;0,VLOOKUP(B313,КВСР!A68:B1233,2),IF(C313&gt;0,VLOOKUP(C313,КФСР!A68:B1580,2),IF(D313&gt;0,VLOOKUP(D313,Программа!A$1:B$5100,2),IF(F313&gt;0,VLOOKUP(F313,КВР!A$1:B$5001,2),IF(E313&gt;0,VLOOKUP(E313,Направление!A$1:B$4830,2))))))</f>
        <v xml:space="preserve">Ведомственная целевая программа «Социальная поддержка населения Тутаевского муниципального района» </v>
      </c>
      <c r="B313" s="154"/>
      <c r="C313" s="149"/>
      <c r="D313" s="150" t="s">
        <v>766</v>
      </c>
      <c r="E313" s="150"/>
      <c r="F313" s="151"/>
      <c r="G313" s="498">
        <v>4782977</v>
      </c>
      <c r="H313" s="498">
        <f t="shared" si="6"/>
        <v>4099532</v>
      </c>
      <c r="I313" s="498">
        <f t="shared" si="6"/>
        <v>8882509</v>
      </c>
    </row>
    <row r="314" spans="1:9" s="146" customFormat="1" ht="63" x14ac:dyDescent="0.25">
      <c r="A314" s="153" t="str">
        <f>IF(B314&gt;0,VLOOKUP(B314,КВСР!A69:B1234,2),IF(C314&gt;0,VLOOKUP(C314,КФСР!A69:B1581,2),IF(D314&gt;0,VLOOKUP(D314,Программа!A$1:B$5100,2),IF(F314&gt;0,VLOOKUP(F314,КВР!A$1:B$5001,2),IF(E314&gt;0,VLOOKUP(E314,Направление!A$1:B$4830,2))))))</f>
        <v>Предоставление социальных услуг населению Тутаевского муниципального района на основе соблюдения стандартов и нормативов</v>
      </c>
      <c r="B314" s="154"/>
      <c r="C314" s="149"/>
      <c r="D314" s="150" t="s">
        <v>771</v>
      </c>
      <c r="E314" s="150"/>
      <c r="F314" s="151"/>
      <c r="G314" s="498">
        <v>4782977</v>
      </c>
      <c r="H314" s="498">
        <f>H315+H317</f>
        <v>4099532</v>
      </c>
      <c r="I314" s="498">
        <f>I315+I317</f>
        <v>8882509</v>
      </c>
    </row>
    <row r="315" spans="1:9" s="146" customFormat="1" ht="63" x14ac:dyDescent="0.25">
      <c r="A315" s="153" t="str">
        <f>IF(B315&gt;0,VLOOKUP(B315,КВСР!A69:B1234,2),IF(C315&gt;0,VLOOKUP(C315,КФСР!A69:B1581,2),IF(D315&gt;0,VLOOKUP(D315,Программа!A$1:B$5100,2),IF(F315&gt;0,VLOOKUP(F315,КВР!A$1:B$5001,2),IF(E315&gt;0,VLOOKUP(E315,Направление!A$1:B$4830,2))))))</f>
        <v>Расходы на реализацию меропритий по строительству (реконструкции) учреждений социального обслуживания населения</v>
      </c>
      <c r="B315" s="154"/>
      <c r="C315" s="149"/>
      <c r="D315" s="150"/>
      <c r="E315" s="149">
        <v>76160</v>
      </c>
      <c r="F315" s="151"/>
      <c r="G315" s="498">
        <v>4578000</v>
      </c>
      <c r="H315" s="498">
        <f>H316</f>
        <v>3894556</v>
      </c>
      <c r="I315" s="157">
        <f t="shared" si="4"/>
        <v>8472556</v>
      </c>
    </row>
    <row r="316" spans="1:9" s="146" customFormat="1" ht="47.25" x14ac:dyDescent="0.25">
      <c r="A316" s="153" t="str">
        <f>IF(B316&gt;0,VLOOKUP(B316,КВСР!A71:B1236,2),IF(C316&gt;0,VLOOKUP(C316,КФСР!A71:B1583,2),IF(D316&gt;0,VLOOKUP(D316,Программа!A$1:B$5100,2),IF(F316&gt;0,VLOOKUP(F316,КВР!A$1:B$5001,2),IF(E316&gt;0,VLOOKUP(E316,Направление!A$1:B$4830,2))))))</f>
        <v>Капитальные вложения в объекты государственной (муниципальной) собственности</v>
      </c>
      <c r="B316" s="154"/>
      <c r="C316" s="149"/>
      <c r="D316" s="150"/>
      <c r="E316" s="150"/>
      <c r="F316" s="151">
        <v>400</v>
      </c>
      <c r="G316" s="498">
        <v>4578000</v>
      </c>
      <c r="H316" s="498">
        <v>3894556</v>
      </c>
      <c r="I316" s="157">
        <f t="shared" si="4"/>
        <v>8472556</v>
      </c>
    </row>
    <row r="317" spans="1:9" s="146" customFormat="1" ht="63" x14ac:dyDescent="0.25">
      <c r="A317" s="153" t="str">
        <f>IF(B317&gt;0,VLOOKUP(B317,КВСР!A71:B1236,2),IF(C317&gt;0,VLOOKUP(C317,КФСР!A71:B1583,2),IF(D317&gt;0,VLOOKUP(D317,Программа!A$1:B$5100,2),IF(F317&gt;0,VLOOKUP(F317,КВР!A$1:B$5001,2),IF(E317&gt;0,VLOOKUP(E317,Направление!A$1:B$4830,2))))))</f>
        <v>Расходы на реализацию меропритий по строительству (реконструкции) учреждений социального обслуживания населения</v>
      </c>
      <c r="B317" s="154"/>
      <c r="C317" s="149"/>
      <c r="D317" s="151"/>
      <c r="E317" s="149">
        <v>16160</v>
      </c>
      <c r="F317" s="151"/>
      <c r="G317" s="498">
        <v>204977</v>
      </c>
      <c r="H317" s="498">
        <f t="shared" si="6"/>
        <v>204976</v>
      </c>
      <c r="I317" s="157">
        <f t="shared" si="4"/>
        <v>409953</v>
      </c>
    </row>
    <row r="318" spans="1:9" s="146" customFormat="1" ht="47.25" x14ac:dyDescent="0.25">
      <c r="A318" s="153" t="str">
        <f>IF(B318&gt;0,VLOOKUP(B318,КВСР!A71:B1236,2),IF(C318&gt;0,VLOOKUP(C318,КФСР!A71:B1583,2),IF(D318&gt;0,VLOOKUP(D318,Программа!A$1:B$5100,2),IF(F318&gt;0,VLOOKUP(F318,КВР!A$1:B$5001,2),IF(E318&gt;0,VLOOKUP(E318,Направление!A$1:B$4830,2))))))</f>
        <v>Капитальные вложения в объекты государственной (муниципальной) собственности</v>
      </c>
      <c r="B318" s="154"/>
      <c r="C318" s="149"/>
      <c r="D318" s="150"/>
      <c r="E318" s="150"/>
      <c r="F318" s="151">
        <v>400</v>
      </c>
      <c r="G318" s="498">
        <v>204977</v>
      </c>
      <c r="H318" s="156">
        <v>204976</v>
      </c>
      <c r="I318" s="157">
        <f t="shared" si="4"/>
        <v>409953</v>
      </c>
    </row>
    <row r="319" spans="1:9" s="146" customFormat="1" x14ac:dyDescent="0.25">
      <c r="A319" s="153" t="str">
        <f>IF(B319&gt;0,VLOOKUP(B319,КВСР!A66:B1231,2),IF(C319&gt;0,VLOOKUP(C319,КФСР!A66:B1578,2),IF(D319&gt;0,VLOOKUP(D319,Программа!A$1:B$5100,2),IF(F319&gt;0,VLOOKUP(F319,КВР!A$1:B$5001,2),IF(E319&gt;0,VLOOKUP(E319,Направление!A$1:B$4830,2))))))</f>
        <v>Социальное обеспечение населения</v>
      </c>
      <c r="B319" s="154"/>
      <c r="C319" s="149">
        <v>1003</v>
      </c>
      <c r="D319" s="151"/>
      <c r="E319" s="149"/>
      <c r="F319" s="151"/>
      <c r="G319" s="498">
        <v>4528455</v>
      </c>
      <c r="H319" s="156">
        <f>H320+H333</f>
        <v>4170087</v>
      </c>
      <c r="I319" s="157">
        <f t="shared" si="4"/>
        <v>8698542</v>
      </c>
    </row>
    <row r="320" spans="1:9" s="146" customFormat="1" ht="78.75" x14ac:dyDescent="0.25">
      <c r="A320" s="153" t="str">
        <f>IF(B320&gt;0,VLOOKUP(B320,КВСР!A67:B1232,2),IF(C320&gt;0,VLOOKUP(C320,КФСР!A67:B1579,2),IF(D320&gt;0,VLOOKUP(D320,Программа!A$1:B$5100,2),IF(F320&gt;0,VLOOKUP(F320,КВР!A$1:B$5001,2),IF(E320&gt;0,VLOOKUP(E320,Направление!A$1:B$4830,2))))))</f>
        <v>Муниципальная программа "Стимулирование развития жилищного строительства в Тутаевском муниципальном  районе Ярославской области"</v>
      </c>
      <c r="B320" s="154"/>
      <c r="C320" s="149"/>
      <c r="D320" s="151" t="s">
        <v>928</v>
      </c>
      <c r="E320" s="149"/>
      <c r="F320" s="151"/>
      <c r="G320" s="498">
        <v>4328455</v>
      </c>
      <c r="H320" s="498">
        <f>H321+H327</f>
        <v>4084664</v>
      </c>
      <c r="I320" s="157">
        <f t="shared" si="4"/>
        <v>8413119</v>
      </c>
    </row>
    <row r="321" spans="1:9" s="146" customFormat="1" ht="94.5" x14ac:dyDescent="0.25">
      <c r="A321" s="153" t="str">
        <f>IF(B321&gt;0,VLOOKUP(B321,КВСР!A71:B1236,2),IF(C321&gt;0,VLOOKUP(C321,КФСР!A71:B1583,2),IF(D321&gt;0,VLOOKUP(D321,Программа!A$1:B$5100,2),IF(F321&gt;0,VLOOKUP(F321,КВР!A$1:B$5001,2),IF(E321&gt;0,VLOOKUP(E321,Направление!A$1:B$4830,2))))))</f>
        <v>Муниципальная целевая программа "Поддержка граждан, проживающих на территории Тутаевского муниципального района Ярославской области в сфере ипотечного жилищного кредитования"</v>
      </c>
      <c r="B321" s="154"/>
      <c r="C321" s="149"/>
      <c r="D321" s="150" t="s">
        <v>930</v>
      </c>
      <c r="E321" s="149"/>
      <c r="F321" s="151"/>
      <c r="G321" s="498">
        <v>400000</v>
      </c>
      <c r="H321" s="156">
        <f>H322</f>
        <v>170845</v>
      </c>
      <c r="I321" s="157">
        <f t="shared" si="4"/>
        <v>570845</v>
      </c>
    </row>
    <row r="322" spans="1:9" s="146" customFormat="1" ht="126" x14ac:dyDescent="0.25">
      <c r="A322" s="153" t="str">
        <f>IF(B322&gt;0,VLOOKUP(B322,КВСР!A72:B1237,2),IF(C322&gt;0,VLOOKUP(C322,КФСР!A72:B1584,2),IF(D322&gt;0,VLOOKUP(D322,Программа!A$1:B$5100,2),IF(F322&gt;0,VLOOKUP(F322,КВР!A$1:B$5001,2),IF(E322&gt;0,VLOOKUP(E322,Направление!A$1:B$4830,2))))))</f>
        <v>Обеспечение доступности жилья в соответствии с  уровнем платежеспособности спроса граждан, путем оказания поддержки гражданам, проживающим на территории Тутаевского муниципального района, в сфере ипотечного жилищного кредитования и займа</v>
      </c>
      <c r="B322" s="154"/>
      <c r="C322" s="149"/>
      <c r="D322" s="150" t="s">
        <v>932</v>
      </c>
      <c r="E322" s="149"/>
      <c r="F322" s="151"/>
      <c r="G322" s="498">
        <v>400000</v>
      </c>
      <c r="H322" s="156">
        <f>H323+H325</f>
        <v>170845</v>
      </c>
      <c r="I322" s="157">
        <f t="shared" si="4"/>
        <v>570845</v>
      </c>
    </row>
    <row r="323" spans="1:9" s="146" customFormat="1" ht="47.25" x14ac:dyDescent="0.25">
      <c r="A323" s="153" t="str">
        <f>IF(B323&gt;0,VLOOKUP(B323,КВСР!A73:B1238,2),IF(C323&gt;0,VLOOKUP(C323,КФСР!A73:B1585,2),IF(D323&gt;0,VLOOKUP(D323,Программа!A$1:B$5100,2),IF(F323&gt;0,VLOOKUP(F323,КВР!A$1:B$5001,2),IF(E323&gt;0,VLOOKUP(E323,Направление!A$1:B$4830,2))))))</f>
        <v>Обеспечение мероприятий в сфере ипотечного жилищного кредитования за счет средств поселений</v>
      </c>
      <c r="B323" s="154"/>
      <c r="C323" s="149"/>
      <c r="D323" s="151"/>
      <c r="E323" s="149">
        <v>21236</v>
      </c>
      <c r="F323" s="151"/>
      <c r="G323" s="498">
        <v>200000</v>
      </c>
      <c r="H323" s="156">
        <f>H324</f>
        <v>85423</v>
      </c>
      <c r="I323" s="157">
        <f t="shared" si="4"/>
        <v>285423</v>
      </c>
    </row>
    <row r="324" spans="1:9" s="146" customFormat="1" ht="31.5" x14ac:dyDescent="0.25">
      <c r="A324" s="153" t="str">
        <f>IF(B324&gt;0,VLOOKUP(B324,КВСР!A74:B1239,2),IF(C324&gt;0,VLOOKUP(C324,КФСР!A74:B1586,2),IF(D324&gt;0,VLOOKUP(D324,Программа!A$1:B$5100,2),IF(F324&gt;0,VLOOKUP(F324,КВР!A$1:B$5001,2),IF(E324&gt;0,VLOOKUP(E324,Направление!A$1:B$4830,2))))))</f>
        <v>Социальное обеспечение и иные выплаты населению</v>
      </c>
      <c r="B324" s="154"/>
      <c r="C324" s="149"/>
      <c r="D324" s="151"/>
      <c r="E324" s="149"/>
      <c r="F324" s="151">
        <v>300</v>
      </c>
      <c r="G324" s="498">
        <v>200000</v>
      </c>
      <c r="H324" s="156">
        <v>85423</v>
      </c>
      <c r="I324" s="157">
        <f t="shared" si="4"/>
        <v>285423</v>
      </c>
    </row>
    <row r="325" spans="1:9" s="146" customFormat="1" ht="94.5" x14ac:dyDescent="0.25">
      <c r="A325" s="153" t="str">
        <f>IF(B325&gt;0,VLOOKUP(B325,КВСР!A75:B1240,2),IF(C325&gt;0,VLOOKUP(C325,КФСР!A75:B1587,2),IF(D325&gt;0,VLOOKUP(D325,Программа!A$1:B$5100,2),IF(F325&gt;0,VLOOKUP(F325,КВР!A$1:B$5001,2),IF(E325&gt;0,VLOOKUP(E325,Направление!A$1:B$4830,2))))))</f>
        <v>Мероприятия, направленные на реализацию задачи по государственной поддержке граждан, проживающих на территории ЯО, в сфере ипотечного жилищного кредитования</v>
      </c>
      <c r="B325" s="154"/>
      <c r="C325" s="149"/>
      <c r="D325" s="151"/>
      <c r="E325" s="149">
        <v>71236</v>
      </c>
      <c r="F325" s="151"/>
      <c r="G325" s="498">
        <v>200000</v>
      </c>
      <c r="H325" s="498">
        <f>H326</f>
        <v>85422</v>
      </c>
      <c r="I325" s="498">
        <f>I326</f>
        <v>285422</v>
      </c>
    </row>
    <row r="326" spans="1:9" s="146" customFormat="1" ht="31.5" x14ac:dyDescent="0.25">
      <c r="A326" s="153" t="str">
        <f>IF(B326&gt;0,VLOOKUP(B326,КВСР!A76:B1241,2),IF(C326&gt;0,VLOOKUP(C326,КФСР!A76:B1588,2),IF(D326&gt;0,VLOOKUP(D326,Программа!A$1:B$5100,2),IF(F326&gt;0,VLOOKUP(F326,КВР!A$1:B$5001,2),IF(E326&gt;0,VLOOKUP(E326,Направление!A$1:B$4830,2))))))</f>
        <v>Социальное обеспечение и иные выплаты населению</v>
      </c>
      <c r="B326" s="154"/>
      <c r="C326" s="149"/>
      <c r="D326" s="151"/>
      <c r="E326" s="149"/>
      <c r="F326" s="151">
        <v>300</v>
      </c>
      <c r="G326" s="498">
        <v>200000</v>
      </c>
      <c r="H326" s="156">
        <v>85422</v>
      </c>
      <c r="I326" s="157">
        <f>G326+H326</f>
        <v>285422</v>
      </c>
    </row>
    <row r="327" spans="1:9" s="146" customFormat="1" ht="63" x14ac:dyDescent="0.25">
      <c r="A327" s="153" t="str">
        <f>IF(B327&gt;0,VLOOKUP(B327,КВСР!A75:B1240,2),IF(C327&gt;0,VLOOKUP(C327,КФСР!A75:B1587,2),IF(D327&gt;0,VLOOKUP(D327,Программа!A$1:B$5100,2),IF(F327&gt;0,VLOOKUP(F327,КВР!A$1:B$5001,2),IF(E327&gt;0,VLOOKUP(E327,Направление!A$1:B$4830,2))))))</f>
        <v>Муниципальная целевая программа "Предоставление молодым семьям социальных выплат на приобретение(строительство) жилья"</v>
      </c>
      <c r="B327" s="154"/>
      <c r="C327" s="149"/>
      <c r="D327" s="150" t="s">
        <v>942</v>
      </c>
      <c r="E327" s="149"/>
      <c r="F327" s="151"/>
      <c r="G327" s="498">
        <v>3928455</v>
      </c>
      <c r="H327" s="156">
        <f>H328</f>
        <v>3913819</v>
      </c>
      <c r="I327" s="157">
        <f>SUM(G327:H327)</f>
        <v>7842274</v>
      </c>
    </row>
    <row r="328" spans="1:9" s="146" customFormat="1" ht="47.25" x14ac:dyDescent="0.25">
      <c r="A328" s="153" t="str">
        <f>IF(B328&gt;0,VLOOKUP(B328,КВСР!A76:B1241,2),IF(C328&gt;0,VLOOKUP(C328,КФСР!A76:B1588,2),IF(D328&gt;0,VLOOKUP(D328,Программа!A$1:B$5100,2),IF(F328&gt;0,VLOOKUP(F328,КВР!A$1:B$5001,2),IF(E328&gt;0,VLOOKUP(E328,Направление!A$1:B$4830,2))))))</f>
        <v>Создание условий для поддержки  молодых семей в приобретении (строительстве) жилья</v>
      </c>
      <c r="B328" s="154"/>
      <c r="C328" s="149"/>
      <c r="D328" s="150" t="s">
        <v>944</v>
      </c>
      <c r="E328" s="149"/>
      <c r="F328" s="151"/>
      <c r="G328" s="498">
        <v>3928455</v>
      </c>
      <c r="H328" s="156">
        <f>H329+H331</f>
        <v>3913819</v>
      </c>
      <c r="I328" s="157">
        <f>SUM(G328:H328)</f>
        <v>7842274</v>
      </c>
    </row>
    <row r="329" spans="1:9" s="146" customFormat="1" ht="63" hidden="1" x14ac:dyDescent="0.25">
      <c r="A329" s="153" t="str">
        <f>IF(B329&gt;0,VLOOKUP(B329,КВСР!A77:B1242,2),IF(C329&gt;0,VLOOKUP(C329,КФСР!A77:B1589,2),IF(D329&gt;0,VLOOKUP(D329,Программа!A$1:B$5100,2),IF(F329&gt;0,VLOOKUP(F329,КВР!A$1:B$5001,2),IF(E329&gt;0,VLOOKUP(E329,Направление!A$1:B$4830,2))))))</f>
        <v xml:space="preserve">Обеспечение мероприятий по улучшению жилищных условий молодых семей, проживающих на территории ЯО </v>
      </c>
      <c r="B329" s="154"/>
      <c r="C329" s="149"/>
      <c r="D329" s="150"/>
      <c r="E329" s="149" t="s">
        <v>3253</v>
      </c>
      <c r="F329" s="151"/>
      <c r="G329" s="498">
        <v>0</v>
      </c>
      <c r="H329" s="156">
        <f>H330</f>
        <v>0</v>
      </c>
      <c r="I329" s="157">
        <f>SUM(G329:H329)</f>
        <v>0</v>
      </c>
    </row>
    <row r="330" spans="1:9" s="146" customFormat="1" ht="31.5" hidden="1" x14ac:dyDescent="0.25">
      <c r="A330" s="153" t="str">
        <f>IF(B330&gt;0,VLOOKUP(B330,КВСР!A78:B1243,2),IF(C330&gt;0,VLOOKUP(C330,КФСР!A78:B1590,2),IF(D330&gt;0,VLOOKUP(D330,Программа!A$1:B$5100,2),IF(F330&gt;0,VLOOKUP(F330,КВР!A$1:B$5001,2),IF(E330&gt;0,VLOOKUP(E330,Направление!A$1:B$4830,2))))))</f>
        <v>Социальное обеспечение и иные выплаты населению</v>
      </c>
      <c r="B330" s="154"/>
      <c r="C330" s="149"/>
      <c r="D330" s="151"/>
      <c r="E330" s="149"/>
      <c r="F330" s="151">
        <v>300</v>
      </c>
      <c r="G330" s="498">
        <v>0</v>
      </c>
      <c r="H330" s="156"/>
      <c r="I330" s="157">
        <f>SUM(G330:H330)</f>
        <v>0</v>
      </c>
    </row>
    <row r="331" spans="1:9" s="146" customFormat="1" ht="47.25" x14ac:dyDescent="0.25">
      <c r="A331" s="153" t="str">
        <f>IF(B331&gt;0,VLOOKUP(B331,КВСР!A79:B1244,2),IF(C331&gt;0,VLOOKUP(C331,КФСР!A79:B1591,2),IF(D331&gt;0,VLOOKUP(D331,Программа!A$1:B$5100,2),IF(F331&gt;0,VLOOKUP(F331,КВР!A$1:B$5001,2),IF(E331&gt;0,VLOOKUP(E331,Направление!A$1:B$4830,2))))))</f>
        <v>Субсидии на мероприятия по господдержке молодых семей в приобретении (строительстве) жилья</v>
      </c>
      <c r="B331" s="154"/>
      <c r="C331" s="149"/>
      <c r="D331" s="151"/>
      <c r="E331" s="149" t="s">
        <v>3371</v>
      </c>
      <c r="F331" s="151"/>
      <c r="G331" s="498">
        <v>3928455</v>
      </c>
      <c r="H331" s="498">
        <f>H332</f>
        <v>3913819</v>
      </c>
      <c r="I331" s="498">
        <f>I332</f>
        <v>7842274</v>
      </c>
    </row>
    <row r="332" spans="1:9" s="146" customFormat="1" ht="31.5" x14ac:dyDescent="0.25">
      <c r="A332" s="153" t="str">
        <f>IF(B332&gt;0,VLOOKUP(B332,КВСР!A80:B1245,2),IF(C332&gt;0,VLOOKUP(C332,КФСР!A80:B1592,2),IF(D332&gt;0,VLOOKUP(D332,Программа!A$1:B$5100,2),IF(F332&gt;0,VLOOKUP(F332,КВР!A$1:B$5001,2),IF(E332&gt;0,VLOOKUP(E332,Направление!A$1:B$4830,2))))))</f>
        <v>Социальное обеспечение и иные выплаты населению</v>
      </c>
      <c r="B332" s="154"/>
      <c r="C332" s="149"/>
      <c r="D332" s="151"/>
      <c r="E332" s="149"/>
      <c r="F332" s="151">
        <v>300</v>
      </c>
      <c r="G332" s="498">
        <v>3928455</v>
      </c>
      <c r="H332" s="156">
        <v>3913819</v>
      </c>
      <c r="I332" s="157">
        <f>SUM(G332:H332)</f>
        <v>7842274</v>
      </c>
    </row>
    <row r="333" spans="1:9" s="146" customFormat="1" ht="31.5" x14ac:dyDescent="0.25">
      <c r="A333" s="153" t="str">
        <f>IF(B333&gt;0,VLOOKUP(B333,КВСР!A81:B1246,2),IF(C333&gt;0,VLOOKUP(C333,КФСР!A81:B1593,2),IF(D333&gt;0,VLOOKUP(D333,Программа!A$1:B$5100,2),IF(F333&gt;0,VLOOKUP(F333,КВР!A$1:B$5001,2),IF(E333&gt;0,VLOOKUP(E333,Направление!A$1:B$4830,2))))))</f>
        <v>Межбюджетные трансферты  поселениям района</v>
      </c>
      <c r="B333" s="154"/>
      <c r="C333" s="149"/>
      <c r="D333" s="151" t="s">
        <v>799</v>
      </c>
      <c r="E333" s="149"/>
      <c r="F333" s="151"/>
      <c r="G333" s="498">
        <v>200000</v>
      </c>
      <c r="H333" s="156">
        <f>H334</f>
        <v>85423</v>
      </c>
      <c r="I333" s="157">
        <f>SUM(G333:H333)</f>
        <v>285423</v>
      </c>
    </row>
    <row r="334" spans="1:9" s="146" customFormat="1" ht="94.5" x14ac:dyDescent="0.25">
      <c r="A334" s="153" t="str">
        <f>IF(B334&gt;0,VLOOKUP(B334,КВСР!A82:B1247,2),IF(C334&gt;0,VLOOKUP(C334,КФСР!A82:B1594,2),IF(D334&gt;0,VLOOKUP(D334,Программа!A$1:B$5100,2),IF(F334&gt;0,VLOOKUP(F334,КВР!A$1:B$5001,2),IF(E334&gt;0,VLOOKUP(E334,Направление!A$1:B$4830,2))))))</f>
        <v>Субсидия на реализацию подпрограммы «Государственная  поддержка граждан, проживающих на территории Ярославской области,  в сфере ипотечного жилищного кредитования»</v>
      </c>
      <c r="B334" s="154"/>
      <c r="C334" s="149"/>
      <c r="D334" s="151"/>
      <c r="E334" s="149">
        <v>71230</v>
      </c>
      <c r="F334" s="151"/>
      <c r="G334" s="498">
        <v>200000</v>
      </c>
      <c r="H334" s="156">
        <f>H335</f>
        <v>85423</v>
      </c>
      <c r="I334" s="157">
        <f>SUM(G334:H334)</f>
        <v>285423</v>
      </c>
    </row>
    <row r="335" spans="1:9" s="146" customFormat="1" x14ac:dyDescent="0.25">
      <c r="A335" s="153" t="str">
        <f>IF(B335&gt;0,VLOOKUP(B335,КВСР!A83:B1248,2),IF(C335&gt;0,VLOOKUP(C335,КФСР!A83:B1595,2),IF(D335&gt;0,VLOOKUP(D335,Программа!A$1:B$5100,2),IF(F335&gt;0,VLOOKUP(F335,КВР!A$1:B$5001,2),IF(E335&gt;0,VLOOKUP(E335,Направление!A$1:B$4830,2))))))</f>
        <v xml:space="preserve"> Межбюджетные трансферты</v>
      </c>
      <c r="B335" s="154"/>
      <c r="C335" s="149"/>
      <c r="D335" s="151"/>
      <c r="E335" s="149"/>
      <c r="F335" s="151">
        <v>500</v>
      </c>
      <c r="G335" s="498">
        <v>200000</v>
      </c>
      <c r="H335" s="156">
        <v>85423</v>
      </c>
      <c r="I335" s="157">
        <f>SUM(G335:H335)</f>
        <v>285423</v>
      </c>
    </row>
    <row r="336" spans="1:9" s="166" customFormat="1" ht="31.5" x14ac:dyDescent="0.25">
      <c r="A336" s="147" t="str">
        <f>IF(B336&gt;0,VLOOKUP(B336,КВСР!A76:B1241,2),IF(C336&gt;0,VLOOKUP(C336,КФСР!A76:B1588,2),IF(D336&gt;0,VLOOKUP(D336,Программа!A$1:B$5100,2),IF(F336&gt;0,VLOOKUP(F336,КВР!A$1:B$5001,2),IF(E336&gt;0,VLOOKUP(E336,Направление!A$1:B$4830,2))))))</f>
        <v>Департамент муниципального имущества Администрации ТМР</v>
      </c>
      <c r="B336" s="148">
        <v>952</v>
      </c>
      <c r="C336" s="149"/>
      <c r="D336" s="150"/>
      <c r="E336" s="149"/>
      <c r="F336" s="151"/>
      <c r="G336" s="605">
        <v>14782886</v>
      </c>
      <c r="H336" s="152">
        <f>H337+H367+H373</f>
        <v>12197443</v>
      </c>
      <c r="I336" s="620">
        <f t="shared" si="4"/>
        <v>26980329</v>
      </c>
    </row>
    <row r="337" spans="1:9" s="166" customFormat="1" x14ac:dyDescent="0.25">
      <c r="A337" s="153" t="str">
        <f>IF(B337&gt;0,VLOOKUP(B337,КВСР!A77:B1242,2),IF(C337&gt;0,VLOOKUP(C337,КФСР!A77:B1589,2),IF(D337&gt;0,VLOOKUP(D337,Программа!A$1:B$5100,2),IF(F337&gt;0,VLOOKUP(F337,КВР!A$1:B$5001,2),IF(E337&gt;0,VLOOKUP(E337,Направление!A$1:B$4830,2))))))</f>
        <v>Другие общегосударственные вопросы</v>
      </c>
      <c r="B337" s="154"/>
      <c r="C337" s="149">
        <v>113</v>
      </c>
      <c r="D337" s="150"/>
      <c r="E337" s="149"/>
      <c r="F337" s="151"/>
      <c r="G337" s="606">
        <v>12551697</v>
      </c>
      <c r="H337" s="157">
        <f>H349+H342+H338</f>
        <v>11060366</v>
      </c>
      <c r="I337" s="157">
        <f t="shared" si="4"/>
        <v>23612063</v>
      </c>
    </row>
    <row r="338" spans="1:9" s="166" customFormat="1" ht="78.75" hidden="1" x14ac:dyDescent="0.25">
      <c r="A338" s="153" t="str">
        <f>IF(B338&gt;0,VLOOKUP(B338,КВСР!A78:B1243,2),IF(C338&gt;0,VLOOKUP(C338,КФСР!A78:B1590,2),IF(D338&gt;0,VLOOKUP(D338,Программа!A$1:B$5100,2),IF(F338&gt;0,VLOOKUP(F338,КВР!A$1:B$5001,2),IF(E338&gt;0,VLOOKUP(E338,Направление!A$1:B$4830,2))))))</f>
        <v>Муниципальная программа "Развитие муниципальной службы и повышение квалификации руководителей муниципальных учреждений в  Тутаевском муниципальном районе"</v>
      </c>
      <c r="B338" s="154"/>
      <c r="C338" s="149"/>
      <c r="D338" s="150" t="s">
        <v>636</v>
      </c>
      <c r="E338" s="149"/>
      <c r="F338" s="151"/>
      <c r="G338" s="606">
        <v>0</v>
      </c>
      <c r="H338" s="157">
        <f>H339</f>
        <v>0</v>
      </c>
      <c r="I338" s="157">
        <f t="shared" si="4"/>
        <v>0</v>
      </c>
    </row>
    <row r="339" spans="1:9" s="166" customFormat="1" ht="78.75" hidden="1" x14ac:dyDescent="0.25">
      <c r="A339" s="153" t="str">
        <f>IF(B339&gt;0,VLOOKUP(B339,КВСР!A79:B1244,2),IF(C339&gt;0,VLOOKUP(C339,КФСР!A79:B1591,2),IF(D339&gt;0,VLOOKUP(D339,Программа!A$1:B$5100,2),IF(F339&gt;0,VLOOKUP(F339,КВР!A$1:B$5001,2),IF(E339&gt;0,VLOOKUP(E339,Направление!A$1:B$4830,2))))))</f>
        <v xml:space="preserve">Профессиональное развитие  муниципальных служащих и повышение квалификации руководителей муниципальных учреждений </v>
      </c>
      <c r="B339" s="154"/>
      <c r="C339" s="149"/>
      <c r="D339" s="150" t="s">
        <v>637</v>
      </c>
      <c r="E339" s="149"/>
      <c r="F339" s="151"/>
      <c r="G339" s="606">
        <v>0</v>
      </c>
      <c r="H339" s="157">
        <f>H340</f>
        <v>0</v>
      </c>
      <c r="I339" s="157">
        <f t="shared" si="4"/>
        <v>0</v>
      </c>
    </row>
    <row r="340" spans="1:9" s="166" customFormat="1" ht="31.5" hidden="1" x14ac:dyDescent="0.25">
      <c r="A340" s="153" t="str">
        <f>IF(B340&gt;0,VLOOKUP(B340,КВСР!A80:B1245,2),IF(C340&gt;0,VLOOKUP(C340,КФСР!A80:B1592,2),IF(D340&gt;0,VLOOKUP(D340,Программа!A$1:B$5100,2),IF(F340&gt;0,VLOOKUP(F340,КВР!A$1:B$5001,2),IF(E340&gt;0,VLOOKUP(E340,Направление!A$1:B$4830,2))))))</f>
        <v>Расходы на развитие муниципальной службы</v>
      </c>
      <c r="B340" s="154"/>
      <c r="C340" s="149"/>
      <c r="D340" s="150"/>
      <c r="E340" s="149">
        <v>12200</v>
      </c>
      <c r="F340" s="151"/>
      <c r="G340" s="606">
        <v>0</v>
      </c>
      <c r="H340" s="157">
        <f>H341</f>
        <v>0</v>
      </c>
      <c r="I340" s="157">
        <f t="shared" si="4"/>
        <v>0</v>
      </c>
    </row>
    <row r="341" spans="1:9" s="166" customFormat="1" ht="63" hidden="1" x14ac:dyDescent="0.25">
      <c r="A341" s="153" t="str">
        <f>IF(B341&gt;0,VLOOKUP(B341,КВСР!A81:B1246,2),IF(C341&gt;0,VLOOKUP(C341,КФСР!A81:B1593,2),IF(D341&gt;0,VLOOKUP(D341,Программа!A$1:B$5100,2),IF(F341&gt;0,VLOOKUP(F341,КВР!A$1:B$5001,2),IF(E341&gt;0,VLOOKUP(E341,Направление!A$1:B$4830,2))))))</f>
        <v xml:space="preserve">Закупка товаров, работ и услуг для обеспечения государственных (муниципальных) нужд
</v>
      </c>
      <c r="B341" s="154"/>
      <c r="C341" s="149"/>
      <c r="D341" s="150"/>
      <c r="E341" s="149"/>
      <c r="F341" s="151">
        <v>200</v>
      </c>
      <c r="G341" s="606">
        <v>0</v>
      </c>
      <c r="H341" s="517"/>
      <c r="I341" s="157">
        <f t="shared" si="4"/>
        <v>0</v>
      </c>
    </row>
    <row r="342" spans="1:9" s="166" customFormat="1" ht="63" x14ac:dyDescent="0.25">
      <c r="A342" s="153" t="str">
        <f>IF(B342&gt;0,VLOOKUP(B342,КВСР!A78:B1243,2),IF(C342&gt;0,VLOOKUP(C342,КФСР!A78:B1590,2),IF(D342&gt;0,VLOOKUP(D342,Программа!A$1:B$5100,2),IF(F342&gt;0,VLOOKUP(F342,КВР!A$1:B$5001,2),IF(E342&gt;0,VLOOKUP(E342,Направление!A$1:B$4830,2))))))</f>
        <v>Муниципальная программа "Информатизация управленческой деятельности Администрации Тутаевского муниципального района"</v>
      </c>
      <c r="B342" s="154"/>
      <c r="C342" s="149"/>
      <c r="D342" s="150" t="s">
        <v>640</v>
      </c>
      <c r="E342" s="149"/>
      <c r="F342" s="151"/>
      <c r="G342" s="606">
        <v>460000</v>
      </c>
      <c r="H342" s="157">
        <f>H343+H346</f>
        <v>235329</v>
      </c>
      <c r="I342" s="157">
        <f t="shared" si="4"/>
        <v>695329</v>
      </c>
    </row>
    <row r="343" spans="1:9" s="166" customFormat="1" ht="31.5" x14ac:dyDescent="0.25">
      <c r="A343" s="153" t="str">
        <f>IF(B343&gt;0,VLOOKUP(B343,КВСР!A79:B1244,2),IF(C343&gt;0,VLOOKUP(C343,КФСР!A79:B1591,2),IF(D343&gt;0,VLOOKUP(D343,Программа!A$1:B$5100,2),IF(F343&gt;0,VLOOKUP(F343,КВР!A$1:B$5001,2),IF(E343&gt;0,VLOOKUP(E343,Направление!A$1:B$4830,2))))))</f>
        <v>Бесперебойное функционирование информационных систем</v>
      </c>
      <c r="B343" s="154"/>
      <c r="C343" s="149"/>
      <c r="D343" s="150" t="s">
        <v>677</v>
      </c>
      <c r="E343" s="149"/>
      <c r="F343" s="151"/>
      <c r="G343" s="606">
        <v>360000</v>
      </c>
      <c r="H343" s="157">
        <f>H344</f>
        <v>149700</v>
      </c>
      <c r="I343" s="157">
        <f t="shared" si="4"/>
        <v>509700</v>
      </c>
    </row>
    <row r="344" spans="1:9" s="166" customFormat="1" ht="31.5" x14ac:dyDescent="0.25">
      <c r="A344" s="153" t="str">
        <f>IF(B344&gt;0,VLOOKUP(B344,КВСР!A80:B1245,2),IF(C344&gt;0,VLOOKUP(C344,КФСР!A80:B1592,2),IF(D344&gt;0,VLOOKUP(D344,Программа!A$1:B$5100,2),IF(F344&gt;0,VLOOKUP(F344,КВР!A$1:B$5001,2),IF(E344&gt;0,VLOOKUP(E344,Направление!A$1:B$4830,2))))))</f>
        <v>Расходы на проведение мероприятий по информатизации</v>
      </c>
      <c r="B344" s="154"/>
      <c r="C344" s="149"/>
      <c r="D344" s="150"/>
      <c r="E344" s="149">
        <v>12210</v>
      </c>
      <c r="F344" s="151"/>
      <c r="G344" s="606">
        <v>360000</v>
      </c>
      <c r="H344" s="157">
        <f>H345</f>
        <v>149700</v>
      </c>
      <c r="I344" s="157">
        <f t="shared" si="4"/>
        <v>509700</v>
      </c>
    </row>
    <row r="345" spans="1:9" s="166" customFormat="1" ht="63" x14ac:dyDescent="0.25">
      <c r="A345" s="153" t="str">
        <f>IF(B345&gt;0,VLOOKUP(B345,КВСР!A81:B1246,2),IF(C345&gt;0,VLOOKUP(C345,КФСР!A81:B1593,2),IF(D345&gt;0,VLOOKUP(D345,Программа!A$1:B$5100,2),IF(F345&gt;0,VLOOKUP(F345,КВР!A$1:B$5001,2),IF(E345&gt;0,VLOOKUP(E345,Направление!A$1:B$4830,2))))))</f>
        <v xml:space="preserve">Закупка товаров, работ и услуг для обеспечения государственных (муниципальных) нужд
</v>
      </c>
      <c r="B345" s="154"/>
      <c r="C345" s="149"/>
      <c r="D345" s="150"/>
      <c r="E345" s="149"/>
      <c r="F345" s="151">
        <v>200</v>
      </c>
      <c r="G345" s="607">
        <v>360000</v>
      </c>
      <c r="H345" s="159">
        <v>149700</v>
      </c>
      <c r="I345" s="157">
        <f t="shared" si="4"/>
        <v>509700</v>
      </c>
    </row>
    <row r="346" spans="1:9" s="166" customFormat="1" ht="63" x14ac:dyDescent="0.25">
      <c r="A346" s="153" t="str">
        <f>IF(B346&gt;0,VLOOKUP(B346,КВСР!A82:B1247,2),IF(C346&gt;0,VLOOKUP(C346,КФСР!A82:B1594,2),IF(D346&gt;0,VLOOKUP(D346,Программа!A$1:B$5100,2),IF(F346&gt;0,VLOOKUP(F346,КВР!A$1:B$5001,2),IF(E346&gt;0,VLOOKUP(E346,Направление!A$1:B$4830,2))))))</f>
        <v>Закупка компьютерного оборудования  и оргтехники для бесперебойного обеспечения деятельности органов местного самоуправления</v>
      </c>
      <c r="B346" s="154"/>
      <c r="C346" s="149"/>
      <c r="D346" s="150" t="s">
        <v>642</v>
      </c>
      <c r="E346" s="149"/>
      <c r="F346" s="151"/>
      <c r="G346" s="606">
        <v>100000</v>
      </c>
      <c r="H346" s="157">
        <f>H347</f>
        <v>85629</v>
      </c>
      <c r="I346" s="157">
        <f t="shared" si="4"/>
        <v>185629</v>
      </c>
    </row>
    <row r="347" spans="1:9" s="166" customFormat="1" ht="31.5" x14ac:dyDescent="0.25">
      <c r="A347" s="153" t="str">
        <f>IF(B347&gt;0,VLOOKUP(B347,КВСР!A83:B1248,2),IF(C347&gt;0,VLOOKUP(C347,КФСР!A83:B1595,2),IF(D347&gt;0,VLOOKUP(D347,Программа!A$1:B$5100,2),IF(F347&gt;0,VLOOKUP(F347,КВР!A$1:B$5001,2),IF(E347&gt;0,VLOOKUP(E347,Направление!A$1:B$4830,2))))))</f>
        <v>Расходы на проведение мероприятий по информатизации</v>
      </c>
      <c r="B347" s="154"/>
      <c r="C347" s="149"/>
      <c r="D347" s="150"/>
      <c r="E347" s="149">
        <v>12210</v>
      </c>
      <c r="F347" s="151"/>
      <c r="G347" s="606">
        <v>100000</v>
      </c>
      <c r="H347" s="157">
        <f>H348</f>
        <v>85629</v>
      </c>
      <c r="I347" s="157">
        <f t="shared" si="4"/>
        <v>185629</v>
      </c>
    </row>
    <row r="348" spans="1:9" s="166" customFormat="1" ht="63" x14ac:dyDescent="0.25">
      <c r="A348" s="153" t="str">
        <f>IF(B348&gt;0,VLOOKUP(B348,КВСР!A83:B1248,2),IF(C348&gt;0,VLOOKUP(C348,КФСР!A83:B1595,2),IF(D348&gt;0,VLOOKUP(D348,Программа!A$1:B$5100,2),IF(F348&gt;0,VLOOKUP(F348,КВР!A$1:B$5001,2),IF(E348&gt;0,VLOOKUP(E348,Направление!A$1:B$4830,2))))))</f>
        <v xml:space="preserve">Закупка товаров, работ и услуг для обеспечения государственных (муниципальных) нужд
</v>
      </c>
      <c r="B348" s="154"/>
      <c r="C348" s="149"/>
      <c r="D348" s="150"/>
      <c r="E348" s="149"/>
      <c r="F348" s="151">
        <v>200</v>
      </c>
      <c r="G348" s="607">
        <v>100000</v>
      </c>
      <c r="H348" s="159">
        <v>85629</v>
      </c>
      <c r="I348" s="157">
        <f t="shared" si="4"/>
        <v>185629</v>
      </c>
    </row>
    <row r="349" spans="1:9" s="166" customFormat="1" x14ac:dyDescent="0.25">
      <c r="A349" s="153" t="str">
        <f>IF(B349&gt;0,VLOOKUP(B349,КВСР!A78:B1243,2),IF(C349&gt;0,VLOOKUP(C349,КФСР!A78:B1590,2),IF(D349&gt;0,VLOOKUP(D349,Программа!A$1:B$5100,2),IF(F349&gt;0,VLOOKUP(F349,КВР!A$1:B$5001,2),IF(E349&gt;0,VLOOKUP(E349,Направление!A$1:B$4830,2))))))</f>
        <v>Непрограммные расходы бюджета</v>
      </c>
      <c r="B349" s="154"/>
      <c r="C349" s="149"/>
      <c r="D349" s="150" t="s">
        <v>624</v>
      </c>
      <c r="E349" s="149"/>
      <c r="F349" s="151"/>
      <c r="G349" s="606">
        <v>12091697</v>
      </c>
      <c r="H349" s="157">
        <f>H350+H354+H356+H360+H1543+H363+H358+H365</f>
        <v>10825037</v>
      </c>
      <c r="I349" s="157">
        <f t="shared" si="4"/>
        <v>22916734</v>
      </c>
    </row>
    <row r="350" spans="1:9" s="166" customFormat="1" x14ac:dyDescent="0.25">
      <c r="A350" s="153" t="str">
        <f>IF(B350&gt;0,VLOOKUP(B350,КВСР!A79:B1244,2),IF(C350&gt;0,VLOOKUP(C350,КФСР!A79:B1591,2),IF(D350&gt;0,VLOOKUP(D350,Программа!A$1:B$5100,2),IF(F350&gt;0,VLOOKUP(F350,КВР!A$1:B$5001,2),IF(E350&gt;0,VLOOKUP(E350,Направление!A$1:B$4830,2))))))</f>
        <v>Содержание центрального аппарата</v>
      </c>
      <c r="B350" s="154"/>
      <c r="C350" s="149"/>
      <c r="D350" s="150"/>
      <c r="E350" s="149">
        <v>12010</v>
      </c>
      <c r="F350" s="151"/>
      <c r="G350" s="606">
        <v>8319186</v>
      </c>
      <c r="H350" s="157">
        <f>H351+H352+H353</f>
        <v>7615309</v>
      </c>
      <c r="I350" s="157">
        <f t="shared" si="4"/>
        <v>15934495</v>
      </c>
    </row>
    <row r="351" spans="1:9" s="166" customFormat="1" ht="126" x14ac:dyDescent="0.25">
      <c r="A351" s="153" t="str">
        <f>IF(B351&gt;0,VLOOKUP(B351,КВСР!A80:B1245,2),IF(C351&gt;0,VLOOKUP(C351,КФСР!A80:B1592,2),IF(D351&gt;0,VLOOKUP(D351,Программа!A$1:B$5100,2),IF(F351&gt;0,VLOOKUP(F351,КВР!A$1:B$5001,2),IF(E351&gt;0,VLOOKUP(E351,Направление!A$1:B$4830,2))))))</f>
        <v xml:space="preserve">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
</v>
      </c>
      <c r="B351" s="154"/>
      <c r="C351" s="149"/>
      <c r="D351" s="151"/>
      <c r="E351" s="149"/>
      <c r="F351" s="151">
        <v>100</v>
      </c>
      <c r="G351" s="156">
        <v>7529186</v>
      </c>
      <c r="H351" s="156">
        <v>6975073</v>
      </c>
      <c r="I351" s="157">
        <f t="shared" si="4"/>
        <v>14504259</v>
      </c>
    </row>
    <row r="352" spans="1:9" s="166" customFormat="1" ht="63" x14ac:dyDescent="0.25">
      <c r="A352" s="153" t="str">
        <f>IF(B352&gt;0,VLOOKUP(B352,КВСР!A81:B1246,2),IF(C352&gt;0,VLOOKUP(C352,КФСР!A81:B1593,2),IF(D352&gt;0,VLOOKUP(D352,Программа!A$1:B$5100,2),IF(F352&gt;0,VLOOKUP(F352,КВР!A$1:B$5001,2),IF(E352&gt;0,VLOOKUP(E352,Направление!A$1:B$4830,2))))))</f>
        <v xml:space="preserve">Закупка товаров, работ и услуг для обеспечения государственных (муниципальных) нужд
</v>
      </c>
      <c r="B352" s="154"/>
      <c r="C352" s="149"/>
      <c r="D352" s="151"/>
      <c r="E352" s="149"/>
      <c r="F352" s="151">
        <v>200</v>
      </c>
      <c r="G352" s="156">
        <v>745184</v>
      </c>
      <c r="H352" s="156">
        <v>633128</v>
      </c>
      <c r="I352" s="157">
        <f t="shared" si="4"/>
        <v>1378312</v>
      </c>
    </row>
    <row r="353" spans="1:9" s="166" customFormat="1" x14ac:dyDescent="0.25">
      <c r="A353" s="153" t="str">
        <f>IF(B353&gt;0,VLOOKUP(B353,КВСР!A82:B1247,2),IF(C353&gt;0,VLOOKUP(C353,КФСР!A82:B1594,2),IF(D353&gt;0,VLOOKUP(D353,Программа!A$1:B$5100,2),IF(F353&gt;0,VLOOKUP(F353,КВР!A$1:B$5001,2),IF(E353&gt;0,VLOOKUP(E353,Направление!A$1:B$4830,2))))))</f>
        <v>Иные бюджетные ассигнования</v>
      </c>
      <c r="B353" s="154"/>
      <c r="C353" s="149"/>
      <c r="D353" s="151"/>
      <c r="E353" s="149"/>
      <c r="F353" s="151">
        <v>800</v>
      </c>
      <c r="G353" s="156">
        <v>44816</v>
      </c>
      <c r="H353" s="156">
        <v>7108</v>
      </c>
      <c r="I353" s="157">
        <f t="shared" si="4"/>
        <v>51924</v>
      </c>
    </row>
    <row r="354" spans="1:9" s="166" customFormat="1" ht="31.5" x14ac:dyDescent="0.25">
      <c r="A354" s="153" t="str">
        <f>IF(B354&gt;0,VLOOKUP(B354,КВСР!A83:B1248,2),IF(C354&gt;0,VLOOKUP(C354,КФСР!A83:B1595,2),IF(D354&gt;0,VLOOKUP(D354,Программа!A$1:B$5100,2),IF(F354&gt;0,VLOOKUP(F354,КВР!A$1:B$5001,2),IF(E354&gt;0,VLOOKUP(E354,Направление!A$1:B$4830,2))))))</f>
        <v>Выполнение других обязательств органов местного самоуправления</v>
      </c>
      <c r="B354" s="154"/>
      <c r="C354" s="149"/>
      <c r="D354" s="150"/>
      <c r="E354" s="149">
        <v>12080</v>
      </c>
      <c r="F354" s="151"/>
      <c r="G354" s="500">
        <v>1755500</v>
      </c>
      <c r="H354" s="155">
        <f>H355</f>
        <v>1265074</v>
      </c>
      <c r="I354" s="157">
        <f t="shared" si="4"/>
        <v>3020574</v>
      </c>
    </row>
    <row r="355" spans="1:9" s="166" customFormat="1" ht="63" x14ac:dyDescent="0.25">
      <c r="A355" s="153" t="str">
        <f>IF(B355&gt;0,VLOOKUP(B355,КВСР!A84:B1249,2),IF(C355&gt;0,VLOOKUP(C355,КФСР!A84:B1596,2),IF(D355&gt;0,VLOOKUP(D355,Программа!A$1:B$5100,2),IF(F355&gt;0,VLOOKUP(F355,КВР!A$1:B$5001,2),IF(E355&gt;0,VLOOKUP(E355,Направление!A$1:B$4830,2))))))</f>
        <v xml:space="preserve">Закупка товаров, работ и услуг для обеспечения государственных (муниципальных) нужд
</v>
      </c>
      <c r="B355" s="154"/>
      <c r="C355" s="149"/>
      <c r="D355" s="151"/>
      <c r="E355" s="149"/>
      <c r="F355" s="151">
        <v>200</v>
      </c>
      <c r="G355" s="498">
        <v>1755500</v>
      </c>
      <c r="H355" s="156">
        <v>1265074</v>
      </c>
      <c r="I355" s="157">
        <f t="shared" si="4"/>
        <v>3020574</v>
      </c>
    </row>
    <row r="356" spans="1:9" s="166" customFormat="1" ht="47.25" x14ac:dyDescent="0.25">
      <c r="A356" s="153" t="str">
        <f>IF(B356&gt;0,VLOOKUP(B356,КВСР!A83:B1248,2),IF(C356&gt;0,VLOOKUP(C356,КФСР!A83:B1595,2),IF(D356&gt;0,VLOOKUP(D356,Программа!A$1:B$5100,2),IF(F356&gt;0,VLOOKUP(F356,КВР!A$1:B$5001,2),IF(E356&gt;0,VLOOKUP(E356,Направление!A$1:B$4830,2))))))</f>
        <v>Оценка недвижимости, признание прав и регулирование отношений по муниципальной собственности</v>
      </c>
      <c r="B356" s="154"/>
      <c r="C356" s="149"/>
      <c r="D356" s="150"/>
      <c r="E356" s="149">
        <v>12090</v>
      </c>
      <c r="F356" s="151"/>
      <c r="G356" s="500">
        <v>500000</v>
      </c>
      <c r="H356" s="155">
        <f>H357</f>
        <v>487065</v>
      </c>
      <c r="I356" s="157">
        <f t="shared" ref="I356:I437" si="7">SUM(G356:H356)</f>
        <v>987065</v>
      </c>
    </row>
    <row r="357" spans="1:9" s="166" customFormat="1" ht="63" x14ac:dyDescent="0.25">
      <c r="A357" s="153" t="str">
        <f>IF(B357&gt;0,VLOOKUP(B357,КВСР!A84:B1249,2),IF(C357&gt;0,VLOOKUP(C357,КФСР!A84:B1596,2),IF(D357&gt;0,VLOOKUP(D357,Программа!A$1:B$5100,2),IF(F357&gt;0,VLOOKUP(F357,КВР!A$1:B$5001,2),IF(E357&gt;0,VLOOKUP(E357,Направление!A$1:B$4830,2))))))</f>
        <v xml:space="preserve">Закупка товаров, работ и услуг для обеспечения государственных (муниципальных) нужд
</v>
      </c>
      <c r="B357" s="154"/>
      <c r="C357" s="149"/>
      <c r="D357" s="151"/>
      <c r="E357" s="149"/>
      <c r="F357" s="151">
        <v>200</v>
      </c>
      <c r="G357" s="498">
        <v>500000</v>
      </c>
      <c r="H357" s="156">
        <v>487065</v>
      </c>
      <c r="I357" s="157">
        <f t="shared" si="7"/>
        <v>987065</v>
      </c>
    </row>
    <row r="358" spans="1:9" s="166" customFormat="1" ht="47.25" x14ac:dyDescent="0.25">
      <c r="A358" s="153" t="str">
        <f>IF(B358&gt;0,VLOOKUP(B358,КВСР!A85:B1250,2),IF(C358&gt;0,VLOOKUP(C358,КФСР!A85:B1597,2),IF(D358&gt;0,VLOOKUP(D358,Программа!A$1:B$5100,2),IF(F358&gt;0,VLOOKUP(F358,КВР!A$1:B$5001,2),IF(E358&gt;0,VLOOKUP(E358,Направление!A$1:B$4830,2))))))</f>
        <v>Исполнение судебных актов, актов других органов и должностных лиц, иных документов</v>
      </c>
      <c r="B358" s="154"/>
      <c r="C358" s="149"/>
      <c r="D358" s="151"/>
      <c r="E358" s="149">
        <v>12130</v>
      </c>
      <c r="F358" s="151"/>
      <c r="G358" s="498">
        <v>34984</v>
      </c>
      <c r="H358" s="498">
        <f>H359</f>
        <v>34984</v>
      </c>
      <c r="I358" s="157">
        <f t="shared" si="7"/>
        <v>69968</v>
      </c>
    </row>
    <row r="359" spans="1:9" s="166" customFormat="1" x14ac:dyDescent="0.25">
      <c r="A359" s="153" t="str">
        <f>IF(B359&gt;0,VLOOKUP(B359,КВСР!A86:B1251,2),IF(C359&gt;0,VLOOKUP(C359,КФСР!A86:B1598,2),IF(D359&gt;0,VLOOKUP(D359,Программа!A$1:B$5100,2),IF(F359&gt;0,VLOOKUP(F359,КВР!A$1:B$5001,2),IF(E359&gt;0,VLOOKUP(E359,Направление!A$1:B$4830,2))))))</f>
        <v>Иные бюджетные ассигнования</v>
      </c>
      <c r="B359" s="154"/>
      <c r="C359" s="149"/>
      <c r="D359" s="151"/>
      <c r="E359" s="149"/>
      <c r="F359" s="151">
        <v>800</v>
      </c>
      <c r="G359" s="498">
        <v>34984</v>
      </c>
      <c r="H359" s="156">
        <v>34984</v>
      </c>
      <c r="I359" s="157">
        <f t="shared" si="7"/>
        <v>69968</v>
      </c>
    </row>
    <row r="360" spans="1:9" s="166" customFormat="1" ht="47.25" x14ac:dyDescent="0.25">
      <c r="A360" s="153" t="str">
        <f>IF(B360&gt;0,VLOOKUP(B360,КВСР!A90:B1255,2),IF(C360&gt;0,VLOOKUP(C360,КФСР!A90:B1602,2),IF(D360&gt;0,VLOOKUP(D360,Программа!A$1:B$5100,2),IF(F360&gt;0,VLOOKUP(F360,КВР!A$1:B$5001,2),IF(E360&gt;0,VLOOKUP(E360,Направление!A$1:B$4830,2))))))</f>
        <v>Содержание органов местного самоуправления за счет средств поселений</v>
      </c>
      <c r="B360" s="154"/>
      <c r="C360" s="149"/>
      <c r="D360" s="151"/>
      <c r="E360" s="149">
        <v>29016</v>
      </c>
      <c r="F360" s="151"/>
      <c r="G360" s="164">
        <v>1207979</v>
      </c>
      <c r="H360" s="164">
        <f>H361+H362</f>
        <v>1207980</v>
      </c>
      <c r="I360" s="157">
        <f t="shared" si="7"/>
        <v>2415959</v>
      </c>
    </row>
    <row r="361" spans="1:9" s="166" customFormat="1" ht="126" x14ac:dyDescent="0.25">
      <c r="A361" s="153" t="str">
        <f>IF(B361&gt;0,VLOOKUP(B361,КВСР!A91:B1256,2),IF(C361&gt;0,VLOOKUP(C361,КФСР!A91:B1603,2),IF(D361&gt;0,VLOOKUP(D361,Программа!A$1:B$5100,2),IF(F361&gt;0,VLOOKUP(F361,КВР!A$1:B$5001,2),IF(E361&gt;0,VLOOKUP(E361,Направление!A$1:B$4830,2))))))</f>
        <v xml:space="preserve">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
</v>
      </c>
      <c r="B361" s="154"/>
      <c r="C361" s="149"/>
      <c r="D361" s="151"/>
      <c r="E361" s="149"/>
      <c r="F361" s="151">
        <v>100</v>
      </c>
      <c r="G361" s="498">
        <v>1098163</v>
      </c>
      <c r="H361" s="156">
        <v>1118652</v>
      </c>
      <c r="I361" s="157">
        <f t="shared" si="7"/>
        <v>2216815</v>
      </c>
    </row>
    <row r="362" spans="1:9" s="166" customFormat="1" ht="63" x14ac:dyDescent="0.25">
      <c r="A362" s="153" t="str">
        <f>IF(B362&gt;0,VLOOKUP(B362,КВСР!A92:B1257,2),IF(C362&gt;0,VLOOKUP(C362,КФСР!A92:B1604,2),IF(D362&gt;0,VLOOKUP(D362,Программа!A$1:B$5100,2),IF(F362&gt;0,VLOOKUP(F362,КВР!A$1:B$5001,2),IF(E362&gt;0,VLOOKUP(E362,Направление!A$1:B$4830,2))))))</f>
        <v xml:space="preserve">Закупка товаров, работ и услуг для обеспечения государственных (муниципальных) нужд
</v>
      </c>
      <c r="B362" s="154"/>
      <c r="C362" s="149"/>
      <c r="D362" s="151"/>
      <c r="E362" s="149"/>
      <c r="F362" s="151">
        <v>200</v>
      </c>
      <c r="G362" s="498">
        <v>109816</v>
      </c>
      <c r="H362" s="156">
        <v>89328</v>
      </c>
      <c r="I362" s="157">
        <f t="shared" si="7"/>
        <v>199144</v>
      </c>
    </row>
    <row r="363" spans="1:9" s="166" customFormat="1" ht="94.5" x14ac:dyDescent="0.25">
      <c r="A363" s="153" t="str">
        <f>IF(B363&gt;0,VLOOKUP(B363,КВСР!A93:B1258,2),IF(C363&gt;0,VLOOKUP(C363,КФСР!A93:B1605,2),IF(D363&gt;0,VLOOKUP(D363,Программа!A$1:B$5100,2),IF(F363&gt;0,VLOOKUP(F363,КВР!A$1:B$5001,2),IF(E363&gt;0,VLOOKUP(E363,Направление!A$1:B$4830,2))))))</f>
        <v xml:space="preserve">Обеспечение мероприятий по управлению, распоряжению имуществом, оценка недвижимости, признанию прав и регулированию отношений по муниципальной собственности поселения </v>
      </c>
      <c r="B363" s="154"/>
      <c r="C363" s="149"/>
      <c r="D363" s="150"/>
      <c r="E363" s="149">
        <v>29026</v>
      </c>
      <c r="F363" s="151"/>
      <c r="G363" s="500">
        <v>250000</v>
      </c>
      <c r="H363" s="155">
        <f>H364</f>
        <v>190577</v>
      </c>
      <c r="I363" s="157">
        <f t="shared" si="7"/>
        <v>440577</v>
      </c>
    </row>
    <row r="364" spans="1:9" s="166" customFormat="1" ht="63" x14ac:dyDescent="0.25">
      <c r="A364" s="153" t="str">
        <f>IF(B364&gt;0,VLOOKUP(B364,КВСР!A94:B1259,2),IF(C364&gt;0,VLOOKUP(C364,КФСР!A94:B1606,2),IF(D364&gt;0,VLOOKUP(D364,Программа!A$1:B$5100,2),IF(F364&gt;0,VLOOKUP(F364,КВР!A$1:B$5001,2),IF(E364&gt;0,VLOOKUP(E364,Направление!A$1:B$4830,2))))))</f>
        <v xml:space="preserve">Закупка товаров, работ и услуг для обеспечения государственных (муниципальных) нужд
</v>
      </c>
      <c r="B364" s="154"/>
      <c r="C364" s="149"/>
      <c r="D364" s="151"/>
      <c r="E364" s="149"/>
      <c r="F364" s="151">
        <v>200</v>
      </c>
      <c r="G364" s="498">
        <v>250000</v>
      </c>
      <c r="H364" s="156">
        <v>190577</v>
      </c>
      <c r="I364" s="157">
        <f t="shared" si="7"/>
        <v>440577</v>
      </c>
    </row>
    <row r="365" spans="1:9" s="166" customFormat="1" ht="63" x14ac:dyDescent="0.25">
      <c r="A365" s="153" t="str">
        <f>IF(B365&gt;0,VLOOKUP(B365,КВСР!A95:B1260,2),IF(C365&gt;0,VLOOKUP(C365,КФСР!A95:B1607,2),IF(D365&gt;0,VLOOKUP(D365,Программа!A$1:B$5100,2),IF(F365&gt;0,VLOOKUP(F365,КВР!A$1:B$5001,2),IF(E365&gt;0,VLOOKUP(E365,Направление!A$1:B$4830,2))))))</f>
        <v>Обеспечение других обязательств в рамках передаваемых полномочий по содержанию имущества казны городского поселения Тутаев</v>
      </c>
      <c r="B365" s="154"/>
      <c r="C365" s="149"/>
      <c r="D365" s="151"/>
      <c r="E365" s="149">
        <v>29556</v>
      </c>
      <c r="F365" s="151"/>
      <c r="G365" s="498">
        <v>24048</v>
      </c>
      <c r="H365" s="498">
        <f>H366</f>
        <v>24048</v>
      </c>
      <c r="I365" s="498">
        <f>I366</f>
        <v>48096</v>
      </c>
    </row>
    <row r="366" spans="1:9" s="166" customFormat="1" ht="63" x14ac:dyDescent="0.25">
      <c r="A366" s="153" t="str">
        <f>IF(B366&gt;0,VLOOKUP(B366,КВСР!A96:B1261,2),IF(C366&gt;0,VLOOKUP(C366,КФСР!A96:B1608,2),IF(D366&gt;0,VLOOKUP(D366,Программа!A$1:B$5100,2),IF(F366&gt;0,VLOOKUP(F366,КВР!A$1:B$5001,2),IF(E366&gt;0,VLOOKUP(E366,Направление!A$1:B$4830,2))))))</f>
        <v xml:space="preserve">Закупка товаров, работ и услуг для обеспечения государственных (муниципальных) нужд
</v>
      </c>
      <c r="B366" s="154"/>
      <c r="C366" s="149"/>
      <c r="D366" s="151"/>
      <c r="E366" s="149"/>
      <c r="F366" s="151">
        <v>200</v>
      </c>
      <c r="G366" s="498">
        <v>24048</v>
      </c>
      <c r="H366" s="156">
        <v>24048</v>
      </c>
      <c r="I366" s="157">
        <f t="shared" si="7"/>
        <v>48096</v>
      </c>
    </row>
    <row r="367" spans="1:9" s="166" customFormat="1" ht="31.5" x14ac:dyDescent="0.25">
      <c r="A367" s="153" t="str">
        <f>IF(B367&gt;0,VLOOKUP(B367,КВСР!A92:B1257,2),IF(C367&gt;0,VLOOKUP(C367,КФСР!A92:B1604,2),IF(D367&gt;0,VLOOKUP(D367,Программа!A$1:B$5100,2),IF(F367&gt;0,VLOOKUP(F367,КВР!A$1:B$5001,2),IF(E367&gt;0,VLOOKUP(E367,Направление!A$1:B$4830,2))))))</f>
        <v>Другие вопросы в области национальной экономики</v>
      </c>
      <c r="B367" s="154"/>
      <c r="C367" s="149">
        <v>412</v>
      </c>
      <c r="D367" s="150"/>
      <c r="E367" s="149"/>
      <c r="F367" s="151"/>
      <c r="G367" s="500">
        <v>1975189</v>
      </c>
      <c r="H367" s="155">
        <f>H368</f>
        <v>907581</v>
      </c>
      <c r="I367" s="157">
        <f t="shared" si="7"/>
        <v>2882770</v>
      </c>
    </row>
    <row r="368" spans="1:9" s="166" customFormat="1" x14ac:dyDescent="0.25">
      <c r="A368" s="153" t="str">
        <f>IF(B368&gt;0,VLOOKUP(B368,КВСР!A93:B1258,2),IF(C368&gt;0,VLOOKUP(C368,КФСР!A93:B1605,2),IF(D368&gt;0,VLOOKUP(D368,Программа!A$1:B$5100,2),IF(F368&gt;0,VLOOKUP(F368,КВР!A$1:B$5001,2),IF(E368&gt;0,VLOOKUP(E368,Направление!A$1:B$4830,2))))))</f>
        <v>Непрограммные расходы бюджета</v>
      </c>
      <c r="B368" s="154"/>
      <c r="C368" s="149"/>
      <c r="D368" s="150" t="s">
        <v>624</v>
      </c>
      <c r="E368" s="149"/>
      <c r="F368" s="151"/>
      <c r="G368" s="500">
        <v>1975189</v>
      </c>
      <c r="H368" s="155">
        <f>H369+H371</f>
        <v>907581</v>
      </c>
      <c r="I368" s="157">
        <f t="shared" si="7"/>
        <v>2882770</v>
      </c>
    </row>
    <row r="369" spans="1:9" s="166" customFormat="1" ht="31.5" x14ac:dyDescent="0.25">
      <c r="A369" s="153" t="str">
        <f>IF(B369&gt;0,VLOOKUP(B369,КВСР!A94:B1259,2),IF(C369&gt;0,VLOOKUP(C369,КФСР!A94:B1606,2),IF(D369&gt;0,VLOOKUP(D369,Программа!A$1:B$5100,2),IF(F369&gt;0,VLOOKUP(F369,КВР!A$1:B$5001,2),IF(E369&gt;0,VLOOKUP(E369,Направление!A$1:B$4830,2))))))</f>
        <v>Мероприятия по землеустройству и землепользованию</v>
      </c>
      <c r="B369" s="154"/>
      <c r="C369" s="149"/>
      <c r="D369" s="150"/>
      <c r="E369" s="149">
        <v>10510</v>
      </c>
      <c r="F369" s="151"/>
      <c r="G369" s="500">
        <v>744000</v>
      </c>
      <c r="H369" s="155">
        <f>H370</f>
        <v>300200</v>
      </c>
      <c r="I369" s="157">
        <f t="shared" si="7"/>
        <v>1044200</v>
      </c>
    </row>
    <row r="370" spans="1:9" s="166" customFormat="1" ht="63" x14ac:dyDescent="0.25">
      <c r="A370" s="153" t="str">
        <f>IF(B370&gt;0,VLOOKUP(B370,КВСР!A95:B1260,2),IF(C370&gt;0,VLOOKUP(C370,КФСР!A95:B1607,2),IF(D370&gt;0,VLOOKUP(D370,Программа!A$1:B$5100,2),IF(F370&gt;0,VLOOKUP(F370,КВР!A$1:B$5001,2),IF(E370&gt;0,VLOOKUP(E370,Направление!A$1:B$4830,2))))))</f>
        <v xml:space="preserve">Закупка товаров, работ и услуг для обеспечения государственных (муниципальных) нужд
</v>
      </c>
      <c r="B370" s="154"/>
      <c r="C370" s="149"/>
      <c r="D370" s="151"/>
      <c r="E370" s="149"/>
      <c r="F370" s="151">
        <v>200</v>
      </c>
      <c r="G370" s="498">
        <v>744000</v>
      </c>
      <c r="H370" s="156">
        <v>300200</v>
      </c>
      <c r="I370" s="157">
        <f t="shared" si="7"/>
        <v>1044200</v>
      </c>
    </row>
    <row r="371" spans="1:9" s="166" customFormat="1" ht="63" x14ac:dyDescent="0.25">
      <c r="A371" s="153" t="str">
        <f>IF(B371&gt;0,VLOOKUP(B371,КВСР!A96:B1261,2),IF(C371&gt;0,VLOOKUP(C371,КФСР!A96:B1608,2),IF(D371&gt;0,VLOOKUP(D371,Программа!A$1:B$5100,2),IF(F371&gt;0,VLOOKUP(F371,КВР!A$1:B$5001,2),IF(E371&gt;0,VLOOKUP(E371,Направление!A$1:B$4830,2))))))</f>
        <v>Обеспечение мероприятий  по землеустройству и землепользованию,   определению кадастровой стоимости и приобретению прав собственности</v>
      </c>
      <c r="B371" s="154"/>
      <c r="C371" s="149"/>
      <c r="D371" s="151"/>
      <c r="E371" s="149">
        <v>29276</v>
      </c>
      <c r="F371" s="151"/>
      <c r="G371" s="498">
        <v>1231189</v>
      </c>
      <c r="H371" s="498">
        <f>H372</f>
        <v>607381</v>
      </c>
      <c r="I371" s="157">
        <f t="shared" si="7"/>
        <v>1838570</v>
      </c>
    </row>
    <row r="372" spans="1:9" s="166" customFormat="1" ht="63" x14ac:dyDescent="0.25">
      <c r="A372" s="153" t="str">
        <f>IF(B372&gt;0,VLOOKUP(B372,КВСР!A97:B1262,2),IF(C372&gt;0,VLOOKUP(C372,КФСР!A97:B1609,2),IF(D372&gt;0,VLOOKUP(D372,Программа!A$1:B$5100,2),IF(F372&gt;0,VLOOKUP(F372,КВР!A$1:B$5001,2),IF(E372&gt;0,VLOOKUP(E372,Направление!A$1:B$4830,2))))))</f>
        <v xml:space="preserve">Закупка товаров, работ и услуг для обеспечения государственных (муниципальных) нужд
</v>
      </c>
      <c r="B372" s="154"/>
      <c r="C372" s="149"/>
      <c r="D372" s="151"/>
      <c r="E372" s="149"/>
      <c r="F372" s="151">
        <v>200</v>
      </c>
      <c r="G372" s="498">
        <v>1231189</v>
      </c>
      <c r="H372" s="156">
        <v>607381</v>
      </c>
      <c r="I372" s="157">
        <f t="shared" si="7"/>
        <v>1838570</v>
      </c>
    </row>
    <row r="373" spans="1:9" s="166" customFormat="1" x14ac:dyDescent="0.25">
      <c r="A373" s="153" t="str">
        <f>IF(B373&gt;0,VLOOKUP(B373,КВСР!A100:B1265,2),IF(C373&gt;0,VLOOKUP(C373,КФСР!A100:B1612,2),IF(D373&gt;0,VLOOKUP(D373,Программа!A$1:B$5100,2),IF(F373&gt;0,VLOOKUP(F373,КВР!A$1:B$5001,2),IF(E373&gt;0,VLOOKUP(E373,Направление!A$1:B$4830,2))))))</f>
        <v>Жилищное хозяйство</v>
      </c>
      <c r="B373" s="154"/>
      <c r="C373" s="149">
        <v>501</v>
      </c>
      <c r="D373" s="151"/>
      <c r="E373" s="149"/>
      <c r="F373" s="151"/>
      <c r="G373" s="164">
        <v>256000</v>
      </c>
      <c r="H373" s="164">
        <f>H374</f>
        <v>229496</v>
      </c>
      <c r="I373" s="157">
        <f t="shared" si="7"/>
        <v>485496</v>
      </c>
    </row>
    <row r="374" spans="1:9" s="166" customFormat="1" x14ac:dyDescent="0.25">
      <c r="A374" s="153" t="str">
        <f>IF(B374&gt;0,VLOOKUP(B374,КВСР!A101:B1266,2),IF(C374&gt;0,VLOOKUP(C374,КФСР!A101:B1613,2),IF(D374&gt;0,VLOOKUP(D374,Программа!A$1:B$5100,2),IF(F374&gt;0,VLOOKUP(F374,КВР!A$1:B$5001,2),IF(E374&gt;0,VLOOKUP(E374,Направление!A$1:B$4830,2))))))</f>
        <v>Непрограммные расходы бюджета</v>
      </c>
      <c r="B374" s="154"/>
      <c r="C374" s="149"/>
      <c r="D374" s="151" t="s">
        <v>624</v>
      </c>
      <c r="E374" s="149"/>
      <c r="F374" s="151"/>
      <c r="G374" s="164">
        <v>256000</v>
      </c>
      <c r="H374" s="164">
        <f>H375</f>
        <v>229496</v>
      </c>
      <c r="I374" s="157">
        <f t="shared" si="7"/>
        <v>485496</v>
      </c>
    </row>
    <row r="375" spans="1:9" s="166" customFormat="1" ht="47.25" x14ac:dyDescent="0.25">
      <c r="A375" s="153" t="str">
        <f>IF(B375&gt;0,VLOOKUP(B375,КВСР!A102:B1267,2),IF(C375&gt;0,VLOOKUP(C375,КФСР!A102:B1614,2),IF(D375&gt;0,VLOOKUP(D375,Программа!A$1:B$5100,2),IF(F375&gt;0,VLOOKUP(F375,КВР!A$1:B$5001,2),IF(E375&gt;0,VLOOKUP(E375,Направление!A$1:B$4830,2))))))</f>
        <v>Взносы на  капитальный ремонт  жилых помещений муниципального жилищного фонда</v>
      </c>
      <c r="B375" s="154"/>
      <c r="C375" s="149"/>
      <c r="D375" s="151"/>
      <c r="E375" s="149">
        <v>10370</v>
      </c>
      <c r="F375" s="151"/>
      <c r="G375" s="164">
        <v>256000</v>
      </c>
      <c r="H375" s="164">
        <f>H376</f>
        <v>229496</v>
      </c>
      <c r="I375" s="157">
        <f t="shared" si="7"/>
        <v>485496</v>
      </c>
    </row>
    <row r="376" spans="1:9" s="166" customFormat="1" ht="63" x14ac:dyDescent="0.25">
      <c r="A376" s="153" t="str">
        <f>IF(B376&gt;0,VLOOKUP(B376,КВСР!A103:B1268,2),IF(C376&gt;0,VLOOKUP(C376,КФСР!A103:B1615,2),IF(D376&gt;0,VLOOKUP(D376,Программа!A$1:B$5100,2),IF(F376&gt;0,VLOOKUP(F376,КВР!A$1:B$5001,2),IF(E376&gt;0,VLOOKUP(E376,Направление!A$1:B$4830,2))))))</f>
        <v xml:space="preserve">Закупка товаров, работ и услуг для обеспечения государственных (муниципальных) нужд
</v>
      </c>
      <c r="B376" s="154"/>
      <c r="C376" s="149"/>
      <c r="D376" s="151"/>
      <c r="E376" s="149"/>
      <c r="F376" s="151">
        <v>200</v>
      </c>
      <c r="G376" s="498">
        <v>256000</v>
      </c>
      <c r="H376" s="156">
        <v>229496</v>
      </c>
      <c r="I376" s="157">
        <f t="shared" si="7"/>
        <v>485496</v>
      </c>
    </row>
    <row r="377" spans="1:9" ht="31.5" x14ac:dyDescent="0.25">
      <c r="A377" s="147" t="str">
        <f>IF(B377&gt;0,VLOOKUP(B377,КВСР!A106:B1271,2),IF(C377&gt;0,VLOOKUP(C377,КФСР!A106:B1618,2),IF(D377&gt;0,VLOOKUP(D377,Программа!A$1:B$5100,2),IF(F377&gt;0,VLOOKUP(F377,КВР!A$1:B$5001,2),IF(E377&gt;0,VLOOKUP(E377,Направление!A$1:B$4830,2))))))</f>
        <v>Департамент образования Администрации ТМР</v>
      </c>
      <c r="B377" s="148">
        <v>953</v>
      </c>
      <c r="C377" s="149"/>
      <c r="D377" s="150"/>
      <c r="E377" s="149"/>
      <c r="F377" s="151"/>
      <c r="G377" s="605">
        <v>1061904577</v>
      </c>
      <c r="H377" s="605">
        <f>H378+H415+H448+H470+H495+H580+H605+H574+H464</f>
        <v>1055271995</v>
      </c>
      <c r="I377" s="620">
        <f t="shared" si="7"/>
        <v>2117176572</v>
      </c>
    </row>
    <row r="378" spans="1:9" x14ac:dyDescent="0.25">
      <c r="A378" s="153" t="str">
        <f>IF(B378&gt;0,VLOOKUP(B378,КВСР!A111:B1276,2),IF(C378&gt;0,VLOOKUP(C378,КФСР!A111:B1623,2),IF(D378&gt;0,VLOOKUP(D378,Программа!A$1:B$5100,2),IF(F378&gt;0,VLOOKUP(F378,КВР!A$1:B$5001,2),IF(E378&gt;0,VLOOKUP(E378,Направление!A$1:B$4830,2))))))</f>
        <v>Дошкольное образование</v>
      </c>
      <c r="B378" s="154"/>
      <c r="C378" s="149">
        <v>701</v>
      </c>
      <c r="D378" s="150"/>
      <c r="E378" s="149"/>
      <c r="F378" s="151"/>
      <c r="G378" s="606">
        <v>424012912</v>
      </c>
      <c r="H378" s="157">
        <f>H384+H412+H404+H379</f>
        <v>417300393</v>
      </c>
      <c r="I378" s="157">
        <f t="shared" si="7"/>
        <v>841313305</v>
      </c>
    </row>
    <row r="379" spans="1:9" ht="63" x14ac:dyDescent="0.25">
      <c r="A379" s="153" t="str">
        <f>IF(B379&gt;0,VLOOKUP(B379,КВСР!A112:B1277,2),IF(C379&gt;0,VLOOKUP(C379,КФСР!A112:B1624,2),IF(D379&gt;0,VLOOKUP(D379,Программа!A$1:B$5100,2),IF(F379&gt;0,VLOOKUP(F379,КВР!A$1:B$5001,2),IF(E379&gt;0,VLOOKUP(E379,Направление!A$1:B$4830,2))))))</f>
        <v>Муниципальная программа  "Развитие культуры, туризма и молодежной политики в Тутаевском муниципальном районе"</v>
      </c>
      <c r="B379" s="154"/>
      <c r="C379" s="149"/>
      <c r="D379" s="150" t="s">
        <v>714</v>
      </c>
      <c r="E379" s="149"/>
      <c r="F379" s="151"/>
      <c r="G379" s="606">
        <v>40000</v>
      </c>
      <c r="H379" s="606">
        <f>H380</f>
        <v>40000</v>
      </c>
      <c r="I379" s="157">
        <f t="shared" si="7"/>
        <v>80000</v>
      </c>
    </row>
    <row r="380" spans="1:9" ht="47.25" x14ac:dyDescent="0.25">
      <c r="A380" s="153" t="str">
        <f>IF(B380&gt;0,VLOOKUP(B380,КВСР!A113:B1278,2),IF(C380&gt;0,VLOOKUP(C380,КФСР!A113:B1625,2),IF(D380&gt;0,VLOOKUP(D380,Программа!A$1:B$5100,2),IF(F380&gt;0,VLOOKUP(F380,КВР!A$1:B$5001,2),IF(E380&gt;0,VLOOKUP(E380,Направление!A$1:B$4830,2))))))</f>
        <v>Ведомственная целевая программа «Сохранение и развитие культуры Тутаевского муниципального района»</v>
      </c>
      <c r="B380" s="154"/>
      <c r="C380" s="149"/>
      <c r="D380" s="150" t="s">
        <v>817</v>
      </c>
      <c r="E380" s="149"/>
      <c r="F380" s="151"/>
      <c r="G380" s="606">
        <v>40000</v>
      </c>
      <c r="H380" s="606">
        <f>H381</f>
        <v>40000</v>
      </c>
      <c r="I380" s="157">
        <f t="shared" si="7"/>
        <v>80000</v>
      </c>
    </row>
    <row r="381" spans="1:9" ht="31.5" x14ac:dyDescent="0.25">
      <c r="A381" s="153" t="str">
        <f>IF(B381&gt;0,VLOOKUP(B381,КВСР!A114:B1279,2),IF(C381&gt;0,VLOOKUP(C381,КФСР!A114:B1626,2),IF(D381&gt;0,VLOOKUP(D381,Программа!A$1:B$5100,2),IF(F381&gt;0,VLOOKUP(F381,КВР!A$1:B$5001,2),IF(E381&gt;0,VLOOKUP(E381,Направление!A$1:B$4830,2))))))</f>
        <v>Обеспечение эффективности управления системой культуры</v>
      </c>
      <c r="B381" s="154"/>
      <c r="C381" s="149"/>
      <c r="D381" s="150" t="s">
        <v>844</v>
      </c>
      <c r="E381" s="149"/>
      <c r="F381" s="151"/>
      <c r="G381" s="606">
        <v>40000</v>
      </c>
      <c r="H381" s="606">
        <f>H382</f>
        <v>40000</v>
      </c>
      <c r="I381" s="157">
        <f t="shared" si="7"/>
        <v>80000</v>
      </c>
    </row>
    <row r="382" spans="1:9" ht="31.5" x14ac:dyDescent="0.25">
      <c r="A382" s="153" t="str">
        <f>IF(B382&gt;0,VLOOKUP(B382,КВСР!A115:B1280,2),IF(C382&gt;0,VLOOKUP(C382,КФСР!A115:B1627,2),IF(D382&gt;0,VLOOKUP(D382,Программа!A$1:B$5100,2),IF(F382&gt;0,VLOOKUP(F382,КВР!A$1:B$5001,2),IF(E382&gt;0,VLOOKUP(E382,Направление!A$1:B$4830,2))))))</f>
        <v xml:space="preserve">Обеспечение культурно-досуговых мероприятий </v>
      </c>
      <c r="B382" s="154"/>
      <c r="C382" s="149"/>
      <c r="D382" s="150"/>
      <c r="E382" s="149">
        <v>29216</v>
      </c>
      <c r="F382" s="151"/>
      <c r="G382" s="606">
        <v>40000</v>
      </c>
      <c r="H382" s="606">
        <f>H383</f>
        <v>40000</v>
      </c>
      <c r="I382" s="157">
        <f t="shared" si="7"/>
        <v>80000</v>
      </c>
    </row>
    <row r="383" spans="1:9" ht="63" x14ac:dyDescent="0.25">
      <c r="A383" s="153" t="str">
        <f>IF(B383&gt;0,VLOOKUP(B383,КВСР!A116:B1281,2),IF(C383&gt;0,VLOOKUP(C383,КФСР!A116:B1628,2),IF(D383&gt;0,VLOOKUP(D383,Программа!A$1:B$5100,2),IF(F383&gt;0,VLOOKUP(F383,КВР!A$1:B$5001,2),IF(E383&gt;0,VLOOKUP(E383,Направление!A$1:B$4830,2))))))</f>
        <v xml:space="preserve">Закупка товаров, работ и услуг для обеспечения государственных (муниципальных) нужд
</v>
      </c>
      <c r="B383" s="154"/>
      <c r="C383" s="149"/>
      <c r="D383" s="150"/>
      <c r="E383" s="149"/>
      <c r="F383" s="151">
        <v>200</v>
      </c>
      <c r="G383" s="606">
        <v>40000</v>
      </c>
      <c r="H383" s="157">
        <v>40000</v>
      </c>
      <c r="I383" s="157">
        <f t="shared" si="7"/>
        <v>80000</v>
      </c>
    </row>
    <row r="384" spans="1:9" ht="63" x14ac:dyDescent="0.25">
      <c r="A384" s="153" t="str">
        <f>IF(B384&gt;0,VLOOKUP(B384,КВСР!A112:B1277,2),IF(C384&gt;0,VLOOKUP(C384,КФСР!A112:B1624,2),IF(D384&gt;0,VLOOKUP(D384,Программа!A$1:B$5100,2),IF(F384&gt;0,VLOOKUP(F384,КВР!A$1:B$5001,2),IF(E384&gt;0,VLOOKUP(E384,Направление!A$1:B$4830,2))))))</f>
        <v>Муниципальная программа "Развитие образования, физической культуры и спорта в Тутаевском муниципальном районе"</v>
      </c>
      <c r="B384" s="154"/>
      <c r="C384" s="149"/>
      <c r="D384" s="150" t="s">
        <v>684</v>
      </c>
      <c r="E384" s="149"/>
      <c r="F384" s="151"/>
      <c r="G384" s="606">
        <v>423874651</v>
      </c>
      <c r="H384" s="157">
        <f>H386</f>
        <v>417162132</v>
      </c>
      <c r="I384" s="157">
        <f t="shared" si="7"/>
        <v>841036783</v>
      </c>
    </row>
    <row r="385" spans="1:9" ht="63" x14ac:dyDescent="0.25">
      <c r="A385" s="153" t="str">
        <f>IF(B385&gt;0,VLOOKUP(B385,КВСР!A113:B1278,2),IF(C385&gt;0,VLOOKUP(C385,КФСР!A113:B1625,2),IF(D385&gt;0,VLOOKUP(D385,Программа!A$1:B$5100,2),IF(F385&gt;0,VLOOKUP(F385,КВР!A$1:B$5001,2),IF(E385&gt;0,VLOOKUP(E385,Направление!A$1:B$4830,2))))))</f>
        <v xml:space="preserve">Ведомственная целевая программа департамента образования Администрации Тутаевского муниципального района </v>
      </c>
      <c r="B385" s="154"/>
      <c r="C385" s="149"/>
      <c r="D385" s="150" t="s">
        <v>686</v>
      </c>
      <c r="E385" s="149"/>
      <c r="F385" s="151"/>
      <c r="G385" s="606">
        <v>423874651</v>
      </c>
      <c r="H385" s="157">
        <f>H386</f>
        <v>417162132</v>
      </c>
      <c r="I385" s="157">
        <f t="shared" si="7"/>
        <v>841036783</v>
      </c>
    </row>
    <row r="386" spans="1:9" ht="47.25" x14ac:dyDescent="0.25">
      <c r="A386" s="153" t="str">
        <f>IF(B386&gt;0,VLOOKUP(B386,КВСР!A114:B1279,2),IF(C386&gt;0,VLOOKUP(C386,КФСР!A114:B1626,2),IF(D386&gt;0,VLOOKUP(D386,Программа!A$1:B$5100,2),IF(F386&gt;0,VLOOKUP(F386,КВР!A$1:B$5001,2),IF(E386&gt;0,VLOOKUP(E386,Направление!A$1:B$4830,2))))))</f>
        <v>Обеспечение качества и доступности образовательных услуг в сфере дошкольного образования</v>
      </c>
      <c r="B386" s="154"/>
      <c r="C386" s="149"/>
      <c r="D386" s="150" t="s">
        <v>687</v>
      </c>
      <c r="E386" s="149"/>
      <c r="F386" s="151"/>
      <c r="G386" s="606">
        <v>423874651</v>
      </c>
      <c r="H386" s="606">
        <f>H387+H393+H397+H391+H395+H402+H400</f>
        <v>417162132</v>
      </c>
      <c r="I386" s="157">
        <f t="shared" si="7"/>
        <v>841036783</v>
      </c>
    </row>
    <row r="387" spans="1:9" ht="31.5" x14ac:dyDescent="0.25">
      <c r="A387" s="153" t="str">
        <f>IF(B387&gt;0,VLOOKUP(B387,КВСР!A114:B1279,2),IF(C387&gt;0,VLOOKUP(C387,КФСР!A114:B1626,2),IF(D387&gt;0,VLOOKUP(D387,Программа!A$1:B$5100,2),IF(F387&gt;0,VLOOKUP(F387,КВР!A$1:B$5001,2),IF(E387&gt;0,VLOOKUP(E387,Направление!A$1:B$4830,2))))))</f>
        <v>Обеспечение деятельности дошкольных учреждений</v>
      </c>
      <c r="B387" s="154"/>
      <c r="C387" s="149"/>
      <c r="D387" s="150"/>
      <c r="E387" s="149">
        <v>13010</v>
      </c>
      <c r="F387" s="151"/>
      <c r="G387" s="500">
        <v>161467961</v>
      </c>
      <c r="H387" s="500">
        <f>H388+H389+H390</f>
        <v>155293631</v>
      </c>
      <c r="I387" s="157">
        <f t="shared" si="7"/>
        <v>316761592</v>
      </c>
    </row>
    <row r="388" spans="1:9" ht="126" x14ac:dyDescent="0.25">
      <c r="A388" s="153" t="str">
        <f>IF(B388&gt;0,VLOOKUP(B388,КВСР!A115:B1280,2),IF(C388&gt;0,VLOOKUP(C388,КФСР!A115:B1627,2),IF(D388&gt;0,VLOOKUP(D388,Программа!A$1:B$5100,2),IF(F388&gt;0,VLOOKUP(F388,КВР!A$1:B$5001,2),IF(E388&gt;0,VLOOKUP(E388,Направление!A$1:B$4830,2))))))</f>
        <v xml:space="preserve">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
</v>
      </c>
      <c r="B388" s="154"/>
      <c r="C388" s="149"/>
      <c r="D388" s="151"/>
      <c r="E388" s="149"/>
      <c r="F388" s="151">
        <v>100</v>
      </c>
      <c r="G388" s="498">
        <v>55375126</v>
      </c>
      <c r="H388" s="156">
        <v>56770242</v>
      </c>
      <c r="I388" s="157">
        <f t="shared" si="7"/>
        <v>112145368</v>
      </c>
    </row>
    <row r="389" spans="1:9" ht="63" x14ac:dyDescent="0.25">
      <c r="A389" s="153" t="str">
        <f>IF(B389&gt;0,VLOOKUP(B389,КВСР!A116:B1281,2),IF(C389&gt;0,VLOOKUP(C389,КФСР!A116:B1628,2),IF(D389&gt;0,VLOOKUP(D389,Программа!A$1:B$5100,2),IF(F389&gt;0,VLOOKUP(F389,КВР!A$1:B$5001,2),IF(E389&gt;0,VLOOKUP(E389,Направление!A$1:B$4830,2))))))</f>
        <v xml:space="preserve">Закупка товаров, работ и услуг для обеспечения государственных (муниципальных) нужд
</v>
      </c>
      <c r="B389" s="154"/>
      <c r="C389" s="149"/>
      <c r="D389" s="151"/>
      <c r="E389" s="149"/>
      <c r="F389" s="151">
        <v>200</v>
      </c>
      <c r="G389" s="498">
        <v>97462417</v>
      </c>
      <c r="H389" s="156">
        <v>91696763</v>
      </c>
      <c r="I389" s="157">
        <f t="shared" si="7"/>
        <v>189159180</v>
      </c>
    </row>
    <row r="390" spans="1:9" x14ac:dyDescent="0.25">
      <c r="A390" s="153" t="str">
        <f>IF(B390&gt;0,VLOOKUP(B390,КВСР!A117:B1282,2),IF(C390&gt;0,VLOOKUP(C390,КФСР!A117:B1629,2),IF(D390&gt;0,VLOOKUP(D390,Программа!A$1:B$5100,2),IF(F390&gt;0,VLOOKUP(F390,КВР!A$1:B$5001,2),IF(E390&gt;0,VLOOKUP(E390,Направление!A$1:B$4830,2))))))</f>
        <v>Иные бюджетные ассигнования</v>
      </c>
      <c r="B390" s="154"/>
      <c r="C390" s="149"/>
      <c r="D390" s="151"/>
      <c r="E390" s="149"/>
      <c r="F390" s="151">
        <v>800</v>
      </c>
      <c r="G390" s="498">
        <v>8630418</v>
      </c>
      <c r="H390" s="156">
        <v>6826626</v>
      </c>
      <c r="I390" s="157">
        <f t="shared" si="7"/>
        <v>15457044</v>
      </c>
    </row>
    <row r="391" spans="1:9" ht="31.5" x14ac:dyDescent="0.25">
      <c r="A391" s="153" t="str">
        <f>IF(B391&gt;0,VLOOKUP(B391,КВСР!A116:B1281,2),IF(C391&gt;0,VLOOKUP(C391,КФСР!A116:B1628,2),IF(D391&gt;0,VLOOKUP(D391,Программа!A$1:B$5100,2),IF(F391&gt;0,VLOOKUP(F391,КВР!A$1:B$5001,2),IF(E391&gt;0,VLOOKUP(E391,Направление!A$1:B$4830,2))))))</f>
        <v>Обеспечение деятельности общеобразовательных учреждений</v>
      </c>
      <c r="B391" s="154"/>
      <c r="C391" s="149"/>
      <c r="D391" s="151"/>
      <c r="E391" s="149">
        <v>13110</v>
      </c>
      <c r="F391" s="151"/>
      <c r="G391" s="498">
        <v>12143854</v>
      </c>
      <c r="H391" s="498">
        <f>H392</f>
        <v>11540942</v>
      </c>
      <c r="I391" s="157">
        <f t="shared" si="7"/>
        <v>23684796</v>
      </c>
    </row>
    <row r="392" spans="1:9" ht="63" x14ac:dyDescent="0.25">
      <c r="A392" s="153" t="str">
        <f>IF(B392&gt;0,VLOOKUP(B392,КВСР!A117:B1282,2),IF(C392&gt;0,VLOOKUP(C392,КФСР!A117:B1629,2),IF(D392&gt;0,VLOOKUP(D392,Программа!A$1:B$5100,2),IF(F392&gt;0,VLOOKUP(F392,КВР!A$1:B$5001,2),IF(E392&gt;0,VLOOKUP(E392,Направление!A$1:B$4830,2))))))</f>
        <v>Предоставление субсидий бюджетным, автономным учреждениям и иным некоммерческим организациям</v>
      </c>
      <c r="B392" s="154"/>
      <c r="C392" s="149"/>
      <c r="D392" s="151"/>
      <c r="E392" s="149"/>
      <c r="F392" s="151">
        <v>600</v>
      </c>
      <c r="G392" s="498">
        <v>12143854</v>
      </c>
      <c r="H392" s="156">
        <v>11540942</v>
      </c>
      <c r="I392" s="157">
        <f t="shared" si="7"/>
        <v>23684796</v>
      </c>
    </row>
    <row r="393" spans="1:9" ht="110.25" x14ac:dyDescent="0.25">
      <c r="A393" s="153" t="str">
        <f>IF(B393&gt;0,VLOOKUP(B393,КВСР!A118:B1283,2),IF(C393&gt;0,VLOOKUP(C393,КФСР!A118:B1630,2),IF(D393&gt;0,VLOOKUP(D393,Программа!A$1:B$5100,2),IF(F393&gt;0,VLOOKUP(F393,КВР!A$1:B$5001,2),IF(E393&gt;0,VLOOKUP(E393,Направление!A$1:B$4830,2))))))</f>
        <v>Расходы на выплаты медицинским работникам, осуществляющим медицинское обслуживание обучающихся и воспитанников муниципальных образовательных учреждений, за счет средств областного бюджета</v>
      </c>
      <c r="B393" s="154"/>
      <c r="C393" s="149"/>
      <c r="D393" s="150"/>
      <c r="E393" s="149">
        <v>70510</v>
      </c>
      <c r="F393" s="151"/>
      <c r="G393" s="500">
        <v>1198451</v>
      </c>
      <c r="H393" s="155">
        <f>H394</f>
        <v>1161774</v>
      </c>
      <c r="I393" s="157">
        <f t="shared" si="7"/>
        <v>2360225</v>
      </c>
    </row>
    <row r="394" spans="1:9" ht="126" x14ac:dyDescent="0.25">
      <c r="A394" s="153" t="str">
        <f>IF(B394&gt;0,VLOOKUP(B394,КВСР!A119:B1284,2),IF(C394&gt;0,VLOOKUP(C394,КФСР!A119:B1631,2),IF(D394&gt;0,VLOOKUP(D394,Программа!A$1:B$5100,2),IF(F394&gt;0,VLOOKUP(F394,КВР!A$1:B$5001,2),IF(E394&gt;0,VLOOKUP(E394,Направление!A$1:B$4830,2))))))</f>
        <v xml:space="preserve">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
</v>
      </c>
      <c r="B394" s="154"/>
      <c r="C394" s="149"/>
      <c r="D394" s="151"/>
      <c r="E394" s="149"/>
      <c r="F394" s="151">
        <v>100</v>
      </c>
      <c r="G394" s="498">
        <v>1198451</v>
      </c>
      <c r="H394" s="156">
        <v>1161774</v>
      </c>
      <c r="I394" s="157">
        <f t="shared" si="7"/>
        <v>2360225</v>
      </c>
    </row>
    <row r="395" spans="1:9" ht="63" x14ac:dyDescent="0.25">
      <c r="A395" s="153" t="str">
        <f>IF(B395&gt;0,VLOOKUP(B395,КВСР!A120:B1285,2),IF(C395&gt;0,VLOOKUP(C395,КФСР!A120:B1632,2),IF(D395&gt;0,VLOOKUP(D395,Программа!A$1:B$5100,2),IF(F395&gt;0,VLOOKUP(F395,КВР!A$1:B$5001,2),IF(E395&gt;0,VLOOKUP(E395,Направление!A$1:B$4830,2))))))</f>
        <v>Организация образовательного процесса в образовательных учреждениях за счет средств областного бюджета</v>
      </c>
      <c r="B395" s="154"/>
      <c r="C395" s="149"/>
      <c r="D395" s="151"/>
      <c r="E395" s="149">
        <v>70520</v>
      </c>
      <c r="F395" s="151"/>
      <c r="G395" s="498">
        <v>24398719</v>
      </c>
      <c r="H395" s="498">
        <f>H396</f>
        <v>24500308</v>
      </c>
      <c r="I395" s="157">
        <f t="shared" si="7"/>
        <v>48899027</v>
      </c>
    </row>
    <row r="396" spans="1:9" ht="63" x14ac:dyDescent="0.25">
      <c r="A396" s="153" t="str">
        <f>IF(B396&gt;0,VLOOKUP(B396,КВСР!A121:B1286,2),IF(C396&gt;0,VLOOKUP(C396,КФСР!A121:B1633,2),IF(D396&gt;0,VLOOKUP(D396,Программа!A$1:B$5100,2),IF(F396&gt;0,VLOOKUP(F396,КВР!A$1:B$5001,2),IF(E396&gt;0,VLOOKUP(E396,Направление!A$1:B$4830,2))))))</f>
        <v>Предоставление субсидий бюджетным, автономным учреждениям и иным некоммерческим организациям</v>
      </c>
      <c r="B396" s="154"/>
      <c r="C396" s="149"/>
      <c r="D396" s="151"/>
      <c r="E396" s="149"/>
      <c r="F396" s="151">
        <v>600</v>
      </c>
      <c r="G396" s="498">
        <v>24398719</v>
      </c>
      <c r="H396" s="156">
        <v>24500308</v>
      </c>
      <c r="I396" s="157">
        <f t="shared" si="7"/>
        <v>48899027</v>
      </c>
    </row>
    <row r="397" spans="1:9" ht="63" x14ac:dyDescent="0.25">
      <c r="A397" s="153" t="str">
        <f>IF(B397&gt;0,VLOOKUP(B397,КВСР!A120:B1285,2),IF(C397&gt;0,VLOOKUP(C397,КФСР!A120:B1632,2),IF(D397&gt;0,VLOOKUP(D397,Программа!A$1:B$5100,2),IF(F397&gt;0,VLOOKUP(F397,КВР!A$1:B$5001,2),IF(E397&gt;0,VLOOKUP(E397,Направление!A$1:B$4830,2))))))</f>
        <v xml:space="preserve">Расходы на обеспечение предоставления услуг по дошкольному образованию детей в дошкольных образовательных организациях </v>
      </c>
      <c r="B397" s="154"/>
      <c r="C397" s="149"/>
      <c r="D397" s="150"/>
      <c r="E397" s="149">
        <v>73110</v>
      </c>
      <c r="F397" s="151"/>
      <c r="G397" s="500">
        <v>222049500</v>
      </c>
      <c r="H397" s="155">
        <f>H398+H399</f>
        <v>222049500</v>
      </c>
      <c r="I397" s="157">
        <f t="shared" si="7"/>
        <v>444099000</v>
      </c>
    </row>
    <row r="398" spans="1:9" ht="126" x14ac:dyDescent="0.25">
      <c r="A398" s="153" t="str">
        <f>IF(B398&gt;0,VLOOKUP(B398,КВСР!A121:B1286,2),IF(C398&gt;0,VLOOKUP(C398,КФСР!A121:B1633,2),IF(D398&gt;0,VLOOKUP(D398,Программа!A$1:B$5100,2),IF(F398&gt;0,VLOOKUP(F398,КВР!A$1:B$5001,2),IF(E398&gt;0,VLOOKUP(E398,Направление!A$1:B$4830,2))))))</f>
        <v xml:space="preserve">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
</v>
      </c>
      <c r="B398" s="154"/>
      <c r="C398" s="149"/>
      <c r="D398" s="151"/>
      <c r="E398" s="149"/>
      <c r="F398" s="151">
        <v>100</v>
      </c>
      <c r="G398" s="498">
        <v>206451376</v>
      </c>
      <c r="H398" s="156">
        <v>205937115</v>
      </c>
      <c r="I398" s="157">
        <f t="shared" si="7"/>
        <v>412388491</v>
      </c>
    </row>
    <row r="399" spans="1:9" ht="63" x14ac:dyDescent="0.25">
      <c r="A399" s="153" t="str">
        <f>IF(B399&gt;0,VLOOKUP(B399,КВСР!A122:B1287,2),IF(C399&gt;0,VLOOKUP(C399,КФСР!A122:B1634,2),IF(D399&gt;0,VLOOKUP(D399,Программа!A$1:B$5100,2),IF(F399&gt;0,VLOOKUP(F399,КВР!A$1:B$5001,2),IF(E399&gt;0,VLOOKUP(E399,Направление!A$1:B$4830,2))))))</f>
        <v xml:space="preserve">Закупка товаров, работ и услуг для обеспечения государственных (муниципальных) нужд
</v>
      </c>
      <c r="B399" s="154"/>
      <c r="C399" s="149"/>
      <c r="D399" s="151"/>
      <c r="E399" s="149"/>
      <c r="F399" s="151">
        <v>200</v>
      </c>
      <c r="G399" s="498">
        <v>15598124</v>
      </c>
      <c r="H399" s="156">
        <v>16112385</v>
      </c>
      <c r="I399" s="157">
        <f t="shared" si="7"/>
        <v>31710509</v>
      </c>
    </row>
    <row r="400" spans="1:9" x14ac:dyDescent="0.25">
      <c r="A400" s="153" t="str">
        <f>IF(B400&gt;0,VLOOKUP(B400,КВСР!A123:B1288,2),IF(C400&gt;0,VLOOKUP(C400,КФСР!A123:B1635,2),IF(D400&gt;0,VLOOKUP(D400,Программа!A$1:B$5100,2),IF(F400&gt;0,VLOOKUP(F400,КВР!A$1:B$5001,2),IF(E400&gt;0,VLOOKUP(E400,Направление!A$1:B$4830,2))))))</f>
        <v xml:space="preserve">Иная дотация </v>
      </c>
      <c r="B400" s="154"/>
      <c r="C400" s="149"/>
      <c r="D400" s="151"/>
      <c r="E400" s="149">
        <v>73260</v>
      </c>
      <c r="F400" s="151"/>
      <c r="G400" s="498">
        <v>482942</v>
      </c>
      <c r="H400" s="498">
        <f>H401</f>
        <v>482752</v>
      </c>
      <c r="I400" s="157">
        <f t="shared" si="7"/>
        <v>965694</v>
      </c>
    </row>
    <row r="401" spans="1:9" ht="63" x14ac:dyDescent="0.25">
      <c r="A401" s="153" t="str">
        <f>IF(B401&gt;0,VLOOKUP(B401,КВСР!A124:B1289,2),IF(C401&gt;0,VLOOKUP(C401,КФСР!A124:B1636,2),IF(D401&gt;0,VLOOKUP(D401,Программа!A$1:B$5100,2),IF(F401&gt;0,VLOOKUP(F401,КВР!A$1:B$5001,2),IF(E401&gt;0,VLOOKUP(E401,Направление!A$1:B$4830,2))))))</f>
        <v xml:space="preserve">Закупка товаров, работ и услуг для обеспечения государственных (муниципальных) нужд
</v>
      </c>
      <c r="B401" s="154"/>
      <c r="C401" s="149"/>
      <c r="D401" s="151"/>
      <c r="E401" s="149"/>
      <c r="F401" s="151">
        <v>200</v>
      </c>
      <c r="G401" s="498">
        <v>482942</v>
      </c>
      <c r="H401" s="156">
        <v>482752</v>
      </c>
      <c r="I401" s="157">
        <f t="shared" si="7"/>
        <v>965694</v>
      </c>
    </row>
    <row r="402" spans="1:9" ht="94.5" x14ac:dyDescent="0.25">
      <c r="A402" s="153" t="str">
        <f>IF(B402&gt;0,VLOOKUP(B402,КВСР!A123:B1288,2),IF(C402&gt;0,VLOOKUP(C402,КФСР!A123:B1635,2),IF(D402&gt;0,VLOOKUP(D402,Программа!A$1:B$5100,2),IF(F402&gt;0,VLOOKUP(F402,КВР!A$1:B$5001,2),IF(E402&gt;0,VLOOKUP(E402,Направление!A$1:B$4830,2))))))</f>
        <v>На реализацию мероприятий по поощрению достижения наилучших значений показателей по отдельным направлениям развития муниципальных образований Ярославской области</v>
      </c>
      <c r="B402" s="154"/>
      <c r="C402" s="149"/>
      <c r="D402" s="151"/>
      <c r="E402" s="149">
        <v>75870</v>
      </c>
      <c r="F402" s="151"/>
      <c r="G402" s="498">
        <v>2133224</v>
      </c>
      <c r="H402" s="498">
        <f>H403</f>
        <v>2133225</v>
      </c>
      <c r="I402" s="157">
        <f t="shared" si="7"/>
        <v>4266449</v>
      </c>
    </row>
    <row r="403" spans="1:9" ht="63" x14ac:dyDescent="0.25">
      <c r="A403" s="153" t="str">
        <f>IF(B403&gt;0,VLOOKUP(B403,КВСР!A124:B1289,2),IF(C403&gt;0,VLOOKUP(C403,КФСР!A124:B1636,2),IF(D403&gt;0,VLOOKUP(D403,Программа!A$1:B$5100,2),IF(F403&gt;0,VLOOKUP(F403,КВР!A$1:B$5001,2),IF(E403&gt;0,VLOOKUP(E403,Направление!A$1:B$4830,2))))))</f>
        <v xml:space="preserve">Закупка товаров, работ и услуг для обеспечения государственных (муниципальных) нужд
</v>
      </c>
      <c r="B403" s="154"/>
      <c r="C403" s="149"/>
      <c r="D403" s="151"/>
      <c r="E403" s="149"/>
      <c r="F403" s="151">
        <v>200</v>
      </c>
      <c r="G403" s="498">
        <v>2133224</v>
      </c>
      <c r="H403" s="156">
        <v>2133225</v>
      </c>
      <c r="I403" s="157">
        <f t="shared" si="7"/>
        <v>4266449</v>
      </c>
    </row>
    <row r="404" spans="1:9" ht="47.25" x14ac:dyDescent="0.25">
      <c r="A404" s="153" t="str">
        <f>IF(B404&gt;0,VLOOKUP(B404,КВСР!A122:B1287,2),IF(C404&gt;0,VLOOKUP(C404,КФСР!A122:B1634,2),IF(D404&gt;0,VLOOKUP(D404,Программа!A$1:B$5100,2),IF(F404&gt;0,VLOOKUP(F404,КВР!A$1:B$5001,2),IF(E404&gt;0,VLOOKUP(E404,Направление!A$1:B$4830,2))))))</f>
        <v>Муниципальная программа "Социальная поддержка населения Тутаевского муниципального района"</v>
      </c>
      <c r="B404" s="154"/>
      <c r="C404" s="149"/>
      <c r="D404" s="150" t="s">
        <v>693</v>
      </c>
      <c r="E404" s="149"/>
      <c r="F404" s="151"/>
      <c r="G404" s="500">
        <v>98261</v>
      </c>
      <c r="H404" s="155">
        <f>H405</f>
        <v>98261</v>
      </c>
      <c r="I404" s="157">
        <f t="shared" si="7"/>
        <v>196522</v>
      </c>
    </row>
    <row r="405" spans="1:9" ht="63" x14ac:dyDescent="0.25">
      <c r="A405" s="153" t="str">
        <f>IF(B405&gt;0,VLOOKUP(B405,КВСР!A123:B1288,2),IF(C405&gt;0,VLOOKUP(C405,КФСР!A123:B1635,2),IF(D405&gt;0,VLOOKUP(D405,Программа!A$1:B$5100,2),IF(F405&gt;0,VLOOKUP(F405,КВР!A$1:B$5001,2),IF(E405&gt;0,VLOOKUP(E405,Направление!A$1:B$4830,2))))))</f>
        <v>Муниципальная целевая программа "Улучшение условий и охраны труда" по Тутаевскому муниципальному району</v>
      </c>
      <c r="B405" s="154"/>
      <c r="C405" s="149"/>
      <c r="D405" s="150" t="s">
        <v>695</v>
      </c>
      <c r="E405" s="149"/>
      <c r="F405" s="151"/>
      <c r="G405" s="500">
        <v>98261</v>
      </c>
      <c r="H405" s="155">
        <f>H406+H409</f>
        <v>98261</v>
      </c>
      <c r="I405" s="157">
        <f t="shared" si="7"/>
        <v>196522</v>
      </c>
    </row>
    <row r="406" spans="1:9" ht="63" x14ac:dyDescent="0.25">
      <c r="A406" s="153" t="str">
        <f>IF(B406&gt;0,VLOOKUP(B406,КВСР!A124:B1289,2),IF(C406&gt;0,VLOOKUP(C406,КФСР!A124:B1636,2),IF(D406&gt;0,VLOOKUP(D406,Программа!A$1:B$5100,2),IF(F406&gt;0,VLOOKUP(F406,КВР!A$1:B$5001,2),IF(E406&gt;0,VLOOKUP(E406,Направление!A$1:B$4830,2))))))</f>
        <v>Специальная оценка условий труда работающих в организациях расположенных на территории Тутаевского муниципального района</v>
      </c>
      <c r="B406" s="154"/>
      <c r="C406" s="149"/>
      <c r="D406" s="150" t="s">
        <v>696</v>
      </c>
      <c r="E406" s="149"/>
      <c r="F406" s="151"/>
      <c r="G406" s="500">
        <v>56261</v>
      </c>
      <c r="H406" s="155">
        <f>H407</f>
        <v>56261</v>
      </c>
      <c r="I406" s="157">
        <f t="shared" si="7"/>
        <v>112522</v>
      </c>
    </row>
    <row r="407" spans="1:9" ht="31.5" x14ac:dyDescent="0.25">
      <c r="A407" s="153" t="str">
        <f>IF(B407&gt;0,VLOOKUP(B407,КВСР!A125:B1290,2),IF(C407&gt;0,VLOOKUP(C407,КФСР!A125:B1637,2),IF(D407&gt;0,VLOOKUP(D407,Программа!A$1:B$5100,2),IF(F407&gt;0,VLOOKUP(F407,КВР!A$1:B$5001,2),IF(E407&gt;0,VLOOKUP(E407,Направление!A$1:B$4830,2))))))</f>
        <v>Расходы на реализацию МЦП "Улучшение условий и охраны труда"</v>
      </c>
      <c r="B407" s="154"/>
      <c r="C407" s="149"/>
      <c r="D407" s="150"/>
      <c r="E407" s="149">
        <v>16150</v>
      </c>
      <c r="F407" s="151"/>
      <c r="G407" s="500">
        <v>56261</v>
      </c>
      <c r="H407" s="155">
        <f>H408</f>
        <v>56261</v>
      </c>
      <c r="I407" s="157">
        <f t="shared" si="7"/>
        <v>112522</v>
      </c>
    </row>
    <row r="408" spans="1:9" ht="63" x14ac:dyDescent="0.25">
      <c r="A408" s="153" t="str">
        <f>IF(B408&gt;0,VLOOKUP(B408,КВСР!A126:B1291,2),IF(C408&gt;0,VLOOKUP(C408,КФСР!A126:B1638,2),IF(D408&gt;0,VLOOKUP(D408,Программа!A$1:B$5100,2),IF(F408&gt;0,VLOOKUP(F408,КВР!A$1:B$5001,2),IF(E408&gt;0,VLOOKUP(E408,Направление!A$1:B$4830,2))))))</f>
        <v xml:space="preserve">Закупка товаров, работ и услуг для обеспечения государственных (муниципальных) нужд
</v>
      </c>
      <c r="B408" s="154"/>
      <c r="C408" s="149"/>
      <c r="D408" s="150"/>
      <c r="E408" s="149"/>
      <c r="F408" s="151">
        <v>200</v>
      </c>
      <c r="G408" s="498">
        <v>56261</v>
      </c>
      <c r="H408" s="156">
        <v>56261</v>
      </c>
      <c r="I408" s="157">
        <f t="shared" si="7"/>
        <v>112522</v>
      </c>
    </row>
    <row r="409" spans="1:9" ht="47.25" x14ac:dyDescent="0.25">
      <c r="A409" s="153" t="str">
        <f>IF(B409&gt;0,VLOOKUP(B409,КВСР!A127:B1292,2),IF(C409&gt;0,VLOOKUP(C409,КФСР!A127:B1639,2),IF(D409&gt;0,VLOOKUP(D409,Программа!A$1:B$5100,2),IF(F409&gt;0,VLOOKUP(F409,КВР!A$1:B$5001,2),IF(E409&gt;0,VLOOKUP(E409,Направление!A$1:B$4830,2))))))</f>
        <v>Обучение по охране труда работников организаций Тутаевского муниципального района</v>
      </c>
      <c r="B409" s="154"/>
      <c r="C409" s="149"/>
      <c r="D409" s="150" t="s">
        <v>2924</v>
      </c>
      <c r="E409" s="149"/>
      <c r="F409" s="151"/>
      <c r="G409" s="500">
        <v>42000</v>
      </c>
      <c r="H409" s="533">
        <f>H410</f>
        <v>42000</v>
      </c>
      <c r="I409" s="157">
        <f t="shared" si="7"/>
        <v>84000</v>
      </c>
    </row>
    <row r="410" spans="1:9" ht="31.5" x14ac:dyDescent="0.25">
      <c r="A410" s="153" t="str">
        <f>IF(B410&gt;0,VLOOKUP(B410,КВСР!A128:B1293,2),IF(C410&gt;0,VLOOKUP(C410,КФСР!A128:B1640,2),IF(D410&gt;0,VLOOKUP(D410,Программа!A$1:B$5100,2),IF(F410&gt;0,VLOOKUP(F410,КВР!A$1:B$5001,2),IF(E410&gt;0,VLOOKUP(E410,Направление!A$1:B$4830,2))))))</f>
        <v>Расходы на реализацию МЦП "Улучшение условий и охраны труда"</v>
      </c>
      <c r="B410" s="154"/>
      <c r="C410" s="149"/>
      <c r="D410" s="150"/>
      <c r="E410" s="149">
        <v>16150</v>
      </c>
      <c r="F410" s="151"/>
      <c r="G410" s="500">
        <v>42000</v>
      </c>
      <c r="H410" s="533">
        <f>H411</f>
        <v>42000</v>
      </c>
      <c r="I410" s="157">
        <f t="shared" si="7"/>
        <v>84000</v>
      </c>
    </row>
    <row r="411" spans="1:9" ht="63" x14ac:dyDescent="0.25">
      <c r="A411" s="153" t="str">
        <f>IF(B411&gt;0,VLOOKUP(B411,КВСР!A129:B1294,2),IF(C411&gt;0,VLOOKUP(C411,КФСР!A129:B1641,2),IF(D411&gt;0,VLOOKUP(D411,Программа!A$1:B$5100,2),IF(F411&gt;0,VLOOKUP(F411,КВР!A$1:B$5001,2),IF(E411&gt;0,VLOOKUP(E411,Направление!A$1:B$4830,2))))))</f>
        <v xml:space="preserve">Закупка товаров, работ и услуг для обеспечения государственных (муниципальных) нужд
</v>
      </c>
      <c r="B411" s="154"/>
      <c r="C411" s="149"/>
      <c r="D411" s="150"/>
      <c r="E411" s="149"/>
      <c r="F411" s="151">
        <v>200</v>
      </c>
      <c r="G411" s="498">
        <v>42000</v>
      </c>
      <c r="H411" s="156">
        <v>42000</v>
      </c>
      <c r="I411" s="157">
        <f t="shared" si="7"/>
        <v>84000</v>
      </c>
    </row>
    <row r="412" spans="1:9" hidden="1" x14ac:dyDescent="0.25">
      <c r="A412" s="153" t="str">
        <f>IF(B412&gt;0,VLOOKUP(B412,КВСР!A125:B1290,2),IF(C412&gt;0,VLOOKUP(C412,КФСР!A125:B1637,2),IF(D412&gt;0,VLOOKUP(D412,Программа!A$1:B$5100,2),IF(F412&gt;0,VLOOKUP(F412,КВР!A$1:B$5001,2),IF(E412&gt;0,VLOOKUP(E412,Направление!A$1:B$4830,2))))))</f>
        <v>Непрограммные расходы бюджета</v>
      </c>
      <c r="B412" s="154"/>
      <c r="C412" s="149"/>
      <c r="D412" s="150" t="s">
        <v>624</v>
      </c>
      <c r="E412" s="149"/>
      <c r="F412" s="151"/>
      <c r="G412" s="606">
        <v>0</v>
      </c>
      <c r="H412" s="157">
        <f>H413</f>
        <v>0</v>
      </c>
      <c r="I412" s="157">
        <f t="shared" si="7"/>
        <v>0</v>
      </c>
    </row>
    <row r="413" spans="1:9" ht="47.25" hidden="1" x14ac:dyDescent="0.25">
      <c r="A413" s="153" t="str">
        <f>IF(B413&gt;0,VLOOKUP(B413,КВСР!A117:B1282,2),IF(C413&gt;0,VLOOKUP(C413,КФСР!A117:B1629,2),IF(D413&gt;0,VLOOKUP(D413,Программа!A$1:B$5100,2),IF(F413&gt;0,VLOOKUP(F413,КВР!A$1:B$5001,2),IF(E413&gt;0,VLOOKUP(E413,Направление!A$1:B$4830,2))))))</f>
        <v>Исполнение судебных актов, актов других органов и должностных лиц, иных документов</v>
      </c>
      <c r="B413" s="154"/>
      <c r="C413" s="149"/>
      <c r="D413" s="150"/>
      <c r="E413" s="149">
        <v>12130</v>
      </c>
      <c r="F413" s="151"/>
      <c r="G413" s="606">
        <v>0</v>
      </c>
      <c r="H413" s="157">
        <f>H414</f>
        <v>0</v>
      </c>
      <c r="I413" s="157">
        <f t="shared" si="7"/>
        <v>0</v>
      </c>
    </row>
    <row r="414" spans="1:9" ht="63" hidden="1" x14ac:dyDescent="0.25">
      <c r="A414" s="153" t="str">
        <f>IF(B414&gt;0,VLOOKUP(B414,КВСР!A118:B1283,2),IF(C414&gt;0,VLOOKUP(C414,КФСР!A118:B1630,2),IF(D414&gt;0,VLOOKUP(D414,Программа!A$1:B$5100,2),IF(F414&gt;0,VLOOKUP(F414,КВР!A$1:B$5001,2),IF(E414&gt;0,VLOOKUP(E414,Направление!A$1:B$4830,2))))))</f>
        <v>Предоставление субсидий бюджетным, автономным учреждениям и иным некоммерческим организациям</v>
      </c>
      <c r="B414" s="154"/>
      <c r="C414" s="149"/>
      <c r="D414" s="151"/>
      <c r="E414" s="149"/>
      <c r="F414" s="151">
        <v>600</v>
      </c>
      <c r="G414" s="516">
        <v>0</v>
      </c>
      <c r="H414" s="158"/>
      <c r="I414" s="157">
        <f t="shared" si="7"/>
        <v>0</v>
      </c>
    </row>
    <row r="415" spans="1:9" x14ac:dyDescent="0.25">
      <c r="A415" s="153" t="str">
        <f>IF(B415&gt;0,VLOOKUP(B415,КВСР!A120:B1285,2),IF(C415&gt;0,VLOOKUP(C415,КФСР!A120:B1632,2),IF(D415&gt;0,VLOOKUP(D415,Программа!A$1:B$5100,2),IF(F415&gt;0,VLOOKUP(F415,КВР!A$1:B$5001,2),IF(E415&gt;0,VLOOKUP(E415,Направление!A$1:B$4830,2))))))</f>
        <v>Общее образование</v>
      </c>
      <c r="B415" s="154"/>
      <c r="C415" s="149">
        <v>702</v>
      </c>
      <c r="D415" s="150"/>
      <c r="E415" s="149"/>
      <c r="F415" s="151"/>
      <c r="G415" s="606">
        <v>444808817</v>
      </c>
      <c r="H415" s="157">
        <f>H416+H440</f>
        <v>445459809</v>
      </c>
      <c r="I415" s="157">
        <f t="shared" si="7"/>
        <v>890268626</v>
      </c>
    </row>
    <row r="416" spans="1:9" ht="63" x14ac:dyDescent="0.25">
      <c r="A416" s="153" t="str">
        <f>IF(B416&gt;0,VLOOKUP(B416,КВСР!A121:B1286,2),IF(C416&gt;0,VLOOKUP(C416,КФСР!A121:B1633,2),IF(D416&gt;0,VLOOKUP(D416,Программа!A$1:B$5100,2),IF(F416&gt;0,VLOOKUP(F416,КВР!A$1:B$5001,2),IF(E416&gt;0,VLOOKUP(E416,Направление!A$1:B$4830,2))))))</f>
        <v>Муниципальная программа "Развитие образования, физической культуры и спорта в Тутаевском муниципальном районе"</v>
      </c>
      <c r="B416" s="154"/>
      <c r="C416" s="149"/>
      <c r="D416" s="150" t="s">
        <v>684</v>
      </c>
      <c r="E416" s="149"/>
      <c r="F416" s="151"/>
      <c r="G416" s="606">
        <v>444719217</v>
      </c>
      <c r="H416" s="157">
        <f>H417+H436</f>
        <v>445368009</v>
      </c>
      <c r="I416" s="157">
        <f t="shared" si="7"/>
        <v>890087226</v>
      </c>
    </row>
    <row r="417" spans="1:9" ht="63" x14ac:dyDescent="0.25">
      <c r="A417" s="153" t="str">
        <f>IF(B417&gt;0,VLOOKUP(B417,КВСР!A122:B1287,2),IF(C417&gt;0,VLOOKUP(C417,КФСР!A122:B1634,2),IF(D417&gt;0,VLOOKUP(D417,Программа!A$1:B$5100,2),IF(F417&gt;0,VLOOKUP(F417,КВР!A$1:B$5001,2),IF(E417&gt;0,VLOOKUP(E417,Направление!A$1:B$4830,2))))))</f>
        <v xml:space="preserve">Ведомственная целевая программа департамента образования Администрации Тутаевского муниципального района </v>
      </c>
      <c r="B417" s="154"/>
      <c r="C417" s="149"/>
      <c r="D417" s="150" t="s">
        <v>686</v>
      </c>
      <c r="E417" s="149"/>
      <c r="F417" s="151"/>
      <c r="G417" s="606">
        <v>444719217</v>
      </c>
      <c r="H417" s="157">
        <f>H418+H433</f>
        <v>445368009</v>
      </c>
      <c r="I417" s="157">
        <f t="shared" si="7"/>
        <v>890087226</v>
      </c>
    </row>
    <row r="418" spans="1:9" ht="47.25" x14ac:dyDescent="0.25">
      <c r="A418" s="153" t="str">
        <f>IF(B418&gt;0,VLOOKUP(B418,КВСР!A123:B1288,2),IF(C418&gt;0,VLOOKUP(C418,КФСР!A123:B1635,2),IF(D418&gt;0,VLOOKUP(D418,Программа!A$1:B$5100,2),IF(F418&gt;0,VLOOKUP(F418,КВР!A$1:B$5001,2),IF(E418&gt;0,VLOOKUP(E418,Направление!A$1:B$4830,2))))))</f>
        <v>Обеспечение качества и доступности образовательных услуг в сфере общего образования</v>
      </c>
      <c r="B418" s="154"/>
      <c r="C418" s="149"/>
      <c r="D418" s="150" t="s">
        <v>727</v>
      </c>
      <c r="E418" s="149"/>
      <c r="F418" s="151"/>
      <c r="G418" s="606">
        <v>444719217</v>
      </c>
      <c r="H418" s="157">
        <f>H419+H421+H423+H425+H427+H431+H429</f>
        <v>445368009</v>
      </c>
      <c r="I418" s="157">
        <f t="shared" si="7"/>
        <v>890087226</v>
      </c>
    </row>
    <row r="419" spans="1:9" ht="31.5" x14ac:dyDescent="0.25">
      <c r="A419" s="153" t="str">
        <f>IF(B419&gt;0,VLOOKUP(B419,КВСР!A123:B1288,2),IF(C419&gt;0,VLOOKUP(C419,КФСР!A123:B1635,2),IF(D419&gt;0,VLOOKUP(D419,Программа!A$1:B$5100,2),IF(F419&gt;0,VLOOKUP(F419,КВР!A$1:B$5001,2),IF(E419&gt;0,VLOOKUP(E419,Направление!A$1:B$4830,2))))))</f>
        <v>Обеспечение деятельности общеобразовательных учреждений</v>
      </c>
      <c r="B419" s="154"/>
      <c r="C419" s="149"/>
      <c r="D419" s="150"/>
      <c r="E419" s="149">
        <v>13110</v>
      </c>
      <c r="F419" s="151"/>
      <c r="G419" s="500">
        <v>87263268</v>
      </c>
      <c r="H419" s="155">
        <f>H420</f>
        <v>84356490</v>
      </c>
      <c r="I419" s="157">
        <f t="shared" si="7"/>
        <v>171619758</v>
      </c>
    </row>
    <row r="420" spans="1:9" ht="63" x14ac:dyDescent="0.25">
      <c r="A420" s="153" t="str">
        <f>IF(B420&gt;0,VLOOKUP(B420,КВСР!A124:B1289,2),IF(C420&gt;0,VLOOKUP(C420,КФСР!A124:B1636,2),IF(D420&gt;0,VLOOKUP(D420,Программа!A$1:B$5100,2),IF(F420&gt;0,VLOOKUP(F420,КВР!A$1:B$5001,2),IF(E420&gt;0,VLOOKUP(E420,Направление!A$1:B$4830,2))))))</f>
        <v>Предоставление субсидий бюджетным, автономным учреждениям и иным некоммерческим организациям</v>
      </c>
      <c r="B420" s="154"/>
      <c r="C420" s="149"/>
      <c r="D420" s="151"/>
      <c r="E420" s="149"/>
      <c r="F420" s="151">
        <v>600</v>
      </c>
      <c r="G420" s="498">
        <v>87263268</v>
      </c>
      <c r="H420" s="156">
        <v>84356490</v>
      </c>
      <c r="I420" s="157">
        <f t="shared" si="7"/>
        <v>171619758</v>
      </c>
    </row>
    <row r="421" spans="1:9" ht="47.25" hidden="1" x14ac:dyDescent="0.25">
      <c r="A421" s="153" t="str">
        <f>IF(B421&gt;0,VLOOKUP(B421,КВСР!A125:B1290,2),IF(C421&gt;0,VLOOKUP(C421,КФСР!A125:B1637,2),IF(D421&gt;0,VLOOKUP(D421,Программа!A$1:B$5100,2),IF(F421&gt;0,VLOOKUP(F421,КВР!A$1:B$5001,2),IF(E421&gt;0,VLOOKUP(E421,Направление!A$1:B$4830,2))))))</f>
        <v>Обеспечение деятельности учреждений дополнительного образования</v>
      </c>
      <c r="B421" s="154"/>
      <c r="C421" s="149"/>
      <c r="D421" s="150"/>
      <c r="E421" s="149">
        <v>13210</v>
      </c>
      <c r="F421" s="151"/>
      <c r="G421" s="606">
        <v>0</v>
      </c>
      <c r="H421" s="157">
        <f>H422</f>
        <v>0</v>
      </c>
      <c r="I421" s="157">
        <f t="shared" si="7"/>
        <v>0</v>
      </c>
    </row>
    <row r="422" spans="1:9" ht="63" hidden="1" x14ac:dyDescent="0.25">
      <c r="A422" s="153" t="str">
        <f>IF(B422&gt;0,VLOOKUP(B422,КВСР!A126:B1291,2),IF(C422&gt;0,VLOOKUP(C422,КФСР!A126:B1638,2),IF(D422&gt;0,VLOOKUP(D422,Программа!A$1:B$5100,2),IF(F422&gt;0,VLOOKUP(F422,КВР!A$1:B$5001,2),IF(E422&gt;0,VLOOKUP(E422,Направление!A$1:B$4830,2))))))</f>
        <v>Предоставление субсидий бюджетным, автономным учреждениям и иным некоммерческим организациям</v>
      </c>
      <c r="B422" s="167"/>
      <c r="C422" s="168"/>
      <c r="D422" s="169"/>
      <c r="E422" s="168"/>
      <c r="F422" s="169">
        <v>600</v>
      </c>
      <c r="G422" s="516">
        <v>0</v>
      </c>
      <c r="H422" s="158"/>
      <c r="I422" s="157">
        <f t="shared" si="7"/>
        <v>0</v>
      </c>
    </row>
    <row r="423" spans="1:9" ht="110.25" hidden="1" x14ac:dyDescent="0.25">
      <c r="A423" s="153" t="str">
        <f>IF(B423&gt;0,VLOOKUP(B423,КВСР!A129:B1294,2),IF(C423&gt;0,VLOOKUP(C423,КФСР!A129:B1641,2),IF(D423&gt;0,VLOOKUP(D423,Программа!A$1:B$5100,2),IF(F423&gt;0,VLOOKUP(F423,КВР!A$1:B$5001,2),IF(E423&gt;0,VLOOKUP(E423,Направление!A$1:B$4830,2))))))</f>
        <v>Расходы на выплаты медицинским работникам, осуществляющим медицинское обслуживание обучающихся и воспитанников муниципальных образовательных учреждений, за счет средств областного бюджета</v>
      </c>
      <c r="B423" s="167"/>
      <c r="C423" s="168"/>
      <c r="D423" s="170"/>
      <c r="E423" s="168">
        <v>70510</v>
      </c>
      <c r="F423" s="169"/>
      <c r="G423" s="606">
        <v>32810</v>
      </c>
      <c r="H423" s="157">
        <f>H424</f>
        <v>0</v>
      </c>
      <c r="I423" s="157">
        <f t="shared" si="7"/>
        <v>32810</v>
      </c>
    </row>
    <row r="424" spans="1:9" ht="63" hidden="1" x14ac:dyDescent="0.25">
      <c r="A424" s="153" t="str">
        <f>IF(B424&gt;0,VLOOKUP(B424,КВСР!A130:B1295,2),IF(C424&gt;0,VLOOKUP(C424,КФСР!A130:B1642,2),IF(D424&gt;0,VLOOKUP(D424,Программа!A$1:B$5100,2),IF(F424&gt;0,VLOOKUP(F424,КВР!A$1:B$5001,2),IF(E424&gt;0,VLOOKUP(E424,Направление!A$1:B$4830,2))))))</f>
        <v>Предоставление субсидий бюджетным, автономным учреждениям и иным некоммерческим организациям</v>
      </c>
      <c r="B424" s="167"/>
      <c r="C424" s="168"/>
      <c r="D424" s="169"/>
      <c r="E424" s="168"/>
      <c r="F424" s="151">
        <v>600</v>
      </c>
      <c r="G424" s="498">
        <v>32810</v>
      </c>
      <c r="H424" s="156"/>
      <c r="I424" s="157">
        <f t="shared" si="7"/>
        <v>32810</v>
      </c>
    </row>
    <row r="425" spans="1:9" ht="63" x14ac:dyDescent="0.25">
      <c r="A425" s="153" t="str">
        <f>IF(B425&gt;0,VLOOKUP(B425,КВСР!A131:B1296,2),IF(C425&gt;0,VLOOKUP(C425,КФСР!A131:B1643,2),IF(D425&gt;0,VLOOKUP(D425,Программа!A$1:B$5100,2),IF(F425&gt;0,VLOOKUP(F425,КВР!A$1:B$5001,2),IF(E425&gt;0,VLOOKUP(E425,Направление!A$1:B$4830,2))))))</f>
        <v>Организация образовательного процесса в образовательных учреждениях за счет средств областного бюджета</v>
      </c>
      <c r="B425" s="167"/>
      <c r="C425" s="168"/>
      <c r="D425" s="170"/>
      <c r="E425" s="168">
        <v>70520</v>
      </c>
      <c r="F425" s="151"/>
      <c r="G425" s="606">
        <v>332538257</v>
      </c>
      <c r="H425" s="157">
        <f>H426</f>
        <v>333922842</v>
      </c>
      <c r="I425" s="157">
        <f t="shared" si="7"/>
        <v>666461099</v>
      </c>
    </row>
    <row r="426" spans="1:9" ht="63" x14ac:dyDescent="0.25">
      <c r="A426" s="153" t="str">
        <f>IF(B426&gt;0,VLOOKUP(B426,КВСР!A132:B1297,2),IF(C426&gt;0,VLOOKUP(C426,КФСР!A132:B1644,2),IF(D426&gt;0,VLOOKUP(D426,Программа!A$1:B$5100,2),IF(F426&gt;0,VLOOKUP(F426,КВР!A$1:B$5001,2),IF(E426&gt;0,VLOOKUP(E426,Направление!A$1:B$4830,2))))))</f>
        <v>Предоставление субсидий бюджетным, автономным учреждениям и иным некоммерческим организациям</v>
      </c>
      <c r="B426" s="167"/>
      <c r="C426" s="168"/>
      <c r="D426" s="169"/>
      <c r="E426" s="168"/>
      <c r="F426" s="151">
        <v>600</v>
      </c>
      <c r="G426" s="516">
        <v>332538257</v>
      </c>
      <c r="H426" s="158">
        <v>333922842</v>
      </c>
      <c r="I426" s="157">
        <f t="shared" si="7"/>
        <v>666461099</v>
      </c>
    </row>
    <row r="427" spans="1:9" ht="63" x14ac:dyDescent="0.25">
      <c r="A427" s="153" t="str">
        <f>IF(B427&gt;0,VLOOKUP(B427,КВСР!A133:B1298,2),IF(C427&gt;0,VLOOKUP(C427,КФСР!A133:B1645,2),IF(D427&gt;0,VLOOKUP(D427,Программа!A$1:B$5100,2),IF(F427&gt;0,VLOOKUP(F427,КВР!A$1:B$5001,2),IF(E427&gt;0,VLOOKUP(E427,Направление!A$1:B$4830,2))))))</f>
        <v>Обеспечение бесплатным питанием обучающихся муниципальных образовательных учреждений за счет средств областного бюджета</v>
      </c>
      <c r="B427" s="167"/>
      <c r="C427" s="168"/>
      <c r="D427" s="169"/>
      <c r="E427" s="168">
        <v>70530</v>
      </c>
      <c r="F427" s="151"/>
      <c r="G427" s="606">
        <v>23533580</v>
      </c>
      <c r="H427" s="157">
        <f>H428</f>
        <v>25737380</v>
      </c>
      <c r="I427" s="157">
        <f t="shared" si="7"/>
        <v>49270960</v>
      </c>
    </row>
    <row r="428" spans="1:9" ht="63" x14ac:dyDescent="0.25">
      <c r="A428" s="153" t="str">
        <f>IF(B428&gt;0,VLOOKUP(B428,КВСР!A134:B1299,2),IF(C428&gt;0,VLOOKUP(C428,КФСР!A134:B1646,2),IF(D428&gt;0,VLOOKUP(D428,Программа!A$1:B$5100,2),IF(F428&gt;0,VLOOKUP(F428,КВР!A$1:B$5001,2),IF(E428&gt;0,VLOOKUP(E428,Направление!A$1:B$4830,2))))))</f>
        <v>Предоставление субсидий бюджетным, автономным учреждениям и иным некоммерческим организациям</v>
      </c>
      <c r="B428" s="167"/>
      <c r="C428" s="168"/>
      <c r="D428" s="169"/>
      <c r="E428" s="168"/>
      <c r="F428" s="151">
        <v>600</v>
      </c>
      <c r="G428" s="516">
        <v>23533580</v>
      </c>
      <c r="H428" s="158">
        <v>25737380</v>
      </c>
      <c r="I428" s="157">
        <f t="shared" si="7"/>
        <v>49270960</v>
      </c>
    </row>
    <row r="429" spans="1:9" x14ac:dyDescent="0.25">
      <c r="A429" s="153" t="str">
        <f>IF(B429&gt;0,VLOOKUP(B429,КВСР!A135:B1300,2),IF(C429&gt;0,VLOOKUP(C429,КФСР!A135:B1647,2),IF(D429&gt;0,VLOOKUP(D429,Программа!A$1:B$5100,2),IF(F429&gt;0,VLOOKUP(F429,КВР!A$1:B$5001,2),IF(E429&gt;0,VLOOKUP(E429,Направление!A$1:B$4830,2))))))</f>
        <v xml:space="preserve">Иная дотация </v>
      </c>
      <c r="B429" s="167"/>
      <c r="C429" s="168"/>
      <c r="D429" s="169"/>
      <c r="E429" s="168">
        <v>73260</v>
      </c>
      <c r="F429" s="151"/>
      <c r="G429" s="516">
        <v>766888</v>
      </c>
      <c r="H429" s="516">
        <f>H430</f>
        <v>766883</v>
      </c>
      <c r="I429" s="157">
        <f t="shared" si="7"/>
        <v>1533771</v>
      </c>
    </row>
    <row r="430" spans="1:9" ht="63" x14ac:dyDescent="0.25">
      <c r="A430" s="153" t="str">
        <f>IF(B430&gt;0,VLOOKUP(B430,КВСР!A136:B1301,2),IF(C430&gt;0,VLOOKUP(C430,КФСР!A136:B1648,2),IF(D430&gt;0,VLOOKUP(D430,Программа!A$1:B$5100,2),IF(F430&gt;0,VLOOKUP(F430,КВР!A$1:B$5001,2),IF(E430&gt;0,VLOOKUP(E430,Направление!A$1:B$4830,2))))))</f>
        <v>Предоставление субсидий бюджетным, автономным учреждениям и иным некоммерческим организациям</v>
      </c>
      <c r="B430" s="167"/>
      <c r="C430" s="168"/>
      <c r="D430" s="169"/>
      <c r="E430" s="168"/>
      <c r="F430" s="151">
        <v>600</v>
      </c>
      <c r="G430" s="516">
        <v>766888</v>
      </c>
      <c r="H430" s="158">
        <v>766883</v>
      </c>
      <c r="I430" s="157">
        <f t="shared" si="7"/>
        <v>1533771</v>
      </c>
    </row>
    <row r="431" spans="1:9" ht="94.5" x14ac:dyDescent="0.25">
      <c r="A431" s="153" t="str">
        <f>IF(B431&gt;0,VLOOKUP(B431,КВСР!A135:B1300,2),IF(C431&gt;0,VLOOKUP(C431,КФСР!A135:B1647,2),IF(D431&gt;0,VLOOKUP(D431,Программа!A$1:B$5100,2),IF(F431&gt;0,VLOOKUP(F431,КВР!A$1:B$5001,2),IF(E431&gt;0,VLOOKUP(E431,Направление!A$1:B$4830,2))))))</f>
        <v>На реализацию мероприятий по поощрению достижения наилучших значений показателей по отдельным направлениям развития муниципальных образований Ярославской области</v>
      </c>
      <c r="B431" s="167"/>
      <c r="C431" s="168"/>
      <c r="D431" s="169"/>
      <c r="E431" s="168">
        <v>75870</v>
      </c>
      <c r="F431" s="151"/>
      <c r="G431" s="516">
        <v>584414</v>
      </c>
      <c r="H431" s="516">
        <f>H432</f>
        <v>584414</v>
      </c>
      <c r="I431" s="516">
        <f>I432</f>
        <v>1168828</v>
      </c>
    </row>
    <row r="432" spans="1:9" ht="63" x14ac:dyDescent="0.25">
      <c r="A432" s="153" t="str">
        <f>IF(B432&gt;0,VLOOKUP(B432,КВСР!A136:B1301,2),IF(C432&gt;0,VLOOKUP(C432,КФСР!A136:B1648,2),IF(D432&gt;0,VLOOKUP(D432,Программа!A$1:B$5100,2),IF(F432&gt;0,VLOOKUP(F432,КВР!A$1:B$5001,2),IF(E432&gt;0,VLOOKUP(E432,Направление!A$1:B$4830,2))))))</f>
        <v>Предоставление субсидий бюджетным, автономным учреждениям и иным некоммерческим организациям</v>
      </c>
      <c r="B432" s="167"/>
      <c r="C432" s="168"/>
      <c r="D432" s="169"/>
      <c r="E432" s="168"/>
      <c r="F432" s="151">
        <v>600</v>
      </c>
      <c r="G432" s="516">
        <v>584414</v>
      </c>
      <c r="H432" s="158">
        <v>584414</v>
      </c>
      <c r="I432" s="157">
        <f t="shared" si="7"/>
        <v>1168828</v>
      </c>
    </row>
    <row r="433" spans="1:9" ht="47.25" hidden="1" x14ac:dyDescent="0.25">
      <c r="A433" s="153" t="str">
        <f>IF(B433&gt;0,VLOOKUP(B433,КВСР!A137:B1302,2),IF(C433&gt;0,VLOOKUP(C433,КФСР!A137:B1649,2),IF(D433&gt;0,VLOOKUP(D433,Программа!A$1:B$5100,2),IF(F433&gt;0,VLOOKUP(F433,КВР!A$1:B$5001,2),IF(E433&gt;0,VLOOKUP(E433,Направление!A$1:B$4830,2))))))</f>
        <v>Обеспечение реализации мероприятий в рамках областных целевых программ</v>
      </c>
      <c r="B433" s="167"/>
      <c r="C433" s="168"/>
      <c r="D433" s="170" t="s">
        <v>2946</v>
      </c>
      <c r="E433" s="168"/>
      <c r="F433" s="151"/>
      <c r="G433" s="516">
        <v>0</v>
      </c>
      <c r="H433" s="516">
        <f>H434</f>
        <v>0</v>
      </c>
      <c r="I433" s="157">
        <f t="shared" si="7"/>
        <v>0</v>
      </c>
    </row>
    <row r="434" spans="1:9" ht="78.75" hidden="1" x14ac:dyDescent="0.25">
      <c r="A434" s="153" t="str">
        <f>IF(B434&gt;0,VLOOKUP(B434,КВСР!A138:B1303,2),IF(C434&gt;0,VLOOKUP(C434,КФСР!A138:B1650,2),IF(D434&gt;0,VLOOKUP(D434,Программа!A$1:B$5100,2),IF(F434&gt;0,VLOOKUP(F434,КВР!A$1:B$5001,2),IF(E434&gt;0,VLOOKUP(E434,Направление!A$1:B$4830,2))))))</f>
        <v>Расходы на создание в общеобразовательных организациях, расположенных в сельской местности, условий для занятий физической культурой и спортом</v>
      </c>
      <c r="B434" s="167"/>
      <c r="C434" s="168"/>
      <c r="D434" s="170"/>
      <c r="E434" s="168" t="s">
        <v>3441</v>
      </c>
      <c r="F434" s="151"/>
      <c r="G434" s="516">
        <v>0</v>
      </c>
      <c r="H434" s="516">
        <f>H435</f>
        <v>0</v>
      </c>
      <c r="I434" s="157">
        <f t="shared" si="7"/>
        <v>0</v>
      </c>
    </row>
    <row r="435" spans="1:9" ht="63" hidden="1" x14ac:dyDescent="0.25">
      <c r="A435" s="153" t="str">
        <f>IF(B435&gt;0,VLOOKUP(B435,КВСР!A139:B1304,2),IF(C435&gt;0,VLOOKUP(C435,КФСР!A139:B1651,2),IF(D435&gt;0,VLOOKUP(D435,Программа!A$1:B$5100,2),IF(F435&gt;0,VLOOKUP(F435,КВР!A$1:B$5001,2),IF(E435&gt;0,VLOOKUP(E435,Направление!A$1:B$4830,2))))))</f>
        <v>Предоставление субсидий бюджетным, автономным учреждениям и иным некоммерческим организациям</v>
      </c>
      <c r="B435" s="167"/>
      <c r="C435" s="168"/>
      <c r="D435" s="169"/>
      <c r="E435" s="168"/>
      <c r="F435" s="151">
        <v>600</v>
      </c>
      <c r="G435" s="516">
        <v>0</v>
      </c>
      <c r="H435" s="158"/>
      <c r="I435" s="157">
        <f t="shared" si="7"/>
        <v>0</v>
      </c>
    </row>
    <row r="436" spans="1:9" ht="63" hidden="1" x14ac:dyDescent="0.25">
      <c r="A436" s="153" t="str">
        <f>IF(B436&gt;0,VLOOKUP(B436,КВСР!A143:B1308,2),IF(C436&gt;0,VLOOKUP(C436,КФСР!A143:B1655,2),IF(D436&gt;0,VLOOKUP(D436,Программа!A$1:B$5100,2),IF(F436&gt;0,VLOOKUP(F436,КВР!A$1:B$5001,2),IF(E436&gt;0,VLOOKUP(E436,Направление!A$1:B$4830,2))))))</f>
        <v>Муниципальная целевая программа "Развитие физической культуры и спорта в Тутаевском муниципальном районе"</v>
      </c>
      <c r="B436" s="167"/>
      <c r="C436" s="168"/>
      <c r="D436" s="170" t="s">
        <v>704</v>
      </c>
      <c r="E436" s="168"/>
      <c r="F436" s="169"/>
      <c r="G436" s="606">
        <v>0</v>
      </c>
      <c r="H436" s="157">
        <f>H438</f>
        <v>0</v>
      </c>
      <c r="I436" s="157">
        <f t="shared" si="7"/>
        <v>0</v>
      </c>
    </row>
    <row r="437" spans="1:9" ht="47.25" hidden="1" x14ac:dyDescent="0.25">
      <c r="A437" s="153" t="str">
        <f>IF(B437&gt;0,VLOOKUP(B437,КВСР!A144:B1309,2),IF(C437&gt;0,VLOOKUP(C437,КФСР!A144:B1656,2),IF(D437&gt;0,VLOOKUP(D437,Программа!A$1:B$5100,2),IF(F437&gt;0,VLOOKUP(F437,КВР!A$1:B$5001,2),IF(E437&gt;0,VLOOKUP(E437,Направление!A$1:B$4830,2))))))</f>
        <v>Строительство и реконструкция спортивных сооружений и укрепление материальной базы</v>
      </c>
      <c r="B437" s="167"/>
      <c r="C437" s="168"/>
      <c r="D437" s="170" t="s">
        <v>705</v>
      </c>
      <c r="E437" s="168"/>
      <c r="F437" s="169"/>
      <c r="G437" s="606">
        <v>0</v>
      </c>
      <c r="H437" s="157">
        <f>H438</f>
        <v>0</v>
      </c>
      <c r="I437" s="157">
        <f t="shared" si="7"/>
        <v>0</v>
      </c>
    </row>
    <row r="438" spans="1:9" ht="47.25" hidden="1" x14ac:dyDescent="0.25">
      <c r="A438" s="153" t="str">
        <f>IF(B438&gt;0,VLOOKUP(B438,КВСР!A144:B1309,2),IF(C438&gt;0,VLOOKUP(C438,КФСР!A144:B1656,2),IF(D438&gt;0,VLOOKUP(D438,Программа!A$1:B$5100,2),IF(F438&gt;0,VLOOKUP(F438,КВР!A$1:B$5001,2),IF(E438&gt;0,VLOOKUP(E438,Направление!A$1:B$4830,2))))))</f>
        <v>Обеспечение деятельности учреждений дополнительного образования</v>
      </c>
      <c r="B438" s="167"/>
      <c r="C438" s="168"/>
      <c r="D438" s="170"/>
      <c r="E438" s="168">
        <v>13210</v>
      </c>
      <c r="F438" s="169"/>
      <c r="G438" s="606">
        <v>0</v>
      </c>
      <c r="H438" s="157">
        <f>H439</f>
        <v>0</v>
      </c>
      <c r="I438" s="157">
        <f t="shared" ref="I438:I511" si="8">SUM(G438:H438)</f>
        <v>0</v>
      </c>
    </row>
    <row r="439" spans="1:9" ht="63" hidden="1" x14ac:dyDescent="0.25">
      <c r="A439" s="153" t="str">
        <f>IF(B439&gt;0,VLOOKUP(B439,КВСР!A145:B1310,2),IF(C439&gt;0,VLOOKUP(C439,КФСР!A145:B1657,2),IF(D439&gt;0,VLOOKUP(D439,Программа!A$1:B$5100,2),IF(F439&gt;0,VLOOKUP(F439,КВР!A$1:B$5001,2),IF(E439&gt;0,VLOOKUP(E439,Направление!A$1:B$4830,2))))))</f>
        <v>Предоставление субсидий бюджетным, автономным учреждениям и иным некоммерческим организациям</v>
      </c>
      <c r="B439" s="167"/>
      <c r="C439" s="168"/>
      <c r="D439" s="169"/>
      <c r="E439" s="168"/>
      <c r="F439" s="169">
        <v>600</v>
      </c>
      <c r="G439" s="498">
        <v>0</v>
      </c>
      <c r="H439" s="156"/>
      <c r="I439" s="157">
        <f t="shared" si="8"/>
        <v>0</v>
      </c>
    </row>
    <row r="440" spans="1:9" ht="47.25" x14ac:dyDescent="0.25">
      <c r="A440" s="153" t="str">
        <f>IF(B440&gt;0,VLOOKUP(B440,КВСР!A148:B1313,2),IF(C440&gt;0,VLOOKUP(C440,КФСР!A148:B1660,2),IF(D440&gt;0,VLOOKUP(D440,Программа!A$1:B$5100,2),IF(F440&gt;0,VLOOKUP(F440,КВР!A$1:B$5001,2),IF(E440&gt;0,VLOOKUP(E440,Направление!A$1:B$4830,2))))))</f>
        <v>Муниципальная программа "Социальная поддержка населения Тутаевского муниципального района"</v>
      </c>
      <c r="B440" s="167"/>
      <c r="C440" s="168"/>
      <c r="D440" s="170" t="s">
        <v>693</v>
      </c>
      <c r="E440" s="168"/>
      <c r="F440" s="169"/>
      <c r="G440" s="500">
        <v>89600</v>
      </c>
      <c r="H440" s="155">
        <f>H441</f>
        <v>91800</v>
      </c>
      <c r="I440" s="157">
        <f t="shared" si="8"/>
        <v>181400</v>
      </c>
    </row>
    <row r="441" spans="1:9" ht="63" x14ac:dyDescent="0.25">
      <c r="A441" s="153" t="str">
        <f>IF(B441&gt;0,VLOOKUP(B441,КВСР!A149:B1314,2),IF(C441&gt;0,VLOOKUP(C441,КФСР!A149:B1661,2),IF(D441&gt;0,VLOOKUP(D441,Программа!A$1:B$5100,2),IF(F441&gt;0,VLOOKUP(F441,КВР!A$1:B$5001,2),IF(E441&gt;0,VLOOKUP(E441,Направление!A$1:B$4830,2))))))</f>
        <v>Муниципальная целевая программа "Улучшение условий и охраны труда" по Тутаевскому муниципальному району</v>
      </c>
      <c r="B441" s="167"/>
      <c r="C441" s="168"/>
      <c r="D441" s="170" t="s">
        <v>695</v>
      </c>
      <c r="E441" s="168"/>
      <c r="F441" s="169"/>
      <c r="G441" s="500">
        <v>89600</v>
      </c>
      <c r="H441" s="155">
        <f>H442+H445</f>
        <v>91800</v>
      </c>
      <c r="I441" s="157">
        <f t="shared" si="8"/>
        <v>181400</v>
      </c>
    </row>
    <row r="442" spans="1:9" ht="63" x14ac:dyDescent="0.25">
      <c r="A442" s="153" t="str">
        <f>IF(B442&gt;0,VLOOKUP(B442,КВСР!A150:B1315,2),IF(C442&gt;0,VLOOKUP(C442,КФСР!A150:B1662,2),IF(D442&gt;0,VLOOKUP(D442,Программа!A$1:B$5100,2),IF(F442&gt;0,VLOOKUP(F442,КВР!A$1:B$5001,2),IF(E442&gt;0,VLOOKUP(E442,Направление!A$1:B$4830,2))))))</f>
        <v>Специальная оценка условий труда работающих в организациях расположенных на территории Тутаевского муниципального района</v>
      </c>
      <c r="B442" s="167"/>
      <c r="C442" s="168"/>
      <c r="D442" s="170" t="s">
        <v>696</v>
      </c>
      <c r="E442" s="168"/>
      <c r="F442" s="169"/>
      <c r="G442" s="500">
        <v>41600</v>
      </c>
      <c r="H442" s="155">
        <f>H443</f>
        <v>39000</v>
      </c>
      <c r="I442" s="157">
        <f t="shared" si="8"/>
        <v>80600</v>
      </c>
    </row>
    <row r="443" spans="1:9" ht="31.5" x14ac:dyDescent="0.25">
      <c r="A443" s="153" t="str">
        <f>IF(B443&gt;0,VLOOKUP(B443,КВСР!A151:B1316,2),IF(C443&gt;0,VLOOKUP(C443,КФСР!A151:B1663,2),IF(D443&gt;0,VLOOKUP(D443,Программа!A$1:B$5100,2),IF(F443&gt;0,VLOOKUP(F443,КВР!A$1:B$5001,2),IF(E443&gt;0,VLOOKUP(E443,Направление!A$1:B$4830,2))))))</f>
        <v>Расходы на реализацию МЦП "Улучшение условий и охраны труда"</v>
      </c>
      <c r="B443" s="167"/>
      <c r="C443" s="168"/>
      <c r="D443" s="170"/>
      <c r="E443" s="168">
        <v>16150</v>
      </c>
      <c r="F443" s="169"/>
      <c r="G443" s="500">
        <v>41600</v>
      </c>
      <c r="H443" s="155">
        <f>H444</f>
        <v>39000</v>
      </c>
      <c r="I443" s="157">
        <f t="shared" si="8"/>
        <v>80600</v>
      </c>
    </row>
    <row r="444" spans="1:9" ht="63" x14ac:dyDescent="0.25">
      <c r="A444" s="153" t="str">
        <f>IF(B444&gt;0,VLOOKUP(B444,КВСР!A150:B1315,2),IF(C444&gt;0,VLOOKUP(C444,КФСР!A150:B1662,2),IF(D444&gt;0,VLOOKUP(D444,Программа!A$1:B$5100,2),IF(F444&gt;0,VLOOKUP(F444,КВР!A$1:B$5001,2),IF(E444&gt;0,VLOOKUP(E444,Направление!A$1:B$4830,2))))))</f>
        <v>Предоставление субсидий бюджетным, автономным учреждениям и иным некоммерческим организациям</v>
      </c>
      <c r="B444" s="167"/>
      <c r="C444" s="168"/>
      <c r="D444" s="169"/>
      <c r="E444" s="168"/>
      <c r="F444" s="169">
        <v>600</v>
      </c>
      <c r="G444" s="498">
        <v>41600</v>
      </c>
      <c r="H444" s="156">
        <v>39000</v>
      </c>
      <c r="I444" s="157">
        <f t="shared" si="8"/>
        <v>80600</v>
      </c>
    </row>
    <row r="445" spans="1:9" ht="47.25" x14ac:dyDescent="0.25">
      <c r="A445" s="153" t="str">
        <f>IF(B445&gt;0,VLOOKUP(B445,КВСР!A148:B1313,2),IF(C445&gt;0,VLOOKUP(C445,КФСР!A148:B1660,2),IF(D445&gt;0,VLOOKUP(D445,Программа!A$1:B$5100,2),IF(F445&gt;0,VLOOKUP(F445,КВР!A$1:B$5001,2),IF(E445&gt;0,VLOOKUP(E445,Направление!A$1:B$4830,2))))))</f>
        <v>Обучение по охране труда работников организаций Тутаевского муниципального района</v>
      </c>
      <c r="B445" s="167"/>
      <c r="C445" s="168"/>
      <c r="D445" s="170" t="s">
        <v>2924</v>
      </c>
      <c r="E445" s="168"/>
      <c r="F445" s="169"/>
      <c r="G445" s="500">
        <v>48000</v>
      </c>
      <c r="H445" s="155">
        <f>H446</f>
        <v>52800</v>
      </c>
      <c r="I445" s="157">
        <f t="shared" si="8"/>
        <v>100800</v>
      </c>
    </row>
    <row r="446" spans="1:9" ht="31.5" x14ac:dyDescent="0.25">
      <c r="A446" s="153" t="str">
        <f>IF(B446&gt;0,VLOOKUP(B446,КВСР!A149:B1314,2),IF(C446&gt;0,VLOOKUP(C446,КФСР!A149:B1661,2),IF(D446&gt;0,VLOOKUP(D446,Программа!A$1:B$5100,2),IF(F446&gt;0,VLOOKUP(F446,КВР!A$1:B$5001,2),IF(E446&gt;0,VLOOKUP(E446,Направление!A$1:B$4830,2))))))</f>
        <v>Расходы на реализацию МЦП "Улучшение условий и охраны труда"</v>
      </c>
      <c r="B446" s="167"/>
      <c r="C446" s="168"/>
      <c r="D446" s="170"/>
      <c r="E446" s="168">
        <v>16150</v>
      </c>
      <c r="F446" s="169"/>
      <c r="G446" s="500">
        <v>48000</v>
      </c>
      <c r="H446" s="155">
        <f>H447</f>
        <v>52800</v>
      </c>
      <c r="I446" s="157">
        <f t="shared" si="8"/>
        <v>100800</v>
      </c>
    </row>
    <row r="447" spans="1:9" ht="63" x14ac:dyDescent="0.25">
      <c r="A447" s="153" t="str">
        <f>IF(B447&gt;0,VLOOKUP(B447,КВСР!A150:B1315,2),IF(C447&gt;0,VLOOKUP(C447,КФСР!A150:B1662,2),IF(D447&gt;0,VLOOKUP(D447,Программа!A$1:B$5100,2),IF(F447&gt;0,VLOOKUP(F447,КВР!A$1:B$5001,2),IF(E447&gt;0,VLOOKUP(E447,Направление!A$1:B$4830,2))))))</f>
        <v>Предоставление субсидий бюджетным, автономным учреждениям и иным некоммерческим организациям</v>
      </c>
      <c r="B447" s="167"/>
      <c r="C447" s="168"/>
      <c r="D447" s="169"/>
      <c r="E447" s="168"/>
      <c r="F447" s="169">
        <v>600</v>
      </c>
      <c r="G447" s="498">
        <v>48000</v>
      </c>
      <c r="H447" s="156">
        <v>52800</v>
      </c>
      <c r="I447" s="157">
        <f t="shared" si="8"/>
        <v>100800</v>
      </c>
    </row>
    <row r="448" spans="1:9" x14ac:dyDescent="0.25">
      <c r="A448" s="153" t="str">
        <f>IF(B448&gt;0,VLOOKUP(B448,КВСР!A151:B1316,2),IF(C448&gt;0,VLOOKUP(C448,КФСР!A151:B1663,2),IF(D448&gt;0,VLOOKUP(D448,Программа!A$1:B$5100,2),IF(F448&gt;0,VLOOKUP(F448,КВР!A$1:B$5001,2),IF(E448&gt;0,VLOOKUP(E448,Направление!A$1:B$4830,2))))))</f>
        <v>Дополнительное образование детей</v>
      </c>
      <c r="B448" s="167"/>
      <c r="C448" s="168">
        <v>703</v>
      </c>
      <c r="D448" s="169"/>
      <c r="E448" s="168"/>
      <c r="F448" s="169"/>
      <c r="G448" s="500">
        <v>57225160</v>
      </c>
      <c r="H448" s="500">
        <f>H449+H456</f>
        <v>57797993</v>
      </c>
      <c r="I448" s="157">
        <f t="shared" si="8"/>
        <v>115023153</v>
      </c>
    </row>
    <row r="449" spans="1:9" ht="63" x14ac:dyDescent="0.25">
      <c r="A449" s="153" t="str">
        <f>IF(B449&gt;0,VLOOKUP(B449,КВСР!A152:B1317,2),IF(C449&gt;0,VLOOKUP(C449,КФСР!A152:B1664,2),IF(D449&gt;0,VLOOKUP(D449,Программа!A$1:B$5100,2),IF(F449&gt;0,VLOOKUP(F449,КВР!A$1:B$5001,2),IF(E449&gt;0,VLOOKUP(E449,Направление!A$1:B$4830,2))))))</f>
        <v>Муниципальная программа "Развитие образования, физической культуры и спорта в Тутаевском муниципальном районе"</v>
      </c>
      <c r="B449" s="167"/>
      <c r="C449" s="168"/>
      <c r="D449" s="150" t="s">
        <v>684</v>
      </c>
      <c r="E449" s="168"/>
      <c r="F449" s="169"/>
      <c r="G449" s="500">
        <v>57210328</v>
      </c>
      <c r="H449" s="533">
        <f>H450</f>
        <v>57784361</v>
      </c>
      <c r="I449" s="157">
        <f t="shared" si="8"/>
        <v>114994689</v>
      </c>
    </row>
    <row r="450" spans="1:9" ht="63" x14ac:dyDescent="0.25">
      <c r="A450" s="153" t="str">
        <f>IF(B450&gt;0,VLOOKUP(B450,КВСР!A152:B1317,2),IF(C450&gt;0,VLOOKUP(C450,КФСР!A152:B1664,2),IF(D450&gt;0,VLOOKUP(D450,Программа!A$1:B$5100,2),IF(F450&gt;0,VLOOKUP(F450,КВР!A$1:B$5001,2),IF(E450&gt;0,VLOOKUP(E450,Направление!A$1:B$4830,2))))))</f>
        <v xml:space="preserve">Ведомственная целевая программа департамента образования Администрации Тутаевского муниципального района </v>
      </c>
      <c r="B450" s="167"/>
      <c r="C450" s="168"/>
      <c r="D450" s="150" t="s">
        <v>686</v>
      </c>
      <c r="E450" s="168"/>
      <c r="F450" s="169"/>
      <c r="G450" s="500">
        <v>57210328</v>
      </c>
      <c r="H450" s="533">
        <f>H451</f>
        <v>57784361</v>
      </c>
      <c r="I450" s="157">
        <f t="shared" si="8"/>
        <v>114994689</v>
      </c>
    </row>
    <row r="451" spans="1:9" ht="47.25" x14ac:dyDescent="0.25">
      <c r="A451" s="153" t="str">
        <f>IF(B451&gt;0,VLOOKUP(B451,КВСР!A153:B1318,2),IF(C451&gt;0,VLOOKUP(C451,КФСР!A153:B1665,2),IF(D451&gt;0,VLOOKUP(D451,Программа!A$1:B$5100,2),IF(F451&gt;0,VLOOKUP(F451,КВР!A$1:B$5001,2),IF(E451&gt;0,VLOOKUP(E451,Направление!A$1:B$4830,2))))))</f>
        <v>Обеспечение качества и доступности образовательных услуг в сфере дополнительного образования</v>
      </c>
      <c r="B451" s="167"/>
      <c r="C451" s="168"/>
      <c r="D451" s="170" t="s">
        <v>751</v>
      </c>
      <c r="E451" s="168"/>
      <c r="F451" s="169"/>
      <c r="G451" s="500">
        <v>57210328</v>
      </c>
      <c r="H451" s="533">
        <f>H452+H454</f>
        <v>57784361</v>
      </c>
      <c r="I451" s="157">
        <f t="shared" si="8"/>
        <v>114994689</v>
      </c>
    </row>
    <row r="452" spans="1:9" ht="47.25" x14ac:dyDescent="0.25">
      <c r="A452" s="153" t="str">
        <f>IF(B452&gt;0,VLOOKUP(B452,КВСР!A154:B1319,2),IF(C452&gt;0,VLOOKUP(C452,КФСР!A154:B1666,2),IF(D452&gt;0,VLOOKUP(D452,Программа!A$1:B$5100,2),IF(F452&gt;0,VLOOKUP(F452,КВР!A$1:B$5001,2),IF(E452&gt;0,VLOOKUP(E452,Направление!A$1:B$4830,2))))))</f>
        <v>Обеспечение деятельности учреждений дополнительного образования</v>
      </c>
      <c r="B452" s="167"/>
      <c r="C452" s="168"/>
      <c r="D452" s="169"/>
      <c r="E452" s="168">
        <v>13210</v>
      </c>
      <c r="F452" s="169"/>
      <c r="G452" s="500">
        <v>55633828</v>
      </c>
      <c r="H452" s="533">
        <f>H453</f>
        <v>56207861</v>
      </c>
      <c r="I452" s="157">
        <f t="shared" si="8"/>
        <v>111841689</v>
      </c>
    </row>
    <row r="453" spans="1:9" ht="63" x14ac:dyDescent="0.25">
      <c r="A453" s="153" t="str">
        <f>IF(B453&gt;0,VLOOKUP(B453,КВСР!A155:B1320,2),IF(C453&gt;0,VLOOKUP(C453,КФСР!A155:B1667,2),IF(D453&gt;0,VLOOKUP(D453,Программа!A$1:B$5100,2),IF(F453&gt;0,VLOOKUP(F453,КВР!A$1:B$5001,2),IF(E453&gt;0,VLOOKUP(E453,Направление!A$1:B$4830,2))))))</f>
        <v>Предоставление субсидий бюджетным, автономным учреждениям и иным некоммерческим организациям</v>
      </c>
      <c r="B453" s="167"/>
      <c r="C453" s="168"/>
      <c r="D453" s="169"/>
      <c r="E453" s="168"/>
      <c r="F453" s="169">
        <v>600</v>
      </c>
      <c r="G453" s="498">
        <v>55633828</v>
      </c>
      <c r="H453" s="156">
        <v>56207861</v>
      </c>
      <c r="I453" s="157">
        <f t="shared" si="8"/>
        <v>111841689</v>
      </c>
    </row>
    <row r="454" spans="1:9" ht="31.5" x14ac:dyDescent="0.25">
      <c r="A454" s="153" t="str">
        <f>IF(B454&gt;0,VLOOKUP(B454,КВСР!A156:B1321,2),IF(C454&gt;0,VLOOKUP(C454,КФСР!A156:B1668,2),IF(D454&gt;0,VLOOKUP(D454,Программа!A$1:B$5100,2),IF(F454&gt;0,VLOOKUP(F454,КВР!A$1:B$5001,2),IF(E454&gt;0,VLOOKUP(E454,Направление!A$1:B$4830,2))))))</f>
        <v>Обеспечение деятельности прочих учреждений в сфере образования</v>
      </c>
      <c r="B454" s="167"/>
      <c r="C454" s="168"/>
      <c r="D454" s="169"/>
      <c r="E454" s="168">
        <v>13310</v>
      </c>
      <c r="F454" s="169"/>
      <c r="G454" s="498">
        <v>1576500</v>
      </c>
      <c r="H454" s="498">
        <f>H455</f>
        <v>1576500</v>
      </c>
      <c r="I454" s="157">
        <f t="shared" si="8"/>
        <v>3153000</v>
      </c>
    </row>
    <row r="455" spans="1:9" ht="63" x14ac:dyDescent="0.25">
      <c r="A455" s="153" t="str">
        <f>IF(B455&gt;0,VLOOKUP(B455,КВСР!A157:B1322,2),IF(C455&gt;0,VLOOKUP(C455,КФСР!A157:B1669,2),IF(D455&gt;0,VLOOKUP(D455,Программа!A$1:B$5100,2),IF(F455&gt;0,VLOOKUP(F455,КВР!A$1:B$5001,2),IF(E455&gt;0,VLOOKUP(E455,Направление!A$1:B$4830,2))))))</f>
        <v>Предоставление субсидий бюджетным, автономным учреждениям и иным некоммерческим организациям</v>
      </c>
      <c r="B455" s="167"/>
      <c r="C455" s="168"/>
      <c r="D455" s="169"/>
      <c r="E455" s="168"/>
      <c r="F455" s="169">
        <v>600</v>
      </c>
      <c r="G455" s="498">
        <v>1576500</v>
      </c>
      <c r="H455" s="156">
        <v>1576500</v>
      </c>
      <c r="I455" s="157">
        <f t="shared" si="8"/>
        <v>3153000</v>
      </c>
    </row>
    <row r="456" spans="1:9" ht="47.25" x14ac:dyDescent="0.25">
      <c r="A456" s="153" t="str">
        <f>IF(B456&gt;0,VLOOKUP(B456,КВСР!A156:B1321,2),IF(C456&gt;0,VLOOKUP(C456,КФСР!A156:B1668,2),IF(D456&gt;0,VLOOKUP(D456,Программа!A$1:B$5100,2),IF(F456&gt;0,VLOOKUP(F456,КВР!A$1:B$5001,2),IF(E456&gt;0,VLOOKUP(E456,Направление!A$1:B$4830,2))))))</f>
        <v>Муниципальная программа "Социальная поддержка населения Тутаевского муниципального района"</v>
      </c>
      <c r="B456" s="167"/>
      <c r="C456" s="168"/>
      <c r="D456" s="169" t="s">
        <v>693</v>
      </c>
      <c r="E456" s="168"/>
      <c r="F456" s="169"/>
      <c r="G456" s="498">
        <v>14832</v>
      </c>
      <c r="H456" s="498">
        <f>H457</f>
        <v>13632</v>
      </c>
      <c r="I456" s="157">
        <f t="shared" si="8"/>
        <v>28464</v>
      </c>
    </row>
    <row r="457" spans="1:9" ht="63" x14ac:dyDescent="0.25">
      <c r="A457" s="153" t="str">
        <f>IF(B457&gt;0,VLOOKUP(B457,КВСР!A157:B1322,2),IF(C457&gt;0,VLOOKUP(C457,КФСР!A157:B1669,2),IF(D457&gt;0,VLOOKUP(D457,Программа!A$1:B$5100,2),IF(F457&gt;0,VLOOKUP(F457,КВР!A$1:B$5001,2),IF(E457&gt;0,VLOOKUP(E457,Направление!A$1:B$4830,2))))))</f>
        <v>Муниципальная целевая программа "Улучшение условий и охраны труда" по Тутаевскому муниципальному району</v>
      </c>
      <c r="B457" s="167"/>
      <c r="C457" s="168"/>
      <c r="D457" s="170" t="s">
        <v>695</v>
      </c>
      <c r="E457" s="168"/>
      <c r="F457" s="169"/>
      <c r="G457" s="498">
        <v>14832</v>
      </c>
      <c r="H457" s="498">
        <f>H458+H461</f>
        <v>13632</v>
      </c>
      <c r="I457" s="157">
        <f t="shared" si="8"/>
        <v>28464</v>
      </c>
    </row>
    <row r="458" spans="1:9" ht="63" x14ac:dyDescent="0.25">
      <c r="A458" s="153" t="str">
        <f>IF(B458&gt;0,VLOOKUP(B458,КВСР!A158:B1323,2),IF(C458&gt;0,VLOOKUP(C458,КФСР!A158:B1670,2),IF(D458&gt;0,VLOOKUP(D458,Программа!A$1:B$5100,2),IF(F458&gt;0,VLOOKUP(F458,КВР!A$1:B$5001,2),IF(E458&gt;0,VLOOKUP(E458,Направление!A$1:B$4830,2))))))</f>
        <v>Специальная оценка условий труда работающих в организациях расположенных на территории Тутаевского муниципального района</v>
      </c>
      <c r="B458" s="167"/>
      <c r="C458" s="168"/>
      <c r="D458" s="170" t="s">
        <v>696</v>
      </c>
      <c r="E458" s="168"/>
      <c r="F458" s="169"/>
      <c r="G458" s="498">
        <v>5832</v>
      </c>
      <c r="H458" s="498">
        <f>H459</f>
        <v>5832</v>
      </c>
      <c r="I458" s="157">
        <f t="shared" si="8"/>
        <v>11664</v>
      </c>
    </row>
    <row r="459" spans="1:9" ht="31.5" x14ac:dyDescent="0.25">
      <c r="A459" s="153" t="str">
        <f>IF(B459&gt;0,VLOOKUP(B459,КВСР!A159:B1324,2),IF(C459&gt;0,VLOOKUP(C459,КФСР!A159:B1671,2),IF(D459&gt;0,VLOOKUP(D459,Программа!A$1:B$5100,2),IF(F459&gt;0,VLOOKUP(F459,КВР!A$1:B$5001,2),IF(E459&gt;0,VLOOKUP(E459,Направление!A$1:B$4830,2))))))</f>
        <v>Расходы на реализацию МЦП "Улучшение условий и охраны труда"</v>
      </c>
      <c r="B459" s="167"/>
      <c r="C459" s="168"/>
      <c r="D459" s="169"/>
      <c r="E459" s="168">
        <v>16150</v>
      </c>
      <c r="F459" s="169"/>
      <c r="G459" s="498">
        <v>5832</v>
      </c>
      <c r="H459" s="498">
        <f>H460</f>
        <v>5832</v>
      </c>
      <c r="I459" s="157">
        <f t="shared" si="8"/>
        <v>11664</v>
      </c>
    </row>
    <row r="460" spans="1:9" ht="63" x14ac:dyDescent="0.25">
      <c r="A460" s="153" t="str">
        <f>IF(B460&gt;0,VLOOKUP(B460,КВСР!A160:B1325,2),IF(C460&gt;0,VLOOKUP(C460,КФСР!A160:B1672,2),IF(D460&gt;0,VLOOKUP(D460,Программа!A$1:B$5100,2),IF(F460&gt;0,VLOOKUP(F460,КВР!A$1:B$5001,2),IF(E460&gt;0,VLOOKUP(E460,Направление!A$1:B$4830,2))))))</f>
        <v>Предоставление субсидий бюджетным, автономным учреждениям и иным некоммерческим организациям</v>
      </c>
      <c r="B460" s="167"/>
      <c r="C460" s="168"/>
      <c r="D460" s="169"/>
      <c r="E460" s="168"/>
      <c r="F460" s="169">
        <v>600</v>
      </c>
      <c r="G460" s="498">
        <v>5832</v>
      </c>
      <c r="H460" s="156">
        <v>5832</v>
      </c>
      <c r="I460" s="157">
        <f t="shared" si="8"/>
        <v>11664</v>
      </c>
    </row>
    <row r="461" spans="1:9" ht="47.25" x14ac:dyDescent="0.25">
      <c r="A461" s="153" t="str">
        <f>IF(B461&gt;0,VLOOKUP(B461,КВСР!A161:B1326,2),IF(C461&gt;0,VLOOKUP(C461,КФСР!A161:B1673,2),IF(D461&gt;0,VLOOKUP(D461,Программа!A$1:B$5100,2),IF(F461&gt;0,VLOOKUP(F461,КВР!A$1:B$5001,2),IF(E461&gt;0,VLOOKUP(E461,Направление!A$1:B$4830,2))))))</f>
        <v>Обучение по охране труда работников организаций Тутаевского муниципального района</v>
      </c>
      <c r="B461" s="167"/>
      <c r="C461" s="168"/>
      <c r="D461" s="170" t="s">
        <v>2924</v>
      </c>
      <c r="E461" s="168"/>
      <c r="F461" s="169"/>
      <c r="G461" s="498">
        <v>9000</v>
      </c>
      <c r="H461" s="498">
        <f>H462</f>
        <v>7800</v>
      </c>
      <c r="I461" s="498">
        <f>I462</f>
        <v>16800</v>
      </c>
    </row>
    <row r="462" spans="1:9" ht="48" customHeight="1" x14ac:dyDescent="0.25">
      <c r="A462" s="153" t="str">
        <f>IF(B462&gt;0,VLOOKUP(B462,КВСР!A162:B1327,2),IF(C462&gt;0,VLOOKUP(C462,КФСР!A162:B1674,2),IF(D462&gt;0,VLOOKUP(D462,Программа!A$1:B$5100,2),IF(F462&gt;0,VLOOKUP(F462,КВР!A$1:B$5001,2),IF(E462&gt;0,VLOOKUP(E462,Направление!A$1:B$4830,2))))))</f>
        <v>Расходы на реализацию МЦП "Улучшение условий и охраны труда"</v>
      </c>
      <c r="B462" s="167"/>
      <c r="C462" s="168"/>
      <c r="D462" s="170"/>
      <c r="E462" s="168">
        <v>16150</v>
      </c>
      <c r="F462" s="169"/>
      <c r="G462" s="498">
        <v>9000</v>
      </c>
      <c r="H462" s="498">
        <f>H463</f>
        <v>7800</v>
      </c>
      <c r="I462" s="498">
        <f>I463</f>
        <v>16800</v>
      </c>
    </row>
    <row r="463" spans="1:9" ht="48" customHeight="1" x14ac:dyDescent="0.25">
      <c r="A463" s="153" t="str">
        <f>IF(B463&gt;0,VLOOKUP(B463,КВСР!A162:B1327,2),IF(C463&gt;0,VLOOKUP(C463,КФСР!A162:B1674,2),IF(D463&gt;0,VLOOKUP(D463,Программа!A$1:B$5100,2),IF(F463&gt;0,VLOOKUP(F463,КВР!A$1:B$5001,2),IF(E463&gt;0,VLOOKUP(E463,Направление!A$1:B$4830,2))))))</f>
        <v>Предоставление субсидий бюджетным, автономным учреждениям и иным некоммерческим организациям</v>
      </c>
      <c r="B463" s="167"/>
      <c r="C463" s="168"/>
      <c r="D463" s="169"/>
      <c r="E463" s="168"/>
      <c r="F463" s="169">
        <v>600</v>
      </c>
      <c r="G463" s="498">
        <v>9000</v>
      </c>
      <c r="H463" s="156">
        <v>7800</v>
      </c>
      <c r="I463" s="157">
        <f>G463+H463</f>
        <v>16800</v>
      </c>
    </row>
    <row r="464" spans="1:9" ht="47.25" x14ac:dyDescent="0.25">
      <c r="A464" s="153" t="str">
        <f>IF(B464&gt;0,VLOOKUP(B464,КВСР!A161:B1326,2),IF(C464&gt;0,VLOOKUP(C464,КФСР!A161:B1673,2),IF(D464&gt;0,VLOOKUP(D464,Программа!A$1:B$5100,2),IF(F464&gt;0,VLOOKUP(F464,КВР!A$1:B$5001,2),IF(E464&gt;0,VLOOKUP(E464,Направление!A$1:B$4830,2))))))</f>
        <v>Профессиональная подготовка, переподготовка и повышение квалификации</v>
      </c>
      <c r="B464" s="167"/>
      <c r="C464" s="168">
        <v>705</v>
      </c>
      <c r="D464" s="169"/>
      <c r="E464" s="168"/>
      <c r="F464" s="169"/>
      <c r="G464" s="498">
        <v>1247200</v>
      </c>
      <c r="H464" s="498">
        <f>H465</f>
        <v>1247200</v>
      </c>
      <c r="I464" s="157">
        <f t="shared" si="8"/>
        <v>2494400</v>
      </c>
    </row>
    <row r="465" spans="1:9" ht="63" x14ac:dyDescent="0.25">
      <c r="A465" s="153" t="str">
        <f>IF(B465&gt;0,VLOOKUP(B465,КВСР!A162:B1327,2),IF(C465&gt;0,VLOOKUP(C465,КФСР!A162:B1674,2),IF(D465&gt;0,VLOOKUP(D465,Программа!A$1:B$5100,2),IF(F465&gt;0,VLOOKUP(F465,КВР!A$1:B$5001,2),IF(E465&gt;0,VLOOKUP(E465,Направление!A$1:B$4830,2))))))</f>
        <v>Муниципальная программа "Развитие образования, физической культуры и спорта в Тутаевском муниципальном районе"</v>
      </c>
      <c r="B465" s="167"/>
      <c r="C465" s="168"/>
      <c r="D465" s="170" t="s">
        <v>684</v>
      </c>
      <c r="E465" s="168"/>
      <c r="F465" s="169"/>
      <c r="G465" s="498">
        <v>1247200</v>
      </c>
      <c r="H465" s="498">
        <f>H466</f>
        <v>1247200</v>
      </c>
      <c r="I465" s="157">
        <f t="shared" si="8"/>
        <v>2494400</v>
      </c>
    </row>
    <row r="466" spans="1:9" ht="63" x14ac:dyDescent="0.25">
      <c r="A466" s="153" t="str">
        <f>IF(B466&gt;0,VLOOKUP(B466,КВСР!A163:B1328,2),IF(C466&gt;0,VLOOKUP(C466,КФСР!A163:B1675,2),IF(D466&gt;0,VLOOKUP(D466,Программа!A$1:B$5100,2),IF(F466&gt;0,VLOOKUP(F466,КВР!A$1:B$5001,2),IF(E466&gt;0,VLOOKUP(E466,Направление!A$1:B$4830,2))))))</f>
        <v xml:space="preserve">Ведомственная целевая программа департамента образования Администрации Тутаевского муниципального района </v>
      </c>
      <c r="B466" s="167"/>
      <c r="C466" s="168"/>
      <c r="D466" s="170" t="s">
        <v>686</v>
      </c>
      <c r="E466" s="168"/>
      <c r="F466" s="169"/>
      <c r="G466" s="498">
        <v>1247200</v>
      </c>
      <c r="H466" s="498">
        <f>H467</f>
        <v>1247200</v>
      </c>
      <c r="I466" s="157">
        <f t="shared" si="8"/>
        <v>2494400</v>
      </c>
    </row>
    <row r="467" spans="1:9" ht="78.75" x14ac:dyDescent="0.25">
      <c r="A467" s="153" t="str">
        <f>IF(B467&gt;0,VLOOKUP(B467,КВСР!A164:B1329,2),IF(C467&gt;0,VLOOKUP(C467,КФСР!A164:B1676,2),IF(D467&gt;0,VLOOKUP(D467,Программа!A$1:B$5100,2),IF(F467&gt;0,VLOOKUP(F467,КВР!A$1:B$5001,2),IF(E467&gt;0,VLOOKUP(E467,Направление!A$1:B$4830,2))))))</f>
        <v>Обеспечение доступности и качества услуг в сфере психолого и медико- социального сопровождения детей, методической и консультационной помощи педагогическим работникам</v>
      </c>
      <c r="B467" s="167"/>
      <c r="C467" s="168"/>
      <c r="D467" s="170" t="s">
        <v>706</v>
      </c>
      <c r="E467" s="168"/>
      <c r="F467" s="169"/>
      <c r="G467" s="498">
        <v>1247200</v>
      </c>
      <c r="H467" s="498">
        <f>H468</f>
        <v>1247200</v>
      </c>
      <c r="I467" s="157">
        <f t="shared" si="8"/>
        <v>2494400</v>
      </c>
    </row>
    <row r="468" spans="1:9" ht="31.5" x14ac:dyDescent="0.25">
      <c r="A468" s="153" t="str">
        <f>IF(B468&gt;0,VLOOKUP(B468,КВСР!A165:B1330,2),IF(C468&gt;0,VLOOKUP(C468,КФСР!A165:B1677,2),IF(D468&gt;0,VLOOKUP(D468,Программа!A$1:B$5100,2),IF(F468&gt;0,VLOOKUP(F468,КВР!A$1:B$5001,2),IF(E468&gt;0,VLOOKUP(E468,Направление!A$1:B$4830,2))))))</f>
        <v>Обеспечение деятельности прочих учреждений в сфере образования</v>
      </c>
      <c r="B468" s="167"/>
      <c r="C468" s="168"/>
      <c r="D468" s="170"/>
      <c r="E468" s="168">
        <v>13310</v>
      </c>
      <c r="F468" s="169"/>
      <c r="G468" s="498">
        <v>1247200</v>
      </c>
      <c r="H468" s="498">
        <f>H469</f>
        <v>1247200</v>
      </c>
      <c r="I468" s="157">
        <f t="shared" si="8"/>
        <v>2494400</v>
      </c>
    </row>
    <row r="469" spans="1:9" ht="63" x14ac:dyDescent="0.25">
      <c r="A469" s="153" t="str">
        <f>IF(B469&gt;0,VLOOKUP(B469,КВСР!A166:B1331,2),IF(C469&gt;0,VLOOKUP(C469,КФСР!A166:B1678,2),IF(D469&gt;0,VLOOKUP(D469,Программа!A$1:B$5100,2),IF(F469&gt;0,VLOOKUP(F469,КВР!A$1:B$5001,2),IF(E469&gt;0,VLOOKUP(E469,Направление!A$1:B$4830,2))))))</f>
        <v>Предоставление субсидий бюджетным, автономным учреждениям и иным некоммерческим организациям</v>
      </c>
      <c r="B469" s="167"/>
      <c r="C469" s="168"/>
      <c r="D469" s="170"/>
      <c r="E469" s="168"/>
      <c r="F469" s="169">
        <v>600</v>
      </c>
      <c r="G469" s="498">
        <v>1247200</v>
      </c>
      <c r="H469" s="156">
        <v>1247200</v>
      </c>
      <c r="I469" s="157">
        <f t="shared" si="8"/>
        <v>2494400</v>
      </c>
    </row>
    <row r="470" spans="1:9" x14ac:dyDescent="0.25">
      <c r="A470" s="153" t="str">
        <f>IF(B470&gt;0,VLOOKUP(B470,КВСР!A146:B1311,2),IF(C470&gt;0,VLOOKUP(C470,КФСР!A146:B1658,2),IF(D470&gt;0,VLOOKUP(D470,Программа!A$1:B$5100,2),IF(F470&gt;0,VLOOKUP(F470,КВР!A$1:B$5001,2),IF(E470&gt;0,VLOOKUP(E470,Направление!A$1:B$4830,2))))))</f>
        <v>Молодежная политика</v>
      </c>
      <c r="B470" s="167"/>
      <c r="C470" s="168">
        <v>707</v>
      </c>
      <c r="D470" s="170"/>
      <c r="E470" s="168"/>
      <c r="F470" s="169"/>
      <c r="G470" s="606">
        <v>5807500</v>
      </c>
      <c r="H470" s="157">
        <f>H476+H471</f>
        <v>5677960</v>
      </c>
      <c r="I470" s="157">
        <f t="shared" si="8"/>
        <v>11485460</v>
      </c>
    </row>
    <row r="471" spans="1:9" ht="63" x14ac:dyDescent="0.25">
      <c r="A471" s="153" t="str">
        <f>IF(B471&gt;0,VLOOKUP(B471,КВСР!A147:B1312,2),IF(C471&gt;0,VLOOKUP(C471,КФСР!A147:B1659,2),IF(D471&gt;0,VLOOKUP(D471,Программа!A$1:B$5100,2),IF(F471&gt;0,VLOOKUP(F471,КВР!A$1:B$5001,2),IF(E471&gt;0,VLOOKUP(E471,Направление!A$1:B$4830,2))))))</f>
        <v>Муниципальная программа  "Развитие культуры, туризма и молодежной политики в Тутаевском муниципальном районе"</v>
      </c>
      <c r="B471" s="167"/>
      <c r="C471" s="168"/>
      <c r="D471" s="170" t="s">
        <v>714</v>
      </c>
      <c r="E471" s="168"/>
      <c r="F471" s="169"/>
      <c r="G471" s="606">
        <v>428760</v>
      </c>
      <c r="H471" s="157">
        <f t="shared" ref="H471:I474" si="9">H472</f>
        <v>428760</v>
      </c>
      <c r="I471" s="157">
        <f t="shared" si="9"/>
        <v>857520</v>
      </c>
    </row>
    <row r="472" spans="1:9" ht="31.5" x14ac:dyDescent="0.25">
      <c r="A472" s="153" t="str">
        <f>IF(B472&gt;0,VLOOKUP(B472,КВСР!A148:B1313,2),IF(C472&gt;0,VLOOKUP(C472,КФСР!A148:B1660,2),IF(D472&gt;0,VLOOKUP(D472,Программа!A$1:B$5100,2),IF(F472&gt;0,VLOOKUP(F472,КВР!A$1:B$5001,2),IF(E472&gt;0,VLOOKUP(E472,Направление!A$1:B$4830,2))))))</f>
        <v>Ведомственная целевая программа «Молодежь»</v>
      </c>
      <c r="B472" s="167"/>
      <c r="C472" s="168"/>
      <c r="D472" s="170" t="s">
        <v>822</v>
      </c>
      <c r="E472" s="168"/>
      <c r="F472" s="169"/>
      <c r="G472" s="606">
        <v>428760</v>
      </c>
      <c r="H472" s="157">
        <f t="shared" si="9"/>
        <v>428760</v>
      </c>
      <c r="I472" s="157">
        <f t="shared" si="9"/>
        <v>857520</v>
      </c>
    </row>
    <row r="473" spans="1:9" ht="63" x14ac:dyDescent="0.25">
      <c r="A473" s="153" t="str">
        <f>IF(B473&gt;0,VLOOKUP(B473,КВСР!A149:B1314,2),IF(C473&gt;0,VLOOKUP(C473,КФСР!A149:B1661,2),IF(D473&gt;0,VLOOKUP(D473,Программа!A$1:B$5100,2),IF(F473&gt;0,VLOOKUP(F473,КВР!A$1:B$5001,2),IF(E473&gt;0,VLOOKUP(E473,Направление!A$1:B$4830,2))))))</f>
        <v>Обеспечение условий для выполнения муниципального задания на оказание услуг, выполнение работ в сфере молодежной политики</v>
      </c>
      <c r="B473" s="167"/>
      <c r="C473" s="168"/>
      <c r="D473" s="170" t="s">
        <v>824</v>
      </c>
      <c r="E473" s="168"/>
      <c r="F473" s="169"/>
      <c r="G473" s="606">
        <v>428760</v>
      </c>
      <c r="H473" s="157">
        <f t="shared" si="9"/>
        <v>428760</v>
      </c>
      <c r="I473" s="157">
        <f t="shared" si="9"/>
        <v>857520</v>
      </c>
    </row>
    <row r="474" spans="1:9" ht="47.25" x14ac:dyDescent="0.25">
      <c r="A474" s="153" t="str">
        <f>IF(B474&gt;0,VLOOKUP(B474,КВСР!A150:B1315,2),IF(C474&gt;0,VLOOKUP(C474,КФСР!A150:B1662,2),IF(D474&gt;0,VLOOKUP(D474,Программа!A$1:B$5100,2),IF(F474&gt;0,VLOOKUP(F474,КВР!A$1:B$5001,2),IF(E474&gt;0,VLOOKUP(E474,Направление!A$1:B$4830,2))))))</f>
        <v>Расходы на обеспечение трудоустройства несовершеннолетних граждан на временные рабочие места</v>
      </c>
      <c r="B474" s="167"/>
      <c r="C474" s="168"/>
      <c r="D474" s="170"/>
      <c r="E474" s="168">
        <v>76150</v>
      </c>
      <c r="F474" s="169"/>
      <c r="G474" s="606">
        <v>428760</v>
      </c>
      <c r="H474" s="157">
        <f t="shared" si="9"/>
        <v>428760</v>
      </c>
      <c r="I474" s="157">
        <f t="shared" si="9"/>
        <v>857520</v>
      </c>
    </row>
    <row r="475" spans="1:9" ht="63" x14ac:dyDescent="0.25">
      <c r="A475" s="153" t="str">
        <f>IF(B475&gt;0,VLOOKUP(B475,КВСР!A151:B1316,2),IF(C475&gt;0,VLOOKUP(C475,КФСР!A151:B1663,2),IF(D475&gt;0,VLOOKUP(D475,Программа!A$1:B$5100,2),IF(F475&gt;0,VLOOKUP(F475,КВР!A$1:B$5001,2),IF(E475&gt;0,VLOOKUP(E475,Направление!A$1:B$4830,2))))))</f>
        <v>Предоставление субсидий бюджетным, автономным учреждениям и иным некоммерческим организациям</v>
      </c>
      <c r="B475" s="167"/>
      <c r="C475" s="168"/>
      <c r="D475" s="170"/>
      <c r="E475" s="168"/>
      <c r="F475" s="169">
        <v>600</v>
      </c>
      <c r="G475" s="606">
        <v>428760</v>
      </c>
      <c r="H475" s="157">
        <v>428760</v>
      </c>
      <c r="I475" s="157">
        <f>G475+H475</f>
        <v>857520</v>
      </c>
    </row>
    <row r="476" spans="1:9" ht="63" x14ac:dyDescent="0.25">
      <c r="A476" s="153" t="str">
        <f>IF(B476&gt;0,VLOOKUP(B476,КВСР!A147:B1312,2),IF(C476&gt;0,VLOOKUP(C476,КФСР!A147:B1659,2),IF(D476&gt;0,VLOOKUP(D476,Программа!A$1:B$5100,2),IF(F476&gt;0,VLOOKUP(F476,КВР!A$1:B$5001,2),IF(E476&gt;0,VLOOKUP(E476,Направление!A$1:B$4830,2))))))</f>
        <v>Муниципальная программа "Развитие образования, физической культуры и спорта в Тутаевском муниципальном районе"</v>
      </c>
      <c r="B476" s="167"/>
      <c r="C476" s="168"/>
      <c r="D476" s="170" t="s">
        <v>684</v>
      </c>
      <c r="E476" s="168"/>
      <c r="F476" s="169"/>
      <c r="G476" s="606">
        <v>5378740</v>
      </c>
      <c r="H476" s="157">
        <f>H477</f>
        <v>5249200</v>
      </c>
      <c r="I476" s="157">
        <f t="shared" si="8"/>
        <v>10627940</v>
      </c>
    </row>
    <row r="477" spans="1:9" ht="63" x14ac:dyDescent="0.25">
      <c r="A477" s="153" t="str">
        <f>IF(B477&gt;0,VLOOKUP(B477,КВСР!A148:B1313,2),IF(C477&gt;0,VLOOKUP(C477,КФСР!A148:B1660,2),IF(D477&gt;0,VLOOKUP(D477,Программа!A$1:B$5100,2),IF(F477&gt;0,VLOOKUP(F477,КВР!A$1:B$5001,2),IF(E477&gt;0,VLOOKUP(E477,Направление!A$1:B$4830,2))))))</f>
        <v xml:space="preserve">Ведомственная целевая программа департамента образования Администрации Тутаевского муниципального района </v>
      </c>
      <c r="B477" s="167"/>
      <c r="C477" s="168"/>
      <c r="D477" s="170" t="s">
        <v>686</v>
      </c>
      <c r="E477" s="168"/>
      <c r="F477" s="169"/>
      <c r="G477" s="606">
        <v>5378740</v>
      </c>
      <c r="H477" s="157">
        <f>H478+H492</f>
        <v>5249200</v>
      </c>
      <c r="I477" s="157">
        <f t="shared" si="8"/>
        <v>10627940</v>
      </c>
    </row>
    <row r="478" spans="1:9" ht="47.25" x14ac:dyDescent="0.25">
      <c r="A478" s="153" t="str">
        <f>IF(B478&gt;0,VLOOKUP(B478,КВСР!A149:B1314,2),IF(C478&gt;0,VLOOKUP(C478,КФСР!A149:B1661,2),IF(D478&gt;0,VLOOKUP(D478,Программа!A$1:B$5100,2),IF(F478&gt;0,VLOOKUP(F478,КВР!A$1:B$5001,2),IF(E478&gt;0,VLOOKUP(E478,Направление!A$1:B$4830,2))))))</f>
        <v>Обеспечение реализации мероприятий в рамках областных целевых программ</v>
      </c>
      <c r="B478" s="167"/>
      <c r="C478" s="168"/>
      <c r="D478" s="170" t="s">
        <v>2946</v>
      </c>
      <c r="E478" s="168"/>
      <c r="F478" s="169"/>
      <c r="G478" s="606">
        <v>5378740</v>
      </c>
      <c r="H478" s="157">
        <f>H481+H483+H485+H487+H490+H479</f>
        <v>5249200</v>
      </c>
      <c r="I478" s="157">
        <f t="shared" si="8"/>
        <v>10627940</v>
      </c>
    </row>
    <row r="479" spans="1:9" ht="94.5" x14ac:dyDescent="0.25">
      <c r="A479" s="153" t="str">
        <f>IF(B479&gt;0,VLOOKUP(B479,КВСР!A150:B1315,2),IF(C479&gt;0,VLOOKUP(C479,КФСР!A150:B1662,2),IF(D479&gt;0,VLOOKUP(D479,Программа!A$1:B$5100,2),IF(F479&gt;0,VLOOKUP(F479,КВР!A$1:B$5001,2),IF(E479&gt;0,VLOOKUP(E479,Направление!A$1:B$4830,2))))))</f>
        <v>Расходы на оплату стоимости набора продуктов питания в лагерях с дневной формой пребывания детей, расположенных на территории Ярославской области, за счет средств областного бюджета</v>
      </c>
      <c r="B479" s="167"/>
      <c r="C479" s="168"/>
      <c r="D479" s="170"/>
      <c r="E479" s="168">
        <v>71000</v>
      </c>
      <c r="F479" s="169"/>
      <c r="G479" s="606">
        <v>0</v>
      </c>
      <c r="H479" s="606">
        <f>H480</f>
        <v>739530</v>
      </c>
      <c r="I479" s="157">
        <f t="shared" si="8"/>
        <v>739530</v>
      </c>
    </row>
    <row r="480" spans="1:9" ht="63" x14ac:dyDescent="0.25">
      <c r="A480" s="153" t="str">
        <f>IF(B480&gt;0,VLOOKUP(B480,КВСР!A151:B1316,2),IF(C480&gt;0,VLOOKUP(C480,КФСР!A151:B1663,2),IF(D480&gt;0,VLOOKUP(D480,Программа!A$1:B$5100,2),IF(F480&gt;0,VLOOKUP(F480,КВР!A$1:B$5001,2),IF(E480&gt;0,VLOOKUP(E480,Направление!A$1:B$4830,2))))))</f>
        <v>Предоставление субсидий бюджетным, автономным учреждениям и иным некоммерческим организациям</v>
      </c>
      <c r="B480" s="167"/>
      <c r="C480" s="168"/>
      <c r="D480" s="170"/>
      <c r="E480" s="168"/>
      <c r="F480" s="169">
        <v>600</v>
      </c>
      <c r="G480" s="606">
        <v>0</v>
      </c>
      <c r="H480" s="157">
        <v>739530</v>
      </c>
      <c r="I480" s="157">
        <f t="shared" si="8"/>
        <v>739530</v>
      </c>
    </row>
    <row r="481" spans="1:9" ht="47.25" x14ac:dyDescent="0.25">
      <c r="A481" s="153" t="str">
        <f>IF(B481&gt;0,VLOOKUP(B481,КВСР!A150:B1315,2),IF(C481&gt;0,VLOOKUP(C481,КФСР!A150:B1662,2),IF(D481&gt;0,VLOOKUP(D481,Программа!A$1:B$5100,2),IF(F481&gt;0,VLOOKUP(F481,КВР!A$1:B$5001,2),IF(E481&gt;0,VLOOKUP(E481,Направление!A$1:B$4830,2))))))</f>
        <v xml:space="preserve">Расходы на оплату стоимости набора продуктов питания в лагерях с дневной формой пребывания детей </v>
      </c>
      <c r="B481" s="167"/>
      <c r="C481" s="168"/>
      <c r="D481" s="170"/>
      <c r="E481" s="168">
        <v>11000</v>
      </c>
      <c r="F481" s="169"/>
      <c r="G481" s="606">
        <v>82210</v>
      </c>
      <c r="H481" s="157">
        <f>H482</f>
        <v>82210</v>
      </c>
      <c r="I481" s="157">
        <f t="shared" si="8"/>
        <v>164420</v>
      </c>
    </row>
    <row r="482" spans="1:9" ht="63" x14ac:dyDescent="0.25">
      <c r="A482" s="153" t="str">
        <f>IF(B482&gt;0,VLOOKUP(B482,КВСР!A155:B1320,2),IF(C482&gt;0,VLOOKUP(C482,КФСР!A155:B1667,2),IF(D482&gt;0,VLOOKUP(D482,Программа!A$1:B$5100,2),IF(F482&gt;0,VLOOKUP(F482,КВР!A$1:B$5001,2),IF(E482&gt;0,VLOOKUP(E482,Направление!A$1:B$4830,2))))))</f>
        <v>Предоставление субсидий бюджетным, автономным учреждениям и иным некоммерческим организациям</v>
      </c>
      <c r="B482" s="167"/>
      <c r="C482" s="168"/>
      <c r="D482" s="169"/>
      <c r="E482" s="168"/>
      <c r="F482" s="169">
        <v>600</v>
      </c>
      <c r="G482" s="516">
        <v>82210</v>
      </c>
      <c r="H482" s="158">
        <v>82210</v>
      </c>
      <c r="I482" s="157">
        <f t="shared" si="8"/>
        <v>164420</v>
      </c>
    </row>
    <row r="483" spans="1:9" ht="110.25" hidden="1" x14ac:dyDescent="0.25">
      <c r="A483" s="153" t="str">
        <f>IF(B483&gt;0,VLOOKUP(B483,КВСР!A156:B1321,2),IF(C483&gt;0,VLOOKUP(C483,КФСР!A156:B1668,2),IF(D483&gt;0,VLOOKUP(D483,Программа!A$1:B$5100,2),IF(F483&gt;0,VLOOKUP(F483,КВР!A$1:B$5001,2),IF(E483&gt;0,VLOOKUP(E483,Направление!A$1:B$4830,2))))))</f>
        <v>Расходы на обеспечение отдыха и оздоровления детей, находящихся в трудной жизненной ситуации, детей погибших сотрудников правоохранительных органов и военнослужащих, безнадзорных детей за счет средств федерального бюджета</v>
      </c>
      <c r="B483" s="167"/>
      <c r="C483" s="168"/>
      <c r="D483" s="170"/>
      <c r="E483" s="168">
        <v>50650</v>
      </c>
      <c r="F483" s="169"/>
      <c r="G483" s="606">
        <v>0</v>
      </c>
      <c r="H483" s="157">
        <f>H484</f>
        <v>0</v>
      </c>
      <c r="I483" s="157">
        <f t="shared" si="8"/>
        <v>0</v>
      </c>
    </row>
    <row r="484" spans="1:9" ht="31.5" hidden="1" x14ac:dyDescent="0.25">
      <c r="A484" s="153" t="str">
        <f>IF(B484&gt;0,VLOOKUP(B484,КВСР!A157:B1322,2),IF(C484&gt;0,VLOOKUP(C484,КФСР!A157:B1669,2),IF(D484&gt;0,VLOOKUP(D484,Программа!A$1:B$5100,2),IF(F484&gt;0,VLOOKUP(F484,КВР!A$1:B$5001,2),IF(E484&gt;0,VLOOKUP(E484,Направление!A$1:B$4830,2))))))</f>
        <v>Социальное обеспечение и иные выплаты населению</v>
      </c>
      <c r="B484" s="167"/>
      <c r="C484" s="168"/>
      <c r="D484" s="169"/>
      <c r="E484" s="168"/>
      <c r="F484" s="169">
        <v>300</v>
      </c>
      <c r="G484" s="516">
        <v>0</v>
      </c>
      <c r="H484" s="158"/>
      <c r="I484" s="157">
        <f t="shared" si="8"/>
        <v>0</v>
      </c>
    </row>
    <row r="485" spans="1:9" ht="94.5" hidden="1" x14ac:dyDescent="0.25">
      <c r="A485" s="153" t="str">
        <f>IF(B485&gt;0,VLOOKUP(B485,КВСР!A159:B1324,2),IF(C485&gt;0,VLOOKUP(C485,КФСР!A159:B1671,2),IF(D485&gt;0,VLOOKUP(D485,Программа!A$1:B$5100,2),IF(F485&gt;0,VLOOKUP(F485,КВР!A$1:B$5001,2),IF(E485&gt;0,VLOOKUP(E485,Направление!A$1:B$4830,2))))))</f>
        <v>Расходы на оплату стоимости набора продуктов питания в лагерях с дневной формой пребывания детей, расположенных на территории Ярославской области, за счет средств областного бюджета</v>
      </c>
      <c r="B485" s="167"/>
      <c r="C485" s="168"/>
      <c r="D485" s="170"/>
      <c r="E485" s="168">
        <v>71000</v>
      </c>
      <c r="F485" s="169"/>
      <c r="G485" s="500">
        <v>739530</v>
      </c>
      <c r="H485" s="155">
        <f>H486</f>
        <v>0</v>
      </c>
      <c r="I485" s="157">
        <f t="shared" si="8"/>
        <v>739530</v>
      </c>
    </row>
    <row r="486" spans="1:9" ht="63" hidden="1" x14ac:dyDescent="0.25">
      <c r="A486" s="153" t="str">
        <f>IF(B486&gt;0,VLOOKUP(B486,КВСР!A160:B1325,2),IF(C486&gt;0,VLOOKUP(C486,КФСР!A160:B1672,2),IF(D486&gt;0,VLOOKUP(D486,Программа!A$1:B$5100,2),IF(F486&gt;0,VLOOKUP(F486,КВР!A$1:B$5001,2),IF(E486&gt;0,VLOOKUP(E486,Направление!A$1:B$4830,2))))))</f>
        <v>Предоставление субсидий бюджетным, автономным учреждениям и иным некоммерческим организациям</v>
      </c>
      <c r="B486" s="167"/>
      <c r="C486" s="168"/>
      <c r="D486" s="169"/>
      <c r="E486" s="168"/>
      <c r="F486" s="169">
        <v>600</v>
      </c>
      <c r="G486" s="498">
        <v>739530</v>
      </c>
      <c r="H486" s="156"/>
      <c r="I486" s="157">
        <f t="shared" si="8"/>
        <v>739530</v>
      </c>
    </row>
    <row r="487" spans="1:9" ht="110.25" x14ac:dyDescent="0.25">
      <c r="A487" s="153" t="str">
        <f>IF(B487&gt;0,VLOOKUP(B487,КВСР!A161:B1326,2),IF(C487&gt;0,VLOOKUP(C487,КФСР!A161:B1673,2),IF(D487&gt;0,VLOOKUP(D487,Программа!A$1:B$5100,2),IF(F487&gt;0,VLOOKUP(F487,КВР!A$1:B$5001,2),IF(E487&gt;0,VLOOKUP(E487,Направление!A$1:B$4830,2))))))</f>
        <v>Расходы на обеспечение отдыха и оздоровления детей, находящихся в трудной жизненной ситуации, детей погибших сотрудников правоохранительных органов и военнослужащих, безнадзорных детей за счет средств областного бюджета</v>
      </c>
      <c r="B487" s="167"/>
      <c r="C487" s="168"/>
      <c r="D487" s="170"/>
      <c r="E487" s="168">
        <v>71060</v>
      </c>
      <c r="F487" s="169"/>
      <c r="G487" s="500">
        <v>4407000</v>
      </c>
      <c r="H487" s="155">
        <f>H488+H489</f>
        <v>4407000</v>
      </c>
      <c r="I487" s="157">
        <f t="shared" si="8"/>
        <v>8814000</v>
      </c>
    </row>
    <row r="488" spans="1:9" ht="31.5" x14ac:dyDescent="0.25">
      <c r="A488" s="153" t="str">
        <f>IF(B488&gt;0,VLOOKUP(B488,КВСР!A162:B1327,2),IF(C488&gt;0,VLOOKUP(C488,КФСР!A162:B1674,2),IF(D488&gt;0,VLOOKUP(D488,Программа!A$1:B$5100,2),IF(F488&gt;0,VLOOKUP(F488,КВР!A$1:B$5001,2),IF(E488&gt;0,VLOOKUP(E488,Направление!A$1:B$4830,2))))))</f>
        <v>Социальное обеспечение и иные выплаты населению</v>
      </c>
      <c r="B488" s="167"/>
      <c r="C488" s="168"/>
      <c r="D488" s="169"/>
      <c r="E488" s="168"/>
      <c r="F488" s="169">
        <v>300</v>
      </c>
      <c r="G488" s="498">
        <v>2781884</v>
      </c>
      <c r="H488" s="156">
        <v>2781884</v>
      </c>
      <c r="I488" s="157">
        <f t="shared" si="8"/>
        <v>5563768</v>
      </c>
    </row>
    <row r="489" spans="1:9" ht="63" x14ac:dyDescent="0.25">
      <c r="A489" s="153" t="str">
        <f>IF(B489&gt;0,VLOOKUP(B489,КВСР!A163:B1328,2),IF(C489&gt;0,VLOOKUP(C489,КФСР!A163:B1675,2),IF(D489&gt;0,VLOOKUP(D489,Программа!A$1:B$5100,2),IF(F489&gt;0,VLOOKUP(F489,КВР!A$1:B$5001,2),IF(E489&gt;0,VLOOKUP(E489,Направление!A$1:B$4830,2))))))</f>
        <v>Предоставление субсидий бюджетным, автономным учреждениям и иным некоммерческим организациям</v>
      </c>
      <c r="B489" s="167"/>
      <c r="C489" s="168"/>
      <c r="D489" s="169"/>
      <c r="E489" s="168"/>
      <c r="F489" s="169">
        <v>600</v>
      </c>
      <c r="G489" s="498">
        <v>1625116</v>
      </c>
      <c r="H489" s="156">
        <v>1625116</v>
      </c>
      <c r="I489" s="157">
        <f t="shared" si="8"/>
        <v>3250232</v>
      </c>
    </row>
    <row r="490" spans="1:9" ht="47.25" x14ac:dyDescent="0.25">
      <c r="A490" s="153" t="str">
        <f>IF(B490&gt;0,VLOOKUP(B490,КВСР!A164:B1329,2),IF(C490&gt;0,VLOOKUP(C490,КФСР!A164:B1676,2),IF(D490&gt;0,VLOOKUP(D490,Программа!A$1:B$5100,2),IF(F490&gt;0,VLOOKUP(F490,КВР!A$1:B$5001,2),IF(E490&gt;0,VLOOKUP(E490,Направление!A$1:B$4830,2))))))</f>
        <v>Субвенция на частичную оплату стоимости путевки в организации отдыха детей и их оздоровления</v>
      </c>
      <c r="B490" s="167"/>
      <c r="C490" s="168"/>
      <c r="D490" s="169"/>
      <c r="E490" s="168">
        <v>75160</v>
      </c>
      <c r="F490" s="169"/>
      <c r="G490" s="500">
        <v>150000</v>
      </c>
      <c r="H490" s="533">
        <f>H491</f>
        <v>20460</v>
      </c>
      <c r="I490" s="157">
        <f t="shared" si="8"/>
        <v>170460</v>
      </c>
    </row>
    <row r="491" spans="1:9" ht="31.5" x14ac:dyDescent="0.25">
      <c r="A491" s="153" t="str">
        <f>IF(B491&gt;0,VLOOKUP(B491,КВСР!A165:B1330,2),IF(C491&gt;0,VLOOKUP(C491,КФСР!A165:B1677,2),IF(D491&gt;0,VLOOKUP(D491,Программа!A$1:B$5100,2),IF(F491&gt;0,VLOOKUP(F491,КВР!A$1:B$5001,2),IF(E491&gt;0,VLOOKUP(E491,Направление!A$1:B$4830,2))))))</f>
        <v>Социальное обеспечение и иные выплаты населению</v>
      </c>
      <c r="B491" s="167"/>
      <c r="C491" s="168"/>
      <c r="D491" s="169"/>
      <c r="E491" s="168"/>
      <c r="F491" s="169">
        <v>300</v>
      </c>
      <c r="G491" s="498">
        <v>150000</v>
      </c>
      <c r="H491" s="156">
        <v>20460</v>
      </c>
      <c r="I491" s="157">
        <f t="shared" si="8"/>
        <v>170460</v>
      </c>
    </row>
    <row r="492" spans="1:9" s="548" customFormat="1" ht="31.5" hidden="1" x14ac:dyDescent="0.25">
      <c r="A492" s="544" t="str">
        <f>IF(B492&gt;0,VLOOKUP(B492,КВСР!A167:B1332,2),IF(C492&gt;0,VLOOKUP(C492,КФСР!A167:B1679,2),IF(D492&gt;0,VLOOKUP(D492,Программа!A$1:B$5100,2),IF(F492&gt;0,VLOOKUP(F492,КВР!A$1:B$5001,2),IF(E492&gt;0,VLOOKUP(E492,Направление!A$1:B$4830,2))))))</f>
        <v>Обеспечение компенсационных выплат</v>
      </c>
      <c r="B492" s="545"/>
      <c r="C492" s="546"/>
      <c r="D492" s="170" t="s">
        <v>2952</v>
      </c>
      <c r="E492" s="546"/>
      <c r="F492" s="547"/>
      <c r="G492" s="500">
        <v>0</v>
      </c>
      <c r="H492" s="533">
        <f>H493</f>
        <v>0</v>
      </c>
      <c r="I492" s="157">
        <f t="shared" si="8"/>
        <v>0</v>
      </c>
    </row>
    <row r="493" spans="1:9" ht="47.25" hidden="1" x14ac:dyDescent="0.25">
      <c r="A493" s="153" t="str">
        <f>IF(B493&gt;0,VLOOKUP(B493,КВСР!A164:B1329,2),IF(C493&gt;0,VLOOKUP(C493,КФСР!A164:B1676,2),IF(D493&gt;0,VLOOKUP(D493,Программа!A$1:B$5100,2),IF(F493&gt;0,VLOOKUP(F493,КВР!A$1:B$5001,2),IF(E493&gt;0,VLOOKUP(E493,Направление!A$1:B$4830,2))))))</f>
        <v>Компенсация части расходов на приобретение путевки в организации отдыха детей и их оздоровления</v>
      </c>
      <c r="B493" s="167"/>
      <c r="C493" s="168"/>
      <c r="D493" s="169"/>
      <c r="E493" s="168">
        <v>74390</v>
      </c>
      <c r="F493" s="169"/>
      <c r="G493" s="500">
        <v>0</v>
      </c>
      <c r="H493" s="155">
        <f>H494</f>
        <v>0</v>
      </c>
      <c r="I493" s="157">
        <f t="shared" si="8"/>
        <v>0</v>
      </c>
    </row>
    <row r="494" spans="1:9" ht="31.5" hidden="1" x14ac:dyDescent="0.25">
      <c r="A494" s="153" t="str">
        <f>IF(B494&gt;0,VLOOKUP(B494,КВСР!A165:B1330,2),IF(C494&gt;0,VLOOKUP(C494,КФСР!A165:B1677,2),IF(D494&gt;0,VLOOKUP(D494,Программа!A$1:B$5100,2),IF(F494&gt;0,VLOOKUP(F494,КВР!A$1:B$5001,2),IF(E494&gt;0,VLOOKUP(E494,Направление!A$1:B$4830,2))))))</f>
        <v>Социальное обеспечение и иные выплаты населению</v>
      </c>
      <c r="B494" s="167"/>
      <c r="C494" s="168"/>
      <c r="D494" s="169"/>
      <c r="E494" s="168"/>
      <c r="F494" s="169">
        <v>300</v>
      </c>
      <c r="G494" s="498">
        <v>0</v>
      </c>
      <c r="H494" s="156"/>
      <c r="I494" s="157">
        <f t="shared" si="8"/>
        <v>0</v>
      </c>
    </row>
    <row r="495" spans="1:9" ht="31.5" x14ac:dyDescent="0.25">
      <c r="A495" s="153" t="str">
        <f>IF(B495&gt;0,VLOOKUP(B495,КВСР!A160:B1325,2),IF(C495&gt;0,VLOOKUP(C495,КФСР!A160:B1672,2),IF(D495&gt;0,VLOOKUP(D495,Программа!A$1:B$5100,2),IF(F495&gt;0,VLOOKUP(F495,КВР!A$1:B$5001,2),IF(E495&gt;0,VLOOKUP(E495,Направление!A$1:B$4830,2))))))</f>
        <v>Другие вопросы в области образования</v>
      </c>
      <c r="B495" s="167"/>
      <c r="C495" s="168">
        <v>709</v>
      </c>
      <c r="D495" s="170"/>
      <c r="E495" s="168"/>
      <c r="F495" s="169"/>
      <c r="G495" s="606">
        <v>39946857</v>
      </c>
      <c r="H495" s="606">
        <f>H496+H509+H567+H571+H563+H554</f>
        <v>40048019</v>
      </c>
      <c r="I495" s="157">
        <f t="shared" si="8"/>
        <v>79994876</v>
      </c>
    </row>
    <row r="496" spans="1:9" ht="63" x14ac:dyDescent="0.25">
      <c r="A496" s="153" t="str">
        <f>IF(B496&gt;0,VLOOKUP(B496,КВСР!A161:B1326,2),IF(C496&gt;0,VLOOKUP(C496,КФСР!A161:B1673,2),IF(D496&gt;0,VLOOKUP(D496,Программа!A$1:B$5100,2),IF(F496&gt;0,VLOOKUP(F496,КВР!A$1:B$5001,2),IF(E496&gt;0,VLOOKUP(E496,Направление!A$1:B$4830,2))))))</f>
        <v>Муниципальная программа  "Развитие культуры, туризма и молодежной политики в Тутаевском муниципальном районе"</v>
      </c>
      <c r="B496" s="167"/>
      <c r="C496" s="168"/>
      <c r="D496" s="170" t="s">
        <v>714</v>
      </c>
      <c r="E496" s="168"/>
      <c r="F496" s="169"/>
      <c r="G496" s="606">
        <v>302461</v>
      </c>
      <c r="H496" s="157">
        <f>H497+H503</f>
        <v>302461</v>
      </c>
      <c r="I496" s="157">
        <f t="shared" si="8"/>
        <v>604922</v>
      </c>
    </row>
    <row r="497" spans="1:9" ht="94.5" x14ac:dyDescent="0.25">
      <c r="A497" s="153" t="str">
        <f>IF(B497&gt;0,VLOOKUP(B497,КВСР!A162:B1327,2),IF(C497&gt;0,VLOOKUP(C497,КФСР!A162:B1674,2),IF(D497&gt;0,VLOOKUP(D497,Программа!A$1:B$5100,2),IF(F497&gt;0,VLOOKUP(F497,КВР!A$1:B$5001,2),IF(E497&gt;0,VLOOKUP(E497,Направление!A$1:B$4830,2))))))</f>
        <v>Муниципальная целевая программа «Патриотическое воспитание граждан Российской Федерации, проживающих на территории Тутаевского муниципального района Ярославской области»</v>
      </c>
      <c r="B497" s="167"/>
      <c r="C497" s="168"/>
      <c r="D497" s="170" t="s">
        <v>716</v>
      </c>
      <c r="E497" s="168"/>
      <c r="F497" s="169"/>
      <c r="G497" s="606">
        <v>134037</v>
      </c>
      <c r="H497" s="157">
        <f>H498</f>
        <v>134037</v>
      </c>
      <c r="I497" s="157">
        <f t="shared" si="8"/>
        <v>268074</v>
      </c>
    </row>
    <row r="498" spans="1:9" ht="78.75" x14ac:dyDescent="0.25">
      <c r="A498" s="153" t="str">
        <f>IF(B498&gt;0,VLOOKUP(B498,КВСР!A163:B1328,2),IF(C498&gt;0,VLOOKUP(C498,КФСР!A163:B1675,2),IF(D498&gt;0,VLOOKUP(D498,Программа!A$1:B$5100,2),IF(F498&gt;0,VLOOKUP(F498,КВР!A$1:B$5001,2),IF(E498&gt;0,VLOOKUP(E498,Направление!A$1:B$4830,2))))))</f>
        <v>Координирование деятельности, совершенствование организационного, методического и информационного функционирования системы патриотического воспитания</v>
      </c>
      <c r="B498" s="167"/>
      <c r="C498" s="168"/>
      <c r="D498" s="170" t="s">
        <v>718</v>
      </c>
      <c r="E498" s="168"/>
      <c r="F498" s="169"/>
      <c r="G498" s="606">
        <v>134037</v>
      </c>
      <c r="H498" s="157">
        <f>H499+H501</f>
        <v>134037</v>
      </c>
      <c r="I498" s="157">
        <f t="shared" si="8"/>
        <v>268074</v>
      </c>
    </row>
    <row r="499" spans="1:9" ht="31.5" x14ac:dyDescent="0.25">
      <c r="A499" s="153" t="str">
        <f>IF(B499&gt;0,VLOOKUP(B499,КВСР!A164:B1329,2),IF(C499&gt;0,VLOOKUP(C499,КФСР!A164:B1676,2),IF(D499&gt;0,VLOOKUP(D499,Программа!A$1:B$5100,2),IF(F499&gt;0,VLOOKUP(F499,КВР!A$1:B$5001,2),IF(E499&gt;0,VLOOKUP(E499,Направление!A$1:B$4830,2))))))</f>
        <v>Мероприятия по патриотическому воспитанию граждан</v>
      </c>
      <c r="B499" s="167"/>
      <c r="C499" s="168"/>
      <c r="D499" s="170"/>
      <c r="E499" s="168">
        <v>14880</v>
      </c>
      <c r="F499" s="169"/>
      <c r="G499" s="606">
        <v>74000</v>
      </c>
      <c r="H499" s="157">
        <f>H500</f>
        <v>74000</v>
      </c>
      <c r="I499" s="157">
        <f t="shared" si="8"/>
        <v>148000</v>
      </c>
    </row>
    <row r="500" spans="1:9" ht="63" x14ac:dyDescent="0.25">
      <c r="A500" s="153" t="str">
        <f>IF(B500&gt;0,VLOOKUP(B500,КВСР!A165:B1330,2),IF(C500&gt;0,VLOOKUP(C500,КФСР!A165:B1677,2),IF(D500&gt;0,VLOOKUP(D500,Программа!A$1:B$5100,2),IF(F500&gt;0,VLOOKUP(F500,КВР!A$1:B$5001,2),IF(E500&gt;0,VLOOKUP(E500,Направление!A$1:B$4830,2))))))</f>
        <v>Предоставление субсидий бюджетным, автономным учреждениям и иным некоммерческим организациям</v>
      </c>
      <c r="B500" s="167"/>
      <c r="C500" s="168"/>
      <c r="D500" s="170"/>
      <c r="E500" s="168"/>
      <c r="F500" s="169">
        <v>600</v>
      </c>
      <c r="G500" s="606">
        <v>74000</v>
      </c>
      <c r="H500" s="157">
        <v>74000</v>
      </c>
      <c r="I500" s="157">
        <f t="shared" si="8"/>
        <v>148000</v>
      </c>
    </row>
    <row r="501" spans="1:9" ht="31.5" x14ac:dyDescent="0.25">
      <c r="A501" s="153" t="str">
        <f>IF(B501&gt;0,VLOOKUP(B501,КВСР!A166:B1331,2),IF(C501&gt;0,VLOOKUP(C501,КФСР!A166:B1678,2),IF(D501&gt;0,VLOOKUP(D501,Программа!A$1:B$5100,2),IF(F501&gt;0,VLOOKUP(F501,КВР!A$1:B$5001,2),IF(E501&gt;0,VLOOKUP(E501,Направление!A$1:B$4830,2))))))</f>
        <v>Мероприятия по патриотическому воспитанию граждан</v>
      </c>
      <c r="B501" s="167"/>
      <c r="C501" s="168"/>
      <c r="D501" s="170"/>
      <c r="E501" s="168">
        <v>74880</v>
      </c>
      <c r="F501" s="169"/>
      <c r="G501" s="606">
        <v>60037</v>
      </c>
      <c r="H501" s="157">
        <f>H502</f>
        <v>60037</v>
      </c>
      <c r="I501" s="157">
        <f t="shared" si="8"/>
        <v>120074</v>
      </c>
    </row>
    <row r="502" spans="1:9" ht="63" x14ac:dyDescent="0.25">
      <c r="A502" s="153" t="str">
        <f>IF(B502&gt;0,VLOOKUP(B502,КВСР!A167:B1332,2),IF(C502&gt;0,VLOOKUP(C502,КФСР!A167:B1679,2),IF(D502&gt;0,VLOOKUP(D502,Программа!A$1:B$5100,2),IF(F502&gt;0,VLOOKUP(F502,КВР!A$1:B$5001,2),IF(E502&gt;0,VLOOKUP(E502,Направление!A$1:B$4830,2))))))</f>
        <v>Предоставление субсидий бюджетным, автономным учреждениям и иным некоммерческим организациям</v>
      </c>
      <c r="B502" s="167"/>
      <c r="C502" s="168"/>
      <c r="D502" s="170"/>
      <c r="E502" s="168"/>
      <c r="F502" s="169">
        <v>600</v>
      </c>
      <c r="G502" s="606">
        <v>60037</v>
      </c>
      <c r="H502" s="157">
        <v>60037</v>
      </c>
      <c r="I502" s="157">
        <f t="shared" si="8"/>
        <v>120074</v>
      </c>
    </row>
    <row r="503" spans="1:9" ht="63" x14ac:dyDescent="0.25">
      <c r="A503" s="153" t="str">
        <f>IF(B503&gt;0,VLOOKUP(B503,КВСР!A166:B1331,2),IF(C503&gt;0,VLOOKUP(C503,КФСР!A166:B1678,2),IF(D503&gt;0,VLOOKUP(D503,Программа!A$1:B$5100,2),IF(F503&gt;0,VLOOKUP(F503,КВР!A$1:B$5001,2),IF(E503&gt;0,VLOOKUP(E503,Направление!A$1:B$4830,2))))))</f>
        <v>Муниципальная целевая программа «Комплексные меры противодействия злоупотреблению наркотиками и их незаконному обороту»</v>
      </c>
      <c r="B503" s="167"/>
      <c r="C503" s="168"/>
      <c r="D503" s="170" t="s">
        <v>721</v>
      </c>
      <c r="E503" s="168"/>
      <c r="F503" s="169"/>
      <c r="G503" s="606">
        <v>168424</v>
      </c>
      <c r="H503" s="157">
        <f>H504</f>
        <v>168424</v>
      </c>
      <c r="I503" s="157">
        <f t="shared" si="8"/>
        <v>336848</v>
      </c>
    </row>
    <row r="504" spans="1:9" ht="47.25" x14ac:dyDescent="0.25">
      <c r="A504" s="153" t="str">
        <f>IF(B504&gt;0,VLOOKUP(B504,КВСР!A167:B1332,2),IF(C504&gt;0,VLOOKUP(C504,КФСР!A167:B1679,2),IF(D504&gt;0,VLOOKUP(D504,Программа!A$1:B$5100,2),IF(F504&gt;0,VLOOKUP(F504,КВР!A$1:B$5001,2),IF(E504&gt;0,VLOOKUP(E504,Направление!A$1:B$4830,2))))))</f>
        <v>Развитие системы профилактики немедицинского потребления наркотиков</v>
      </c>
      <c r="B504" s="167"/>
      <c r="C504" s="168"/>
      <c r="D504" s="170" t="s">
        <v>723</v>
      </c>
      <c r="E504" s="168"/>
      <c r="F504" s="169"/>
      <c r="G504" s="606">
        <v>168424</v>
      </c>
      <c r="H504" s="157">
        <f>H505+H507</f>
        <v>168424</v>
      </c>
      <c r="I504" s="157">
        <f t="shared" si="8"/>
        <v>336848</v>
      </c>
    </row>
    <row r="505" spans="1:9" ht="78.75" x14ac:dyDescent="0.25">
      <c r="A505" s="153" t="str">
        <f>IF(B505&gt;0,VLOOKUP(B505,КВСР!A168:B1333,2),IF(C505&gt;0,VLOOKUP(C505,КФСР!A168:B1680,2),IF(D505&gt;0,VLOOKUP(D505,Программа!A$1:B$5100,2),IF(F505&gt;0,VLOOKUP(F505,КВР!A$1:B$5001,2),IF(E505&gt;0,VLOOKUP(E505,Направление!A$1:B$4830,2))))))</f>
        <v>Расходы на обеспечение функционирования в вечернее время спортивных залов общеобразовательных школ для занятий в них обучающихся</v>
      </c>
      <c r="B505" s="167"/>
      <c r="C505" s="168"/>
      <c r="D505" s="170"/>
      <c r="E505" s="168">
        <v>11430</v>
      </c>
      <c r="F505" s="169"/>
      <c r="G505" s="606">
        <v>16843</v>
      </c>
      <c r="H505" s="157">
        <f>H506</f>
        <v>16843</v>
      </c>
      <c r="I505" s="157">
        <f t="shared" si="8"/>
        <v>33686</v>
      </c>
    </row>
    <row r="506" spans="1:9" ht="63" x14ac:dyDescent="0.25">
      <c r="A506" s="153" t="str">
        <f>IF(B506&gt;0,VLOOKUP(B506,КВСР!A169:B1334,2),IF(C506&gt;0,VLOOKUP(C506,КФСР!A169:B1681,2),IF(D506&gt;0,VLOOKUP(D506,Программа!A$1:B$5100,2),IF(F506&gt;0,VLOOKUP(F506,КВР!A$1:B$5001,2),IF(E506&gt;0,VLOOKUP(E506,Направление!A$1:B$4830,2))))))</f>
        <v>Предоставление субсидий бюджетным, автономным учреждениям и иным некоммерческим организациям</v>
      </c>
      <c r="B506" s="167"/>
      <c r="C506" s="168"/>
      <c r="D506" s="170"/>
      <c r="E506" s="168"/>
      <c r="F506" s="169">
        <v>600</v>
      </c>
      <c r="G506" s="607">
        <v>16843</v>
      </c>
      <c r="H506" s="159">
        <v>16843</v>
      </c>
      <c r="I506" s="157">
        <f t="shared" si="8"/>
        <v>33686</v>
      </c>
    </row>
    <row r="507" spans="1:9" ht="94.5" x14ac:dyDescent="0.25">
      <c r="A507" s="153" t="str">
        <f>IF(B507&gt;0,VLOOKUP(B507,КВСР!A170:B1335,2),IF(C507&gt;0,VLOOKUP(C507,КФСР!A170:B1682,2),IF(D507&gt;0,VLOOKUP(D507,Программа!A$1:B$5100,2),IF(F507&gt;0,VLOOKUP(F507,КВР!A$1:B$5001,2),IF(E507&gt;0,VLOOKUP(E507,Направление!A$1:B$4830,2))))))</f>
        <v>Расходы на обеспечение функционирования в вечернее время спортивных залов общеобразовательных школ для занятий в них обучающихся за счет средств областного бюджета</v>
      </c>
      <c r="B507" s="167"/>
      <c r="C507" s="168"/>
      <c r="D507" s="170"/>
      <c r="E507" s="168">
        <v>71430</v>
      </c>
      <c r="F507" s="169"/>
      <c r="G507" s="606">
        <v>151581</v>
      </c>
      <c r="H507" s="157">
        <f>H508</f>
        <v>151581</v>
      </c>
      <c r="I507" s="157">
        <f t="shared" si="8"/>
        <v>303162</v>
      </c>
    </row>
    <row r="508" spans="1:9" ht="63" x14ac:dyDescent="0.25">
      <c r="A508" s="153" t="str">
        <f>IF(B508&gt;0,VLOOKUP(B508,КВСР!A171:B1336,2),IF(C508&gt;0,VLOOKUP(C508,КФСР!A171:B1683,2),IF(D508&gt;0,VLOOKUP(D508,Программа!A$1:B$5100,2),IF(F508&gt;0,VLOOKUP(F508,КВР!A$1:B$5001,2),IF(E508&gt;0,VLOOKUP(E508,Направление!A$1:B$4830,2))))))</f>
        <v>Предоставление субсидий бюджетным, автономным учреждениям и иным некоммерческим организациям</v>
      </c>
      <c r="B508" s="167"/>
      <c r="C508" s="168"/>
      <c r="D508" s="170"/>
      <c r="E508" s="168"/>
      <c r="F508" s="169">
        <v>600</v>
      </c>
      <c r="G508" s="607">
        <v>151581</v>
      </c>
      <c r="H508" s="159">
        <v>151581</v>
      </c>
      <c r="I508" s="157">
        <f t="shared" si="8"/>
        <v>303162</v>
      </c>
    </row>
    <row r="509" spans="1:9" ht="63" x14ac:dyDescent="0.25">
      <c r="A509" s="153" t="str">
        <f>IF(B509&gt;0,VLOOKUP(B509,КВСР!A166:B1331,2),IF(C509&gt;0,VLOOKUP(C509,КФСР!A166:B1678,2),IF(D509&gt;0,VLOOKUP(D509,Программа!A$1:B$5100,2),IF(F509&gt;0,VLOOKUP(F509,КВР!A$1:B$5001,2),IF(E509&gt;0,VLOOKUP(E509,Направление!A$1:B$4830,2))))))</f>
        <v>Муниципальная программа "Развитие образования, физической культуры и спорта в Тутаевском муниципальном районе"</v>
      </c>
      <c r="B509" s="167"/>
      <c r="C509" s="168"/>
      <c r="D509" s="170" t="s">
        <v>684</v>
      </c>
      <c r="E509" s="168"/>
      <c r="F509" s="169"/>
      <c r="G509" s="606">
        <v>38840896</v>
      </c>
      <c r="H509" s="606">
        <f>H510+H550</f>
        <v>38938958</v>
      </c>
      <c r="I509" s="157">
        <f t="shared" si="8"/>
        <v>77779854</v>
      </c>
    </row>
    <row r="510" spans="1:9" ht="63" x14ac:dyDescent="0.25">
      <c r="A510" s="153" t="str">
        <f>IF(B510&gt;0,VLOOKUP(B510,КВСР!A167:B1332,2),IF(C510&gt;0,VLOOKUP(C510,КФСР!A167:B1679,2),IF(D510&gt;0,VLOOKUP(D510,Программа!A$1:B$5100,2),IF(F510&gt;0,VLOOKUP(F510,КВР!A$1:B$5001,2),IF(E510&gt;0,VLOOKUP(E510,Направление!A$1:B$4830,2))))))</f>
        <v xml:space="preserve">Ведомственная целевая программа департамента образования Администрации Тутаевского муниципального района </v>
      </c>
      <c r="B510" s="167"/>
      <c r="C510" s="168"/>
      <c r="D510" s="170" t="s">
        <v>686</v>
      </c>
      <c r="E510" s="168"/>
      <c r="F510" s="169"/>
      <c r="G510" s="606">
        <v>38784896</v>
      </c>
      <c r="H510" s="606">
        <f>H517+H522+H531+H511+H526</f>
        <v>38882958</v>
      </c>
      <c r="I510" s="157">
        <f t="shared" si="8"/>
        <v>77667854</v>
      </c>
    </row>
    <row r="511" spans="1:9" ht="47.25" x14ac:dyDescent="0.25">
      <c r="A511" s="153" t="str">
        <f>IF(B511&gt;0,VLOOKUP(B511,КВСР!A168:B1333,2),IF(C511&gt;0,VLOOKUP(C511,КФСР!A168:B1680,2),IF(D511&gt;0,VLOOKUP(D511,Программа!A$1:B$5100,2),IF(F511&gt;0,VLOOKUP(F511,КВР!A$1:B$5001,2),IF(E511&gt;0,VLOOKUP(E511,Направление!A$1:B$4830,2))))))</f>
        <v>Обеспечение качества и доступности образовательных услуг в сфере дополнительного образования</v>
      </c>
      <c r="B511" s="167"/>
      <c r="C511" s="168"/>
      <c r="D511" s="170" t="s">
        <v>751</v>
      </c>
      <c r="E511" s="168"/>
      <c r="F511" s="169"/>
      <c r="G511" s="606">
        <v>320000</v>
      </c>
      <c r="H511" s="157">
        <f>H513+H514+H515+H516</f>
        <v>311818</v>
      </c>
      <c r="I511" s="157">
        <f t="shared" si="8"/>
        <v>631818</v>
      </c>
    </row>
    <row r="512" spans="1:9" x14ac:dyDescent="0.25">
      <c r="A512" s="153" t="str">
        <f>IF(B512&gt;0,VLOOKUP(B512,КВСР!A169:B1334,2),IF(C512&gt;0,VLOOKUP(C512,КФСР!A169:B1681,2),IF(D512&gt;0,VLOOKUP(D512,Программа!A$1:B$5100,2),IF(F512&gt;0,VLOOKUP(F512,КВР!A$1:B$5001,2),IF(E512&gt;0,VLOOKUP(E512,Направление!A$1:B$4830,2))))))</f>
        <v>Мероприятия в сфере образования</v>
      </c>
      <c r="B512" s="167"/>
      <c r="C512" s="168"/>
      <c r="D512" s="170"/>
      <c r="E512" s="168">
        <v>13320</v>
      </c>
      <c r="F512" s="169"/>
      <c r="G512" s="606">
        <v>320000</v>
      </c>
      <c r="H512" s="157">
        <f>H513+H514+H515+H516</f>
        <v>311818</v>
      </c>
      <c r="I512" s="157">
        <f t="shared" ref="I512:I577" si="10">SUM(G512:H512)</f>
        <v>631818</v>
      </c>
    </row>
    <row r="513" spans="1:9" ht="126" hidden="1" x14ac:dyDescent="0.25">
      <c r="A513" s="153" t="str">
        <f>IF(B513&gt;0,VLOOKUP(B513,КВСР!A169:B1334,2),IF(C513&gt;0,VLOOKUP(C513,КФСР!A169:B1681,2),IF(D513&gt;0,VLOOKUP(D513,Программа!A$1:B$5100,2),IF(F513&gt;0,VLOOKUP(F513,КВР!A$1:B$5001,2),IF(E513&gt;0,VLOOKUP(E513,Направление!A$1:B$4830,2))))))</f>
        <v xml:space="preserve">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
</v>
      </c>
      <c r="B513" s="167"/>
      <c r="C513" s="168"/>
      <c r="D513" s="170"/>
      <c r="E513" s="168"/>
      <c r="F513" s="169">
        <v>100</v>
      </c>
      <c r="G513" s="516">
        <v>0</v>
      </c>
      <c r="H513" s="158"/>
      <c r="I513" s="157">
        <f t="shared" si="10"/>
        <v>0</v>
      </c>
    </row>
    <row r="514" spans="1:9" ht="63" x14ac:dyDescent="0.25">
      <c r="A514" s="153" t="str">
        <f>IF(B514&gt;0,VLOOKUP(B514,КВСР!A170:B1335,2),IF(C514&gt;0,VLOOKUP(C514,КФСР!A170:B1682,2),IF(D514&gt;0,VLOOKUP(D514,Программа!A$1:B$5100,2),IF(F514&gt;0,VLOOKUP(F514,КВР!A$1:B$5001,2),IF(E514&gt;0,VLOOKUP(E514,Направление!A$1:B$4830,2))))))</f>
        <v xml:space="preserve">Закупка товаров, работ и услуг для обеспечения государственных (муниципальных) нужд
</v>
      </c>
      <c r="B514" s="167"/>
      <c r="C514" s="168"/>
      <c r="D514" s="170"/>
      <c r="E514" s="168"/>
      <c r="F514" s="169">
        <v>200</v>
      </c>
      <c r="G514" s="516">
        <v>92800</v>
      </c>
      <c r="H514" s="158">
        <v>84618</v>
      </c>
      <c r="I514" s="157">
        <f t="shared" si="10"/>
        <v>177418</v>
      </c>
    </row>
    <row r="515" spans="1:9" ht="63" x14ac:dyDescent="0.25">
      <c r="A515" s="153" t="str">
        <f>IF(B515&gt;0,VLOOKUP(B515,КВСР!A171:B1336,2),IF(C515&gt;0,VLOOKUP(C515,КФСР!A171:B1683,2),IF(D515&gt;0,VLOOKUP(D515,Программа!A$1:B$5100,2),IF(F515&gt;0,VLOOKUP(F515,КВР!A$1:B$5001,2),IF(E515&gt;0,VLOOKUP(E515,Направление!A$1:B$4830,2))))))</f>
        <v>Предоставление субсидий бюджетным, автономным учреждениям и иным некоммерческим организациям</v>
      </c>
      <c r="B515" s="167"/>
      <c r="C515" s="168"/>
      <c r="D515" s="170"/>
      <c r="E515" s="168"/>
      <c r="F515" s="169">
        <v>600</v>
      </c>
      <c r="G515" s="516">
        <v>227200</v>
      </c>
      <c r="H515" s="158">
        <v>227200</v>
      </c>
      <c r="I515" s="157">
        <f t="shared" si="10"/>
        <v>454400</v>
      </c>
    </row>
    <row r="516" spans="1:9" hidden="1" x14ac:dyDescent="0.25">
      <c r="A516" s="153" t="str">
        <f>IF(B516&gt;0,VLOOKUP(B516,КВСР!A172:B1337,2),IF(C516&gt;0,VLOOKUP(C516,КФСР!A172:B1684,2),IF(D516&gt;0,VLOOKUP(D516,Программа!A$1:B$5100,2),IF(F516&gt;0,VLOOKUP(F516,КВР!A$1:B$5001,2),IF(E516&gt;0,VLOOKUP(E516,Направление!A$1:B$4830,2))))))</f>
        <v>Иные бюджетные ассигнования</v>
      </c>
      <c r="B516" s="167"/>
      <c r="C516" s="168"/>
      <c r="D516" s="170"/>
      <c r="E516" s="168"/>
      <c r="F516" s="169">
        <v>800</v>
      </c>
      <c r="G516" s="516">
        <v>0</v>
      </c>
      <c r="H516" s="158"/>
      <c r="I516" s="157">
        <f t="shared" si="10"/>
        <v>0</v>
      </c>
    </row>
    <row r="517" spans="1:9" ht="31.5" x14ac:dyDescent="0.25">
      <c r="A517" s="153" t="str">
        <f>IF(B517&gt;0,VLOOKUP(B517,КВСР!A168:B1333,2),IF(C517&gt;0,VLOOKUP(C517,КФСР!A168:B1680,2),IF(D517&gt;0,VLOOKUP(D517,Программа!A$1:B$5100,2),IF(F517&gt;0,VLOOKUP(F517,КВР!A$1:B$5001,2),IF(E517&gt;0,VLOOKUP(E517,Направление!A$1:B$4830,2))))))</f>
        <v>Повышение мотивации участников образовательного процесса</v>
      </c>
      <c r="B517" s="167"/>
      <c r="C517" s="168"/>
      <c r="D517" s="170" t="s">
        <v>729</v>
      </c>
      <c r="E517" s="168"/>
      <c r="F517" s="169"/>
      <c r="G517" s="606">
        <v>332000</v>
      </c>
      <c r="H517" s="157">
        <f>H518+H520</f>
        <v>326000</v>
      </c>
      <c r="I517" s="157">
        <f t="shared" si="10"/>
        <v>658000</v>
      </c>
    </row>
    <row r="518" spans="1:9" ht="31.5" x14ac:dyDescent="0.25">
      <c r="A518" s="153" t="str">
        <f>IF(B518&gt;0,VLOOKUP(B518,КВСР!A169:B1334,2),IF(C518&gt;0,VLOOKUP(C518,КФСР!A169:B1681,2),IF(D518&gt;0,VLOOKUP(D518,Программа!A$1:B$5100,2),IF(F518&gt;0,VLOOKUP(F518,КВР!A$1:B$5001,2),IF(E518&gt;0,VLOOKUP(E518,Направление!A$1:B$4830,2))))))</f>
        <v xml:space="preserve">Выплата ежемесячных и разовых стипендий главы </v>
      </c>
      <c r="B518" s="167"/>
      <c r="C518" s="168"/>
      <c r="D518" s="170"/>
      <c r="E518" s="168">
        <v>12700</v>
      </c>
      <c r="F518" s="169"/>
      <c r="G518" s="606">
        <v>232000</v>
      </c>
      <c r="H518" s="157">
        <f>H519</f>
        <v>226000</v>
      </c>
      <c r="I518" s="157">
        <f t="shared" si="10"/>
        <v>458000</v>
      </c>
    </row>
    <row r="519" spans="1:9" ht="31.5" x14ac:dyDescent="0.25">
      <c r="A519" s="153" t="str">
        <f>IF(B519&gt;0,VLOOKUP(B519,КВСР!A170:B1335,2),IF(C519&gt;0,VLOOKUP(C519,КФСР!A170:B1682,2),IF(D519&gt;0,VLOOKUP(D519,Программа!A$1:B$5100,2),IF(F519&gt;0,VLOOKUP(F519,КВР!A$1:B$5001,2),IF(E519&gt;0,VLOOKUP(E519,Направление!A$1:B$4830,2))))))</f>
        <v>Социальное обеспечение и иные выплаты населению</v>
      </c>
      <c r="B519" s="167"/>
      <c r="C519" s="168"/>
      <c r="D519" s="170"/>
      <c r="E519" s="168"/>
      <c r="F519" s="169">
        <v>300</v>
      </c>
      <c r="G519" s="607">
        <v>232000</v>
      </c>
      <c r="H519" s="159">
        <v>226000</v>
      </c>
      <c r="I519" s="157">
        <f t="shared" si="10"/>
        <v>458000</v>
      </c>
    </row>
    <row r="520" spans="1:9" ht="63" x14ac:dyDescent="0.25">
      <c r="A520" s="153" t="str">
        <f>IF(B520&gt;0,VLOOKUP(B520,КВСР!A171:B1336,2),IF(C520&gt;0,VLOOKUP(C520,КФСР!A171:B1683,2),IF(D520&gt;0,VLOOKUP(D520,Программа!A$1:B$5100,2),IF(F520&gt;0,VLOOKUP(F520,КВР!A$1:B$5001,2),IF(E520&gt;0,VLOOKUP(E520,Направление!A$1:B$4830,2))))))</f>
        <v>Денежное поощрение лучших руковдящих и педагогических работников за заслуги в сфере образования</v>
      </c>
      <c r="B520" s="167"/>
      <c r="C520" s="168"/>
      <c r="D520" s="170"/>
      <c r="E520" s="168">
        <v>12710</v>
      </c>
      <c r="F520" s="169"/>
      <c r="G520" s="606">
        <v>100000</v>
      </c>
      <c r="H520" s="157">
        <f>H521</f>
        <v>100000</v>
      </c>
      <c r="I520" s="157">
        <f t="shared" si="10"/>
        <v>200000</v>
      </c>
    </row>
    <row r="521" spans="1:9" ht="31.5" x14ac:dyDescent="0.25">
      <c r="A521" s="153" t="str">
        <f>IF(B521&gt;0,VLOOKUP(B521,КВСР!A172:B1337,2),IF(C521&gt;0,VLOOKUP(C521,КФСР!A172:B1684,2),IF(D521&gt;0,VLOOKUP(D521,Программа!A$1:B$5100,2),IF(F521&gt;0,VLOOKUP(F521,КВР!A$1:B$5001,2),IF(E521&gt;0,VLOOKUP(E521,Направление!A$1:B$4830,2))))))</f>
        <v>Социальное обеспечение и иные выплаты населению</v>
      </c>
      <c r="B521" s="167"/>
      <c r="C521" s="168"/>
      <c r="D521" s="170"/>
      <c r="E521" s="168"/>
      <c r="F521" s="169">
        <v>300</v>
      </c>
      <c r="G521" s="607">
        <v>100000</v>
      </c>
      <c r="H521" s="159">
        <v>100000</v>
      </c>
      <c r="I521" s="157">
        <f t="shared" si="10"/>
        <v>200000</v>
      </c>
    </row>
    <row r="522" spans="1:9" ht="78.75" x14ac:dyDescent="0.25">
      <c r="A522" s="153" t="str">
        <f>IF(B522&gt;0,VLOOKUP(B522,КВСР!A173:B1338,2),IF(C522&gt;0,VLOOKUP(C522,КФСР!A173:B1685,2),IF(D522&gt;0,VLOOKUP(D522,Программа!A$1:B$5100,2),IF(F522&gt;0,VLOOKUP(F522,КВР!A$1:B$5001,2),IF(E522&gt;0,VLOOKUP(E522,Направление!A$1:B$4830,2))))))</f>
        <v>Обеспечение доступности и качества услуг в сфере психолого и медико- социального сопровождения детей, методической и консультационной помощи педагогическим работникам</v>
      </c>
      <c r="B522" s="167"/>
      <c r="C522" s="168"/>
      <c r="D522" s="170" t="s">
        <v>706</v>
      </c>
      <c r="E522" s="168"/>
      <c r="F522" s="169"/>
      <c r="G522" s="606">
        <v>9572879</v>
      </c>
      <c r="H522" s="157">
        <f>H523</f>
        <v>9572879</v>
      </c>
      <c r="I522" s="157">
        <f t="shared" si="10"/>
        <v>19145758</v>
      </c>
    </row>
    <row r="523" spans="1:9" ht="31.5" x14ac:dyDescent="0.25">
      <c r="A523" s="153" t="str">
        <f>IF(B523&gt;0,VLOOKUP(B523,КВСР!A174:B1339,2),IF(C523&gt;0,VLOOKUP(C523,КФСР!A174:B1686,2),IF(D523&gt;0,VLOOKUP(D523,Программа!A$1:B$5100,2),IF(F523&gt;0,VLOOKUP(F523,КВР!A$1:B$5001,2),IF(E523&gt;0,VLOOKUP(E523,Направление!A$1:B$4830,2))))))</f>
        <v>Обеспечение деятельности прочих учреждений в сфере образования</v>
      </c>
      <c r="B523" s="167"/>
      <c r="C523" s="168"/>
      <c r="D523" s="170"/>
      <c r="E523" s="168">
        <v>13310</v>
      </c>
      <c r="F523" s="169"/>
      <c r="G523" s="606">
        <v>9572879</v>
      </c>
      <c r="H523" s="157">
        <f>H524+H525</f>
        <v>9572879</v>
      </c>
      <c r="I523" s="157">
        <f t="shared" si="10"/>
        <v>19145758</v>
      </c>
    </row>
    <row r="524" spans="1:9" ht="63" hidden="1" x14ac:dyDescent="0.25">
      <c r="A524" s="153" t="str">
        <f>IF(B524&gt;0,VLOOKUP(B524,КВСР!A175:B1340,2),IF(C524&gt;0,VLOOKUP(C524,КФСР!A175:B1687,2),IF(D524&gt;0,VLOOKUP(D524,Программа!A$1:B$5100,2),IF(F524&gt;0,VLOOKUP(F524,КВР!A$1:B$5001,2),IF(E524&gt;0,VLOOKUP(E524,Направление!A$1:B$4830,2))))))</f>
        <v xml:space="preserve">Закупка товаров, работ и услуг для обеспечения государственных (муниципальных) нужд
</v>
      </c>
      <c r="B524" s="167"/>
      <c r="C524" s="168"/>
      <c r="D524" s="170"/>
      <c r="E524" s="168"/>
      <c r="F524" s="169">
        <v>200</v>
      </c>
      <c r="G524" s="607">
        <v>0</v>
      </c>
      <c r="H524" s="159"/>
      <c r="I524" s="157">
        <f t="shared" si="10"/>
        <v>0</v>
      </c>
    </row>
    <row r="525" spans="1:9" ht="63" x14ac:dyDescent="0.25">
      <c r="A525" s="153" t="str">
        <f>IF(B525&gt;0,VLOOKUP(B525,КВСР!A176:B1341,2),IF(C525&gt;0,VLOOKUP(C525,КФСР!A176:B1688,2),IF(D525&gt;0,VLOOKUP(D525,Программа!A$1:B$5100,2),IF(F525&gt;0,VLOOKUP(F525,КВР!A$1:B$5001,2),IF(E525&gt;0,VLOOKUP(E525,Направление!A$1:B$4830,2))))))</f>
        <v>Предоставление субсидий бюджетным, автономным учреждениям и иным некоммерческим организациям</v>
      </c>
      <c r="B525" s="167"/>
      <c r="C525" s="168"/>
      <c r="D525" s="170"/>
      <c r="E525" s="168"/>
      <c r="F525" s="169">
        <v>600</v>
      </c>
      <c r="G525" s="607">
        <v>9572879</v>
      </c>
      <c r="H525" s="159">
        <v>9572879</v>
      </c>
      <c r="I525" s="157">
        <f t="shared" si="10"/>
        <v>19145758</v>
      </c>
    </row>
    <row r="526" spans="1:9" ht="47.25" hidden="1" x14ac:dyDescent="0.25">
      <c r="A526" s="153" t="str">
        <f>IF(B526&gt;0,VLOOKUP(B526,КВСР!A177:B1342,2),IF(C526&gt;0,VLOOKUP(C526,КФСР!A177:B1689,2),IF(D526&gt;0,VLOOKUP(D526,Программа!A$1:B$5100,2),IF(F526&gt;0,VLOOKUP(F526,КВР!A$1:B$5001,2),IF(E526&gt;0,VLOOKUP(E526,Направление!A$1:B$4830,2))))))</f>
        <v>Обеспечение реализации мероприятий в рамках областных целевых программ</v>
      </c>
      <c r="B526" s="167"/>
      <c r="C526" s="168"/>
      <c r="D526" s="170" t="s">
        <v>2946</v>
      </c>
      <c r="E526" s="168"/>
      <c r="F526" s="169"/>
      <c r="G526" s="606">
        <v>0</v>
      </c>
      <c r="H526" s="487">
        <f>H527</f>
        <v>0</v>
      </c>
      <c r="I526" s="157">
        <f t="shared" si="10"/>
        <v>0</v>
      </c>
    </row>
    <row r="527" spans="1:9" ht="78.75" hidden="1" x14ac:dyDescent="0.25">
      <c r="A527" s="153" t="str">
        <f>IF(B527&gt;0,VLOOKUP(B527,КВСР!A177:B1342,2),IF(C527&gt;0,VLOOKUP(C527,КФСР!A177:B1689,2),IF(D527&gt;0,VLOOKUP(D527,Программа!A$1:B$5100,2),IF(F527&gt;0,VLOOKUP(F527,КВР!A$1:B$5001,2),IF(E527&gt;0,VLOOKUP(E527,Направление!A$1:B$4830,2))))))</f>
        <v>Государственная поддержка материально-технической базы образовательных учреждений Ярославской области за счет средств областного бюджета</v>
      </c>
      <c r="B527" s="167"/>
      <c r="C527" s="168"/>
      <c r="D527" s="170"/>
      <c r="E527" s="168">
        <v>10470</v>
      </c>
      <c r="F527" s="169"/>
      <c r="G527" s="606">
        <v>0</v>
      </c>
      <c r="H527" s="157">
        <f>H528</f>
        <v>0</v>
      </c>
      <c r="I527" s="157">
        <f t="shared" si="10"/>
        <v>0</v>
      </c>
    </row>
    <row r="528" spans="1:9" ht="63" hidden="1" x14ac:dyDescent="0.25">
      <c r="A528" s="153" t="str">
        <f>IF(B528&gt;0,VLOOKUP(B528,КВСР!A178:B1343,2),IF(C528&gt;0,VLOOKUP(C528,КФСР!A178:B1690,2),IF(D528&gt;0,VLOOKUP(D528,Программа!A$1:B$5100,2),IF(F528&gt;0,VLOOKUP(F528,КВР!A$1:B$5001,2),IF(E528&gt;0,VLOOKUP(E528,Направление!A$1:B$4830,2))))))</f>
        <v>Предоставление субсидий бюджетным, автономным учреждениям и иным некоммерческим организациям</v>
      </c>
      <c r="B528" s="167"/>
      <c r="C528" s="168"/>
      <c r="D528" s="170"/>
      <c r="E528" s="168"/>
      <c r="F528" s="169">
        <v>600</v>
      </c>
      <c r="G528" s="607">
        <v>0</v>
      </c>
      <c r="H528" s="159"/>
      <c r="I528" s="157">
        <f t="shared" si="10"/>
        <v>0</v>
      </c>
    </row>
    <row r="529" spans="1:9" ht="78.75" hidden="1" x14ac:dyDescent="0.25">
      <c r="A529" s="153" t="str">
        <f>IF(B529&gt;0,VLOOKUP(B529,КВСР!A179:B1344,2),IF(C529&gt;0,VLOOKUP(C529,КФСР!A179:B1691,2),IF(D529&gt;0,VLOOKUP(D529,Программа!A$1:B$5100,2),IF(F529&gt;0,VLOOKUP(F529,КВР!A$1:B$5001,2),IF(E529&gt;0,VLOOKUP(E529,Направление!A$1:B$4830,2))))))</f>
        <v>Государственная поддержка материально-технической базы образовательных учреждений Ярославской области за счет средств областного бюджета</v>
      </c>
      <c r="B529" s="167"/>
      <c r="C529" s="168"/>
      <c r="D529" s="170"/>
      <c r="E529" s="168">
        <v>70470</v>
      </c>
      <c r="F529" s="169"/>
      <c r="G529" s="606">
        <v>0</v>
      </c>
      <c r="H529" s="157"/>
      <c r="I529" s="157">
        <f t="shared" si="10"/>
        <v>0</v>
      </c>
    </row>
    <row r="530" spans="1:9" ht="63" hidden="1" x14ac:dyDescent="0.25">
      <c r="A530" s="153" t="str">
        <f>IF(B530&gt;0,VLOOKUP(B530,КВСР!A180:B1345,2),IF(C530&gt;0,VLOOKUP(C530,КФСР!A180:B1692,2),IF(D530&gt;0,VLOOKUP(D530,Программа!A$1:B$5100,2),IF(F530&gt;0,VLOOKUP(F530,КВР!A$1:B$5001,2),IF(E530&gt;0,VLOOKUP(E530,Направление!A$1:B$4830,2))))))</f>
        <v>Предоставление субсидий бюджетным, автономным учреждениям и иным некоммерческим организациям</v>
      </c>
      <c r="B530" s="167"/>
      <c r="C530" s="168"/>
      <c r="D530" s="170"/>
      <c r="E530" s="168"/>
      <c r="F530" s="169">
        <v>600</v>
      </c>
      <c r="G530" s="607">
        <v>0</v>
      </c>
      <c r="H530" s="159"/>
      <c r="I530" s="157">
        <f t="shared" si="10"/>
        <v>0</v>
      </c>
    </row>
    <row r="531" spans="1:9" ht="31.5" x14ac:dyDescent="0.25">
      <c r="A531" s="153" t="str">
        <f>IF(B531&gt;0,VLOOKUP(B531,КВСР!A168:B1333,2),IF(C531&gt;0,VLOOKUP(C531,КФСР!A168:B1680,2),IF(D531&gt;0,VLOOKUP(D531,Программа!A$1:B$5100,2),IF(F531&gt;0,VLOOKUP(F531,КВР!A$1:B$5001,2),IF(E531&gt;0,VLOOKUP(E531,Направление!A$1:B$4830,2))))))</f>
        <v>Обеспечение эффективности управления системой образования</v>
      </c>
      <c r="B531" s="167"/>
      <c r="C531" s="168"/>
      <c r="D531" s="170" t="s">
        <v>2949</v>
      </c>
      <c r="E531" s="168"/>
      <c r="F531" s="169"/>
      <c r="G531" s="606">
        <v>28560017</v>
      </c>
      <c r="H531" s="157">
        <f>H532+H536+H538+H543+H546</f>
        <v>28672261</v>
      </c>
      <c r="I531" s="157">
        <f t="shared" si="10"/>
        <v>57232278</v>
      </c>
    </row>
    <row r="532" spans="1:9" x14ac:dyDescent="0.25">
      <c r="A532" s="153" t="str">
        <f>IF(B532&gt;0,VLOOKUP(B532,КВСР!A169:B1334,2),IF(C532&gt;0,VLOOKUP(C532,КФСР!A169:B1681,2),IF(D532&gt;0,VLOOKUP(D532,Программа!A$1:B$5100,2),IF(F532&gt;0,VLOOKUP(F532,КВР!A$1:B$5001,2),IF(E532&gt;0,VLOOKUP(E532,Направление!A$1:B$4830,2))))))</f>
        <v>Содержание центрального аппарата</v>
      </c>
      <c r="B532" s="167"/>
      <c r="C532" s="168"/>
      <c r="D532" s="170"/>
      <c r="E532" s="168">
        <v>12010</v>
      </c>
      <c r="F532" s="151"/>
      <c r="G532" s="500">
        <v>5655112</v>
      </c>
      <c r="H532" s="155">
        <f>H533+H534+H535</f>
        <v>5753888</v>
      </c>
      <c r="I532" s="157">
        <f t="shared" si="10"/>
        <v>11409000</v>
      </c>
    </row>
    <row r="533" spans="1:9" ht="126" x14ac:dyDescent="0.25">
      <c r="A533" s="153" t="str">
        <f>IF(B533&gt;0,VLOOKUP(B533,КВСР!A164:B1329,2),IF(C533&gt;0,VLOOKUP(C533,КФСР!A164:B1676,2),IF(D533&gt;0,VLOOKUP(D533,Программа!A$1:B$5100,2),IF(F533&gt;0,VLOOKUP(F533,КВР!A$1:B$5001,2),IF(E533&gt;0,VLOOKUP(E533,Направление!A$1:B$4830,2))))))</f>
        <v xml:space="preserve">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
</v>
      </c>
      <c r="B533" s="167"/>
      <c r="C533" s="168"/>
      <c r="D533" s="169"/>
      <c r="E533" s="168"/>
      <c r="F533" s="151">
        <v>100</v>
      </c>
      <c r="G533" s="498">
        <v>4822264</v>
      </c>
      <c r="H533" s="156">
        <v>4927839</v>
      </c>
      <c r="I533" s="157">
        <f t="shared" si="10"/>
        <v>9750103</v>
      </c>
    </row>
    <row r="534" spans="1:9" ht="63" x14ac:dyDescent="0.25">
      <c r="A534" s="153" t="str">
        <f>IF(B534&gt;0,VLOOKUP(B534,КВСР!A165:B1330,2),IF(C534&gt;0,VLOOKUP(C534,КФСР!A165:B1677,2),IF(D534&gt;0,VLOOKUP(D534,Программа!A$1:B$5100,2),IF(F534&gt;0,VLOOKUP(F534,КВР!A$1:B$5001,2),IF(E534&gt;0,VLOOKUP(E534,Направление!A$1:B$4830,2))))))</f>
        <v xml:space="preserve">Закупка товаров, работ и услуг для обеспечения государственных (муниципальных) нужд
</v>
      </c>
      <c r="B534" s="167"/>
      <c r="C534" s="168"/>
      <c r="D534" s="169"/>
      <c r="E534" s="168"/>
      <c r="F534" s="151">
        <v>200</v>
      </c>
      <c r="G534" s="498">
        <v>795748</v>
      </c>
      <c r="H534" s="156">
        <v>791546</v>
      </c>
      <c r="I534" s="157">
        <f t="shared" si="10"/>
        <v>1587294</v>
      </c>
    </row>
    <row r="535" spans="1:9" x14ac:dyDescent="0.25">
      <c r="A535" s="153" t="str">
        <f>IF(B535&gt;0,VLOOKUP(B535,КВСР!A166:B1331,2),IF(C535&gt;0,VLOOKUP(C535,КФСР!A166:B1678,2),IF(D535&gt;0,VLOOKUP(D535,Программа!A$1:B$5100,2),IF(F535&gt;0,VLOOKUP(F535,КВР!A$1:B$5001,2),IF(E535&gt;0,VLOOKUP(E535,Направление!A$1:B$4830,2))))))</f>
        <v>Иные бюджетные ассигнования</v>
      </c>
      <c r="B535" s="167"/>
      <c r="C535" s="168"/>
      <c r="D535" s="169"/>
      <c r="E535" s="168"/>
      <c r="F535" s="151">
        <v>800</v>
      </c>
      <c r="G535" s="498">
        <v>37100</v>
      </c>
      <c r="H535" s="156">
        <v>34503</v>
      </c>
      <c r="I535" s="157">
        <f t="shared" si="10"/>
        <v>71603</v>
      </c>
    </row>
    <row r="536" spans="1:9" ht="31.5" hidden="1" x14ac:dyDescent="0.25">
      <c r="A536" s="153" t="str">
        <f>IF(B536&gt;0,VLOOKUP(B536,КВСР!A166:B1331,2),IF(C536&gt;0,VLOOKUP(C536,КФСР!A166:B1678,2),IF(D536&gt;0,VLOOKUP(D536,Программа!A$1:B$5100,2),IF(F536&gt;0,VLOOKUP(F536,КВР!A$1:B$5001,2),IF(E536&gt;0,VLOOKUP(E536,Направление!A$1:B$4830,2))))))</f>
        <v>Выполнение других обязательств органов местного самоуправления</v>
      </c>
      <c r="B536" s="167"/>
      <c r="C536" s="168"/>
      <c r="D536" s="170"/>
      <c r="E536" s="168">
        <v>12080</v>
      </c>
      <c r="F536" s="151"/>
      <c r="G536" s="500">
        <v>0</v>
      </c>
      <c r="H536" s="155">
        <f>H537</f>
        <v>0</v>
      </c>
      <c r="I536" s="157">
        <f t="shared" si="10"/>
        <v>0</v>
      </c>
    </row>
    <row r="537" spans="1:9" ht="63" hidden="1" x14ac:dyDescent="0.25">
      <c r="A537" s="153" t="str">
        <f>IF(B537&gt;0,VLOOKUP(B537,КВСР!A167:B1332,2),IF(C537&gt;0,VLOOKUP(C537,КФСР!A167:B1679,2),IF(D537&gt;0,VLOOKUP(D537,Программа!A$1:B$5100,2),IF(F537&gt;0,VLOOKUP(F537,КВР!A$1:B$5001,2),IF(E537&gt;0,VLOOKUP(E537,Направление!A$1:B$4830,2))))))</f>
        <v xml:space="preserve">Закупка товаров, работ и услуг для обеспечения государственных (муниципальных) нужд
</v>
      </c>
      <c r="B537" s="167"/>
      <c r="C537" s="168"/>
      <c r="D537" s="169"/>
      <c r="E537" s="168"/>
      <c r="F537" s="151">
        <v>200</v>
      </c>
      <c r="G537" s="498">
        <v>0</v>
      </c>
      <c r="H537" s="156"/>
      <c r="I537" s="157">
        <f t="shared" si="10"/>
        <v>0</v>
      </c>
    </row>
    <row r="538" spans="1:9" ht="31.5" x14ac:dyDescent="0.25">
      <c r="A538" s="153" t="str">
        <f>IF(B538&gt;0,VLOOKUP(B538,КВСР!A168:B1333,2),IF(C538&gt;0,VLOOKUP(C538,КФСР!A168:B1680,2),IF(D538&gt;0,VLOOKUP(D538,Программа!A$1:B$5100,2),IF(F538&gt;0,VLOOKUP(F538,КВР!A$1:B$5001,2),IF(E538&gt;0,VLOOKUP(E538,Направление!A$1:B$4830,2))))))</f>
        <v>Обеспечение деятельности прочих учреждений в сфере образования</v>
      </c>
      <c r="B538" s="167"/>
      <c r="C538" s="168"/>
      <c r="D538" s="170"/>
      <c r="E538" s="168">
        <v>13310</v>
      </c>
      <c r="F538" s="169"/>
      <c r="G538" s="606">
        <v>18846512</v>
      </c>
      <c r="H538" s="157">
        <f>H539+H540+H541+H542</f>
        <v>18854468</v>
      </c>
      <c r="I538" s="157">
        <f t="shared" si="10"/>
        <v>37700980</v>
      </c>
    </row>
    <row r="539" spans="1:9" ht="126" x14ac:dyDescent="0.25">
      <c r="A539" s="153" t="str">
        <f>IF(B539&gt;0,VLOOKUP(B539,КВСР!A169:B1334,2),IF(C539&gt;0,VLOOKUP(C539,КФСР!A169:B1681,2),IF(D539&gt;0,VLOOKUP(D539,Программа!A$1:B$5100,2),IF(F539&gt;0,VLOOKUP(F539,КВР!A$1:B$5001,2),IF(E539&gt;0,VLOOKUP(E539,Направление!A$1:B$4830,2))))))</f>
        <v xml:space="preserve">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
</v>
      </c>
      <c r="B539" s="167"/>
      <c r="C539" s="168"/>
      <c r="D539" s="169"/>
      <c r="E539" s="168"/>
      <c r="F539" s="169">
        <v>100</v>
      </c>
      <c r="G539" s="516">
        <v>17522537</v>
      </c>
      <c r="H539" s="158">
        <v>17784598</v>
      </c>
      <c r="I539" s="157">
        <f t="shared" si="10"/>
        <v>35307135</v>
      </c>
    </row>
    <row r="540" spans="1:9" ht="63" x14ac:dyDescent="0.25">
      <c r="A540" s="153" t="str">
        <f>IF(B540&gt;0,VLOOKUP(B540,КВСР!A170:B1335,2),IF(C540&gt;0,VLOOKUP(C540,КФСР!A170:B1682,2),IF(D540&gt;0,VLOOKUP(D540,Программа!A$1:B$5100,2),IF(F540&gt;0,VLOOKUP(F540,КВР!A$1:B$5001,2),IF(E540&gt;0,VLOOKUP(E540,Направление!A$1:B$4830,2))))))</f>
        <v xml:space="preserve">Закупка товаров, работ и услуг для обеспечения государственных (муниципальных) нужд
</v>
      </c>
      <c r="B540" s="167"/>
      <c r="C540" s="168"/>
      <c r="D540" s="169"/>
      <c r="E540" s="168"/>
      <c r="F540" s="169">
        <v>200</v>
      </c>
      <c r="G540" s="516">
        <v>1303275</v>
      </c>
      <c r="H540" s="158">
        <v>1035979</v>
      </c>
      <c r="I540" s="157">
        <f t="shared" si="10"/>
        <v>2339254</v>
      </c>
    </row>
    <row r="541" spans="1:9" ht="63" hidden="1" x14ac:dyDescent="0.25">
      <c r="A541" s="153" t="str">
        <f>IF(B541&gt;0,VLOOKUP(B541,КВСР!A171:B1336,2),IF(C541&gt;0,VLOOKUP(C541,КФСР!A171:B1683,2),IF(D541&gt;0,VLOOKUP(D541,Программа!A$1:B$5100,2),IF(F541&gt;0,VLOOKUP(F541,КВР!A$1:B$5001,2),IF(E541&gt;0,VLOOKUP(E541,Направление!A$1:B$4830,2))))))</f>
        <v>Предоставление субсидий бюджетным, автономным учреждениям и иным некоммерческим организациям</v>
      </c>
      <c r="B541" s="167"/>
      <c r="C541" s="168"/>
      <c r="D541" s="169"/>
      <c r="E541" s="168"/>
      <c r="F541" s="169">
        <v>600</v>
      </c>
      <c r="G541" s="516">
        <v>0</v>
      </c>
      <c r="H541" s="158"/>
      <c r="I541" s="157">
        <f t="shared" si="10"/>
        <v>0</v>
      </c>
    </row>
    <row r="542" spans="1:9" x14ac:dyDescent="0.25">
      <c r="A542" s="153" t="str">
        <f>IF(B542&gt;0,VLOOKUP(B542,КВСР!A172:B1337,2),IF(C542&gt;0,VLOOKUP(C542,КФСР!A172:B1684,2),IF(D542&gt;0,VLOOKUP(D542,Программа!A$1:B$5100,2),IF(F542&gt;0,VLOOKUP(F542,КВР!A$1:B$5001,2),IF(E542&gt;0,VLOOKUP(E542,Направление!A$1:B$4830,2))))))</f>
        <v>Иные бюджетные ассигнования</v>
      </c>
      <c r="B542" s="167"/>
      <c r="C542" s="168"/>
      <c r="D542" s="169"/>
      <c r="E542" s="168"/>
      <c r="F542" s="169">
        <v>800</v>
      </c>
      <c r="G542" s="516">
        <v>20700</v>
      </c>
      <c r="H542" s="158">
        <v>33891</v>
      </c>
      <c r="I542" s="157">
        <f t="shared" si="10"/>
        <v>54591</v>
      </c>
    </row>
    <row r="543" spans="1:9" ht="47.25" x14ac:dyDescent="0.25">
      <c r="A543" s="153" t="str">
        <f>IF(B543&gt;0,VLOOKUP(B543,КВСР!A168:B1333,2),IF(C543&gt;0,VLOOKUP(C543,КФСР!A168:B1680,2),IF(D543&gt;0,VLOOKUP(D543,Программа!A$1:B$5100,2),IF(F543&gt;0,VLOOKUP(F543,КВР!A$1:B$5001,2),IF(E543&gt;0,VLOOKUP(E543,Направление!A$1:B$4830,2))))))</f>
        <v>Содержание органов местного самоуправления за счет средств поселений</v>
      </c>
      <c r="B543" s="167"/>
      <c r="C543" s="168"/>
      <c r="D543" s="170"/>
      <c r="E543" s="168">
        <v>29016</v>
      </c>
      <c r="F543" s="151"/>
      <c r="G543" s="500">
        <v>60399</v>
      </c>
      <c r="H543" s="155">
        <f>H545+H544</f>
        <v>60399</v>
      </c>
      <c r="I543" s="157">
        <f t="shared" si="10"/>
        <v>120798</v>
      </c>
    </row>
    <row r="544" spans="1:9" ht="126" x14ac:dyDescent="0.25">
      <c r="A544" s="153" t="str">
        <f>IF(B544&gt;0,VLOOKUP(B544,КВСР!A169:B1334,2),IF(C544&gt;0,VLOOKUP(C544,КФСР!A169:B1681,2),IF(D544&gt;0,VLOOKUP(D544,Программа!A$1:B$5100,2),IF(F544&gt;0,VLOOKUP(F544,КВР!A$1:B$5001,2),IF(E544&gt;0,VLOOKUP(E544,Направление!A$1:B$4830,2))))))</f>
        <v xml:space="preserve">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
</v>
      </c>
      <c r="B544" s="167"/>
      <c r="C544" s="168"/>
      <c r="D544" s="170"/>
      <c r="E544" s="168"/>
      <c r="F544" s="151">
        <v>100</v>
      </c>
      <c r="G544" s="612">
        <v>54908</v>
      </c>
      <c r="H544" s="171">
        <v>54908</v>
      </c>
      <c r="I544" s="157">
        <f t="shared" si="10"/>
        <v>109816</v>
      </c>
    </row>
    <row r="545" spans="1:9" ht="63" x14ac:dyDescent="0.25">
      <c r="A545" s="153" t="str">
        <f>IF(B545&gt;0,VLOOKUP(B545,КВСР!A170:B1335,2),IF(C545&gt;0,VLOOKUP(C545,КФСР!A170:B1682,2),IF(D545&gt;0,VLOOKUP(D545,Программа!A$1:B$5100,2),IF(F545&gt;0,VLOOKUP(F545,КВР!A$1:B$5001,2),IF(E545&gt;0,VLOOKUP(E545,Направление!A$1:B$4830,2))))))</f>
        <v xml:space="preserve">Закупка товаров, работ и услуг для обеспечения государственных (муниципальных) нужд
</v>
      </c>
      <c r="B545" s="167"/>
      <c r="C545" s="168"/>
      <c r="D545" s="169"/>
      <c r="E545" s="168"/>
      <c r="F545" s="151">
        <v>200</v>
      </c>
      <c r="G545" s="498">
        <v>5491</v>
      </c>
      <c r="H545" s="156">
        <v>5491</v>
      </c>
      <c r="I545" s="157">
        <f t="shared" si="10"/>
        <v>10982</v>
      </c>
    </row>
    <row r="546" spans="1:9" ht="47.25" x14ac:dyDescent="0.25">
      <c r="A546" s="153" t="str">
        <f>IF(B546&gt;0,VLOOKUP(B546,КВСР!A168:B1333,2),IF(C546&gt;0,VLOOKUP(C546,КФСР!A168:B1680,2),IF(D546&gt;0,VLOOKUP(D546,Программа!A$1:B$5100,2),IF(F546&gt;0,VLOOKUP(F546,КВР!A$1:B$5001,2),IF(E546&gt;0,VLOOKUP(E546,Направление!A$1:B$4830,2))))))</f>
        <v>Расходы на обеспечение деятельности органов опеки и попечительства за счет средств областного бюджета</v>
      </c>
      <c r="B546" s="167"/>
      <c r="C546" s="168"/>
      <c r="D546" s="170"/>
      <c r="E546" s="168">
        <v>70550</v>
      </c>
      <c r="F546" s="151"/>
      <c r="G546" s="606">
        <v>3997994</v>
      </c>
      <c r="H546" s="157">
        <f>H547+H548+H549</f>
        <v>4003506</v>
      </c>
      <c r="I546" s="157">
        <f t="shared" si="10"/>
        <v>8001500</v>
      </c>
    </row>
    <row r="547" spans="1:9" ht="126" x14ac:dyDescent="0.25">
      <c r="A547" s="153" t="str">
        <f>IF(B547&gt;0,VLOOKUP(B547,КВСР!A169:B1334,2),IF(C547&gt;0,VLOOKUP(C547,КФСР!A169:B1681,2),IF(D547&gt;0,VLOOKUP(D547,Программа!A$1:B$5100,2),IF(F547&gt;0,VLOOKUP(F547,КВР!A$1:B$5001,2),IF(E547&gt;0,VLOOKUP(E547,Направление!A$1:B$4830,2))))))</f>
        <v xml:space="preserve">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
</v>
      </c>
      <c r="B547" s="167"/>
      <c r="C547" s="168"/>
      <c r="D547" s="169"/>
      <c r="E547" s="168"/>
      <c r="F547" s="151">
        <v>100</v>
      </c>
      <c r="G547" s="516">
        <v>3114423</v>
      </c>
      <c r="H547" s="158">
        <v>3125193</v>
      </c>
      <c r="I547" s="157">
        <f t="shared" si="10"/>
        <v>6239616</v>
      </c>
    </row>
    <row r="548" spans="1:9" ht="63" x14ac:dyDescent="0.25">
      <c r="A548" s="153" t="str">
        <f>IF(B548&gt;0,VLOOKUP(B548,КВСР!A170:B1335,2),IF(C548&gt;0,VLOOKUP(C548,КФСР!A170:B1682,2),IF(D548&gt;0,VLOOKUP(D548,Программа!A$1:B$5100,2),IF(F548&gt;0,VLOOKUP(F548,КВР!A$1:B$5001,2),IF(E548&gt;0,VLOOKUP(E548,Направление!A$1:B$4830,2))))))</f>
        <v xml:space="preserve">Закупка товаров, работ и услуг для обеспечения государственных (муниципальных) нужд
</v>
      </c>
      <c r="B548" s="167"/>
      <c r="C548" s="168"/>
      <c r="D548" s="169"/>
      <c r="E548" s="168"/>
      <c r="F548" s="151">
        <v>200</v>
      </c>
      <c r="G548" s="498">
        <v>878571</v>
      </c>
      <c r="H548" s="156">
        <v>873313</v>
      </c>
      <c r="I548" s="157">
        <f t="shared" si="10"/>
        <v>1751884</v>
      </c>
    </row>
    <row r="549" spans="1:9" x14ac:dyDescent="0.25">
      <c r="A549" s="153" t="str">
        <f>IF(B549&gt;0,VLOOKUP(B549,КВСР!A171:B1336,2),IF(C549&gt;0,VLOOKUP(C549,КФСР!A171:B1683,2),IF(D549&gt;0,VLOOKUP(D549,Программа!A$1:B$5100,2),IF(F549&gt;0,VLOOKUP(F549,КВР!A$1:B$5001,2),IF(E549&gt;0,VLOOKUP(E549,Направление!A$1:B$4830,2))))))</f>
        <v>Иные бюджетные ассигнования</v>
      </c>
      <c r="B549" s="167"/>
      <c r="C549" s="168"/>
      <c r="D549" s="169"/>
      <c r="E549" s="168"/>
      <c r="F549" s="151">
        <v>800</v>
      </c>
      <c r="G549" s="498">
        <v>5000</v>
      </c>
      <c r="H549" s="156">
        <v>5000</v>
      </c>
      <c r="I549" s="157">
        <f t="shared" si="10"/>
        <v>10000</v>
      </c>
    </row>
    <row r="550" spans="1:9" ht="63" x14ac:dyDescent="0.25">
      <c r="A550" s="153" t="str">
        <f>IF(B550&gt;0,VLOOKUP(B550,КВСР!A176:B1341,2),IF(C550&gt;0,VLOOKUP(C550,КФСР!A176:B1688,2),IF(D550&gt;0,VLOOKUP(D550,Программа!A$1:B$5100,2),IF(F550&gt;0,VLOOKUP(F550,КВР!A$1:B$5001,2),IF(E550&gt;0,VLOOKUP(E550,Направление!A$1:B$4830,2))))))</f>
        <v>Муниципальная целевая программа "Духовно-нравственное воспитание и просвещение населения Тутаевского муниципального района"</v>
      </c>
      <c r="B550" s="167"/>
      <c r="C550" s="168"/>
      <c r="D550" s="170" t="s">
        <v>738</v>
      </c>
      <c r="E550" s="168"/>
      <c r="F550" s="169"/>
      <c r="G550" s="606">
        <v>56000</v>
      </c>
      <c r="H550" s="157">
        <f>H552</f>
        <v>56000</v>
      </c>
      <c r="I550" s="157">
        <f t="shared" si="10"/>
        <v>112000</v>
      </c>
    </row>
    <row r="551" spans="1:9" ht="63" x14ac:dyDescent="0.25">
      <c r="A551" s="153" t="str">
        <f>IF(B551&gt;0,VLOOKUP(B551,КВСР!A177:B1342,2),IF(C551&gt;0,VLOOKUP(C551,КФСР!A177:B1689,2),IF(D551&gt;0,VLOOKUP(D551,Программа!A$1:B$5100,2),IF(F551&gt;0,VLOOKUP(F551,КВР!A$1:B$5001,2),IF(E551&gt;0,VLOOKUP(E551,Направление!A$1:B$4830,2))))))</f>
        <v>Реализация мер по созданию целостной системы духовно-нравственного воспитания и просвещения населения</v>
      </c>
      <c r="B551" s="167"/>
      <c r="C551" s="168"/>
      <c r="D551" s="170" t="s">
        <v>740</v>
      </c>
      <c r="E551" s="168"/>
      <c r="F551" s="169"/>
      <c r="G551" s="606">
        <v>56000</v>
      </c>
      <c r="H551" s="157">
        <f>H552</f>
        <v>56000</v>
      </c>
      <c r="I551" s="157">
        <f t="shared" si="10"/>
        <v>112000</v>
      </c>
    </row>
    <row r="552" spans="1:9" ht="47.25" x14ac:dyDescent="0.25">
      <c r="A552" s="153" t="str">
        <f>IF(B552&gt;0,VLOOKUP(B552,КВСР!A177:B1342,2),IF(C552&gt;0,VLOOKUP(C552,КФСР!A177:B1689,2),IF(D552&gt;0,VLOOKUP(D552,Программа!A$1:B$5100,2),IF(F552&gt;0,VLOOKUP(F552,КВР!A$1:B$5001,2),IF(E552&gt;0,VLOOKUP(E552,Направление!A$1:B$4830,2))))))</f>
        <v>Расходы на реализацию МЦП "Духовно - нравственное воспитание и просвещение населения ТМР"</v>
      </c>
      <c r="B552" s="167"/>
      <c r="C552" s="168"/>
      <c r="D552" s="170"/>
      <c r="E552" s="168">
        <v>13810</v>
      </c>
      <c r="F552" s="169"/>
      <c r="G552" s="606">
        <v>56000</v>
      </c>
      <c r="H552" s="157">
        <f>H553</f>
        <v>56000</v>
      </c>
      <c r="I552" s="157">
        <f t="shared" si="10"/>
        <v>112000</v>
      </c>
    </row>
    <row r="553" spans="1:9" ht="63" x14ac:dyDescent="0.25">
      <c r="A553" s="153" t="str">
        <f>IF(B553&gt;0,VLOOKUP(B553,КВСР!A178:B1343,2),IF(C553&gt;0,VLOOKUP(C553,КФСР!A178:B1690,2),IF(D553&gt;0,VLOOKUP(D553,Программа!A$1:B$5100,2),IF(F553&gt;0,VLOOKUP(F553,КВР!A$1:B$5001,2),IF(E553&gt;0,VLOOKUP(E553,Направление!A$1:B$4830,2))))))</f>
        <v>Предоставление субсидий бюджетным, автономным учреждениям и иным некоммерческим организациям</v>
      </c>
      <c r="B553" s="167"/>
      <c r="C553" s="168"/>
      <c r="D553" s="170"/>
      <c r="E553" s="168"/>
      <c r="F553" s="169">
        <v>600</v>
      </c>
      <c r="G553" s="516">
        <v>56000</v>
      </c>
      <c r="H553" s="158">
        <v>56000</v>
      </c>
      <c r="I553" s="157">
        <f t="shared" si="10"/>
        <v>112000</v>
      </c>
    </row>
    <row r="554" spans="1:9" ht="47.25" x14ac:dyDescent="0.25">
      <c r="A554" s="153" t="str">
        <f>IF(B554&gt;0,VLOOKUP(B554,КВСР!A179:B1344,2),IF(C554&gt;0,VLOOKUP(C554,КФСР!A179:B1691,2),IF(D554&gt;0,VLOOKUP(D554,Программа!A$1:B$5100,2),IF(F554&gt;0,VLOOKUP(F554,КВР!A$1:B$5001,2),IF(E554&gt;0,VLOOKUP(E554,Направление!A$1:B$4830,2))))))</f>
        <v>Муниципальная программа "Социальная поддержка населения Тутаевского муниципального района"</v>
      </c>
      <c r="B554" s="167"/>
      <c r="C554" s="168"/>
      <c r="D554" s="170" t="s">
        <v>693</v>
      </c>
      <c r="E554" s="168"/>
      <c r="F554" s="169"/>
      <c r="G554" s="606">
        <v>15500</v>
      </c>
      <c r="H554" s="157">
        <f>H555</f>
        <v>18600</v>
      </c>
      <c r="I554" s="157">
        <f t="shared" si="10"/>
        <v>34100</v>
      </c>
    </row>
    <row r="555" spans="1:9" ht="63" x14ac:dyDescent="0.25">
      <c r="A555" s="153" t="str">
        <f>IF(B555&gt;0,VLOOKUP(B555,КВСР!A182:B1347,2),IF(C555&gt;0,VLOOKUP(C555,КФСР!A182:B1694,2),IF(D555&gt;0,VLOOKUP(D555,Программа!A$1:B$5100,2),IF(F555&gt;0,VLOOKUP(F555,КВР!A$1:B$5001,2),IF(E555&gt;0,VLOOKUP(E555,Направление!A$1:B$4830,2))))))</f>
        <v>Муниципальная целевая программа "Улучшение условий и охраны труда" по Тутаевскому муниципальному району</v>
      </c>
      <c r="B555" s="167"/>
      <c r="C555" s="168"/>
      <c r="D555" s="170" t="s">
        <v>695</v>
      </c>
      <c r="E555" s="168"/>
      <c r="F555" s="169"/>
      <c r="G555" s="606">
        <v>15500</v>
      </c>
      <c r="H555" s="157">
        <f>H557+H559</f>
        <v>18600</v>
      </c>
      <c r="I555" s="157">
        <f t="shared" si="10"/>
        <v>34100</v>
      </c>
    </row>
    <row r="556" spans="1:9" ht="63" x14ac:dyDescent="0.25">
      <c r="A556" s="153" t="str">
        <f>IF(B556&gt;0,VLOOKUP(B556,КВСР!A183:B1348,2),IF(C556&gt;0,VLOOKUP(C556,КФСР!A183:B1695,2),IF(D556&gt;0,VLOOKUP(D556,Программа!A$1:B$5100,2),IF(F556&gt;0,VLOOKUP(F556,КВР!A$1:B$5001,2),IF(E556&gt;0,VLOOKUP(E556,Направление!A$1:B$4830,2))))))</f>
        <v>Специальная оценка условий труда работающих в организациях расположенных на территории Тутаевского муниципального района</v>
      </c>
      <c r="B556" s="167"/>
      <c r="C556" s="168"/>
      <c r="D556" s="170" t="s">
        <v>696</v>
      </c>
      <c r="E556" s="168"/>
      <c r="F556" s="169"/>
      <c r="G556" s="606">
        <v>13100</v>
      </c>
      <c r="H556" s="606">
        <f>H557</f>
        <v>13100</v>
      </c>
      <c r="I556" s="157">
        <f t="shared" si="10"/>
        <v>26200</v>
      </c>
    </row>
    <row r="557" spans="1:9" ht="31.5" x14ac:dyDescent="0.25">
      <c r="A557" s="153" t="str">
        <f>IF(B557&gt;0,VLOOKUP(B557,КВСР!A183:B1348,2),IF(C557&gt;0,VLOOKUP(C557,КФСР!A183:B1695,2),IF(D557&gt;0,VLOOKUP(D557,Программа!A$1:B$5100,2),IF(F557&gt;0,VLOOKUP(F557,КВР!A$1:B$5001,2),IF(E557&gt;0,VLOOKUP(E557,Направление!A$1:B$4830,2))))))</f>
        <v>Расходы на реализацию МЦП "Улучшение условий и охраны труда"</v>
      </c>
      <c r="B557" s="167"/>
      <c r="C557" s="168"/>
      <c r="D557" s="170"/>
      <c r="E557" s="168">
        <v>16150</v>
      </c>
      <c r="F557" s="169"/>
      <c r="G557" s="606">
        <v>13100</v>
      </c>
      <c r="H557" s="157">
        <f>H558</f>
        <v>13100</v>
      </c>
      <c r="I557" s="157">
        <f t="shared" si="10"/>
        <v>26200</v>
      </c>
    </row>
    <row r="558" spans="1:9" ht="63" x14ac:dyDescent="0.25">
      <c r="A558" s="153" t="str">
        <f>IF(B558&gt;0,VLOOKUP(B558,КВСР!A184:B1349,2),IF(C558&gt;0,VLOOKUP(C558,КФСР!A184:B1696,2),IF(D558&gt;0,VLOOKUP(D558,Программа!A$1:B$5100,2),IF(F558&gt;0,VLOOKUP(F558,КВР!A$1:B$5001,2),IF(E558&gt;0,VLOOKUP(E558,Направление!A$1:B$4830,2))))))</f>
        <v>Предоставление субсидий бюджетным, автономным учреждениям и иным некоммерческим организациям</v>
      </c>
      <c r="B558" s="167"/>
      <c r="C558" s="168"/>
      <c r="D558" s="170"/>
      <c r="E558" s="168"/>
      <c r="F558" s="169">
        <v>600</v>
      </c>
      <c r="G558" s="516">
        <v>13100</v>
      </c>
      <c r="H558" s="158">
        <v>13100</v>
      </c>
      <c r="I558" s="157">
        <f t="shared" si="10"/>
        <v>26200</v>
      </c>
    </row>
    <row r="559" spans="1:9" ht="47.25" x14ac:dyDescent="0.25">
      <c r="A559" s="153" t="str">
        <f>IF(B559&gt;0,VLOOKUP(B559,КВСР!A185:B1350,2),IF(C559&gt;0,VLOOKUP(C559,КФСР!A185:B1697,2),IF(D559&gt;0,VLOOKUP(D559,Программа!A$1:B$5100,2),IF(F559&gt;0,VLOOKUP(F559,КВР!A$1:B$5001,2),IF(E559&gt;0,VLOOKUP(E559,Направление!A$1:B$4830,2))))))</f>
        <v>Обучение по охране труда работников организаций Тутаевского муниципального района</v>
      </c>
      <c r="B559" s="167"/>
      <c r="C559" s="168"/>
      <c r="D559" s="170" t="s">
        <v>2924</v>
      </c>
      <c r="E559" s="168"/>
      <c r="F559" s="169"/>
      <c r="G559" s="516">
        <v>2400</v>
      </c>
      <c r="H559" s="516">
        <f>H560</f>
        <v>5500</v>
      </c>
      <c r="I559" s="157">
        <f t="shared" si="10"/>
        <v>7900</v>
      </c>
    </row>
    <row r="560" spans="1:9" ht="31.5" x14ac:dyDescent="0.25">
      <c r="A560" s="153" t="str">
        <f>IF(B560&gt;0,VLOOKUP(B560,КВСР!A186:B1351,2),IF(C560&gt;0,VLOOKUP(C560,КФСР!A186:B1698,2),IF(D560&gt;0,VLOOKUP(D560,Программа!A$1:B$5100,2),IF(F560&gt;0,VLOOKUP(F560,КВР!A$1:B$5001,2),IF(E560&gt;0,VLOOKUP(E560,Направление!A$1:B$4830,2))))))</f>
        <v>Расходы на реализацию МЦП "Улучшение условий и охраны труда"</v>
      </c>
      <c r="B560" s="167"/>
      <c r="C560" s="168"/>
      <c r="D560" s="170"/>
      <c r="E560" s="168">
        <v>16150</v>
      </c>
      <c r="F560" s="169"/>
      <c r="G560" s="516">
        <v>2400</v>
      </c>
      <c r="H560" s="516">
        <f>H561+H562</f>
        <v>5500</v>
      </c>
      <c r="I560" s="157">
        <f t="shared" si="10"/>
        <v>7900</v>
      </c>
    </row>
    <row r="561" spans="1:9" ht="63" x14ac:dyDescent="0.25">
      <c r="A561" s="153" t="str">
        <f>IF(B561&gt;0,VLOOKUP(B561,КВСР!A187:B1352,2),IF(C561&gt;0,VLOOKUP(C561,КФСР!A187:B1699,2),IF(D561&gt;0,VLOOKUP(D561,Программа!A$1:B$5100,2),IF(F561&gt;0,VLOOKUP(F561,КВР!A$1:B$5001,2),IF(E561&gt;0,VLOOKUP(E561,Направление!A$1:B$4830,2))))))</f>
        <v xml:space="preserve">Закупка товаров, работ и услуг для обеспечения государственных (муниципальных) нужд
</v>
      </c>
      <c r="B561" s="167"/>
      <c r="C561" s="168"/>
      <c r="D561" s="170"/>
      <c r="E561" s="168"/>
      <c r="F561" s="169">
        <v>200</v>
      </c>
      <c r="G561" s="516"/>
      <c r="H561" s="516">
        <v>3100</v>
      </c>
      <c r="I561" s="157">
        <f t="shared" si="10"/>
        <v>3100</v>
      </c>
    </row>
    <row r="562" spans="1:9" ht="63" x14ac:dyDescent="0.25">
      <c r="A562" s="153" t="str">
        <f>IF(B562&gt;0,VLOOKUP(B562,КВСР!A187:B1352,2),IF(C562&gt;0,VLOOKUP(C562,КФСР!A187:B1699,2),IF(D562&gt;0,VLOOKUP(D562,Программа!A$1:B$5100,2),IF(F562&gt;0,VLOOKUP(F562,КВР!A$1:B$5001,2),IF(E562&gt;0,VLOOKUP(E562,Направление!A$1:B$4830,2))))))</f>
        <v>Предоставление субсидий бюджетным, автономным учреждениям и иным некоммерческим организациям</v>
      </c>
      <c r="B562" s="167"/>
      <c r="C562" s="168"/>
      <c r="D562" s="170"/>
      <c r="E562" s="168"/>
      <c r="F562" s="169">
        <v>600</v>
      </c>
      <c r="G562" s="516">
        <v>2400</v>
      </c>
      <c r="H562" s="158">
        <v>2400</v>
      </c>
      <c r="I562" s="157">
        <f t="shared" si="10"/>
        <v>4800</v>
      </c>
    </row>
    <row r="563" spans="1:9" ht="63" hidden="1" x14ac:dyDescent="0.25">
      <c r="A563" s="153" t="str">
        <f>IF(B563&gt;0,VLOOKUP(B563,КВСР!A185:B1350,2),IF(C563&gt;0,VLOOKUP(C563,КФСР!A185:B1697,2),IF(D563&gt;0,VLOOKUP(D563,Программа!A$1:B$5100,2),IF(F563&gt;0,VLOOKUP(F563,КВР!A$1:B$5001,2),IF(E563&gt;0,VLOOKUP(E563,Направление!A$1:B$4830,2))))))</f>
        <v>Муниципальная программа "Информатизация управленческой деятельности Администрации Тутаевского муниципального района"</v>
      </c>
      <c r="B563" s="167"/>
      <c r="C563" s="168"/>
      <c r="D563" s="170" t="s">
        <v>640</v>
      </c>
      <c r="E563" s="168"/>
      <c r="F563" s="169"/>
      <c r="G563" s="606">
        <v>0</v>
      </c>
      <c r="H563" s="487">
        <f>H564</f>
        <v>0</v>
      </c>
      <c r="I563" s="157">
        <f t="shared" si="10"/>
        <v>0</v>
      </c>
    </row>
    <row r="564" spans="1:9" ht="63" hidden="1" x14ac:dyDescent="0.25">
      <c r="A564" s="153" t="str">
        <f>IF(B564&gt;0,VLOOKUP(B564,КВСР!A186:B1351,2),IF(C564&gt;0,VLOOKUP(C564,КФСР!A186:B1698,2),IF(D564&gt;0,VLOOKUP(D564,Программа!A$1:B$5100,2),IF(F564&gt;0,VLOOKUP(F564,КВР!A$1:B$5001,2),IF(E564&gt;0,VLOOKUP(E564,Направление!A$1:B$4830,2))))))</f>
        <v>Закупка компьютерного оборудования  и оргтехники для бесперебойного обеспечения деятельности органов местного самоуправления</v>
      </c>
      <c r="B564" s="167"/>
      <c r="C564" s="168"/>
      <c r="D564" s="170" t="s">
        <v>642</v>
      </c>
      <c r="E564" s="168"/>
      <c r="F564" s="169"/>
      <c r="G564" s="606">
        <v>0</v>
      </c>
      <c r="H564" s="487">
        <f>H565</f>
        <v>0</v>
      </c>
      <c r="I564" s="157">
        <f t="shared" si="10"/>
        <v>0</v>
      </c>
    </row>
    <row r="565" spans="1:9" ht="31.5" hidden="1" x14ac:dyDescent="0.25">
      <c r="A565" s="153" t="str">
        <f>IF(B565&gt;0,VLOOKUP(B565,КВСР!A187:B1352,2),IF(C565&gt;0,VLOOKUP(C565,КФСР!A187:B1699,2),IF(D565&gt;0,VLOOKUP(D565,Программа!A$1:B$5100,2),IF(F565&gt;0,VLOOKUP(F565,КВР!A$1:B$5001,2),IF(E565&gt;0,VLOOKUP(E565,Направление!A$1:B$4830,2))))))</f>
        <v>Расходы на проведение мероприятий по информатизации</v>
      </c>
      <c r="B565" s="167"/>
      <c r="C565" s="168"/>
      <c r="D565" s="170"/>
      <c r="E565" s="168">
        <v>12210</v>
      </c>
      <c r="F565" s="169"/>
      <c r="G565" s="606">
        <v>0</v>
      </c>
      <c r="H565" s="487">
        <f>H566</f>
        <v>0</v>
      </c>
      <c r="I565" s="157">
        <f t="shared" si="10"/>
        <v>0</v>
      </c>
    </row>
    <row r="566" spans="1:9" ht="63" hidden="1" x14ac:dyDescent="0.25">
      <c r="A566" s="153" t="str">
        <f>IF(B566&gt;0,VLOOKUP(B566,КВСР!A188:B1353,2),IF(C566&gt;0,VLOOKUP(C566,КФСР!A188:B1700,2),IF(D566&gt;0,VLOOKUP(D566,Программа!A$1:B$5100,2),IF(F566&gt;0,VLOOKUP(F566,КВР!A$1:B$5001,2),IF(E566&gt;0,VLOOKUP(E566,Направление!A$1:B$4830,2))))))</f>
        <v xml:space="preserve">Закупка товаров, работ и услуг для обеспечения государственных (муниципальных) нужд
</v>
      </c>
      <c r="B566" s="167"/>
      <c r="C566" s="168"/>
      <c r="D566" s="170"/>
      <c r="E566" s="168"/>
      <c r="F566" s="169">
        <v>200</v>
      </c>
      <c r="G566" s="516">
        <v>0</v>
      </c>
      <c r="H566" s="158"/>
      <c r="I566" s="157">
        <f t="shared" si="10"/>
        <v>0</v>
      </c>
    </row>
    <row r="567" spans="1:9" ht="63" x14ac:dyDescent="0.25">
      <c r="A567" s="153" t="str">
        <f>IF(B567&gt;0,VLOOKUP(B567,КВСР!A185:B1350,2),IF(C567&gt;0,VLOOKUP(C567,КФСР!A185:B1697,2),IF(D567&gt;0,VLOOKUP(D567,Программа!A$1:B$5100,2),IF(F567&gt;0,VLOOKUP(F567,КВР!A$1:B$5001,2),IF(E567&gt;0,VLOOKUP(E567,Направление!A$1:B$4830,2))))))</f>
        <v>Муниципальная программа "Профилактика правонарушений и усиление борьбы с преступностью в Тутаевском муниципальном районе"</v>
      </c>
      <c r="B567" s="167"/>
      <c r="C567" s="168"/>
      <c r="D567" s="170" t="s">
        <v>746</v>
      </c>
      <c r="E567" s="168"/>
      <c r="F567" s="169"/>
      <c r="G567" s="606">
        <v>63000</v>
      </c>
      <c r="H567" s="157">
        <f>H568</f>
        <v>63000</v>
      </c>
      <c r="I567" s="157">
        <f t="shared" si="10"/>
        <v>126000</v>
      </c>
    </row>
    <row r="568" spans="1:9" ht="31.5" x14ac:dyDescent="0.25">
      <c r="A568" s="153" t="str">
        <f>IF(B568&gt;0,VLOOKUP(B568,КВСР!A186:B1351,2),IF(C568&gt;0,VLOOKUP(C568,КФСР!A186:B1698,2),IF(D568&gt;0,VLOOKUP(D568,Программа!A$1:B$5100,2),IF(F568&gt;0,VLOOKUP(F568,КВР!A$1:B$5001,2),IF(E568&gt;0,VLOOKUP(E568,Направление!A$1:B$4830,2))))))</f>
        <v>Реализация мероприятий по профилактике правонарушений</v>
      </c>
      <c r="B568" s="167"/>
      <c r="C568" s="168"/>
      <c r="D568" s="170" t="s">
        <v>748</v>
      </c>
      <c r="E568" s="168"/>
      <c r="F568" s="169"/>
      <c r="G568" s="606">
        <v>63000</v>
      </c>
      <c r="H568" s="157">
        <f>H569</f>
        <v>63000</v>
      </c>
      <c r="I568" s="157">
        <f t="shared" si="10"/>
        <v>126000</v>
      </c>
    </row>
    <row r="569" spans="1:9" ht="47.25" x14ac:dyDescent="0.25">
      <c r="A569" s="153" t="str">
        <f>IF(B569&gt;0,VLOOKUP(B569,КВСР!A187:B1352,2),IF(C569&gt;0,VLOOKUP(C569,КФСР!A187:B1699,2),IF(D569&gt;0,VLOOKUP(D569,Программа!A$1:B$5100,2),IF(F569&gt;0,VLOOKUP(F569,КВР!A$1:B$5001,2),IF(E569&gt;0,VLOOKUP(E569,Направление!A$1:B$4830,2))))))</f>
        <v>Расходы на профилактику правонарушений и усиления борьбы с преступностью</v>
      </c>
      <c r="B569" s="167"/>
      <c r="C569" s="168"/>
      <c r="D569" s="170"/>
      <c r="E569" s="168">
        <v>12250</v>
      </c>
      <c r="F569" s="169"/>
      <c r="G569" s="516">
        <v>63000</v>
      </c>
      <c r="H569" s="158">
        <f>H570</f>
        <v>63000</v>
      </c>
      <c r="I569" s="157">
        <f t="shared" si="10"/>
        <v>126000</v>
      </c>
    </row>
    <row r="570" spans="1:9" ht="63" x14ac:dyDescent="0.25">
      <c r="A570" s="153" t="str">
        <f>IF(B570&gt;0,VLOOKUP(B570,КВСР!A188:B1353,2),IF(C570&gt;0,VLOOKUP(C570,КФСР!A188:B1700,2),IF(D570&gt;0,VLOOKUP(D570,Программа!A$1:B$5100,2),IF(F570&gt;0,VLOOKUP(F570,КВР!A$1:B$5001,2),IF(E570&gt;0,VLOOKUP(E570,Направление!A$1:B$4830,2))))))</f>
        <v>Предоставление субсидий бюджетным, автономным учреждениям и иным некоммерческим организациям</v>
      </c>
      <c r="B570" s="167"/>
      <c r="C570" s="168"/>
      <c r="D570" s="170"/>
      <c r="E570" s="168"/>
      <c r="F570" s="169">
        <v>600</v>
      </c>
      <c r="G570" s="516"/>
      <c r="H570" s="158">
        <v>63000</v>
      </c>
      <c r="I570" s="157">
        <v>63000</v>
      </c>
    </row>
    <row r="571" spans="1:9" x14ac:dyDescent="0.25">
      <c r="A571" s="153" t="str">
        <f>IF(B571&gt;0,VLOOKUP(B571,КВСР!A194:B1359,2),IF(C571&gt;0,VLOOKUP(C571,КФСР!A194:B1706,2),IF(D571&gt;0,VLOOKUP(D571,Программа!A$1:B$5100,2),IF(F571&gt;0,VLOOKUP(F571,КВР!A$1:B$5001,2),IF(E571&gt;0,VLOOKUP(E571,Направление!A$1:B$4830,2))))))</f>
        <v>Непрограммные расходы бюджета</v>
      </c>
      <c r="B571" s="154"/>
      <c r="C571" s="149"/>
      <c r="D571" s="150" t="s">
        <v>624</v>
      </c>
      <c r="E571" s="149"/>
      <c r="F571" s="151"/>
      <c r="G571" s="500">
        <v>725000</v>
      </c>
      <c r="H571" s="155">
        <f>H572</f>
        <v>725000</v>
      </c>
      <c r="I571" s="157">
        <f t="shared" si="10"/>
        <v>1450000</v>
      </c>
    </row>
    <row r="572" spans="1:9" ht="31.5" x14ac:dyDescent="0.25">
      <c r="A572" s="153" t="str">
        <f>IF(B572&gt;0,VLOOKUP(B572,КВСР!A195:B1360,2),IF(C572&gt;0,VLOOKUP(C572,КФСР!A195:B1707,2),IF(D572&gt;0,VLOOKUP(D572,Программа!A$1:B$5100,2),IF(F572&gt;0,VLOOKUP(F572,КВР!A$1:B$5001,2),IF(E572&gt;0,VLOOKUP(E572,Направление!A$1:B$4830,2))))))</f>
        <v>Государственная поддержка в сфере образования</v>
      </c>
      <c r="B572" s="154"/>
      <c r="C572" s="149"/>
      <c r="D572" s="150"/>
      <c r="E572" s="149">
        <v>13710</v>
      </c>
      <c r="F572" s="151"/>
      <c r="G572" s="606">
        <v>725000</v>
      </c>
      <c r="H572" s="157">
        <f>H573</f>
        <v>725000</v>
      </c>
      <c r="I572" s="157">
        <f t="shared" si="10"/>
        <v>1450000</v>
      </c>
    </row>
    <row r="573" spans="1:9" ht="63" x14ac:dyDescent="0.25">
      <c r="A573" s="153" t="str">
        <f>IF(B573&gt;0,VLOOKUP(B573,КВСР!A196:B1361,2),IF(C573&gt;0,VLOOKUP(C573,КФСР!A196:B1708,2),IF(D573&gt;0,VLOOKUP(D573,Программа!A$1:B$5100,2),IF(F573&gt;0,VLOOKUP(F573,КВР!A$1:B$5001,2),IF(E573&gt;0,VLOOKUP(E573,Направление!A$1:B$4830,2))))))</f>
        <v>Предоставление субсидий бюджетным, автономным учреждениям и иным некоммерческим организациям</v>
      </c>
      <c r="B573" s="154"/>
      <c r="C573" s="149"/>
      <c r="D573" s="151"/>
      <c r="E573" s="149"/>
      <c r="F573" s="151">
        <v>600</v>
      </c>
      <c r="G573" s="498">
        <v>725000</v>
      </c>
      <c r="H573" s="156">
        <v>725000</v>
      </c>
      <c r="I573" s="157">
        <f t="shared" si="10"/>
        <v>1450000</v>
      </c>
    </row>
    <row r="574" spans="1:9" x14ac:dyDescent="0.25">
      <c r="A574" s="153" t="str">
        <f>IF(B574&gt;0,VLOOKUP(B574,КВСР!A197:B1362,2),IF(C574&gt;0,VLOOKUP(C574,КФСР!A197:B1709,2),IF(D574&gt;0,VLOOKUP(D574,Программа!A$1:B$5100,2),IF(F574&gt;0,VLOOKUP(F574,КВР!A$1:B$5001,2),IF(E574&gt;0,VLOOKUP(E574,Направление!A$1:B$4830,2))))))</f>
        <v>Социальное обеспечение населения</v>
      </c>
      <c r="B574" s="154"/>
      <c r="C574" s="149">
        <v>1003</v>
      </c>
      <c r="D574" s="151"/>
      <c r="E574" s="149"/>
      <c r="F574" s="151"/>
      <c r="G574" s="498">
        <v>291160</v>
      </c>
      <c r="H574" s="498">
        <f>H575</f>
        <v>256539</v>
      </c>
      <c r="I574" s="157">
        <f t="shared" si="10"/>
        <v>547699</v>
      </c>
    </row>
    <row r="575" spans="1:9" ht="63" x14ac:dyDescent="0.25">
      <c r="A575" s="153" t="str">
        <f>IF(B575&gt;0,VLOOKUP(B575,КВСР!A198:B1363,2),IF(C575&gt;0,VLOOKUP(C575,КФСР!A198:B1710,2),IF(D575&gt;0,VLOOKUP(D575,Программа!A$1:B$5100,2),IF(F575&gt;0,VLOOKUP(F575,КВР!A$1:B$5001,2),IF(E575&gt;0,VLOOKUP(E575,Направление!A$1:B$4830,2))))))</f>
        <v>Муниципальная программа "Развитие образования, физической культуры и спорта в Тутаевском муниципальном районе"</v>
      </c>
      <c r="B575" s="154"/>
      <c r="C575" s="149"/>
      <c r="D575" s="150" t="s">
        <v>684</v>
      </c>
      <c r="E575" s="149"/>
      <c r="F575" s="151"/>
      <c r="G575" s="498">
        <v>291160</v>
      </c>
      <c r="H575" s="498">
        <f>H576</f>
        <v>256539</v>
      </c>
      <c r="I575" s="157">
        <f t="shared" si="10"/>
        <v>547699</v>
      </c>
    </row>
    <row r="576" spans="1:9" ht="63" x14ac:dyDescent="0.25">
      <c r="A576" s="153" t="str">
        <f>IF(B576&gt;0,VLOOKUP(B576,КВСР!A199:B1364,2),IF(C576&gt;0,VLOOKUP(C576,КФСР!A199:B1711,2),IF(D576&gt;0,VLOOKUP(D576,Программа!A$1:B$5100,2),IF(F576&gt;0,VLOOKUP(F576,КВР!A$1:B$5001,2),IF(E576&gt;0,VLOOKUP(E576,Направление!A$1:B$4830,2))))))</f>
        <v xml:space="preserve">Ведомственная целевая программа департамента образования Администрации Тутаевского муниципального района </v>
      </c>
      <c r="B576" s="154"/>
      <c r="C576" s="149"/>
      <c r="D576" s="150" t="s">
        <v>686</v>
      </c>
      <c r="E576" s="149"/>
      <c r="F576" s="151"/>
      <c r="G576" s="498">
        <v>291160</v>
      </c>
      <c r="H576" s="498">
        <f>H577</f>
        <v>256539</v>
      </c>
      <c r="I576" s="157">
        <f t="shared" si="10"/>
        <v>547699</v>
      </c>
    </row>
    <row r="577" spans="1:9" ht="31.5" x14ac:dyDescent="0.25">
      <c r="A577" s="153" t="str">
        <f>IF(B577&gt;0,VLOOKUP(B577,КВСР!A200:B1365,2),IF(C577&gt;0,VLOOKUP(C577,КФСР!A200:B1712,2),IF(D577&gt;0,VLOOKUP(D577,Программа!A$1:B$5100,2),IF(F577&gt;0,VLOOKUP(F577,КВР!A$1:B$5001,2),IF(E577&gt;0,VLOOKUP(E577,Направление!A$1:B$4830,2))))))</f>
        <v>Обеспечение компенсационных выплат</v>
      </c>
      <c r="B577" s="154"/>
      <c r="C577" s="149"/>
      <c r="D577" s="150" t="s">
        <v>2952</v>
      </c>
      <c r="E577" s="149"/>
      <c r="F577" s="151"/>
      <c r="G577" s="498">
        <v>291160</v>
      </c>
      <c r="H577" s="498">
        <f>H578</f>
        <v>256539</v>
      </c>
      <c r="I577" s="157">
        <f t="shared" si="10"/>
        <v>547699</v>
      </c>
    </row>
    <row r="578" spans="1:9" ht="47.25" x14ac:dyDescent="0.25">
      <c r="A578" s="153" t="str">
        <f>IF(B578&gt;0,VLOOKUP(B578,КВСР!A201:B1366,2),IF(C578&gt;0,VLOOKUP(C578,КФСР!A201:B1713,2),IF(D578&gt;0,VLOOKUP(D578,Программа!A$1:B$5100,2),IF(F578&gt;0,VLOOKUP(F578,КВР!A$1:B$5001,2),IF(E578&gt;0,VLOOKUP(E578,Направление!A$1:B$4830,2))))))</f>
        <v>Компенсация части расходов на приобретение путевки в организации отдыха детей и их оздоровления</v>
      </c>
      <c r="B578" s="154"/>
      <c r="C578" s="149"/>
      <c r="D578" s="150"/>
      <c r="E578" s="149">
        <v>74390</v>
      </c>
      <c r="F578" s="151"/>
      <c r="G578" s="498">
        <v>291160</v>
      </c>
      <c r="H578" s="498">
        <f>H579</f>
        <v>256539</v>
      </c>
      <c r="I578" s="157">
        <f t="shared" ref="I578:I653" si="11">SUM(G578:H578)</f>
        <v>547699</v>
      </c>
    </row>
    <row r="579" spans="1:9" ht="31.5" x14ac:dyDescent="0.25">
      <c r="A579" s="153" t="str">
        <f>IF(B579&gt;0,VLOOKUP(B579,КВСР!A202:B1367,2),IF(C579&gt;0,VLOOKUP(C579,КФСР!A202:B1714,2),IF(D579&gt;0,VLOOKUP(D579,Программа!A$1:B$5100,2),IF(F579&gt;0,VLOOKUP(F579,КВР!A$1:B$5001,2),IF(E579&gt;0,VLOOKUP(E579,Направление!A$1:B$4830,2))))))</f>
        <v>Социальное обеспечение и иные выплаты населению</v>
      </c>
      <c r="B579" s="154"/>
      <c r="C579" s="149"/>
      <c r="D579" s="150"/>
      <c r="E579" s="149"/>
      <c r="F579" s="151">
        <v>300</v>
      </c>
      <c r="G579" s="498">
        <v>291160</v>
      </c>
      <c r="H579" s="156">
        <v>256539</v>
      </c>
      <c r="I579" s="157">
        <f t="shared" si="11"/>
        <v>547699</v>
      </c>
    </row>
    <row r="580" spans="1:9" x14ac:dyDescent="0.25">
      <c r="A580" s="153" t="str">
        <f>IF(B580&gt;0,VLOOKUP(B580,КВСР!A201:B1366,2),IF(C580&gt;0,VLOOKUP(C580,КФСР!A201:B1713,2),IF(D580&gt;0,VLOOKUP(D580,Программа!A$1:B$5100,2),IF(F580&gt;0,VLOOKUP(F580,КВР!A$1:B$5001,2),IF(E580&gt;0,VLOOKUP(E580,Направление!A$1:B$4830,2))))))</f>
        <v>Охрана семьи и детства</v>
      </c>
      <c r="B580" s="167"/>
      <c r="C580" s="149">
        <v>1004</v>
      </c>
      <c r="D580" s="172"/>
      <c r="E580" s="173"/>
      <c r="F580" s="169"/>
      <c r="G580" s="606">
        <v>48209787</v>
      </c>
      <c r="H580" s="157">
        <f>H581</f>
        <v>47072999</v>
      </c>
      <c r="I580" s="157">
        <f t="shared" si="11"/>
        <v>95282786</v>
      </c>
    </row>
    <row r="581" spans="1:9" ht="63" x14ac:dyDescent="0.25">
      <c r="A581" s="153" t="str">
        <f>IF(B581&gt;0,VLOOKUP(B581,КВСР!A202:B1367,2),IF(C581&gt;0,VLOOKUP(C581,КФСР!A202:B1714,2),IF(D581&gt;0,VLOOKUP(D581,Программа!A$1:B$5100,2),IF(F581&gt;0,VLOOKUP(F581,КВР!A$1:B$5001,2),IF(E581&gt;0,VLOOKUP(E581,Направление!A$1:B$4830,2))))))</f>
        <v>Муниципальная программа "Развитие образования, физической культуры и спорта в Тутаевском муниципальном районе"</v>
      </c>
      <c r="B581" s="154"/>
      <c r="C581" s="149"/>
      <c r="D581" s="174" t="s">
        <v>684</v>
      </c>
      <c r="E581" s="175"/>
      <c r="F581" s="169"/>
      <c r="G581" s="606">
        <v>48209787</v>
      </c>
      <c r="H581" s="157">
        <f>H582</f>
        <v>47072999</v>
      </c>
      <c r="I581" s="157">
        <f t="shared" si="11"/>
        <v>95282786</v>
      </c>
    </row>
    <row r="582" spans="1:9" ht="63" x14ac:dyDescent="0.25">
      <c r="A582" s="153" t="str">
        <f>IF(B582&gt;0,VLOOKUP(B582,КВСР!A203:B1368,2),IF(C582&gt;0,VLOOKUP(C582,КФСР!A203:B1715,2),IF(D582&gt;0,VLOOKUP(D582,Программа!A$1:B$5100,2),IF(F582&gt;0,VLOOKUP(F582,КВР!A$1:B$5001,2),IF(E582&gt;0,VLOOKUP(E582,Направление!A$1:B$4830,2))))))</f>
        <v xml:space="preserve">Ведомственная целевая программа департамента образования Администрации Тутаевского муниципального района </v>
      </c>
      <c r="B582" s="154"/>
      <c r="C582" s="149"/>
      <c r="D582" s="174" t="s">
        <v>686</v>
      </c>
      <c r="E582" s="175"/>
      <c r="F582" s="169"/>
      <c r="G582" s="606">
        <v>48209787</v>
      </c>
      <c r="H582" s="157">
        <f>H583+H601</f>
        <v>47072999</v>
      </c>
      <c r="I582" s="157">
        <f t="shared" si="11"/>
        <v>95282786</v>
      </c>
    </row>
    <row r="583" spans="1:9" ht="63" x14ac:dyDescent="0.25">
      <c r="A583" s="153" t="str">
        <f>IF(B583&gt;0,VLOOKUP(B583,КВСР!A204:B1369,2),IF(C583&gt;0,VLOOKUP(C583,КФСР!A204:B1716,2),IF(D583&gt;0,VLOOKUP(D583,Программа!A$1:B$5100,2),IF(F583&gt;0,VLOOKUP(F583,КВР!A$1:B$5001,2),IF(E583&gt;0,VLOOKUP(E583,Направление!A$1:B$4830,2))))))</f>
        <v>Обеспечение качества реализации мер по социальной поддержке детей-сирот и детей, оставшихся без попечения родителей</v>
      </c>
      <c r="B583" s="154"/>
      <c r="C583" s="149"/>
      <c r="D583" s="150" t="s">
        <v>736</v>
      </c>
      <c r="E583" s="175"/>
      <c r="F583" s="169"/>
      <c r="G583" s="606">
        <v>28840428</v>
      </c>
      <c r="H583" s="157">
        <f>H586+H588+H590+H593+H596+H584</f>
        <v>28236926</v>
      </c>
      <c r="I583" s="157">
        <f t="shared" si="11"/>
        <v>57077354</v>
      </c>
    </row>
    <row r="584" spans="1:9" ht="31.5" hidden="1" x14ac:dyDescent="0.25">
      <c r="A584" s="153" t="str">
        <f>IF(B584&gt;0,VLOOKUP(B584,КВСР!A205:B1370,2),IF(C584&gt;0,VLOOKUP(C584,КФСР!A205:B1717,2),IF(D584&gt;0,VLOOKUP(D584,Программа!A$1:B$5100,2),IF(F584&gt;0,VLOOKUP(F584,КВР!A$1:B$5001,2),IF(E584&gt;0,VLOOKUP(E584,Направление!A$1:B$4830,2))))))</f>
        <v xml:space="preserve">Государственная поддержка опеки и попечительства </v>
      </c>
      <c r="B584" s="154"/>
      <c r="C584" s="149"/>
      <c r="D584" s="174"/>
      <c r="E584" s="175">
        <v>13750</v>
      </c>
      <c r="F584" s="169"/>
      <c r="G584" s="606">
        <v>0</v>
      </c>
      <c r="H584" s="157">
        <f>H585</f>
        <v>0</v>
      </c>
      <c r="I584" s="157">
        <f t="shared" si="11"/>
        <v>0</v>
      </c>
    </row>
    <row r="585" spans="1:9" ht="31.5" hidden="1" x14ac:dyDescent="0.25">
      <c r="A585" s="153" t="str">
        <f>IF(B585&gt;0,VLOOKUP(B585,КВСР!A205:B1370,2),IF(C585&gt;0,VLOOKUP(C585,КФСР!A205:B1717,2),IF(D585&gt;0,VLOOKUP(D585,Программа!A$1:B$5100,2),IF(F585&gt;0,VLOOKUP(F585,КВР!A$1:B$5001,2),IF(E585&gt;0,VLOOKUP(E585,Направление!A$1:B$4830,2))))))</f>
        <v>Социальное обеспечение и иные выплаты населению</v>
      </c>
      <c r="B585" s="154"/>
      <c r="C585" s="149"/>
      <c r="D585" s="174"/>
      <c r="E585" s="175"/>
      <c r="F585" s="169">
        <v>300</v>
      </c>
      <c r="G585" s="607">
        <v>0</v>
      </c>
      <c r="H585" s="159"/>
      <c r="I585" s="157">
        <f t="shared" si="11"/>
        <v>0</v>
      </c>
    </row>
    <row r="586" spans="1:9" ht="47.25" hidden="1" x14ac:dyDescent="0.25">
      <c r="A586" s="153" t="str">
        <f>IF(B586&gt;0,VLOOKUP(B586,КВСР!A204:B1369,2),IF(C586&gt;0,VLOOKUP(C586,КФСР!A204:B1716,2),IF(D586&gt;0,VLOOKUP(D586,Программа!A$1:B$5100,2),IF(F586&gt;0,VLOOKUP(F586,КВР!A$1:B$5001,2),IF(E586&gt;0,VLOOKUP(E586,Направление!A$1:B$4830,2))))))</f>
        <v xml:space="preserve">Расходы на укрепление института семьи, повышение качества жизни семей с несовершеннолетними детьми </v>
      </c>
      <c r="B586" s="154"/>
      <c r="C586" s="149"/>
      <c r="D586" s="174"/>
      <c r="E586" s="175" t="s">
        <v>754</v>
      </c>
      <c r="F586" s="169"/>
      <c r="G586" s="606">
        <v>0</v>
      </c>
      <c r="H586" s="157">
        <f>H587</f>
        <v>0</v>
      </c>
      <c r="I586" s="157">
        <f t="shared" si="11"/>
        <v>0</v>
      </c>
    </row>
    <row r="587" spans="1:9" ht="63" hidden="1" x14ac:dyDescent="0.25">
      <c r="A587" s="153" t="str">
        <f>IF(B587&gt;0,VLOOKUP(B587,КВСР!A205:B1370,2),IF(C587&gt;0,VLOOKUP(C587,КФСР!A205:B1717,2),IF(D587&gt;0,VLOOKUP(D587,Программа!A$1:B$5100,2),IF(F587&gt;0,VLOOKUP(F587,КВР!A$1:B$5001,2),IF(E587&gt;0,VLOOKUP(E587,Направление!A$1:B$4830,2))))))</f>
        <v xml:space="preserve">Закупка товаров, работ и услуг для обеспечения государственных (муниципальных) нужд
</v>
      </c>
      <c r="B587" s="154"/>
      <c r="C587" s="149"/>
      <c r="D587" s="176"/>
      <c r="E587" s="173"/>
      <c r="F587" s="169">
        <v>200</v>
      </c>
      <c r="G587" s="498">
        <v>0</v>
      </c>
      <c r="H587" s="156"/>
      <c r="I587" s="157">
        <f t="shared" si="11"/>
        <v>0</v>
      </c>
    </row>
    <row r="588" spans="1:9" ht="78.75" x14ac:dyDescent="0.25">
      <c r="A588" s="153" t="str">
        <f>IF(B588&gt;0,VLOOKUP(B588,КВСР!A207:B1372,2),IF(C588&gt;0,VLOOKUP(C588,КФСР!A207:B1719,2),IF(D588&gt;0,VLOOKUP(D588,Программа!A$1:B$5100,2),IF(F588&gt;0,VLOOKUP(F588,КВР!A$1:B$5001,2),IF(E588&gt;0,VLOOKUP(E588,Направление!A$1:B$4830,2))))))</f>
        <v>Расходы на выплату единовременного пособия при всех формах устройства детей, лишенных родительского попечения, в семью за счет средств федерального бюджета</v>
      </c>
      <c r="B588" s="154"/>
      <c r="C588" s="149"/>
      <c r="D588" s="174"/>
      <c r="E588" s="175">
        <v>52600</v>
      </c>
      <c r="F588" s="169"/>
      <c r="G588" s="500">
        <v>534660</v>
      </c>
      <c r="H588" s="155">
        <f>H589</f>
        <v>484379</v>
      </c>
      <c r="I588" s="157">
        <f t="shared" si="11"/>
        <v>1019039</v>
      </c>
    </row>
    <row r="589" spans="1:9" ht="31.5" x14ac:dyDescent="0.25">
      <c r="A589" s="153" t="str">
        <f>IF(B589&gt;0,VLOOKUP(B589,КВСР!A208:B1373,2),IF(C589&gt;0,VLOOKUP(C589,КФСР!A208:B1720,2),IF(D589&gt;0,VLOOKUP(D589,Программа!A$1:B$5100,2),IF(F589&gt;0,VLOOKUP(F589,КВР!A$1:B$5001,2),IF(E589&gt;0,VLOOKUP(E589,Направление!A$1:B$4830,2))))))</f>
        <v>Социальное обеспечение и иные выплаты населению</v>
      </c>
      <c r="B589" s="154"/>
      <c r="C589" s="149"/>
      <c r="D589" s="177"/>
      <c r="E589" s="175"/>
      <c r="F589" s="169">
        <v>300</v>
      </c>
      <c r="G589" s="498">
        <v>534660</v>
      </c>
      <c r="H589" s="156">
        <v>484379</v>
      </c>
      <c r="I589" s="157">
        <f t="shared" si="11"/>
        <v>1019039</v>
      </c>
    </row>
    <row r="590" spans="1:9" ht="94.5" hidden="1" x14ac:dyDescent="0.25">
      <c r="A590" s="153" t="str">
        <f>IF(B590&gt;0,VLOOKUP(B590,КВСР!A209:B1374,2),IF(C590&gt;0,VLOOKUP(C590,КФСР!A209:B1721,2),IF(D590&gt;0,VLOOKUP(D590,Программа!A$1:B$5100,2),IF(F590&gt;0,VLOOKUP(F590,КВР!A$1:B$5001,2),IF(E590&gt;0,VLOOKUP(E590,Направление!A$1:B$4830,2))))))</f>
        <v>Компенсация расходов за присмотр и уход за детьми, осваивающими образовательные программы дошкольного образования в организациях, осуществляющих образовательную деятельность</v>
      </c>
      <c r="B590" s="154"/>
      <c r="C590" s="149"/>
      <c r="D590" s="174"/>
      <c r="E590" s="175">
        <v>70430</v>
      </c>
      <c r="F590" s="169"/>
      <c r="G590" s="500">
        <v>0</v>
      </c>
      <c r="H590" s="500">
        <f>H592+H591</f>
        <v>0</v>
      </c>
      <c r="I590" s="157">
        <f t="shared" si="11"/>
        <v>0</v>
      </c>
    </row>
    <row r="591" spans="1:9" ht="63" hidden="1" x14ac:dyDescent="0.25">
      <c r="A591" s="153" t="str">
        <f>IF(B591&gt;0,VLOOKUP(B591,КВСР!A210:B1375,2),IF(C591&gt;0,VLOOKUP(C591,КФСР!A210:B1722,2),IF(D591&gt;0,VLOOKUP(D591,Программа!A$1:B$5100,2),IF(F591&gt;0,VLOOKUP(F591,КВР!A$1:B$5001,2),IF(E591&gt;0,VLOOKUP(E591,Направление!A$1:B$4830,2))))))</f>
        <v xml:space="preserve">Закупка товаров, работ и услуг для обеспечения государственных (муниципальных) нужд
</v>
      </c>
      <c r="B591" s="154"/>
      <c r="C591" s="149"/>
      <c r="D591" s="174"/>
      <c r="E591" s="175"/>
      <c r="F591" s="169">
        <v>200</v>
      </c>
      <c r="G591" s="500">
        <v>0</v>
      </c>
      <c r="H591" s="155"/>
      <c r="I591" s="157">
        <f t="shared" si="11"/>
        <v>0</v>
      </c>
    </row>
    <row r="592" spans="1:9" ht="31.5" hidden="1" x14ac:dyDescent="0.25">
      <c r="A592" s="153" t="str">
        <f>IF(B592&gt;0,VLOOKUP(B592,КВСР!A210:B1375,2),IF(C592&gt;0,VLOOKUP(C592,КФСР!A210:B1722,2),IF(D592&gt;0,VLOOKUP(D592,Программа!A$1:B$5100,2),IF(F592&gt;0,VLOOKUP(F592,КВР!A$1:B$5001,2),IF(E592&gt;0,VLOOKUP(E592,Направление!A$1:B$4830,2))))))</f>
        <v>Социальное обеспечение и иные выплаты населению</v>
      </c>
      <c r="B592" s="154"/>
      <c r="C592" s="149"/>
      <c r="D592" s="177"/>
      <c r="E592" s="175"/>
      <c r="F592" s="169">
        <v>300</v>
      </c>
      <c r="G592" s="498">
        <v>0</v>
      </c>
      <c r="H592" s="156"/>
      <c r="I592" s="157">
        <f t="shared" si="11"/>
        <v>0</v>
      </c>
    </row>
    <row r="593" spans="1:9" ht="78.75" x14ac:dyDescent="0.25">
      <c r="A593" s="153" t="str">
        <f>IF(B593&gt;0,VLOOKUP(B593,КВСР!A211:B1376,2),IF(C593&gt;0,VLOOKUP(C593,КФСР!A211:B1723,2),IF(D593&gt;0,VLOOKUP(D593,Программа!A$1:B$5100,2),IF(F593&gt;0,VLOOKUP(F593,КВР!A$1:B$5001,2),IF(E593&gt;0,VLOOKUP(E593,Направление!A$1:B$4830,2))))))</f>
        <v>Расходы на содержание ребенка в семье опекуна и приемной семье, а также вознаграждение, причитающееся приемному родителю, за счет средств областного бюджета</v>
      </c>
      <c r="B593" s="154"/>
      <c r="C593" s="149"/>
      <c r="D593" s="174"/>
      <c r="E593" s="149">
        <v>70460</v>
      </c>
      <c r="F593" s="169"/>
      <c r="G593" s="500">
        <v>25660860</v>
      </c>
      <c r="H593" s="155">
        <f>H594+H595</f>
        <v>25187375</v>
      </c>
      <c r="I593" s="157">
        <f t="shared" si="11"/>
        <v>50848235</v>
      </c>
    </row>
    <row r="594" spans="1:9" ht="63" x14ac:dyDescent="0.25">
      <c r="A594" s="153" t="str">
        <f>IF(B594&gt;0,VLOOKUP(B594,КВСР!A212:B1377,2),IF(C594&gt;0,VLOOKUP(C594,КФСР!A212:B1724,2),IF(D594&gt;0,VLOOKUP(D594,Программа!A$1:B$5100,2),IF(F594&gt;0,VLOOKUP(F594,КВР!A$1:B$5001,2),IF(E594&gt;0,VLOOKUP(E594,Направление!A$1:B$4830,2))))))</f>
        <v xml:space="preserve">Закупка товаров, работ и услуг для обеспечения государственных (муниципальных) нужд
</v>
      </c>
      <c r="B594" s="154"/>
      <c r="C594" s="149"/>
      <c r="D594" s="177"/>
      <c r="E594" s="175"/>
      <c r="F594" s="169">
        <v>200</v>
      </c>
      <c r="G594" s="498">
        <v>82495</v>
      </c>
      <c r="H594" s="156">
        <v>80116</v>
      </c>
      <c r="I594" s="157">
        <f t="shared" si="11"/>
        <v>162611</v>
      </c>
    </row>
    <row r="595" spans="1:9" ht="31.5" x14ac:dyDescent="0.25">
      <c r="A595" s="153" t="str">
        <f>IF(B595&gt;0,VLOOKUP(B595,КВСР!A213:B1378,2),IF(C595&gt;0,VLOOKUP(C595,КФСР!A213:B1725,2),IF(D595&gt;0,VLOOKUP(D595,Программа!A$1:B$5100,2),IF(F595&gt;0,VLOOKUP(F595,КВР!A$1:B$5001,2),IF(E595&gt;0,VLOOKUP(E595,Направление!A$1:B$4830,2))))))</f>
        <v>Социальное обеспечение и иные выплаты населению</v>
      </c>
      <c r="B595" s="154"/>
      <c r="C595" s="149"/>
      <c r="D595" s="177"/>
      <c r="E595" s="175"/>
      <c r="F595" s="169">
        <v>300</v>
      </c>
      <c r="G595" s="498">
        <v>25578365</v>
      </c>
      <c r="H595" s="156">
        <v>25107259</v>
      </c>
      <c r="I595" s="157">
        <f t="shared" si="11"/>
        <v>50685624</v>
      </c>
    </row>
    <row r="596" spans="1:9" ht="47.25" x14ac:dyDescent="0.25">
      <c r="A596" s="153" t="str">
        <f>IF(B596&gt;0,VLOOKUP(B596,КВСР!A214:B1379,2),IF(C596&gt;0,VLOOKUP(C596,КФСР!A214:B1726,2),IF(D596&gt;0,VLOOKUP(D596,Программа!A$1:B$5100,2),IF(F596&gt;0,VLOOKUP(F596,КВР!A$1:B$5001,2),IF(E596&gt;0,VLOOKUP(E596,Направление!A$1:B$4830,2))))))</f>
        <v>Государственная поддержка опеки и попечительства за счет средств областного бюджета</v>
      </c>
      <c r="B596" s="154"/>
      <c r="C596" s="149"/>
      <c r="D596" s="174"/>
      <c r="E596" s="149">
        <v>70500</v>
      </c>
      <c r="F596" s="169"/>
      <c r="G596" s="500">
        <v>2644908</v>
      </c>
      <c r="H596" s="155">
        <f>H598+H599+H600+H597</f>
        <v>2565172</v>
      </c>
      <c r="I596" s="157">
        <f t="shared" si="11"/>
        <v>5210080</v>
      </c>
    </row>
    <row r="597" spans="1:9" ht="126" hidden="1" x14ac:dyDescent="0.25">
      <c r="A597" s="153" t="str">
        <f>IF(B597&gt;0,VLOOKUP(B597,КВСР!A215:B1380,2),IF(C597&gt;0,VLOOKUP(C597,КФСР!A215:B1727,2),IF(D597&gt;0,VLOOKUP(D597,Программа!A$1:B$5100,2),IF(F597&gt;0,VLOOKUP(F597,КВР!A$1:B$5001,2),IF(E597&gt;0,VLOOKUP(E597,Направление!A$1:B$4830,2))))))</f>
        <v xml:space="preserve">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
</v>
      </c>
      <c r="B597" s="154"/>
      <c r="C597" s="149"/>
      <c r="D597" s="174"/>
      <c r="E597" s="175"/>
      <c r="F597" s="169">
        <v>100</v>
      </c>
      <c r="G597" s="612">
        <v>0</v>
      </c>
      <c r="H597" s="171"/>
      <c r="I597" s="157">
        <f t="shared" si="11"/>
        <v>0</v>
      </c>
    </row>
    <row r="598" spans="1:9" ht="63" hidden="1" x14ac:dyDescent="0.25">
      <c r="A598" s="153" t="str">
        <f>IF(B598&gt;0,VLOOKUP(B598,КВСР!A215:B1380,2),IF(C598&gt;0,VLOOKUP(C598,КФСР!A215:B1727,2),IF(D598&gt;0,VLOOKUP(D598,Программа!A$1:B$5100,2),IF(F598&gt;0,VLOOKUP(F598,КВР!A$1:B$5001,2),IF(E598&gt;0,VLOOKUP(E598,Направление!A$1:B$4830,2))))))</f>
        <v xml:space="preserve">Закупка товаров, работ и услуг для обеспечения государственных (муниципальных) нужд
</v>
      </c>
      <c r="B598" s="154"/>
      <c r="C598" s="149"/>
      <c r="D598" s="177"/>
      <c r="E598" s="175"/>
      <c r="F598" s="169">
        <v>200</v>
      </c>
      <c r="G598" s="498">
        <v>46253</v>
      </c>
      <c r="H598" s="156"/>
      <c r="I598" s="157">
        <f t="shared" si="11"/>
        <v>46253</v>
      </c>
    </row>
    <row r="599" spans="1:9" ht="31.5" x14ac:dyDescent="0.25">
      <c r="A599" s="153" t="str">
        <f>IF(B599&gt;0,VLOOKUP(B599,КВСР!A216:B1381,2),IF(C599&gt;0,VLOOKUP(C599,КФСР!A216:B1728,2),IF(D599&gt;0,VLOOKUP(D599,Программа!A$1:B$5100,2),IF(F599&gt;0,VLOOKUP(F599,КВР!A$1:B$5001,2),IF(E599&gt;0,VLOOKUP(E599,Направление!A$1:B$4830,2))))))</f>
        <v>Социальное обеспечение и иные выплаты населению</v>
      </c>
      <c r="B599" s="154"/>
      <c r="C599" s="149"/>
      <c r="D599" s="177"/>
      <c r="E599" s="175"/>
      <c r="F599" s="169">
        <v>300</v>
      </c>
      <c r="G599" s="498">
        <v>1076495</v>
      </c>
      <c r="H599" s="156">
        <v>1043012</v>
      </c>
      <c r="I599" s="157">
        <f t="shared" si="11"/>
        <v>2119507</v>
      </c>
    </row>
    <row r="600" spans="1:9" ht="63" x14ac:dyDescent="0.25">
      <c r="A600" s="153" t="str">
        <f>IF(B600&gt;0,VLOOKUP(B600,КВСР!A217:B1382,2),IF(C600&gt;0,VLOOKUP(C600,КФСР!A217:B1729,2),IF(D600&gt;0,VLOOKUP(D600,Программа!A$1:B$5100,2),IF(F600&gt;0,VLOOKUP(F600,КВР!A$1:B$5001,2),IF(E600&gt;0,VLOOKUP(E600,Направление!A$1:B$4830,2))))))</f>
        <v>Предоставление субсидий бюджетным, автономным учреждениям и иным некоммерческим организациям</v>
      </c>
      <c r="B600" s="154"/>
      <c r="C600" s="149"/>
      <c r="D600" s="177"/>
      <c r="E600" s="175"/>
      <c r="F600" s="169">
        <v>600</v>
      </c>
      <c r="G600" s="498">
        <v>1522160</v>
      </c>
      <c r="H600" s="156">
        <v>1522160</v>
      </c>
      <c r="I600" s="157">
        <f t="shared" si="11"/>
        <v>3044320</v>
      </c>
    </row>
    <row r="601" spans="1:9" ht="31.5" x14ac:dyDescent="0.25">
      <c r="A601" s="153" t="str">
        <f>IF(B601&gt;0,VLOOKUP(B601,КВСР!A218:B1383,2),IF(C601&gt;0,VLOOKUP(C601,КФСР!A218:B1730,2),IF(D601&gt;0,VLOOKUP(D601,Программа!A$1:B$5100,2),IF(F601&gt;0,VLOOKUP(F601,КВР!A$1:B$5001,2),IF(E601&gt;0,VLOOKUP(E601,Направление!A$1:B$4830,2))))))</f>
        <v>Обеспечение компенсационных выплат</v>
      </c>
      <c r="B601" s="154"/>
      <c r="C601" s="149"/>
      <c r="D601" s="150" t="s">
        <v>2952</v>
      </c>
      <c r="E601" s="175"/>
      <c r="F601" s="169"/>
      <c r="G601" s="500">
        <v>19369359</v>
      </c>
      <c r="H601" s="533">
        <f>H602</f>
        <v>18836073</v>
      </c>
      <c r="I601" s="157">
        <f t="shared" si="11"/>
        <v>38205432</v>
      </c>
    </row>
    <row r="602" spans="1:9" ht="94.5" x14ac:dyDescent="0.25">
      <c r="A602" s="153" t="str">
        <f>IF(B602&gt;0,VLOOKUP(B602,КВСР!A207:B1372,2),IF(C602&gt;0,VLOOKUP(C602,КФСР!A207:B1719,2),IF(D602&gt;0,VLOOKUP(D602,Программа!A$1:B$5100,2),IF(F602&gt;0,VLOOKUP(F602,КВР!A$1:B$5001,2),IF(E602&gt;0,VLOOKUP(E602,Направление!A$1:B$4830,2))))))</f>
        <v>Компенсация расходов за присмотр и уход за детьми, осваивающими образовательные программы дошкольного образования в организациях, осуществляющих образовательную деятельность</v>
      </c>
      <c r="B602" s="154"/>
      <c r="C602" s="149"/>
      <c r="D602" s="174"/>
      <c r="E602" s="149">
        <v>70430</v>
      </c>
      <c r="F602" s="169"/>
      <c r="G602" s="500">
        <v>19369359</v>
      </c>
      <c r="H602" s="533">
        <f>H603+H604</f>
        <v>18836073</v>
      </c>
      <c r="I602" s="157">
        <f t="shared" si="11"/>
        <v>38205432</v>
      </c>
    </row>
    <row r="603" spans="1:9" ht="63" x14ac:dyDescent="0.25">
      <c r="A603" s="153" t="str">
        <f>IF(B603&gt;0,VLOOKUP(B603,КВСР!A208:B1373,2),IF(C603&gt;0,VLOOKUP(C603,КФСР!A208:B1720,2),IF(D603&gt;0,VLOOKUP(D603,Программа!A$1:B$5100,2),IF(F603&gt;0,VLOOKUP(F603,КВР!A$1:B$5001,2),IF(E603&gt;0,VLOOKUP(E603,Направление!A$1:B$4830,2))))))</f>
        <v xml:space="preserve">Закупка товаров, работ и услуг для обеспечения государственных (муниципальных) нужд
</v>
      </c>
      <c r="B603" s="154"/>
      <c r="C603" s="149"/>
      <c r="D603" s="177"/>
      <c r="E603" s="175"/>
      <c r="F603" s="169">
        <v>200</v>
      </c>
      <c r="G603" s="516">
        <v>286449</v>
      </c>
      <c r="H603" s="158">
        <v>296252</v>
      </c>
      <c r="I603" s="157">
        <f t="shared" si="11"/>
        <v>582701</v>
      </c>
    </row>
    <row r="604" spans="1:9" ht="31.5" x14ac:dyDescent="0.25">
      <c r="A604" s="153" t="str">
        <f>IF(B604&gt;0,VLOOKUP(B604,КВСР!A209:B1374,2),IF(C604&gt;0,VLOOKUP(C604,КФСР!A209:B1721,2),IF(D604&gt;0,VLOOKUP(D604,Программа!A$1:B$5100,2),IF(F604&gt;0,VLOOKUP(F604,КВР!A$1:B$5001,2),IF(E604&gt;0,VLOOKUP(E604,Направление!A$1:B$4830,2))))))</f>
        <v>Социальное обеспечение и иные выплаты населению</v>
      </c>
      <c r="B604" s="154"/>
      <c r="C604" s="149"/>
      <c r="D604" s="177"/>
      <c r="E604" s="175"/>
      <c r="F604" s="169">
        <v>300</v>
      </c>
      <c r="G604" s="516">
        <v>19082910</v>
      </c>
      <c r="H604" s="158">
        <v>18539821</v>
      </c>
      <c r="I604" s="157">
        <f t="shared" si="11"/>
        <v>37622731</v>
      </c>
    </row>
    <row r="605" spans="1:9" s="178" customFormat="1" x14ac:dyDescent="0.25">
      <c r="A605" s="153" t="str">
        <f>IF(B605&gt;0,VLOOKUP(B605,КВСР!A228:B1393,2),IF(C605&gt;0,VLOOKUP(C605,КФСР!A228:B1740,2),IF(D605&gt;0,VLOOKUP(D605,Программа!A$1:B$5100,2),IF(F605&gt;0,VLOOKUP(F605,КВР!A$1:B$5001,2),IF(E605&gt;0,VLOOKUP(E605,Направление!A$1:B$4830,2))))))</f>
        <v>Массовый спорт</v>
      </c>
      <c r="B605" s="167"/>
      <c r="C605" s="168">
        <v>1102</v>
      </c>
      <c r="D605" s="150"/>
      <c r="E605" s="149"/>
      <c r="F605" s="151"/>
      <c r="G605" s="606">
        <v>40355184</v>
      </c>
      <c r="H605" s="606">
        <f>H617+H606+H629</f>
        <v>40411083</v>
      </c>
      <c r="I605" s="157">
        <f t="shared" si="11"/>
        <v>80766267</v>
      </c>
    </row>
    <row r="606" spans="1:9" s="178" customFormat="1" ht="63" x14ac:dyDescent="0.25">
      <c r="A606" s="153" t="str">
        <f>IF(B606&gt;0,VLOOKUP(B606,КВСР!A229:B1394,2),IF(C606&gt;0,VLOOKUP(C606,КФСР!A229:B1741,2),IF(D606&gt;0,VLOOKUP(D606,Программа!A$1:B$5100,2),IF(F606&gt;0,VLOOKUP(F606,КВР!A$1:B$5001,2),IF(E606&gt;0,VLOOKUP(E606,Направление!A$1:B$4830,2))))))</f>
        <v>Муниципальная программа  "Развитие культуры, туризма и молодежной политики в Тутаевском муниципальном районе"</v>
      </c>
      <c r="B606" s="167"/>
      <c r="C606" s="168"/>
      <c r="D606" s="150" t="s">
        <v>714</v>
      </c>
      <c r="E606" s="149"/>
      <c r="F606" s="151"/>
      <c r="G606" s="606">
        <v>444000</v>
      </c>
      <c r="H606" s="157">
        <f>H608+H613</f>
        <v>444000</v>
      </c>
      <c r="I606" s="157">
        <f t="shared" si="11"/>
        <v>888000</v>
      </c>
    </row>
    <row r="607" spans="1:9" s="178" customFormat="1" ht="94.5" x14ac:dyDescent="0.25">
      <c r="A607" s="153" t="str">
        <f>IF(B607&gt;0,VLOOKUP(B607,КВСР!A230:B1395,2),IF(C607&gt;0,VLOOKUP(C607,КФСР!A230:B1742,2),IF(D607&gt;0,VLOOKUP(D607,Программа!A$1:B$5100,2),IF(F607&gt;0,VLOOKUP(F607,КВР!A$1:B$5001,2),IF(E607&gt;0,VLOOKUP(E607,Направление!A$1:B$4830,2))))))</f>
        <v>Муниципальная целевая программа «Патриотическое воспитание граждан Российской Федерации, проживающих на территории Тутаевского муниципального района Ярославской области»</v>
      </c>
      <c r="B607" s="167"/>
      <c r="C607" s="168"/>
      <c r="D607" s="150" t="s">
        <v>716</v>
      </c>
      <c r="E607" s="149"/>
      <c r="F607" s="151"/>
      <c r="G607" s="606">
        <v>44000</v>
      </c>
      <c r="H607" s="157">
        <f>H608</f>
        <v>44000</v>
      </c>
      <c r="I607" s="157">
        <f t="shared" si="11"/>
        <v>88000</v>
      </c>
    </row>
    <row r="608" spans="1:9" s="178" customFormat="1" ht="78.75" x14ac:dyDescent="0.25">
      <c r="A608" s="153" t="str">
        <f>IF(B608&gt;0,VLOOKUP(B608,КВСР!A231:B1396,2),IF(C608&gt;0,VLOOKUP(C608,КФСР!A231:B1743,2),IF(D608&gt;0,VLOOKUP(D608,Программа!A$1:B$5100,2),IF(F608&gt;0,VLOOKUP(F608,КВР!A$1:B$5001,2),IF(E608&gt;0,VLOOKUP(E608,Направление!A$1:B$4830,2))))))</f>
        <v>Координирование деятельности, совершенствование организационного, методического и информационного функционирования системы патриотического воспитания</v>
      </c>
      <c r="B608" s="167"/>
      <c r="C608" s="168"/>
      <c r="D608" s="150" t="s">
        <v>718</v>
      </c>
      <c r="E608" s="149"/>
      <c r="F608" s="151"/>
      <c r="G608" s="606">
        <v>44000</v>
      </c>
      <c r="H608" s="157">
        <f>H609+H611</f>
        <v>44000</v>
      </c>
      <c r="I608" s="157">
        <f t="shared" si="11"/>
        <v>88000</v>
      </c>
    </row>
    <row r="609" spans="1:9" s="178" customFormat="1" ht="31.5" x14ac:dyDescent="0.25">
      <c r="A609" s="153" t="str">
        <f>IF(B609&gt;0,VLOOKUP(B609,КВСР!A231:B1396,2),IF(C609&gt;0,VLOOKUP(C609,КФСР!A231:B1743,2),IF(D609&gt;0,VLOOKUP(D609,Программа!A$1:B$5100,2),IF(F609&gt;0,VLOOKUP(F609,КВР!A$1:B$5001,2),IF(E609&gt;0,VLOOKUP(E609,Направление!A$1:B$4830,2))))))</f>
        <v>Обеспечение деятельности учреждений спорта</v>
      </c>
      <c r="B609" s="167"/>
      <c r="C609" s="168"/>
      <c r="D609" s="150"/>
      <c r="E609" s="149">
        <v>14020</v>
      </c>
      <c r="F609" s="151"/>
      <c r="G609" s="606">
        <v>40000</v>
      </c>
      <c r="H609" s="157">
        <f>H610</f>
        <v>40000</v>
      </c>
      <c r="I609" s="157">
        <f t="shared" si="11"/>
        <v>80000</v>
      </c>
    </row>
    <row r="610" spans="1:9" s="178" customFormat="1" ht="63" x14ac:dyDescent="0.25">
      <c r="A610" s="153" t="str">
        <f>IF(B610&gt;0,VLOOKUP(B610,КВСР!A232:B1397,2),IF(C610&gt;0,VLOOKUP(C610,КФСР!A232:B1744,2),IF(D610&gt;0,VLOOKUP(D610,Программа!A$1:B$5100,2),IF(F610&gt;0,VLOOKUP(F610,КВР!A$1:B$5001,2),IF(E610&gt;0,VLOOKUP(E610,Направление!A$1:B$4830,2))))))</f>
        <v>Предоставление субсидий бюджетным, автономным учреждениям и иным некоммерческим организациям</v>
      </c>
      <c r="B610" s="167"/>
      <c r="C610" s="168"/>
      <c r="D610" s="150"/>
      <c r="E610" s="149"/>
      <c r="F610" s="151">
        <v>600</v>
      </c>
      <c r="G610" s="516">
        <v>40000</v>
      </c>
      <c r="H610" s="158">
        <v>40000</v>
      </c>
      <c r="I610" s="157">
        <f t="shared" si="11"/>
        <v>80000</v>
      </c>
    </row>
    <row r="611" spans="1:9" s="178" customFormat="1" ht="31.5" x14ac:dyDescent="0.25">
      <c r="A611" s="153" t="str">
        <f>IF(B611&gt;0,VLOOKUP(B611,КВСР!A233:B1398,2),IF(C611&gt;0,VLOOKUP(C611,КФСР!A233:B1745,2),IF(D611&gt;0,VLOOKUP(D611,Программа!A$1:B$5100,2),IF(F611&gt;0,VLOOKUP(F611,КВР!A$1:B$5001,2),IF(E611&gt;0,VLOOKUP(E611,Направление!A$1:B$4830,2))))))</f>
        <v>Мероприятия по патриотическому воспитанию граждан</v>
      </c>
      <c r="B611" s="167"/>
      <c r="C611" s="168"/>
      <c r="D611" s="150"/>
      <c r="E611" s="149">
        <v>74880</v>
      </c>
      <c r="F611" s="151"/>
      <c r="G611" s="516">
        <v>4000</v>
      </c>
      <c r="H611" s="516">
        <f>H612</f>
        <v>4000</v>
      </c>
      <c r="I611" s="157">
        <f t="shared" si="11"/>
        <v>8000</v>
      </c>
    </row>
    <row r="612" spans="1:9" s="178" customFormat="1" ht="63" x14ac:dyDescent="0.25">
      <c r="A612" s="153" t="str">
        <f>IF(B612&gt;0,VLOOKUP(B612,КВСР!A234:B1399,2),IF(C612&gt;0,VLOOKUP(C612,КФСР!A234:B1746,2),IF(D612&gt;0,VLOOKUP(D612,Программа!A$1:B$5100,2),IF(F612&gt;0,VLOOKUP(F612,КВР!A$1:B$5001,2),IF(E612&gt;0,VLOOKUP(E612,Направление!A$1:B$4830,2))))))</f>
        <v>Предоставление субсидий бюджетным, автономным учреждениям и иным некоммерческим организациям</v>
      </c>
      <c r="B612" s="167"/>
      <c r="C612" s="168"/>
      <c r="D612" s="150"/>
      <c r="E612" s="149"/>
      <c r="F612" s="151">
        <v>600</v>
      </c>
      <c r="G612" s="516">
        <v>4000</v>
      </c>
      <c r="H612" s="158">
        <v>4000</v>
      </c>
      <c r="I612" s="157">
        <f t="shared" si="11"/>
        <v>8000</v>
      </c>
    </row>
    <row r="613" spans="1:9" s="178" customFormat="1" ht="63" x14ac:dyDescent="0.25">
      <c r="A613" s="153" t="str">
        <f>IF(B613&gt;0,VLOOKUP(B613,КВСР!A233:B1398,2),IF(C613&gt;0,VLOOKUP(C613,КФСР!A233:B1745,2),IF(D613&gt;0,VLOOKUP(D613,Программа!A$1:B$5100,2),IF(F613&gt;0,VLOOKUP(F613,КВР!A$1:B$5001,2),IF(E613&gt;0,VLOOKUP(E613,Направление!A$1:B$4830,2))))))</f>
        <v>Муниципальная целевая программа «Комплексные меры противодействия злоупотреблению наркотиками и их незаконному обороту»</v>
      </c>
      <c r="B613" s="167"/>
      <c r="C613" s="168"/>
      <c r="D613" s="150" t="s">
        <v>721</v>
      </c>
      <c r="E613" s="149"/>
      <c r="F613" s="151"/>
      <c r="G613" s="606">
        <v>400000</v>
      </c>
      <c r="H613" s="157">
        <f>H614</f>
        <v>400000</v>
      </c>
      <c r="I613" s="157">
        <f t="shared" si="11"/>
        <v>800000</v>
      </c>
    </row>
    <row r="614" spans="1:9" s="178" customFormat="1" ht="47.25" x14ac:dyDescent="0.25">
      <c r="A614" s="153" t="str">
        <f>IF(B614&gt;0,VLOOKUP(B614,КВСР!A234:B1399,2),IF(C614&gt;0,VLOOKUP(C614,КФСР!A234:B1746,2),IF(D614&gt;0,VLOOKUP(D614,Программа!A$1:B$5100,2),IF(F614&gt;0,VLOOKUP(F614,КВР!A$1:B$5001,2),IF(E614&gt;0,VLOOKUP(E614,Направление!A$1:B$4830,2))))))</f>
        <v>Развитие системы профилактики немедицинского потребления наркотиков</v>
      </c>
      <c r="B614" s="167"/>
      <c r="C614" s="168"/>
      <c r="D614" s="150" t="s">
        <v>723</v>
      </c>
      <c r="E614" s="149"/>
      <c r="F614" s="151"/>
      <c r="G614" s="606">
        <v>400000</v>
      </c>
      <c r="H614" s="157">
        <f>H615</f>
        <v>400000</v>
      </c>
      <c r="I614" s="157">
        <f t="shared" si="11"/>
        <v>800000</v>
      </c>
    </row>
    <row r="615" spans="1:9" s="178" customFormat="1" ht="31.5" x14ac:dyDescent="0.25">
      <c r="A615" s="153" t="str">
        <f>IF(B615&gt;0,VLOOKUP(B615,КВСР!A235:B1400,2),IF(C615&gt;0,VLOOKUP(C615,КФСР!A235:B1747,2),IF(D615&gt;0,VLOOKUP(D615,Программа!A$1:B$5100,2),IF(F615&gt;0,VLOOKUP(F615,КВР!A$1:B$5001,2),IF(E615&gt;0,VLOOKUP(E615,Направление!A$1:B$4830,2))))))</f>
        <v>Обеспечение деятельности учреждений спорта</v>
      </c>
      <c r="B615" s="167"/>
      <c r="C615" s="168"/>
      <c r="D615" s="150"/>
      <c r="E615" s="149">
        <v>14020</v>
      </c>
      <c r="F615" s="151"/>
      <c r="G615" s="606">
        <v>400000</v>
      </c>
      <c r="H615" s="157">
        <f>H616</f>
        <v>400000</v>
      </c>
      <c r="I615" s="157">
        <f t="shared" si="11"/>
        <v>800000</v>
      </c>
    </row>
    <row r="616" spans="1:9" s="178" customFormat="1" ht="63" x14ac:dyDescent="0.25">
      <c r="A616" s="153" t="str">
        <f>IF(B616&gt;0,VLOOKUP(B616,КВСР!A238:B1403,2),IF(C616&gt;0,VLOOKUP(C616,КФСР!A238:B1750,2),IF(D616&gt;0,VLOOKUP(D616,Программа!A$1:B$5100,2),IF(F616&gt;0,VLOOKUP(F616,КВР!A$1:B$5001,2),IF(E616&gt;0,VLOOKUP(E616,Направление!A$1:B$4830,2))))))</f>
        <v>Предоставление субсидий бюджетным, автономным учреждениям и иным некоммерческим организациям</v>
      </c>
      <c r="B616" s="167"/>
      <c r="C616" s="168"/>
      <c r="D616" s="150"/>
      <c r="E616" s="149"/>
      <c r="F616" s="151">
        <v>600</v>
      </c>
      <c r="G616" s="516">
        <v>400000</v>
      </c>
      <c r="H616" s="158">
        <v>400000</v>
      </c>
      <c r="I616" s="157">
        <f t="shared" si="11"/>
        <v>800000</v>
      </c>
    </row>
    <row r="617" spans="1:9" s="178" customFormat="1" ht="63" x14ac:dyDescent="0.25">
      <c r="A617" s="153" t="str">
        <f>IF(B617&gt;0,VLOOKUP(B617,КВСР!A229:B1394,2),IF(C617&gt;0,VLOOKUP(C617,КФСР!A229:B1741,2),IF(D617&gt;0,VLOOKUP(D617,Программа!A$1:B$5100,2),IF(F617&gt;0,VLOOKUP(F617,КВР!A$1:B$5001,2),IF(E617&gt;0,VLOOKUP(E617,Направление!A$1:B$4830,2))))))</f>
        <v>Муниципальная программа "Развитие образования, физической культуры и спорта в Тутаевском муниципальном районе"</v>
      </c>
      <c r="B617" s="167"/>
      <c r="C617" s="168"/>
      <c r="D617" s="150" t="s">
        <v>684</v>
      </c>
      <c r="E617" s="149"/>
      <c r="F617" s="151"/>
      <c r="G617" s="606">
        <v>39889377</v>
      </c>
      <c r="H617" s="157">
        <f>H618</f>
        <v>39949376</v>
      </c>
      <c r="I617" s="157">
        <f t="shared" si="11"/>
        <v>79838753</v>
      </c>
    </row>
    <row r="618" spans="1:9" s="178" customFormat="1" ht="63" x14ac:dyDescent="0.25">
      <c r="A618" s="153" t="str">
        <f>IF(B618&gt;0,VLOOKUP(B618,КВСР!A230:B1395,2),IF(C618&gt;0,VLOOKUP(C618,КФСР!A230:B1742,2),IF(D618&gt;0,VLOOKUP(D618,Программа!A$1:B$5100,2),IF(F618&gt;0,VLOOKUP(F618,КВР!A$1:B$5001,2),IF(E618&gt;0,VLOOKUP(E618,Направление!A$1:B$4830,2))))))</f>
        <v>Муниципальная целевая программа "Развитие физической культуры и спорта в Тутаевском муниципальном районе"</v>
      </c>
      <c r="B618" s="167"/>
      <c r="C618" s="168"/>
      <c r="D618" s="150" t="s">
        <v>704</v>
      </c>
      <c r="E618" s="149"/>
      <c r="F618" s="151"/>
      <c r="G618" s="606">
        <v>39889377</v>
      </c>
      <c r="H618" s="157">
        <f>H619+H626</f>
        <v>39949376</v>
      </c>
      <c r="I618" s="157">
        <f t="shared" si="11"/>
        <v>79838753</v>
      </c>
    </row>
    <row r="619" spans="1:9" s="178" customFormat="1" ht="94.5" x14ac:dyDescent="0.25">
      <c r="A619" s="153" t="str">
        <f>IF(B619&gt;0,VLOOKUP(B619,КВСР!A231:B1396,2),IF(C619&gt;0,VLOOKUP(C619,КФСР!A231:B1743,2),IF(D619&gt;0,VLOOKUP(D619,Программа!A$1:B$5100,2),IF(F619&gt;0,VLOOKUP(F619,КВР!A$1:B$5001,2),IF(E619&gt;0,VLOOKUP(E619,Направление!A$1:B$4830,2))))))</f>
        <v>Организация и проведение физкультурно-оздоровительной и спортивно-массовой работы среди детей, обучающейся молодежи, населения и людей с ограниченными возможностями здоровья</v>
      </c>
      <c r="B619" s="167"/>
      <c r="C619" s="168"/>
      <c r="D619" s="150" t="s">
        <v>761</v>
      </c>
      <c r="E619" s="149"/>
      <c r="F619" s="151"/>
      <c r="G619" s="606">
        <v>39889377</v>
      </c>
      <c r="H619" s="157">
        <f>H620+H624+H622</f>
        <v>39949376</v>
      </c>
      <c r="I619" s="157">
        <f t="shared" si="11"/>
        <v>79838753</v>
      </c>
    </row>
    <row r="620" spans="1:9" s="178" customFormat="1" ht="31.5" x14ac:dyDescent="0.25">
      <c r="A620" s="153" t="str">
        <f>IF(B620&gt;0,VLOOKUP(B620,КВСР!A232:B1397,2),IF(C620&gt;0,VLOOKUP(C620,КФСР!A232:B1744,2),IF(D620&gt;0,VLOOKUP(D620,Программа!A$1:B$5100,2),IF(F620&gt;0,VLOOKUP(F620,КВР!A$1:B$5001,2),IF(E620&gt;0,VLOOKUP(E620,Направление!A$1:B$4830,2))))))</f>
        <v>Обеспечение деятельности учреждений спорта</v>
      </c>
      <c r="B620" s="167"/>
      <c r="C620" s="168"/>
      <c r="D620" s="150"/>
      <c r="E620" s="149">
        <v>14020</v>
      </c>
      <c r="F620" s="151"/>
      <c r="G620" s="500">
        <v>39417015</v>
      </c>
      <c r="H620" s="155">
        <f>H621</f>
        <v>39477015</v>
      </c>
      <c r="I620" s="157">
        <f t="shared" si="11"/>
        <v>78894030</v>
      </c>
    </row>
    <row r="621" spans="1:9" s="178" customFormat="1" ht="63" x14ac:dyDescent="0.25">
      <c r="A621" s="153" t="str">
        <f>IF(B621&gt;0,VLOOKUP(B621,КВСР!A233:B1398,2),IF(C621&gt;0,VLOOKUP(C621,КФСР!A233:B1745,2),IF(D621&gt;0,VLOOKUP(D621,Программа!A$1:B$5100,2),IF(F621&gt;0,VLOOKUP(F621,КВР!A$1:B$5001,2),IF(E621&gt;0,VLOOKUP(E621,Направление!A$1:B$4830,2))))))</f>
        <v>Предоставление субсидий бюджетным, автономным учреждениям и иным некоммерческим организациям</v>
      </c>
      <c r="B621" s="167"/>
      <c r="C621" s="168"/>
      <c r="D621" s="150"/>
      <c r="E621" s="149"/>
      <c r="F621" s="151">
        <v>600</v>
      </c>
      <c r="G621" s="516">
        <v>39417015</v>
      </c>
      <c r="H621" s="158">
        <v>39477015</v>
      </c>
      <c r="I621" s="157">
        <f t="shared" si="11"/>
        <v>78894030</v>
      </c>
    </row>
    <row r="622" spans="1:9" s="178" customFormat="1" x14ac:dyDescent="0.25">
      <c r="A622" s="153" t="str">
        <f>IF(B622&gt;0,VLOOKUP(B622,КВСР!A234:B1399,2),IF(C622&gt;0,VLOOKUP(C622,КФСР!A234:B1746,2),IF(D622&gt;0,VLOOKUP(D622,Программа!A$1:B$5100,2),IF(F622&gt;0,VLOOKUP(F622,КВР!A$1:B$5001,2),IF(E622&gt;0,VLOOKUP(E622,Направление!A$1:B$4830,2))))))</f>
        <v xml:space="preserve">Иная дотация </v>
      </c>
      <c r="B622" s="167"/>
      <c r="C622" s="168"/>
      <c r="D622" s="150"/>
      <c r="E622" s="149">
        <v>73260</v>
      </c>
      <c r="F622" s="151"/>
      <c r="G622" s="516">
        <v>190000</v>
      </c>
      <c r="H622" s="516">
        <f>H623</f>
        <v>190000</v>
      </c>
      <c r="I622" s="157">
        <f t="shared" si="11"/>
        <v>380000</v>
      </c>
    </row>
    <row r="623" spans="1:9" s="178" customFormat="1" ht="63" x14ac:dyDescent="0.25">
      <c r="A623" s="153" t="str">
        <f>IF(B623&gt;0,VLOOKUP(B623,КВСР!A235:B1400,2),IF(C623&gt;0,VLOOKUP(C623,КФСР!A235:B1747,2),IF(D623&gt;0,VLOOKUP(D623,Программа!A$1:B$5100,2),IF(F623&gt;0,VLOOKUP(F623,КВР!A$1:B$5001,2),IF(E623&gt;0,VLOOKUP(E623,Направление!A$1:B$4830,2))))))</f>
        <v>Предоставление субсидий бюджетным, автономным учреждениям и иным некоммерческим организациям</v>
      </c>
      <c r="B623" s="167"/>
      <c r="C623" s="168"/>
      <c r="D623" s="150"/>
      <c r="E623" s="149"/>
      <c r="F623" s="151">
        <v>600</v>
      </c>
      <c r="G623" s="516">
        <v>190000</v>
      </c>
      <c r="H623" s="158">
        <v>190000</v>
      </c>
      <c r="I623" s="157">
        <f t="shared" si="11"/>
        <v>380000</v>
      </c>
    </row>
    <row r="624" spans="1:9" s="178" customFormat="1" ht="94.5" x14ac:dyDescent="0.25">
      <c r="A624" s="153" t="str">
        <f>IF(B624&gt;0,VLOOKUP(B624,КВСР!A234:B1399,2),IF(C624&gt;0,VLOOKUP(C624,КФСР!A234:B1746,2),IF(D624&gt;0,VLOOKUP(D624,Программа!A$1:B$5100,2),IF(F624&gt;0,VLOOKUP(F624,КВР!A$1:B$5001,2),IF(E624&gt;0,VLOOKUP(E624,Направление!A$1:B$4830,2))))))</f>
        <v>На реализацию мероприятий по поощрению достижения наилучших значений показателей по отдельным направлениям развития муниципальных образований Ярославской области</v>
      </c>
      <c r="B624" s="167"/>
      <c r="C624" s="168"/>
      <c r="D624" s="150"/>
      <c r="E624" s="149">
        <v>75870</v>
      </c>
      <c r="F624" s="151"/>
      <c r="G624" s="516">
        <v>282362</v>
      </c>
      <c r="H624" s="516">
        <f>H625</f>
        <v>282361</v>
      </c>
      <c r="I624" s="516">
        <f>I625</f>
        <v>564723</v>
      </c>
    </row>
    <row r="625" spans="1:9" s="178" customFormat="1" ht="63" x14ac:dyDescent="0.25">
      <c r="A625" s="153" t="str">
        <f>IF(B625&gt;0,VLOOKUP(B625,КВСР!A235:B1400,2),IF(C625&gt;0,VLOOKUP(C625,КФСР!A235:B1747,2),IF(D625&gt;0,VLOOKUP(D625,Программа!A$1:B$5100,2),IF(F625&gt;0,VLOOKUP(F625,КВР!A$1:B$5001,2),IF(E625&gt;0,VLOOKUP(E625,Направление!A$1:B$4830,2))))))</f>
        <v>Предоставление субсидий бюджетным, автономным учреждениям и иным некоммерческим организациям</v>
      </c>
      <c r="B625" s="167"/>
      <c r="C625" s="168"/>
      <c r="D625" s="150"/>
      <c r="E625" s="149"/>
      <c r="F625" s="151">
        <v>600</v>
      </c>
      <c r="G625" s="516">
        <v>282362</v>
      </c>
      <c r="H625" s="158">
        <v>282361</v>
      </c>
      <c r="I625" s="157">
        <f t="shared" si="11"/>
        <v>564723</v>
      </c>
    </row>
    <row r="626" spans="1:9" s="178" customFormat="1" ht="47.25" hidden="1" x14ac:dyDescent="0.25">
      <c r="A626" s="153" t="str">
        <f>IF(B626&gt;0,VLOOKUP(B626,КВСР!A234:B1399,2),IF(C626&gt;0,VLOOKUP(C626,КФСР!A234:B1746,2),IF(D626&gt;0,VLOOKUP(D626,Программа!A$1:B$5100,2),IF(F626&gt;0,VLOOKUP(F626,КВР!A$1:B$5001,2),IF(E626&gt;0,VLOOKUP(E626,Направление!A$1:B$4830,2))))))</f>
        <v>Строительство и реконструкция спортивных сооружений и укрепление материальной базы</v>
      </c>
      <c r="B626" s="167"/>
      <c r="C626" s="168"/>
      <c r="D626" s="150" t="s">
        <v>705</v>
      </c>
      <c r="E626" s="149"/>
      <c r="F626" s="151"/>
      <c r="G626" s="606">
        <v>0</v>
      </c>
      <c r="H626" s="157">
        <f>H627</f>
        <v>0</v>
      </c>
      <c r="I626" s="157">
        <f t="shared" si="11"/>
        <v>0</v>
      </c>
    </row>
    <row r="627" spans="1:9" s="178" customFormat="1" ht="47.25" hidden="1" x14ac:dyDescent="0.25">
      <c r="A627" s="153" t="str">
        <f>IF(B627&gt;0,VLOOKUP(B627,КВСР!A235:B1400,2),IF(C627&gt;0,VLOOKUP(C627,КФСР!A235:B1747,2),IF(D627&gt;0,VLOOKUP(D627,Программа!A$1:B$5100,2),IF(F627&gt;0,VLOOKUP(F627,КВР!A$1:B$5001,2),IF(E627&gt;0,VLOOKUP(E627,Направление!A$1:B$4830,2))))))</f>
        <v xml:space="preserve">Развитие сети плоскостных спортивных сооружений в муниципальных образованиях </v>
      </c>
      <c r="B627" s="167"/>
      <c r="C627" s="168"/>
      <c r="D627" s="150"/>
      <c r="E627" s="168" t="s">
        <v>763</v>
      </c>
      <c r="F627" s="169"/>
      <c r="G627" s="606">
        <v>0</v>
      </c>
      <c r="H627" s="157">
        <f>H628</f>
        <v>0</v>
      </c>
      <c r="I627" s="157">
        <f t="shared" si="11"/>
        <v>0</v>
      </c>
    </row>
    <row r="628" spans="1:9" s="178" customFormat="1" ht="63" hidden="1" x14ac:dyDescent="0.25">
      <c r="A628" s="153" t="str">
        <f>IF(B628&gt;0,VLOOKUP(B628,КВСР!A236:B1401,2),IF(C628&gt;0,VLOOKUP(C628,КФСР!A236:B1748,2),IF(D628&gt;0,VLOOKUP(D628,Программа!A$1:B$5100,2),IF(F628&gt;0,VLOOKUP(F628,КВР!A$1:B$5001,2),IF(E628&gt;0,VLOOKUP(E628,Направление!A$1:B$4830,2))))))</f>
        <v>Предоставление субсидий бюджетным, автономным учреждениям и иным некоммерческим организациям</v>
      </c>
      <c r="B628" s="167"/>
      <c r="C628" s="168"/>
      <c r="D628" s="150"/>
      <c r="E628" s="168"/>
      <c r="F628" s="169">
        <v>600</v>
      </c>
      <c r="G628" s="516">
        <v>0</v>
      </c>
      <c r="H628" s="158"/>
      <c r="I628" s="157">
        <f t="shared" si="11"/>
        <v>0</v>
      </c>
    </row>
    <row r="629" spans="1:9" s="178" customFormat="1" ht="47.25" x14ac:dyDescent="0.25">
      <c r="A629" s="153" t="str">
        <f>IF(B629&gt;0,VLOOKUP(B629,КВСР!A237:B1402,2),IF(C629&gt;0,VLOOKUP(C629,КФСР!A237:B1749,2),IF(D629&gt;0,VLOOKUP(D629,Программа!A$1:B$5100,2),IF(F629&gt;0,VLOOKUP(F629,КВР!A$1:B$5001,2),IF(E629&gt;0,VLOOKUP(E629,Направление!A$1:B$4830,2))))))</f>
        <v>Муниципальная программа "Социальная поддержка населения Тутаевского муниципального района"</v>
      </c>
      <c r="B629" s="167"/>
      <c r="C629" s="168"/>
      <c r="D629" s="150" t="s">
        <v>693</v>
      </c>
      <c r="E629" s="168"/>
      <c r="F629" s="169"/>
      <c r="G629" s="516">
        <v>21807</v>
      </c>
      <c r="H629" s="516">
        <f>H630</f>
        <v>17707</v>
      </c>
      <c r="I629" s="157">
        <f t="shared" si="11"/>
        <v>39514</v>
      </c>
    </row>
    <row r="630" spans="1:9" s="178" customFormat="1" ht="63" x14ac:dyDescent="0.25">
      <c r="A630" s="153" t="str">
        <f>IF(B630&gt;0,VLOOKUP(B630,КВСР!A238:B1403,2),IF(C630&gt;0,VLOOKUP(C630,КФСР!A238:B1750,2),IF(D630&gt;0,VLOOKUP(D630,Программа!A$1:B$5100,2),IF(F630&gt;0,VLOOKUP(F630,КВР!A$1:B$5001,2),IF(E630&gt;0,VLOOKUP(E630,Направление!A$1:B$4830,2))))))</f>
        <v>Муниципальная целевая программа "Улучшение условий и охраны труда" по Тутаевскому муниципальному району</v>
      </c>
      <c r="B630" s="167"/>
      <c r="C630" s="168"/>
      <c r="D630" s="150" t="s">
        <v>695</v>
      </c>
      <c r="E630" s="168"/>
      <c r="F630" s="169"/>
      <c r="G630" s="516">
        <v>21807</v>
      </c>
      <c r="H630" s="516">
        <f>H631+H634</f>
        <v>17707</v>
      </c>
      <c r="I630" s="157">
        <f t="shared" si="11"/>
        <v>39514</v>
      </c>
    </row>
    <row r="631" spans="1:9" s="178" customFormat="1" ht="63" x14ac:dyDescent="0.25">
      <c r="A631" s="153" t="str">
        <f>IF(B631&gt;0,VLOOKUP(B631,КВСР!A239:B1404,2),IF(C631&gt;0,VLOOKUP(C631,КФСР!A239:B1751,2),IF(D631&gt;0,VLOOKUP(D631,Программа!A$1:B$5100,2),IF(F631&gt;0,VLOOKUP(F631,КВР!A$1:B$5001,2),IF(E631&gt;0,VLOOKUP(E631,Направление!A$1:B$4830,2))))))</f>
        <v>Специальная оценка условий труда работающих в организациях расположенных на территории Тутаевского муниципального района</v>
      </c>
      <c r="B631" s="167"/>
      <c r="C631" s="168"/>
      <c r="D631" s="150" t="s">
        <v>696</v>
      </c>
      <c r="E631" s="168"/>
      <c r="F631" s="169"/>
      <c r="G631" s="516">
        <v>17007</v>
      </c>
      <c r="H631" s="516">
        <f>H632</f>
        <v>12907</v>
      </c>
      <c r="I631" s="157">
        <f t="shared" si="11"/>
        <v>29914</v>
      </c>
    </row>
    <row r="632" spans="1:9" s="178" customFormat="1" ht="31.5" x14ac:dyDescent="0.25">
      <c r="A632" s="153" t="str">
        <f>IF(B632&gt;0,VLOOKUP(B632,КВСР!A240:B1405,2),IF(C632&gt;0,VLOOKUP(C632,КФСР!A240:B1752,2),IF(D632&gt;0,VLOOKUP(D632,Программа!A$1:B$5100,2),IF(F632&gt;0,VLOOKUP(F632,КВР!A$1:B$5001,2),IF(E632&gt;0,VLOOKUP(E632,Направление!A$1:B$4830,2))))))</f>
        <v>Расходы на реализацию МЦП "Улучшение условий и охраны труда"</v>
      </c>
      <c r="B632" s="167"/>
      <c r="C632" s="168"/>
      <c r="D632" s="150"/>
      <c r="E632" s="168">
        <v>16150</v>
      </c>
      <c r="F632" s="169"/>
      <c r="G632" s="516">
        <v>17007</v>
      </c>
      <c r="H632" s="516">
        <f>H633</f>
        <v>12907</v>
      </c>
      <c r="I632" s="157">
        <f t="shared" si="11"/>
        <v>29914</v>
      </c>
    </row>
    <row r="633" spans="1:9" s="178" customFormat="1" ht="63" x14ac:dyDescent="0.25">
      <c r="A633" s="153" t="str">
        <f>IF(B633&gt;0,VLOOKUP(B633,КВСР!A241:B1406,2),IF(C633&gt;0,VLOOKUP(C633,КФСР!A241:B1753,2),IF(D633&gt;0,VLOOKUP(D633,Программа!A$1:B$5100,2),IF(F633&gt;0,VLOOKUP(F633,КВР!A$1:B$5001,2),IF(E633&gt;0,VLOOKUP(E633,Направление!A$1:B$4830,2))))))</f>
        <v>Предоставление субсидий бюджетным, автономным учреждениям и иным некоммерческим организациям</v>
      </c>
      <c r="B633" s="167"/>
      <c r="C633" s="168"/>
      <c r="D633" s="150"/>
      <c r="E633" s="168"/>
      <c r="F633" s="169">
        <v>600</v>
      </c>
      <c r="G633" s="516">
        <v>17007</v>
      </c>
      <c r="H633" s="158">
        <v>12907</v>
      </c>
      <c r="I633" s="157">
        <f t="shared" si="11"/>
        <v>29914</v>
      </c>
    </row>
    <row r="634" spans="1:9" s="178" customFormat="1" ht="47.25" x14ac:dyDescent="0.25">
      <c r="A634" s="153" t="str">
        <f>IF(B634&gt;0,VLOOKUP(B634,КВСР!A242:B1407,2),IF(C634&gt;0,VLOOKUP(C634,КФСР!A242:B1754,2),IF(D634&gt;0,VLOOKUP(D634,Программа!A$1:B$5100,2),IF(F634&gt;0,VLOOKUP(F634,КВР!A$1:B$5001,2),IF(E634&gt;0,VLOOKUP(E634,Направление!A$1:B$4830,2))))))</f>
        <v>Обучение по охране труда работников организаций Тутаевского муниципального района</v>
      </c>
      <c r="B634" s="167"/>
      <c r="C634" s="168"/>
      <c r="D634" s="150" t="s">
        <v>2924</v>
      </c>
      <c r="E634" s="168"/>
      <c r="F634" s="169"/>
      <c r="G634" s="516">
        <v>4800</v>
      </c>
      <c r="H634" s="516">
        <f>H635</f>
        <v>4800</v>
      </c>
      <c r="I634" s="516">
        <f>I635</f>
        <v>9600</v>
      </c>
    </row>
    <row r="635" spans="1:9" s="178" customFormat="1" ht="31.5" x14ac:dyDescent="0.25">
      <c r="A635" s="153" t="str">
        <f>IF(B635&gt;0,VLOOKUP(B635,КВСР!A243:B1408,2),IF(C635&gt;0,VLOOKUP(C635,КФСР!A243:B1755,2),IF(D635&gt;0,VLOOKUP(D635,Программа!A$1:B$5100,2),IF(F635&gt;0,VLOOKUP(F635,КВР!A$1:B$5001,2),IF(E635&gt;0,VLOOKUP(E635,Направление!A$1:B$4830,2))))))</f>
        <v>Расходы на реализацию МЦП "Улучшение условий и охраны труда"</v>
      </c>
      <c r="B635" s="167"/>
      <c r="C635" s="168"/>
      <c r="D635" s="150"/>
      <c r="E635" s="168">
        <v>16150</v>
      </c>
      <c r="F635" s="169"/>
      <c r="G635" s="516">
        <v>4800</v>
      </c>
      <c r="H635" s="516">
        <f>H636</f>
        <v>4800</v>
      </c>
      <c r="I635" s="516">
        <f>I636</f>
        <v>9600</v>
      </c>
    </row>
    <row r="636" spans="1:9" s="178" customFormat="1" ht="63" x14ac:dyDescent="0.25">
      <c r="A636" s="153" t="str">
        <f>IF(B636&gt;0,VLOOKUP(B636,КВСР!A244:B1409,2),IF(C636&gt;0,VLOOKUP(C636,КФСР!A244:B1756,2),IF(D636&gt;0,VLOOKUP(D636,Программа!A$1:B$5100,2),IF(F636&gt;0,VLOOKUP(F636,КВР!A$1:B$5001,2),IF(E636&gt;0,VLOOKUP(E636,Направление!A$1:B$4830,2))))))</f>
        <v>Предоставление субсидий бюджетным, автономным учреждениям и иным некоммерческим организациям</v>
      </c>
      <c r="B636" s="167"/>
      <c r="C636" s="168"/>
      <c r="D636" s="150"/>
      <c r="E636" s="168"/>
      <c r="F636" s="169">
        <v>600</v>
      </c>
      <c r="G636" s="516">
        <v>4800</v>
      </c>
      <c r="H636" s="158">
        <v>4800</v>
      </c>
      <c r="I636" s="157">
        <f>G636+H636</f>
        <v>9600</v>
      </c>
    </row>
    <row r="637" spans="1:9" s="178" customFormat="1" ht="31.5" x14ac:dyDescent="0.25">
      <c r="A637" s="147" t="str">
        <f>IF(B637&gt;0,VLOOKUP(B637,КВСР!A236:B1401,2),IF(C637&gt;0,VLOOKUP(C637,КФСР!A236:B1748,2),IF(D637&gt;0,VLOOKUP(D637,Программа!A$1:B$5100,2),IF(F637&gt;0,VLOOKUP(F637,КВР!A$1:B$5001,2),IF(E637&gt;0,VLOOKUP(E637,Направление!A$1:B$4830,2))))))</f>
        <v>Департамент труда и соц. развития Администрации ТМР</v>
      </c>
      <c r="B637" s="148">
        <v>954</v>
      </c>
      <c r="C637" s="149"/>
      <c r="D637" s="150"/>
      <c r="E637" s="149"/>
      <c r="F637" s="151"/>
      <c r="G637" s="605">
        <v>407756729</v>
      </c>
      <c r="H637" s="152">
        <f>H638+H648+H654+H724+H751</f>
        <v>397728057</v>
      </c>
      <c r="I637" s="620">
        <f t="shared" si="11"/>
        <v>805484786</v>
      </c>
    </row>
    <row r="638" spans="1:9" s="178" customFormat="1" x14ac:dyDescent="0.25">
      <c r="A638" s="153" t="str">
        <f>IF(B638&gt;0,VLOOKUP(B638,КВСР!A241:B1406,2),IF(C638&gt;0,VLOOKUP(C638,КФСР!A241:B1753,2),IF(D638&gt;0,VLOOKUP(D638,Программа!A$1:B$5100,2),IF(F638&gt;0,VLOOKUP(F638,КВР!A$1:B$5001,2),IF(E638&gt;0,VLOOKUP(E638,Направление!A$1:B$4830,2))))))</f>
        <v>Пенсионное обеспечение</v>
      </c>
      <c r="B638" s="154"/>
      <c r="C638" s="149">
        <v>1001</v>
      </c>
      <c r="D638" s="150"/>
      <c r="E638" s="149"/>
      <c r="F638" s="151"/>
      <c r="G638" s="606">
        <v>4226600</v>
      </c>
      <c r="H638" s="157">
        <f>H639</f>
        <v>4244265</v>
      </c>
      <c r="I638" s="157">
        <f t="shared" si="11"/>
        <v>8470865</v>
      </c>
    </row>
    <row r="639" spans="1:9" s="178" customFormat="1" ht="47.25" x14ac:dyDescent="0.25">
      <c r="A639" s="153" t="str">
        <f>IF(B639&gt;0,VLOOKUP(B639,КВСР!A242:B1407,2),IF(C639&gt;0,VLOOKUP(C639,КФСР!A242:B1754,2),IF(D639&gt;0,VLOOKUP(D639,Программа!A$1:B$5100,2),IF(F639&gt;0,VLOOKUP(F639,КВР!A$1:B$5001,2),IF(E639&gt;0,VLOOKUP(E639,Направление!A$1:B$4830,2))))))</f>
        <v>Муниципальная программа "Социальная поддержка населения Тутаевского муниципального района"</v>
      </c>
      <c r="B639" s="154"/>
      <c r="C639" s="149"/>
      <c r="D639" s="170" t="s">
        <v>693</v>
      </c>
      <c r="E639" s="168"/>
      <c r="F639" s="151"/>
      <c r="G639" s="606">
        <v>4226600</v>
      </c>
      <c r="H639" s="157">
        <f>H641</f>
        <v>4244265</v>
      </c>
      <c r="I639" s="157">
        <f t="shared" si="11"/>
        <v>8470865</v>
      </c>
    </row>
    <row r="640" spans="1:9" s="178" customFormat="1" ht="47.25" x14ac:dyDescent="0.25">
      <c r="A640" s="153" t="str">
        <f>IF(B640&gt;0,VLOOKUP(B640,КВСР!A243:B1408,2),IF(C640&gt;0,VLOOKUP(C640,КФСР!A243:B1755,2),IF(D640&gt;0,VLOOKUP(D640,Программа!A$1:B$5100,2),IF(F640&gt;0,VLOOKUP(F640,КВР!A$1:B$5001,2),IF(E640&gt;0,VLOOKUP(E640,Направление!A$1:B$4830,2))))))</f>
        <v xml:space="preserve">Ведомственная целевая программа «Социальная поддержка населения Тутаевского муниципального района» </v>
      </c>
      <c r="B640" s="154"/>
      <c r="C640" s="149"/>
      <c r="D640" s="170" t="s">
        <v>766</v>
      </c>
      <c r="E640" s="168"/>
      <c r="F640" s="151"/>
      <c r="G640" s="606">
        <v>4226600</v>
      </c>
      <c r="H640" s="157">
        <f>H641</f>
        <v>4244265</v>
      </c>
      <c r="I640" s="157">
        <f t="shared" si="11"/>
        <v>8470865</v>
      </c>
    </row>
    <row r="641" spans="1:9" s="178" customFormat="1" ht="47.25" x14ac:dyDescent="0.25">
      <c r="A641" s="153" t="str">
        <f>IF(B641&gt;0,VLOOKUP(B641,КВСР!A244:B1409,2),IF(C641&gt;0,VLOOKUP(C641,КФСР!A244:B1756,2),IF(D641&gt;0,VLOOKUP(D641,Программа!A$1:B$5100,2),IF(F641&gt;0,VLOOKUP(F641,КВР!A$1:B$5001,2),IF(E641&gt;0,VLOOKUP(E641,Направление!A$1:B$4830,2))))))</f>
        <v>Исполнение публичных обязательств по предоставлению выплат, пособий и компенсаций</v>
      </c>
      <c r="B641" s="154"/>
      <c r="C641" s="149"/>
      <c r="D641" s="170" t="s">
        <v>768</v>
      </c>
      <c r="E641" s="168"/>
      <c r="F641" s="151"/>
      <c r="G641" s="606">
        <f>G642+G645</f>
        <v>4226600</v>
      </c>
      <c r="H641" s="606">
        <f t="shared" ref="H641:I641" si="12">H642+H645</f>
        <v>4244265</v>
      </c>
      <c r="I641" s="606">
        <f t="shared" si="12"/>
        <v>8470865</v>
      </c>
    </row>
    <row r="642" spans="1:9" s="178" customFormat="1" ht="31.5" x14ac:dyDescent="0.25">
      <c r="A642" s="153" t="str">
        <f>IF(B642&gt;0,VLOOKUP(B642,КВСР!A245:B1410,2),IF(C642&gt;0,VLOOKUP(C642,КФСР!A245:B1757,2),IF(D642&gt;0,VLOOKUP(D642,Программа!A$1:B$5100,2),IF(F642&gt;0,VLOOKUP(F642,КВР!A$1:B$5001,2),IF(E642&gt;0,VLOOKUP(E642,Направление!A$1:B$4830,2))))))</f>
        <v>Доплаты к пенсиям муниципальных служащих</v>
      </c>
      <c r="B642" s="154"/>
      <c r="C642" s="149"/>
      <c r="D642" s="150"/>
      <c r="E642" s="149">
        <v>16010</v>
      </c>
      <c r="F642" s="151"/>
      <c r="G642" s="606">
        <v>4226600</v>
      </c>
      <c r="H642" s="157">
        <f>H644+H643</f>
        <v>4128266</v>
      </c>
      <c r="I642" s="157">
        <f t="shared" si="11"/>
        <v>8354866</v>
      </c>
    </row>
    <row r="643" spans="1:9" s="178" customFormat="1" ht="63" x14ac:dyDescent="0.25">
      <c r="A643" s="153" t="str">
        <f>IF(B643&gt;0,VLOOKUP(B643,КВСР!A244:B1409,2),IF(C643&gt;0,VLOOKUP(C643,КФСР!A244:B1756,2),IF(D643&gt;0,VLOOKUP(D643,Программа!A$1:B$5100,2),IF(F643&gt;0,VLOOKUP(F643,КВР!A$1:B$5001,2),IF(E643&gt;0,VLOOKUP(E643,Направление!A$1:B$4830,2))))))</f>
        <v xml:space="preserve">Закупка товаров, работ и услуг для обеспечения государственных (муниципальных) нужд
</v>
      </c>
      <c r="B643" s="154"/>
      <c r="C643" s="149"/>
      <c r="D643" s="151"/>
      <c r="E643" s="149"/>
      <c r="F643" s="151">
        <v>200</v>
      </c>
      <c r="G643" s="638">
        <v>62400</v>
      </c>
      <c r="H643" s="159">
        <v>60644</v>
      </c>
      <c r="I643" s="157">
        <f t="shared" si="11"/>
        <v>123044</v>
      </c>
    </row>
    <row r="644" spans="1:9" s="178" customFormat="1" ht="31.5" x14ac:dyDescent="0.25">
      <c r="A644" s="153" t="str">
        <f>IF(B644&gt;0,VLOOKUP(B644,КВСР!A244:B1409,2),IF(C644&gt;0,VLOOKUP(C644,КФСР!A244:B1756,2),IF(D644&gt;0,VLOOKUP(D644,Программа!A$1:B$5100,2),IF(F644&gt;0,VLOOKUP(F644,КВР!A$1:B$5001,2),IF(E644&gt;0,VLOOKUP(E644,Направление!A$1:B$4830,2))))))</f>
        <v>Социальное обеспечение и иные выплаты населению</v>
      </c>
      <c r="B644" s="154"/>
      <c r="C644" s="149"/>
      <c r="D644" s="151"/>
      <c r="E644" s="149"/>
      <c r="F644" s="151">
        <v>300</v>
      </c>
      <c r="G644" s="156">
        <v>4164200</v>
      </c>
      <c r="H644" s="156">
        <v>4067622</v>
      </c>
      <c r="I644" s="157">
        <f t="shared" si="11"/>
        <v>8231822</v>
      </c>
    </row>
    <row r="645" spans="1:9" s="178" customFormat="1" ht="63" x14ac:dyDescent="0.25">
      <c r="A645" s="153" t="str">
        <f>IF(B645&gt;0,VLOOKUP(B645,КВСР!A245:B1410,2),IF(C645&gt;0,VLOOKUP(C645,КФСР!A245:B1757,2),IF(D645&gt;0,VLOOKUP(D645,Программа!A$1:B$5100,2),IF(F645&gt;0,VLOOKUP(F645,КВР!A$1:B$5001,2),IF(E645&gt;0,VLOOKUP(E645,Направление!A$1:B$4830,2))))))</f>
        <v>Обеспечение мероприятий по  формированию современной  городской среды в области обустройства мест массового отдыха</v>
      </c>
      <c r="B645" s="154"/>
      <c r="C645" s="149"/>
      <c r="D645" s="151"/>
      <c r="E645" s="149">
        <v>29756</v>
      </c>
      <c r="F645" s="151"/>
      <c r="G645" s="533">
        <f>G646+G647</f>
        <v>0</v>
      </c>
      <c r="H645" s="533">
        <f t="shared" ref="H645:I645" si="13">H646+H647</f>
        <v>115999</v>
      </c>
      <c r="I645" s="533">
        <f t="shared" si="13"/>
        <v>115999</v>
      </c>
    </row>
    <row r="646" spans="1:9" s="178" customFormat="1" ht="63" x14ac:dyDescent="0.25">
      <c r="A646" s="153" t="str">
        <f>IF(B646&gt;0,VLOOKUP(B646,КВСР!A246:B1411,2),IF(C646&gt;0,VLOOKUP(C646,КФСР!A246:B1758,2),IF(D646&gt;0,VLOOKUP(D646,Программа!A$1:B$5100,2),IF(F646&gt;0,VLOOKUP(F646,КВР!A$1:B$5001,2),IF(E646&gt;0,VLOOKUP(E646,Направление!A$1:B$4830,2))))))</f>
        <v xml:space="preserve">Закупка товаров, работ и услуг для обеспечения государственных (муниципальных) нужд
</v>
      </c>
      <c r="B646" s="154"/>
      <c r="C646" s="149"/>
      <c r="D646" s="151"/>
      <c r="E646" s="149"/>
      <c r="F646" s="151">
        <v>200</v>
      </c>
      <c r="G646" s="156"/>
      <c r="H646" s="156">
        <v>1714</v>
      </c>
      <c r="I646" s="157">
        <f>G646+H646</f>
        <v>1714</v>
      </c>
    </row>
    <row r="647" spans="1:9" s="178" customFormat="1" ht="31.5" x14ac:dyDescent="0.25">
      <c r="A647" s="153" t="str">
        <f>IF(B647&gt;0,VLOOKUP(B647,КВСР!A247:B1412,2),IF(C647&gt;0,VLOOKUP(C647,КФСР!A247:B1759,2),IF(D647&gt;0,VLOOKUP(D647,Программа!A$1:B$5100,2),IF(F647&gt;0,VLOOKUP(F647,КВР!A$1:B$5001,2),IF(E647&gt;0,VLOOKUP(E647,Направление!A$1:B$4830,2))))))</f>
        <v>Социальное обеспечение и иные выплаты населению</v>
      </c>
      <c r="B647" s="154"/>
      <c r="C647" s="149"/>
      <c r="D647" s="151"/>
      <c r="E647" s="149"/>
      <c r="F647" s="151">
        <v>300</v>
      </c>
      <c r="G647" s="156"/>
      <c r="H647" s="156">
        <v>114285</v>
      </c>
      <c r="I647" s="157">
        <f>G647+H647</f>
        <v>114285</v>
      </c>
    </row>
    <row r="648" spans="1:9" s="178" customFormat="1" x14ac:dyDescent="0.25">
      <c r="A648" s="153" t="str">
        <f>IF(B648&gt;0,VLOOKUP(B648,КВСР!A245:B1410,2),IF(C648&gt;0,VLOOKUP(C648,КФСР!A245:B1757,2),IF(D648&gt;0,VLOOKUP(D648,Программа!A$1:B$5100,2),IF(F648&gt;0,VLOOKUP(F648,КВР!A$1:B$5001,2),IF(E648&gt;0,VLOOKUP(E648,Направление!A$1:B$4830,2))))))</f>
        <v>Социальное обслуживание населения</v>
      </c>
      <c r="B648" s="154"/>
      <c r="C648" s="149">
        <v>1002</v>
      </c>
      <c r="D648" s="150"/>
      <c r="E648" s="149"/>
      <c r="F648" s="151"/>
      <c r="G648" s="606">
        <v>79237503</v>
      </c>
      <c r="H648" s="157">
        <f>H649</f>
        <v>79204194</v>
      </c>
      <c r="I648" s="157">
        <f t="shared" si="11"/>
        <v>158441697</v>
      </c>
    </row>
    <row r="649" spans="1:9" s="178" customFormat="1" ht="47.25" x14ac:dyDescent="0.25">
      <c r="A649" s="153" t="str">
        <f>IF(B649&gt;0,VLOOKUP(B649,КВСР!A246:B1411,2),IF(C649&gt;0,VLOOKUP(C649,КФСР!A246:B1758,2),IF(D649&gt;0,VLOOKUP(D649,Программа!A$1:B$5100,2),IF(F649&gt;0,VLOOKUP(F649,КВР!A$1:B$5001,2),IF(E649&gt;0,VLOOKUP(E649,Направление!A$1:B$4830,2))))))</f>
        <v>Муниципальная программа "Социальная поддержка населения Тутаевского муниципального района"</v>
      </c>
      <c r="B649" s="154"/>
      <c r="C649" s="149"/>
      <c r="D649" s="150" t="s">
        <v>693</v>
      </c>
      <c r="E649" s="149"/>
      <c r="F649" s="151"/>
      <c r="G649" s="606">
        <v>79237503</v>
      </c>
      <c r="H649" s="157">
        <f>H651</f>
        <v>79204194</v>
      </c>
      <c r="I649" s="157">
        <f t="shared" si="11"/>
        <v>158441697</v>
      </c>
    </row>
    <row r="650" spans="1:9" s="178" customFormat="1" ht="47.25" x14ac:dyDescent="0.25">
      <c r="A650" s="153" t="str">
        <f>IF(B650&gt;0,VLOOKUP(B650,КВСР!A247:B1412,2),IF(C650&gt;0,VLOOKUP(C650,КФСР!A247:B1759,2),IF(D650&gt;0,VLOOKUP(D650,Программа!A$1:B$5100,2),IF(F650&gt;0,VLOOKUP(F650,КВР!A$1:B$5001,2),IF(E650&gt;0,VLOOKUP(E650,Направление!A$1:B$4830,2))))))</f>
        <v xml:space="preserve">Ведомственная целевая программа «Социальная поддержка населения Тутаевского муниципального района» </v>
      </c>
      <c r="B650" s="154"/>
      <c r="C650" s="149"/>
      <c r="D650" s="150" t="s">
        <v>766</v>
      </c>
      <c r="E650" s="149"/>
      <c r="F650" s="151"/>
      <c r="G650" s="606">
        <v>79237503</v>
      </c>
      <c r="H650" s="157">
        <f>H651</f>
        <v>79204194</v>
      </c>
      <c r="I650" s="157">
        <f t="shared" si="11"/>
        <v>158441697</v>
      </c>
    </row>
    <row r="651" spans="1:9" s="178" customFormat="1" ht="63" x14ac:dyDescent="0.25">
      <c r="A651" s="153" t="str">
        <f>IF(B651&gt;0,VLOOKUP(B651,КВСР!A248:B1413,2),IF(C651&gt;0,VLOOKUP(C651,КФСР!A248:B1760,2),IF(D651&gt;0,VLOOKUP(D651,Программа!A$1:B$5100,2),IF(F651&gt;0,VLOOKUP(F651,КВР!A$1:B$5001,2),IF(E651&gt;0,VLOOKUP(E651,Направление!A$1:B$4830,2))))))</f>
        <v>Предоставление социальных услуг населению Тутаевского муниципального района на основе соблюдения стандартов и нормативов</v>
      </c>
      <c r="B651" s="154"/>
      <c r="C651" s="149"/>
      <c r="D651" s="150" t="s">
        <v>771</v>
      </c>
      <c r="E651" s="149"/>
      <c r="F651" s="151"/>
      <c r="G651" s="606">
        <v>79237503</v>
      </c>
      <c r="H651" s="157">
        <f>H652</f>
        <v>79204194</v>
      </c>
      <c r="I651" s="157">
        <f t="shared" si="11"/>
        <v>158441697</v>
      </c>
    </row>
    <row r="652" spans="1:9" s="178" customFormat="1" ht="141.75" x14ac:dyDescent="0.25">
      <c r="A652" s="153" t="str">
        <f>IF(B652&gt;0,VLOOKUP(B652,КВСР!A248:B1413,2),IF(C652&gt;0,VLOOKUP(C652,КФСР!A248:B1760,2),IF(D652&gt;0,VLOOKUP(D652,Программа!A$1:B$5100,2),IF(F652&gt;0,VLOOKUP(F652,КВР!A$1:B$5001,2),IF(E652&gt;0,VLOOKUP(E652,Направление!A$1:B$4830,2))))))</f>
        <v>Расходы на содержание муниципальных казенных учреждений социального обслуживания населения, на предоставление субсидий муниципальным бюджетным учреждениям социального обслуживания населения на выполнение муниципальных заданий и иные цели</v>
      </c>
      <c r="B652" s="154"/>
      <c r="C652" s="149"/>
      <c r="D652" s="150"/>
      <c r="E652" s="149">
        <v>70850</v>
      </c>
      <c r="F652" s="151"/>
      <c r="G652" s="500">
        <v>79237503</v>
      </c>
      <c r="H652" s="155">
        <f>H653</f>
        <v>79204194</v>
      </c>
      <c r="I652" s="157">
        <f t="shared" si="11"/>
        <v>158441697</v>
      </c>
    </row>
    <row r="653" spans="1:9" s="178" customFormat="1" ht="63" x14ac:dyDescent="0.25">
      <c r="A653" s="153" t="str">
        <f>IF(B653&gt;0,VLOOKUP(B653,КВСР!A249:B1414,2),IF(C653&gt;0,VLOOKUP(C653,КФСР!A249:B1761,2),IF(D653&gt;0,VLOOKUP(D653,Программа!A$1:B$5100,2),IF(F653&gt;0,VLOOKUP(F653,КВР!A$1:B$5001,2),IF(E653&gt;0,VLOOKUP(E653,Направление!A$1:B$4830,2))))))</f>
        <v>Предоставление субсидий бюджетным, автономным учреждениям и иным некоммерческим организациям</v>
      </c>
      <c r="B653" s="154"/>
      <c r="C653" s="149"/>
      <c r="D653" s="151"/>
      <c r="E653" s="149"/>
      <c r="F653" s="151">
        <v>600</v>
      </c>
      <c r="G653" s="498">
        <v>79237503</v>
      </c>
      <c r="H653" s="156">
        <v>79204194</v>
      </c>
      <c r="I653" s="157">
        <f t="shared" si="11"/>
        <v>158441697</v>
      </c>
    </row>
    <row r="654" spans="1:9" s="178" customFormat="1" x14ac:dyDescent="0.25">
      <c r="A654" s="153" t="str">
        <f>IF(B654&gt;0,VLOOKUP(B654,КВСР!A250:B1415,2),IF(C654&gt;0,VLOOKUP(C654,КФСР!A250:B1762,2),IF(D654&gt;0,VLOOKUP(D654,Программа!A$1:B$5100,2),IF(F654&gt;0,VLOOKUP(F654,КВР!A$1:B$5001,2),IF(E654&gt;0,VLOOKUP(E654,Направление!A$1:B$4830,2))))))</f>
        <v>Социальное обеспечение населения</v>
      </c>
      <c r="B654" s="154"/>
      <c r="C654" s="149">
        <v>1003</v>
      </c>
      <c r="D654" s="150"/>
      <c r="E654" s="149"/>
      <c r="F654" s="151"/>
      <c r="G654" s="157">
        <v>235610384</v>
      </c>
      <c r="H654" s="157">
        <f>H655+H721</f>
        <v>229099804</v>
      </c>
      <c r="I654" s="157">
        <f>I655+I721</f>
        <v>464710188</v>
      </c>
    </row>
    <row r="655" spans="1:9" s="178" customFormat="1" ht="47.25" x14ac:dyDescent="0.25">
      <c r="A655" s="153" t="str">
        <f>IF(B655&gt;0,VLOOKUP(B655,КВСР!A251:B1416,2),IF(C655&gt;0,VLOOKUP(C655,КФСР!A251:B1763,2),IF(D655&gt;0,VLOOKUP(D655,Программа!A$1:B$5100,2),IF(F655&gt;0,VLOOKUP(F655,КВР!A$1:B$5001,2),IF(E655&gt;0,VLOOKUP(E655,Направление!A$1:B$4830,2))))))</f>
        <v>Муниципальная программа "Социальная поддержка населения Тутаевского муниципального района"</v>
      </c>
      <c r="B655" s="154"/>
      <c r="C655" s="149"/>
      <c r="D655" s="150" t="s">
        <v>693</v>
      </c>
      <c r="E655" s="149"/>
      <c r="F655" s="151"/>
      <c r="G655" s="606">
        <v>235535384</v>
      </c>
      <c r="H655" s="606">
        <f>H656</f>
        <v>229014804</v>
      </c>
      <c r="I655" s="606">
        <f>I656</f>
        <v>464550188</v>
      </c>
    </row>
    <row r="656" spans="1:9" s="178" customFormat="1" ht="47.25" x14ac:dyDescent="0.25">
      <c r="A656" s="153" t="str">
        <f>IF(B656&gt;0,VLOOKUP(B656,КВСР!A251:B1416,2),IF(C656&gt;0,VLOOKUP(C656,КФСР!A251:B1763,2),IF(D656&gt;0,VLOOKUP(D656,Программа!A$1:B$5100,2),IF(F656&gt;0,VLOOKUP(F656,КВР!A$1:B$5001,2),IF(E656&gt;0,VLOOKUP(E656,Направление!A$1:B$4830,2))))))</f>
        <v xml:space="preserve">Ведомственная целевая программа «Социальная поддержка населения Тутаевского муниципального района» </v>
      </c>
      <c r="B656" s="154"/>
      <c r="C656" s="149"/>
      <c r="D656" s="150" t="s">
        <v>766</v>
      </c>
      <c r="E656" s="149"/>
      <c r="F656" s="151"/>
      <c r="G656" s="606">
        <v>235535384</v>
      </c>
      <c r="H656" s="606">
        <f>H657+H712</f>
        <v>229014804</v>
      </c>
      <c r="I656" s="157">
        <f>SUM(G656:H656)</f>
        <v>464550188</v>
      </c>
    </row>
    <row r="657" spans="1:9" s="178" customFormat="1" ht="47.25" x14ac:dyDescent="0.25">
      <c r="A657" s="153" t="str">
        <f>IF(B657&gt;0,VLOOKUP(B657,КВСР!A252:B1417,2),IF(C657&gt;0,VLOOKUP(C657,КФСР!A252:B1764,2),IF(D657&gt;0,VLOOKUP(D657,Программа!A$1:B$5100,2),IF(F657&gt;0,VLOOKUP(F657,КВР!A$1:B$5001,2),IF(E657&gt;0,VLOOKUP(E657,Направление!A$1:B$4830,2))))))</f>
        <v>Исполнение публичных обязательств по предоставлению выплат, пособий и компенсаций</v>
      </c>
      <c r="B657" s="154"/>
      <c r="C657" s="149"/>
      <c r="D657" s="150" t="s">
        <v>768</v>
      </c>
      <c r="E657" s="149"/>
      <c r="F657" s="151"/>
      <c r="G657" s="606">
        <v>230626184</v>
      </c>
      <c r="H657" s="606">
        <f>H658+H661+H664+H666+H669+H671+H673+H679+H685+H691+H697+H700+H706+H708+H676+H682+H688+H694+H703+H710</f>
        <v>224107656</v>
      </c>
      <c r="I657" s="157">
        <f t="shared" ref="I657:I717" si="14">SUM(G657:H657)</f>
        <v>454733840</v>
      </c>
    </row>
    <row r="658" spans="1:9" s="178" customFormat="1" ht="47.25" x14ac:dyDescent="0.25">
      <c r="A658" s="153" t="str">
        <f>IF(B658&gt;0,VLOOKUP(B658,КВСР!A254:B1419,2),IF(C658&gt;0,VLOOKUP(C658,КФСР!A254:B1766,2),IF(D658&gt;0,VLOOKUP(D658,Программа!A$1:B$5100,2),IF(F658&gt;0,VLOOKUP(F658,КВР!A$1:B$5001,2),IF(E658&gt;0,VLOOKUP(E658,Направление!A$1:B$4830,2))))))</f>
        <v>Субвенция на социальную поддержку граждан, подвергшихся воздействию радиации</v>
      </c>
      <c r="B658" s="154"/>
      <c r="C658" s="149"/>
      <c r="D658" s="150"/>
      <c r="E658" s="149">
        <v>51370</v>
      </c>
      <c r="F658" s="151"/>
      <c r="G658" s="606">
        <v>1514200</v>
      </c>
      <c r="H658" s="157">
        <f>H659+H660</f>
        <v>1540856</v>
      </c>
      <c r="I658" s="157">
        <f t="shared" si="14"/>
        <v>3055056</v>
      </c>
    </row>
    <row r="659" spans="1:9" s="178" customFormat="1" ht="63" x14ac:dyDescent="0.25">
      <c r="A659" s="153" t="str">
        <f>IF(B659&gt;0,VLOOKUP(B659,КВСР!A255:B1420,2),IF(C659&gt;0,VLOOKUP(C659,КФСР!A255:B1767,2),IF(D659&gt;0,VLOOKUP(D659,Программа!A$1:B$5100,2),IF(F659&gt;0,VLOOKUP(F659,КВР!A$1:B$5001,2),IF(E659&gt;0,VLOOKUP(E659,Направление!A$1:B$4830,2))))))</f>
        <v xml:space="preserve">Закупка товаров, работ и услуг для обеспечения государственных (муниципальных) нужд
</v>
      </c>
      <c r="B659" s="154"/>
      <c r="C659" s="149"/>
      <c r="D659" s="151"/>
      <c r="E659" s="179"/>
      <c r="F659" s="151">
        <v>200</v>
      </c>
      <c r="G659" s="516">
        <v>22378</v>
      </c>
      <c r="H659" s="158">
        <v>21993</v>
      </c>
      <c r="I659" s="157">
        <f t="shared" si="14"/>
        <v>44371</v>
      </c>
    </row>
    <row r="660" spans="1:9" s="178" customFormat="1" ht="31.5" x14ac:dyDescent="0.25">
      <c r="A660" s="153" t="str">
        <f>IF(B660&gt;0,VLOOKUP(B660,КВСР!A256:B1421,2),IF(C660&gt;0,VLOOKUP(C660,КФСР!A256:B1768,2),IF(D660&gt;0,VLOOKUP(D660,Программа!A$1:B$5100,2),IF(F660&gt;0,VLOOKUP(F660,КВР!A$1:B$5001,2),IF(E660&gt;0,VLOOKUP(E660,Направление!A$1:B$4830,2))))))</f>
        <v>Социальное обеспечение и иные выплаты населению</v>
      </c>
      <c r="B660" s="154"/>
      <c r="C660" s="149"/>
      <c r="D660" s="151"/>
      <c r="E660" s="179"/>
      <c r="F660" s="151">
        <v>300</v>
      </c>
      <c r="G660" s="516">
        <v>1491822</v>
      </c>
      <c r="H660" s="158">
        <v>1518863</v>
      </c>
      <c r="I660" s="157">
        <f t="shared" si="14"/>
        <v>3010685</v>
      </c>
    </row>
    <row r="661" spans="1:9" s="178" customFormat="1" ht="110.25" x14ac:dyDescent="0.25">
      <c r="A661" s="153" t="str">
        <f>IF(B661&gt;0,VLOOKUP(B661,КВСР!A252:B1417,2),IF(C661&gt;0,VLOOKUP(C661,КФСР!A252:B1764,2),IF(D661&gt;0,VLOOKUP(D661,Программа!A$1:B$5100,2),IF(F661&gt;0,VLOOKUP(F661,КВР!A$1:B$5001,2),IF(E661&gt;0,VLOOKUP(E661,Направление!A$1:B$4830,2))))))</f>
        <v>Расходы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 за счет средств федерального бюджета</v>
      </c>
      <c r="B661" s="154"/>
      <c r="C661" s="149"/>
      <c r="D661" s="150"/>
      <c r="E661" s="149">
        <v>52200</v>
      </c>
      <c r="F661" s="151"/>
      <c r="G661" s="606">
        <v>5423362</v>
      </c>
      <c r="H661" s="157">
        <f>H662+H663</f>
        <v>5423362</v>
      </c>
      <c r="I661" s="157">
        <f t="shared" si="14"/>
        <v>10846724</v>
      </c>
    </row>
    <row r="662" spans="1:9" s="178" customFormat="1" ht="63" x14ac:dyDescent="0.25">
      <c r="A662" s="153" t="str">
        <f>IF(B662&gt;0,VLOOKUP(B662,КВСР!A253:B1418,2),IF(C662&gt;0,VLOOKUP(C662,КФСР!A253:B1765,2),IF(D662&gt;0,VLOOKUP(D662,Программа!A$1:B$5100,2),IF(F662&gt;0,VLOOKUP(F662,КВР!A$1:B$5001,2),IF(E662&gt;0,VLOOKUP(E662,Направление!A$1:B$4830,2))))))</f>
        <v xml:space="preserve">Закупка товаров, работ и услуг для обеспечения государственных (муниципальных) нужд
</v>
      </c>
      <c r="B662" s="154"/>
      <c r="C662" s="149"/>
      <c r="D662" s="151"/>
      <c r="E662" s="179"/>
      <c r="F662" s="151">
        <v>200</v>
      </c>
      <c r="G662" s="516">
        <v>107274</v>
      </c>
      <c r="H662" s="158">
        <v>80148</v>
      </c>
      <c r="I662" s="157">
        <f t="shared" si="14"/>
        <v>187422</v>
      </c>
    </row>
    <row r="663" spans="1:9" s="178" customFormat="1" ht="31.5" x14ac:dyDescent="0.25">
      <c r="A663" s="153" t="str">
        <f>IF(B663&gt;0,VLOOKUP(B663,КВСР!A254:B1419,2),IF(C663&gt;0,VLOOKUP(C663,КФСР!A254:B1766,2),IF(D663&gt;0,VLOOKUP(D663,Программа!A$1:B$5100,2),IF(F663&gt;0,VLOOKUP(F663,КВР!A$1:B$5001,2),IF(E663&gt;0,VLOOKUP(E663,Направление!A$1:B$4830,2))))))</f>
        <v>Социальное обеспечение и иные выплаты населению</v>
      </c>
      <c r="B663" s="154"/>
      <c r="C663" s="149"/>
      <c r="D663" s="151"/>
      <c r="E663" s="179"/>
      <c r="F663" s="151">
        <v>300</v>
      </c>
      <c r="G663" s="516">
        <v>5316088</v>
      </c>
      <c r="H663" s="158">
        <v>5343214</v>
      </c>
      <c r="I663" s="157">
        <f t="shared" si="14"/>
        <v>10659302</v>
      </c>
    </row>
    <row r="664" spans="1:9" s="178" customFormat="1" ht="78.75" hidden="1" x14ac:dyDescent="0.25">
      <c r="A664" s="153" t="str">
        <f>IF(B664&gt;0,VLOOKUP(B664,КВСР!A255:B1420,2),IF(C664&gt;0,VLOOKUP(C664,КФСР!A255:B1767,2),IF(D664&gt;0,VLOOKUP(D664,Программа!A$1:B$5100,2),IF(F664&gt;0,VLOOKUP(F664,КВР!A$1:B$5001,2),IF(E664&gt;0,VLOOKUP(E664,Направление!A$1:B$4830,2))))))</f>
        <v>Выплата государственных единовременных пособий и ежемесячных денежных компенсаций гражданам при возникновении поствакцинальных осложнений</v>
      </c>
      <c r="B664" s="154"/>
      <c r="C664" s="149"/>
      <c r="D664" s="150"/>
      <c r="E664" s="149">
        <v>52400</v>
      </c>
      <c r="F664" s="151"/>
      <c r="G664" s="606">
        <v>0</v>
      </c>
      <c r="H664" s="157">
        <f>H665</f>
        <v>0</v>
      </c>
      <c r="I664" s="157">
        <f t="shared" si="14"/>
        <v>0</v>
      </c>
    </row>
    <row r="665" spans="1:9" s="178" customFormat="1" ht="31.5" hidden="1" x14ac:dyDescent="0.25">
      <c r="A665" s="153" t="str">
        <f>IF(B665&gt;0,VLOOKUP(B665,КВСР!A256:B1421,2),IF(C665&gt;0,VLOOKUP(C665,КФСР!A256:B1768,2),IF(D665&gt;0,VLOOKUP(D665,Программа!A$1:B$5100,2),IF(F665&gt;0,VLOOKUP(F665,КВР!A$1:B$5001,2),IF(E665&gt;0,VLOOKUP(E665,Направление!A$1:B$4830,2))))))</f>
        <v>Социальное обеспечение и иные выплаты населению</v>
      </c>
      <c r="B665" s="154"/>
      <c r="C665" s="149"/>
      <c r="D665" s="151"/>
      <c r="E665" s="179"/>
      <c r="F665" s="151">
        <v>300</v>
      </c>
      <c r="G665" s="516">
        <v>0</v>
      </c>
      <c r="H665" s="158"/>
      <c r="I665" s="157">
        <f t="shared" si="14"/>
        <v>0</v>
      </c>
    </row>
    <row r="666" spans="1:9" s="178" customFormat="1" ht="47.25" x14ac:dyDescent="0.25">
      <c r="A666" s="153" t="str">
        <f>IF(B666&gt;0,VLOOKUP(B666,КВСР!A252:B1417,2),IF(C666&gt;0,VLOOKUP(C666,КФСР!A252:B1764,2),IF(D666&gt;0,VLOOKUP(D666,Программа!A$1:B$5100,2),IF(F666&gt;0,VLOOKUP(F666,КВР!A$1:B$5001,2),IF(E666&gt;0,VLOOKUP(E666,Направление!A$1:B$4830,2))))))</f>
        <v>Оплата жилищно-коммунальных услуг отдельным категориям граждан за счет средств федерального бюджета</v>
      </c>
      <c r="B666" s="154"/>
      <c r="C666" s="149"/>
      <c r="D666" s="150"/>
      <c r="E666" s="149">
        <v>52500</v>
      </c>
      <c r="F666" s="151"/>
      <c r="G666" s="606">
        <v>34007000</v>
      </c>
      <c r="H666" s="157">
        <f>H668+H667</f>
        <v>32392804</v>
      </c>
      <c r="I666" s="157">
        <f t="shared" si="14"/>
        <v>66399804</v>
      </c>
    </row>
    <row r="667" spans="1:9" s="178" customFormat="1" ht="63" x14ac:dyDescent="0.25">
      <c r="A667" s="153" t="str">
        <f>IF(B667&gt;0,VLOOKUP(B667,КВСР!A252:B1417,2),IF(C667&gt;0,VLOOKUP(C667,КФСР!A252:B1764,2),IF(D667&gt;0,VLOOKUP(D667,Программа!A$1:B$5100,2),IF(F667&gt;0,VLOOKUP(F667,КВР!A$1:B$5001,2),IF(E667&gt;0,VLOOKUP(E667,Направление!A$1:B$4830,2))))))</f>
        <v xml:space="preserve">Закупка товаров, работ и услуг для обеспечения государственных (муниципальных) нужд
</v>
      </c>
      <c r="B667" s="154"/>
      <c r="C667" s="149"/>
      <c r="D667" s="151"/>
      <c r="E667" s="179"/>
      <c r="F667" s="151">
        <v>200</v>
      </c>
      <c r="G667" s="516">
        <v>499902</v>
      </c>
      <c r="H667" s="158">
        <v>477074</v>
      </c>
      <c r="I667" s="157">
        <f t="shared" si="14"/>
        <v>976976</v>
      </c>
    </row>
    <row r="668" spans="1:9" s="178" customFormat="1" ht="31.5" x14ac:dyDescent="0.25">
      <c r="A668" s="153" t="str">
        <f>IF(B668&gt;0,VLOOKUP(B668,КВСР!A253:B1418,2),IF(C668&gt;0,VLOOKUP(C668,КФСР!A253:B1765,2),IF(D668&gt;0,VLOOKUP(D668,Программа!A$1:B$5100,2),IF(F668&gt;0,VLOOKUP(F668,КВР!A$1:B$5001,2),IF(E668&gt;0,VLOOKUP(E668,Направление!A$1:B$4830,2))))))</f>
        <v>Социальное обеспечение и иные выплаты населению</v>
      </c>
      <c r="B668" s="154"/>
      <c r="C668" s="149"/>
      <c r="D668" s="151"/>
      <c r="E668" s="179"/>
      <c r="F668" s="151">
        <v>300</v>
      </c>
      <c r="G668" s="498">
        <v>33507098</v>
      </c>
      <c r="H668" s="156">
        <v>31915730</v>
      </c>
      <c r="I668" s="157">
        <f t="shared" si="14"/>
        <v>65422828</v>
      </c>
    </row>
    <row r="669" spans="1:9" s="178" customFormat="1" ht="78.75" hidden="1" x14ac:dyDescent="0.25">
      <c r="A669" s="153" t="str">
        <f>IF(B669&gt;0,VLOOKUP(B669,КВСР!A254:B1419,2),IF(C669&gt;0,VLOOKUP(C669,КФСР!A254:B1766,2),IF(D669&gt;0,VLOOKUP(D669,Программа!A$1:B$5100,2),IF(F669&gt;0,VLOOKUP(F669,КВР!A$1:B$5001,2),IF(E669&gt;0,VLOOKUP(E669,Направление!A$1:B$4830,2))))))</f>
        <v>Субвенция на на компенсацию отдельным категориям граждан оплаты взноса на капитальный ремонт общего имущества в многоквартирном доме</v>
      </c>
      <c r="B669" s="154"/>
      <c r="C669" s="149"/>
      <c r="D669" s="150"/>
      <c r="E669" s="149">
        <v>54620</v>
      </c>
      <c r="F669" s="151"/>
      <c r="G669" s="500">
        <v>0</v>
      </c>
      <c r="H669" s="155">
        <f>H670</f>
        <v>0</v>
      </c>
      <c r="I669" s="157">
        <f t="shared" si="14"/>
        <v>0</v>
      </c>
    </row>
    <row r="670" spans="1:9" s="178" customFormat="1" ht="31.5" hidden="1" x14ac:dyDescent="0.25">
      <c r="A670" s="153" t="str">
        <f>IF(B670&gt;0,VLOOKUP(B670,КВСР!A255:B1420,2),IF(C670&gt;0,VLOOKUP(C670,КФСР!A255:B1767,2),IF(D670&gt;0,VLOOKUP(D670,Программа!A$1:B$5100,2),IF(F670&gt;0,VLOOKUP(F670,КВР!A$1:B$5001,2),IF(E670&gt;0,VLOOKUP(E670,Направление!A$1:B$4830,2))))))</f>
        <v>Социальное обеспечение и иные выплаты населению</v>
      </c>
      <c r="B670" s="154"/>
      <c r="C670" s="149"/>
      <c r="D670" s="151"/>
      <c r="E670" s="179"/>
      <c r="F670" s="151">
        <v>300</v>
      </c>
      <c r="G670" s="498">
        <v>0</v>
      </c>
      <c r="H670" s="156"/>
      <c r="I670" s="157">
        <f t="shared" si="14"/>
        <v>0</v>
      </c>
    </row>
    <row r="671" spans="1:9" s="178" customFormat="1" ht="94.5" hidden="1" x14ac:dyDescent="0.25">
      <c r="A671" s="153" t="str">
        <f>IF(B671&gt;0,VLOOKUP(B671,КВСР!A256:B1421,2),IF(C671&gt;0,VLOOKUP(C671,КФСР!A256:B1768,2),IF(D671&gt;0,VLOOKUP(D671,Программа!A$1:B$5100,2),IF(F671&gt;0,VLOOKUP(F671,КВР!A$1:B$5001,2),IF(E671&gt;0,VLOOKUP(E671,Направление!A$1:B$4830,2))))))</f>
        <v>Расходы на выплаты пособий при рождении ребенка гражданам, не подлежащим обязательному социальному страхованию на случай временной нетрудоспособности и в связи с материнством</v>
      </c>
      <c r="B671" s="154"/>
      <c r="C671" s="149"/>
      <c r="D671" s="150"/>
      <c r="E671" s="149">
        <v>53850</v>
      </c>
      <c r="F671" s="151"/>
      <c r="G671" s="500">
        <v>0</v>
      </c>
      <c r="H671" s="155">
        <f>H672</f>
        <v>0</v>
      </c>
      <c r="I671" s="157">
        <f t="shared" si="14"/>
        <v>0</v>
      </c>
    </row>
    <row r="672" spans="1:9" s="178" customFormat="1" ht="31.5" hidden="1" x14ac:dyDescent="0.25">
      <c r="A672" s="153" t="str">
        <f>IF(B672&gt;0,VLOOKUP(B672,КВСР!A257:B1422,2),IF(C672&gt;0,VLOOKUP(C672,КФСР!A257:B1769,2),IF(D672&gt;0,VLOOKUP(D672,Программа!A$1:B$5100,2),IF(F672&gt;0,VLOOKUP(F672,КВР!A$1:B$5001,2),IF(E672&gt;0,VLOOKUP(E672,Направление!A$1:B$4830,2))))))</f>
        <v>Социальное обеспечение и иные выплаты населению</v>
      </c>
      <c r="B672" s="154"/>
      <c r="C672" s="149"/>
      <c r="D672" s="151"/>
      <c r="E672" s="179"/>
      <c r="F672" s="151">
        <v>300</v>
      </c>
      <c r="G672" s="498">
        <v>0</v>
      </c>
      <c r="H672" s="156"/>
      <c r="I672" s="157">
        <f t="shared" si="14"/>
        <v>0</v>
      </c>
    </row>
    <row r="673" spans="1:9" s="178" customFormat="1" ht="63" x14ac:dyDescent="0.25">
      <c r="A673" s="153" t="str">
        <f>IF(B673&gt;0,VLOOKUP(B673,КВСР!A258:B1423,2),IF(C673&gt;0,VLOOKUP(C673,КФСР!A258:B1770,2),IF(D673&gt;0,VLOOKUP(D673,Программа!A$1:B$5100,2),IF(F673&gt;0,VLOOKUP(F673,КВР!A$1:B$5001,2),IF(E673&gt;0,VLOOKUP(E673,Направление!A$1:B$4830,2))))))</f>
        <v>Предоставление гражданам субсидий на оплату жилого помещения и коммунальных услуг за счет средств областного бюджета</v>
      </c>
      <c r="B673" s="154"/>
      <c r="C673" s="149"/>
      <c r="D673" s="150"/>
      <c r="E673" s="149">
        <v>70740</v>
      </c>
      <c r="F673" s="151"/>
      <c r="G673" s="500">
        <v>25931000</v>
      </c>
      <c r="H673" s="155">
        <f>SUM(H674:H675)</f>
        <v>24513969</v>
      </c>
      <c r="I673" s="157">
        <f t="shared" si="14"/>
        <v>50444969</v>
      </c>
    </row>
    <row r="674" spans="1:9" s="178" customFormat="1" ht="63" x14ac:dyDescent="0.25">
      <c r="A674" s="153" t="str">
        <f>IF(B674&gt;0,VLOOKUP(B674,КВСР!A258:B1423,2),IF(C674&gt;0,VLOOKUP(C674,КФСР!A258:B1770,2),IF(D674&gt;0,VLOOKUP(D674,Программа!A$1:B$5100,2),IF(F674&gt;0,VLOOKUP(F674,КВР!A$1:B$5001,2),IF(E674&gt;0,VLOOKUP(E674,Направление!A$1:B$4830,2))))))</f>
        <v xml:space="preserve">Закупка товаров, работ и услуг для обеспечения государственных (муниципальных) нужд
</v>
      </c>
      <c r="B674" s="154"/>
      <c r="C674" s="149"/>
      <c r="D674" s="151"/>
      <c r="E674" s="179"/>
      <c r="F674" s="151">
        <v>200</v>
      </c>
      <c r="G674" s="498">
        <v>383778</v>
      </c>
      <c r="H674" s="156">
        <v>361956</v>
      </c>
      <c r="I674" s="157">
        <f t="shared" si="14"/>
        <v>745734</v>
      </c>
    </row>
    <row r="675" spans="1:9" s="178" customFormat="1" ht="31.5" x14ac:dyDescent="0.25">
      <c r="A675" s="153" t="str">
        <f>IF(B675&gt;0,VLOOKUP(B675,КВСР!A259:B1424,2),IF(C675&gt;0,VLOOKUP(C675,КФСР!A259:B1771,2),IF(D675&gt;0,VLOOKUP(D675,Программа!A$1:B$5100,2),IF(F675&gt;0,VLOOKUP(F675,КВР!A$1:B$5001,2),IF(E675&gt;0,VLOOKUP(E675,Направление!A$1:B$4830,2))))))</f>
        <v>Социальное обеспечение и иные выплаты населению</v>
      </c>
      <c r="B675" s="154"/>
      <c r="C675" s="149"/>
      <c r="D675" s="151"/>
      <c r="E675" s="179"/>
      <c r="F675" s="151">
        <v>300</v>
      </c>
      <c r="G675" s="498">
        <v>25547222</v>
      </c>
      <c r="H675" s="156">
        <v>24152013</v>
      </c>
      <c r="I675" s="157">
        <f t="shared" si="14"/>
        <v>49699235</v>
      </c>
    </row>
    <row r="676" spans="1:9" s="178" customFormat="1" ht="63" hidden="1" x14ac:dyDescent="0.25">
      <c r="A676" s="153" t="str">
        <f>IF(B676&gt;0,VLOOKUP(B676,КВСР!A260:B1425,2),IF(C676&gt;0,VLOOKUP(C676,КФСР!A260:B1772,2),IF(D676&gt;0,VLOOKUP(D676,Программа!A$1:B$5100,2),IF(F676&gt;0,VLOOKUP(F676,КВР!A$1:B$5001,2),IF(E676&gt;0,VLOOKUP(E676,Направление!A$1:B$4830,2))))))</f>
        <v>Предоставление гражданам субсидий на оплату жилого помещения и коммунальных услуг за счет средств областного бюджета</v>
      </c>
      <c r="B676" s="154"/>
      <c r="C676" s="149"/>
      <c r="D676" s="151"/>
      <c r="E676" s="655" t="s">
        <v>3257</v>
      </c>
      <c r="F676" s="151"/>
      <c r="G676" s="498">
        <v>0</v>
      </c>
      <c r="H676" s="156">
        <f>H677+H678</f>
        <v>0</v>
      </c>
      <c r="I676" s="157">
        <f t="shared" si="14"/>
        <v>0</v>
      </c>
    </row>
    <row r="677" spans="1:9" s="178" customFormat="1" ht="63" hidden="1" x14ac:dyDescent="0.25">
      <c r="A677" s="153" t="str">
        <f>IF(B677&gt;0,VLOOKUP(B677,КВСР!A261:B1426,2),IF(C677&gt;0,VLOOKUP(C677,КФСР!A261:B1773,2),IF(D677&gt;0,VLOOKUP(D677,Программа!A$1:B$5100,2),IF(F677&gt;0,VLOOKUP(F677,КВР!A$1:B$5001,2),IF(E677&gt;0,VLOOKUP(E677,Направление!A$1:B$4830,2))))))</f>
        <v xml:space="preserve">Закупка товаров, работ и услуг для обеспечения государственных (муниципальных) нужд
</v>
      </c>
      <c r="B677" s="154"/>
      <c r="C677" s="149"/>
      <c r="D677" s="151"/>
      <c r="E677" s="179"/>
      <c r="F677" s="151">
        <v>200</v>
      </c>
      <c r="G677" s="498">
        <v>0</v>
      </c>
      <c r="H677" s="156"/>
      <c r="I677" s="157">
        <f t="shared" si="14"/>
        <v>0</v>
      </c>
    </row>
    <row r="678" spans="1:9" s="178" customFormat="1" ht="31.5" hidden="1" x14ac:dyDescent="0.25">
      <c r="A678" s="153" t="str">
        <f>IF(B678&gt;0,VLOOKUP(B678,КВСР!A262:B1427,2),IF(C678&gt;0,VLOOKUP(C678,КФСР!A262:B1774,2),IF(D678&gt;0,VLOOKUP(D678,Программа!A$1:B$5100,2),IF(F678&gt;0,VLOOKUP(F678,КВР!A$1:B$5001,2),IF(E678&gt;0,VLOOKUP(E678,Направление!A$1:B$4830,2))))))</f>
        <v>Социальное обеспечение и иные выплаты населению</v>
      </c>
      <c r="B678" s="154"/>
      <c r="C678" s="149"/>
      <c r="D678" s="151"/>
      <c r="E678" s="179"/>
      <c r="F678" s="151">
        <v>300</v>
      </c>
      <c r="G678" s="498">
        <v>0</v>
      </c>
      <c r="H678" s="156"/>
      <c r="I678" s="157">
        <f t="shared" si="14"/>
        <v>0</v>
      </c>
    </row>
    <row r="679" spans="1:9" s="178" customFormat="1" ht="78.75" x14ac:dyDescent="0.25">
      <c r="A679" s="153" t="str">
        <f>IF(B679&gt;0,VLOOKUP(B679,КВСР!A260:B1425,2),IF(C679&gt;0,VLOOKUP(C679,КФСР!A260:B1772,2),IF(D679&gt;0,VLOOKUP(D679,Программа!A$1:B$5100,2),IF(F679&gt;0,VLOOKUP(F679,КВР!A$1:B$5001,2),IF(E679&gt;0,VLOOKUP(E679,Направление!A$1:B$4830,2))))))</f>
        <v>Расходы на социальную поддержку отдельных категорий граждан в части ежемесячной денежной выплаты ветеранам труда, труженикам тыла, реабилитированным лицам</v>
      </c>
      <c r="B679" s="154"/>
      <c r="C679" s="149"/>
      <c r="D679" s="150"/>
      <c r="E679" s="149">
        <v>70750</v>
      </c>
      <c r="F679" s="151"/>
      <c r="G679" s="500">
        <v>38780000</v>
      </c>
      <c r="H679" s="155">
        <f>H680+H681</f>
        <v>38472458</v>
      </c>
      <c r="I679" s="157">
        <f t="shared" si="14"/>
        <v>77252458</v>
      </c>
    </row>
    <row r="680" spans="1:9" s="178" customFormat="1" ht="63" x14ac:dyDescent="0.25">
      <c r="A680" s="153" t="str">
        <f>IF(B680&gt;0,VLOOKUP(B680,КВСР!A261:B1426,2),IF(C680&gt;0,VLOOKUP(C680,КФСР!A261:B1773,2),IF(D680&gt;0,VLOOKUP(D680,Программа!A$1:B$5100,2),IF(F680&gt;0,VLOOKUP(F680,КВР!A$1:B$5001,2),IF(E680&gt;0,VLOOKUP(E680,Направление!A$1:B$4830,2))))))</f>
        <v xml:space="preserve">Закупка товаров, работ и услуг для обеспечения государственных (муниципальных) нужд
</v>
      </c>
      <c r="B680" s="154"/>
      <c r="C680" s="149"/>
      <c r="D680" s="151"/>
      <c r="E680" s="179"/>
      <c r="F680" s="151">
        <v>200</v>
      </c>
      <c r="G680" s="612">
        <v>627560</v>
      </c>
      <c r="H680" s="171">
        <v>635391</v>
      </c>
      <c r="I680" s="157">
        <f t="shared" si="14"/>
        <v>1262951</v>
      </c>
    </row>
    <row r="681" spans="1:9" s="178" customFormat="1" ht="31.5" x14ac:dyDescent="0.25">
      <c r="A681" s="153" t="str">
        <f>IF(B681&gt;0,VLOOKUP(B681,КВСР!A261:B1426,2),IF(C681&gt;0,VLOOKUP(C681,КФСР!A261:B1773,2),IF(D681&gt;0,VLOOKUP(D681,Программа!A$1:B$5100,2),IF(F681&gt;0,VLOOKUP(F681,КВР!A$1:B$5001,2),IF(E681&gt;0,VLOOKUP(E681,Направление!A$1:B$4830,2))))))</f>
        <v>Социальное обеспечение и иные выплаты населению</v>
      </c>
      <c r="B681" s="154"/>
      <c r="C681" s="149"/>
      <c r="D681" s="151"/>
      <c r="E681" s="179"/>
      <c r="F681" s="151">
        <v>300</v>
      </c>
      <c r="G681" s="498">
        <v>38152440</v>
      </c>
      <c r="H681" s="156">
        <v>37837067</v>
      </c>
      <c r="I681" s="157">
        <f t="shared" si="14"/>
        <v>75989507</v>
      </c>
    </row>
    <row r="682" spans="1:9" s="178" customFormat="1" ht="78.75" hidden="1" x14ac:dyDescent="0.25">
      <c r="A682" s="153" t="str">
        <f>IF(B682&gt;0,VLOOKUP(B682,КВСР!A262:B1427,2),IF(C682&gt;0,VLOOKUP(C682,КФСР!A262:B1774,2),IF(D682&gt;0,VLOOKUP(D682,Программа!A$1:B$5100,2),IF(F682&gt;0,VLOOKUP(F682,КВР!A$1:B$5001,2),IF(E682&gt;0,VLOOKUP(E682,Направление!A$1:B$4830,2))))))</f>
        <v>Расходы на социальную поддержку отдельных категорий граждан в части ежемесячной денежной выплаты ветеранам труда, труженикам тыла, реабилитированным лицам</v>
      </c>
      <c r="B682" s="154"/>
      <c r="C682" s="149"/>
      <c r="D682" s="151"/>
      <c r="E682" s="149" t="s">
        <v>3258</v>
      </c>
      <c r="F682" s="151"/>
      <c r="G682" s="498">
        <v>0</v>
      </c>
      <c r="H682" s="156">
        <f>H683+H684</f>
        <v>0</v>
      </c>
      <c r="I682" s="157">
        <f t="shared" si="14"/>
        <v>0</v>
      </c>
    </row>
    <row r="683" spans="1:9" s="178" customFormat="1" ht="63" hidden="1" x14ac:dyDescent="0.25">
      <c r="A683" s="153" t="str">
        <f>IF(B683&gt;0,VLOOKUP(B683,КВСР!A263:B1428,2),IF(C683&gt;0,VLOOKUP(C683,КФСР!A263:B1775,2),IF(D683&gt;0,VLOOKUP(D683,Программа!A$1:B$5100,2),IF(F683&gt;0,VLOOKUP(F683,КВР!A$1:B$5001,2),IF(E683&gt;0,VLOOKUP(E683,Направление!A$1:B$4830,2))))))</f>
        <v xml:space="preserve">Закупка товаров, работ и услуг для обеспечения государственных (муниципальных) нужд
</v>
      </c>
      <c r="B683" s="154"/>
      <c r="C683" s="149"/>
      <c r="D683" s="151"/>
      <c r="E683" s="179"/>
      <c r="F683" s="151">
        <v>200</v>
      </c>
      <c r="G683" s="498">
        <v>0</v>
      </c>
      <c r="H683" s="156"/>
      <c r="I683" s="157">
        <f t="shared" si="14"/>
        <v>0</v>
      </c>
    </row>
    <row r="684" spans="1:9" s="178" customFormat="1" ht="31.5" hidden="1" x14ac:dyDescent="0.25">
      <c r="A684" s="153" t="str">
        <f>IF(B684&gt;0,VLOOKUP(B684,КВСР!A264:B1429,2),IF(C684&gt;0,VLOOKUP(C684,КФСР!A264:B1776,2),IF(D684&gt;0,VLOOKUP(D684,Программа!A$1:B$5100,2),IF(F684&gt;0,VLOOKUP(F684,КВР!A$1:B$5001,2),IF(E684&gt;0,VLOOKUP(E684,Направление!A$1:B$4830,2))))))</f>
        <v>Социальное обеспечение и иные выплаты населению</v>
      </c>
      <c r="B684" s="154"/>
      <c r="C684" s="149"/>
      <c r="D684" s="151"/>
      <c r="E684" s="179"/>
      <c r="F684" s="151">
        <v>300</v>
      </c>
      <c r="G684" s="498">
        <v>0</v>
      </c>
      <c r="H684" s="156"/>
      <c r="I684" s="157">
        <f t="shared" si="14"/>
        <v>0</v>
      </c>
    </row>
    <row r="685" spans="1:9" s="178" customFormat="1" ht="110.25" x14ac:dyDescent="0.25">
      <c r="A685" s="153" t="str">
        <f>IF(B685&gt;0,VLOOKUP(B685,КВСР!A254:B1419,2),IF(C685&gt;0,VLOOKUP(C685,КФСР!A254:B1766,2),IF(D685&gt;0,VLOOKUP(D685,Программа!A$1:B$5100,2),IF(F685&gt;0,VLOOKUP(F685,КВР!A$1:B$5001,2),IF(E685&gt;0,VLOOKUP(E685,Направление!A$1:B$4830,2))))))</f>
        <v>Оплата жилого помещения и коммунальных услуг отдельным категориям граждан, оказание мер социальной поддержки которым относится к полномочиям Ярославской области, за счет средств областного бюджета</v>
      </c>
      <c r="B685" s="154"/>
      <c r="C685" s="149"/>
      <c r="D685" s="150"/>
      <c r="E685" s="149">
        <v>70840</v>
      </c>
      <c r="F685" s="151"/>
      <c r="G685" s="606">
        <v>68652000</v>
      </c>
      <c r="H685" s="157">
        <f>H687+H686</f>
        <v>66658832</v>
      </c>
      <c r="I685" s="157">
        <f t="shared" si="14"/>
        <v>135310832</v>
      </c>
    </row>
    <row r="686" spans="1:9" s="178" customFormat="1" ht="63" x14ac:dyDescent="0.25">
      <c r="A686" s="153" t="str">
        <f>IF(B686&gt;0,VLOOKUP(B686,КВСР!A254:B1419,2),IF(C686&gt;0,VLOOKUP(C686,КФСР!A254:B1766,2),IF(D686&gt;0,VLOOKUP(D686,Программа!A$1:B$5100,2),IF(F686&gt;0,VLOOKUP(F686,КВР!A$1:B$5001,2),IF(E686&gt;0,VLOOKUP(E686,Направление!A$1:B$4830,2))))))</f>
        <v xml:space="preserve">Закупка товаров, работ и услуг для обеспечения государственных (муниципальных) нужд
</v>
      </c>
      <c r="B686" s="154"/>
      <c r="C686" s="149"/>
      <c r="D686" s="151"/>
      <c r="E686" s="179"/>
      <c r="F686" s="151">
        <v>200</v>
      </c>
      <c r="G686" s="516">
        <v>1102945</v>
      </c>
      <c r="H686" s="158">
        <v>1089861</v>
      </c>
      <c r="I686" s="157">
        <f t="shared" si="14"/>
        <v>2192806</v>
      </c>
    </row>
    <row r="687" spans="1:9" s="178" customFormat="1" ht="31.5" x14ac:dyDescent="0.25">
      <c r="A687" s="153" t="str">
        <f>IF(B687&gt;0,VLOOKUP(B687,КВСР!A255:B1420,2),IF(C687&gt;0,VLOOKUP(C687,КФСР!A255:B1767,2),IF(D687&gt;0,VLOOKUP(D687,Программа!A$1:B$5100,2),IF(F687&gt;0,VLOOKUP(F687,КВР!A$1:B$5001,2),IF(E687&gt;0,VLOOKUP(E687,Направление!A$1:B$4830,2))))))</f>
        <v>Социальное обеспечение и иные выплаты населению</v>
      </c>
      <c r="B687" s="154"/>
      <c r="C687" s="149"/>
      <c r="D687" s="151"/>
      <c r="E687" s="179"/>
      <c r="F687" s="151">
        <v>300</v>
      </c>
      <c r="G687" s="516">
        <v>67549055</v>
      </c>
      <c r="H687" s="158">
        <v>65568971</v>
      </c>
      <c r="I687" s="157">
        <f t="shared" si="14"/>
        <v>133118026</v>
      </c>
    </row>
    <row r="688" spans="1:9" s="178" customFormat="1" ht="110.25" hidden="1" x14ac:dyDescent="0.25">
      <c r="A688" s="153" t="str">
        <f>IF(B688&gt;0,VLOOKUP(B688,КВСР!A256:B1421,2),IF(C688&gt;0,VLOOKUP(C688,КФСР!A256:B1768,2),IF(D688&gt;0,VLOOKUP(D688,Программа!A$1:B$5100,2),IF(F688&gt;0,VLOOKUP(F688,КВР!A$1:B$5001,2),IF(E688&gt;0,VLOOKUP(E688,Направление!A$1:B$4830,2))))))</f>
        <v>Оплата жилого помещения и коммунальных услуг отдельным категориям граждан, оказание мер социальной поддержки которым относится к полномочиям Ярославской области, за счет средств областного бюджета</v>
      </c>
      <c r="B688" s="154"/>
      <c r="C688" s="149"/>
      <c r="D688" s="151"/>
      <c r="E688" s="149" t="s">
        <v>3259</v>
      </c>
      <c r="F688" s="151"/>
      <c r="G688" s="516">
        <v>0</v>
      </c>
      <c r="H688" s="158">
        <f>H689+H690</f>
        <v>0</v>
      </c>
      <c r="I688" s="157">
        <f t="shared" si="14"/>
        <v>0</v>
      </c>
    </row>
    <row r="689" spans="1:9" s="178" customFormat="1" ht="63" hidden="1" x14ac:dyDescent="0.25">
      <c r="A689" s="153" t="str">
        <f>IF(B689&gt;0,VLOOKUP(B689,КВСР!A257:B1422,2),IF(C689&gt;0,VLOOKUP(C689,КФСР!A257:B1769,2),IF(D689&gt;0,VLOOKUP(D689,Программа!A$1:B$5100,2),IF(F689&gt;0,VLOOKUP(F689,КВР!A$1:B$5001,2),IF(E689&gt;0,VLOOKUP(E689,Направление!A$1:B$4830,2))))))</f>
        <v xml:space="preserve">Закупка товаров, работ и услуг для обеспечения государственных (муниципальных) нужд
</v>
      </c>
      <c r="B689" s="154"/>
      <c r="C689" s="149"/>
      <c r="D689" s="151"/>
      <c r="E689" s="179"/>
      <c r="F689" s="151">
        <v>200</v>
      </c>
      <c r="G689" s="516">
        <v>0</v>
      </c>
      <c r="H689" s="158"/>
      <c r="I689" s="157">
        <f t="shared" si="14"/>
        <v>0</v>
      </c>
    </row>
    <row r="690" spans="1:9" s="178" customFormat="1" ht="31.5" hidden="1" x14ac:dyDescent="0.25">
      <c r="A690" s="153" t="str">
        <f>IF(B690&gt;0,VLOOKUP(B690,КВСР!A258:B1423,2),IF(C690&gt;0,VLOOKUP(C690,КФСР!A258:B1770,2),IF(D690&gt;0,VLOOKUP(D690,Программа!A$1:B$5100,2),IF(F690&gt;0,VLOOKUP(F690,КВР!A$1:B$5001,2),IF(E690&gt;0,VLOOKUP(E690,Направление!A$1:B$4830,2))))))</f>
        <v>Социальное обеспечение и иные выплаты населению</v>
      </c>
      <c r="B690" s="154"/>
      <c r="C690" s="149"/>
      <c r="D690" s="151"/>
      <c r="E690" s="179"/>
      <c r="F690" s="151">
        <v>300</v>
      </c>
      <c r="G690" s="516">
        <v>0</v>
      </c>
      <c r="H690" s="158"/>
      <c r="I690" s="157">
        <f t="shared" si="14"/>
        <v>0</v>
      </c>
    </row>
    <row r="691" spans="1:9" s="178" customFormat="1" ht="31.5" x14ac:dyDescent="0.25">
      <c r="A691" s="153" t="str">
        <f>IF(B691&gt;0,VLOOKUP(B691,КВСР!A256:B1421,2),IF(C691&gt;0,VLOOKUP(C691,КФСР!A256:B1768,2),IF(D691&gt;0,VLOOKUP(D691,Программа!A$1:B$5100,2),IF(F691&gt;0,VLOOKUP(F691,КВР!A$1:B$5001,2),IF(E691&gt;0,VLOOKUP(E691,Направление!A$1:B$4830,2))))))</f>
        <v>Денежные выплаты за счет средств областного бюджета</v>
      </c>
      <c r="B691" s="154"/>
      <c r="C691" s="149"/>
      <c r="D691" s="150"/>
      <c r="E691" s="149">
        <v>70860</v>
      </c>
      <c r="F691" s="151"/>
      <c r="G691" s="606">
        <v>20539000</v>
      </c>
      <c r="H691" s="157">
        <f>H692+H693</f>
        <v>20013700</v>
      </c>
      <c r="I691" s="157">
        <f t="shared" si="14"/>
        <v>40552700</v>
      </c>
    </row>
    <row r="692" spans="1:9" s="178" customFormat="1" ht="63" x14ac:dyDescent="0.25">
      <c r="A692" s="153" t="str">
        <f>IF(B692&gt;0,VLOOKUP(B692,КВСР!A257:B1422,2),IF(C692&gt;0,VLOOKUP(C692,КФСР!A257:B1769,2),IF(D692&gt;0,VLOOKUP(D692,Программа!A$1:B$5100,2),IF(F692&gt;0,VLOOKUP(F692,КВР!A$1:B$5001,2),IF(E692&gt;0,VLOOKUP(E692,Направление!A$1:B$4830,2))))))</f>
        <v xml:space="preserve">Закупка товаров, работ и услуг для обеспечения государственных (муниципальных) нужд
</v>
      </c>
      <c r="B692" s="154"/>
      <c r="C692" s="149"/>
      <c r="D692" s="151"/>
      <c r="E692" s="179"/>
      <c r="F692" s="151">
        <v>200</v>
      </c>
      <c r="G692" s="516">
        <v>309660</v>
      </c>
      <c r="H692" s="158">
        <v>297991</v>
      </c>
      <c r="I692" s="157">
        <f t="shared" si="14"/>
        <v>607651</v>
      </c>
    </row>
    <row r="693" spans="1:9" s="178" customFormat="1" ht="31.5" x14ac:dyDescent="0.25">
      <c r="A693" s="153" t="str">
        <f>IF(B693&gt;0,VLOOKUP(B693,КВСР!A258:B1423,2),IF(C693&gt;0,VLOOKUP(C693,КФСР!A258:B1770,2),IF(D693&gt;0,VLOOKUP(D693,Программа!A$1:B$5100,2),IF(F693&gt;0,VLOOKUP(F693,КВР!A$1:B$5001,2),IF(E693&gt;0,VLOOKUP(E693,Направление!A$1:B$4830,2))))))</f>
        <v>Социальное обеспечение и иные выплаты населению</v>
      </c>
      <c r="B693" s="154"/>
      <c r="C693" s="149"/>
      <c r="D693" s="151"/>
      <c r="E693" s="179"/>
      <c r="F693" s="151">
        <v>300</v>
      </c>
      <c r="G693" s="516">
        <v>20229340</v>
      </c>
      <c r="H693" s="158">
        <v>19715709</v>
      </c>
      <c r="I693" s="157">
        <f t="shared" si="14"/>
        <v>39945049</v>
      </c>
    </row>
    <row r="694" spans="1:9" s="178" customFormat="1" ht="31.5" hidden="1" x14ac:dyDescent="0.25">
      <c r="A694" s="153" t="str">
        <f>IF(B694&gt;0,VLOOKUP(B694,КВСР!A259:B1424,2),IF(C694&gt;0,VLOOKUP(C694,КФСР!A259:B1771,2),IF(D694&gt;0,VLOOKUP(D694,Программа!A$1:B$5100,2),IF(F694&gt;0,VLOOKUP(F694,КВР!A$1:B$5001,2),IF(E694&gt;0,VLOOKUP(E694,Направление!A$1:B$4830,2))))))</f>
        <v>Денежные выплаты за счет средств областного бюджета</v>
      </c>
      <c r="B694" s="154"/>
      <c r="C694" s="149"/>
      <c r="D694" s="151"/>
      <c r="E694" s="149" t="s">
        <v>3260</v>
      </c>
      <c r="F694" s="151"/>
      <c r="G694" s="516">
        <v>0</v>
      </c>
      <c r="H694" s="158">
        <f>H695+H696</f>
        <v>0</v>
      </c>
      <c r="I694" s="157">
        <f t="shared" si="14"/>
        <v>0</v>
      </c>
    </row>
    <row r="695" spans="1:9" s="178" customFormat="1" ht="63" hidden="1" x14ac:dyDescent="0.25">
      <c r="A695" s="153" t="str">
        <f>IF(B695&gt;0,VLOOKUP(B695,КВСР!A260:B1425,2),IF(C695&gt;0,VLOOKUP(C695,КФСР!A260:B1772,2),IF(D695&gt;0,VLOOKUP(D695,Программа!A$1:B$5100,2),IF(F695&gt;0,VLOOKUP(F695,КВР!A$1:B$5001,2),IF(E695&gt;0,VLOOKUP(E695,Направление!A$1:B$4830,2))))))</f>
        <v xml:space="preserve">Закупка товаров, работ и услуг для обеспечения государственных (муниципальных) нужд
</v>
      </c>
      <c r="B695" s="154"/>
      <c r="C695" s="149"/>
      <c r="D695" s="151"/>
      <c r="E695" s="179"/>
      <c r="F695" s="151">
        <v>200</v>
      </c>
      <c r="G695" s="516">
        <v>0</v>
      </c>
      <c r="H695" s="158"/>
      <c r="I695" s="157">
        <f t="shared" si="14"/>
        <v>0</v>
      </c>
    </row>
    <row r="696" spans="1:9" s="178" customFormat="1" ht="31.5" hidden="1" x14ac:dyDescent="0.25">
      <c r="A696" s="153" t="str">
        <f>IF(B696&gt;0,VLOOKUP(B696,КВСР!A261:B1426,2),IF(C696&gt;0,VLOOKUP(C696,КФСР!A261:B1773,2),IF(D696&gt;0,VLOOKUP(D696,Программа!A$1:B$5100,2),IF(F696&gt;0,VLOOKUP(F696,КВР!A$1:B$5001,2),IF(E696&gt;0,VLOOKUP(E696,Направление!A$1:B$4830,2))))))</f>
        <v>Социальное обеспечение и иные выплаты населению</v>
      </c>
      <c r="B696" s="154"/>
      <c r="C696" s="149"/>
      <c r="D696" s="151"/>
      <c r="E696" s="179"/>
      <c r="F696" s="151">
        <v>300</v>
      </c>
      <c r="G696" s="516">
        <v>0</v>
      </c>
      <c r="H696" s="158"/>
      <c r="I696" s="157">
        <f t="shared" si="14"/>
        <v>0</v>
      </c>
    </row>
    <row r="697" spans="1:9" s="178" customFormat="1" ht="47.25" hidden="1" x14ac:dyDescent="0.25">
      <c r="A697" s="153" t="str">
        <f>IF(B697&gt;0,VLOOKUP(B697,КВСР!A259:B1424,2),IF(C697&gt;0,VLOOKUP(C697,КФСР!A259:B1771,2),IF(D697&gt;0,VLOOKUP(D697,Программа!A$1:B$5100,2),IF(F697&gt;0,VLOOKUP(F697,КВР!A$1:B$5001,2),IF(E697&gt;0,VLOOKUP(E697,Направление!A$1:B$4830,2))))))</f>
        <v>Оказание социальной помощи отдельным категориям граждан за счет средств областного бюджета</v>
      </c>
      <c r="B697" s="154"/>
      <c r="C697" s="149"/>
      <c r="D697" s="150"/>
      <c r="E697" s="149">
        <v>70890</v>
      </c>
      <c r="F697" s="151"/>
      <c r="G697" s="161">
        <v>0</v>
      </c>
      <c r="H697" s="161">
        <f>H698+H699</f>
        <v>0</v>
      </c>
      <c r="I697" s="157">
        <f t="shared" si="14"/>
        <v>0</v>
      </c>
    </row>
    <row r="698" spans="1:9" s="178" customFormat="1" ht="63" hidden="1" x14ac:dyDescent="0.25">
      <c r="A698" s="153" t="str">
        <f>IF(B698&gt;0,VLOOKUP(B698,КВСР!A260:B1425,2),IF(C698&gt;0,VLOOKUP(C698,КФСР!A260:B1772,2),IF(D698&gt;0,VLOOKUP(D698,Программа!A$1:B$5100,2),IF(F698&gt;0,VLOOKUP(F698,КВР!A$1:B$5001,2),IF(E698&gt;0,VLOOKUP(E698,Направление!A$1:B$4830,2))))))</f>
        <v xml:space="preserve">Закупка товаров, работ и услуг для обеспечения государственных (муниципальных) нужд
</v>
      </c>
      <c r="B698" s="154"/>
      <c r="C698" s="149"/>
      <c r="D698" s="150"/>
      <c r="E698" s="179"/>
      <c r="F698" s="151">
        <v>200</v>
      </c>
      <c r="G698" s="516">
        <v>0</v>
      </c>
      <c r="H698" s="158"/>
      <c r="I698" s="157">
        <f t="shared" si="14"/>
        <v>0</v>
      </c>
    </row>
    <row r="699" spans="1:9" s="178" customFormat="1" ht="31.5" hidden="1" x14ac:dyDescent="0.25">
      <c r="A699" s="153" t="str">
        <f>IF(B699&gt;0,VLOOKUP(B699,КВСР!A261:B1426,2),IF(C699&gt;0,VLOOKUP(C699,КФСР!A261:B1773,2),IF(D699&gt;0,VLOOKUP(D699,Программа!A$1:B$5100,2),IF(F699&gt;0,VLOOKUP(F699,КВР!A$1:B$5001,2),IF(E699&gt;0,VLOOKUP(E699,Направление!A$1:B$4830,2))))))</f>
        <v>Социальное обеспечение и иные выплаты населению</v>
      </c>
      <c r="B699" s="154"/>
      <c r="C699" s="149"/>
      <c r="D699" s="150"/>
      <c r="E699" s="179"/>
      <c r="F699" s="151">
        <v>300</v>
      </c>
      <c r="G699" s="516">
        <v>0</v>
      </c>
      <c r="H699" s="158"/>
      <c r="I699" s="157">
        <f t="shared" si="14"/>
        <v>0</v>
      </c>
    </row>
    <row r="700" spans="1:9" s="178" customFormat="1" ht="47.25" x14ac:dyDescent="0.25">
      <c r="A700" s="153" t="str">
        <f>IF(B700&gt;0,VLOOKUP(B700,КВСР!A256:B1421,2),IF(C700&gt;0,VLOOKUP(C700,КФСР!A256:B1768,2),IF(D700&gt;0,VLOOKUP(D700,Программа!A$1:B$5100,2),IF(F700&gt;0,VLOOKUP(F700,КВР!A$1:B$5001,2),IF(E700&gt;0,VLOOKUP(E700,Направление!A$1:B$4830,2))))))</f>
        <v>Расходы на социальную поддержку отдельных категорий граждан в части ежемесячного пособия на ребенка</v>
      </c>
      <c r="B700" s="154"/>
      <c r="C700" s="149"/>
      <c r="D700" s="150"/>
      <c r="E700" s="149">
        <v>73040</v>
      </c>
      <c r="F700" s="151"/>
      <c r="G700" s="500">
        <v>34700000</v>
      </c>
      <c r="H700" s="155">
        <f>H702+H701</f>
        <v>34030030</v>
      </c>
      <c r="I700" s="157">
        <f t="shared" si="14"/>
        <v>68730030</v>
      </c>
    </row>
    <row r="701" spans="1:9" s="178" customFormat="1" ht="63" x14ac:dyDescent="0.25">
      <c r="A701" s="153" t="str">
        <f>IF(B701&gt;0,VLOOKUP(B701,КВСР!A257:B1422,2),IF(C701&gt;0,VLOOKUP(C701,КФСР!A257:B1769,2),IF(D701&gt;0,VLOOKUP(D701,Программа!A$1:B$5100,2),IF(F701&gt;0,VLOOKUP(F701,КВР!A$1:B$5001,2),IF(E701&gt;0,VLOOKUP(E701,Направление!A$1:B$4830,2))))))</f>
        <v xml:space="preserve">Закупка товаров, работ и услуг для обеспечения государственных (муниципальных) нужд
</v>
      </c>
      <c r="B701" s="154"/>
      <c r="C701" s="149"/>
      <c r="D701" s="150"/>
      <c r="E701" s="149"/>
      <c r="F701" s="151">
        <v>200</v>
      </c>
      <c r="G701" s="612">
        <v>5950</v>
      </c>
      <c r="H701" s="171">
        <v>5104</v>
      </c>
      <c r="I701" s="157">
        <f t="shared" si="14"/>
        <v>11054</v>
      </c>
    </row>
    <row r="702" spans="1:9" s="178" customFormat="1" ht="31.5" x14ac:dyDescent="0.25">
      <c r="A702" s="153" t="str">
        <f>IF(B702&gt;0,VLOOKUP(B702,КВСР!A264:B1429,2),IF(C702&gt;0,VLOOKUP(C702,КФСР!A264:B1776,2),IF(D702&gt;0,VLOOKUP(D702,Программа!A$1:B$5100,2),IF(F702&gt;0,VLOOKUP(F702,КВР!A$1:B$5001,2),IF(E702&gt;0,VLOOKUP(E702,Направление!A$1:B$4830,2))))))</f>
        <v>Социальное обеспечение и иные выплаты населению</v>
      </c>
      <c r="B702" s="154"/>
      <c r="C702" s="149"/>
      <c r="D702" s="150"/>
      <c r="E702" s="149"/>
      <c r="F702" s="151">
        <v>300</v>
      </c>
      <c r="G702" s="516">
        <v>34694050</v>
      </c>
      <c r="H702" s="158">
        <v>34024926</v>
      </c>
      <c r="I702" s="157">
        <f t="shared" si="14"/>
        <v>68718976</v>
      </c>
    </row>
    <row r="703" spans="1:9" s="178" customFormat="1" ht="47.25" hidden="1" x14ac:dyDescent="0.25">
      <c r="A703" s="153" t="str">
        <f>IF(B703&gt;0,VLOOKUP(B703,КВСР!A265:B1430,2),IF(C703&gt;0,VLOOKUP(C703,КФСР!A265:B1777,2),IF(D703&gt;0,VLOOKUP(D703,Программа!A$1:B$5100,2),IF(F703&gt;0,VLOOKUP(F703,КВР!A$1:B$5001,2),IF(E703&gt;0,VLOOKUP(E703,Направление!A$1:B$4830,2))))))</f>
        <v>Расходы на социальную поддержку отдельных категорий граждан в части ежемесячного пособия на ребенка</v>
      </c>
      <c r="B703" s="154"/>
      <c r="C703" s="149"/>
      <c r="D703" s="150"/>
      <c r="E703" s="149" t="s">
        <v>3261</v>
      </c>
      <c r="F703" s="151"/>
      <c r="G703" s="516">
        <v>0</v>
      </c>
      <c r="H703" s="158">
        <f>H704+H705</f>
        <v>0</v>
      </c>
      <c r="I703" s="157">
        <f t="shared" si="14"/>
        <v>0</v>
      </c>
    </row>
    <row r="704" spans="1:9" s="178" customFormat="1" ht="63" hidden="1" x14ac:dyDescent="0.25">
      <c r="A704" s="153" t="str">
        <f>IF(B704&gt;0,VLOOKUP(B704,КВСР!A266:B1431,2),IF(C704&gt;0,VLOOKUP(C704,КФСР!A266:B1778,2),IF(D704&gt;0,VLOOKUP(D704,Программа!A$1:B$5100,2),IF(F704&gt;0,VLOOKUP(F704,КВР!A$1:B$5001,2),IF(E704&gt;0,VLOOKUP(E704,Направление!A$1:B$4830,2))))))</f>
        <v xml:space="preserve">Закупка товаров, работ и услуг для обеспечения государственных (муниципальных) нужд
</v>
      </c>
      <c r="B704" s="154"/>
      <c r="C704" s="149"/>
      <c r="D704" s="150"/>
      <c r="E704" s="149"/>
      <c r="F704" s="151">
        <v>200</v>
      </c>
      <c r="G704" s="516">
        <v>0</v>
      </c>
      <c r="H704" s="158"/>
      <c r="I704" s="157">
        <f t="shared" si="14"/>
        <v>0</v>
      </c>
    </row>
    <row r="705" spans="1:9" s="178" customFormat="1" ht="31.5" hidden="1" x14ac:dyDescent="0.25">
      <c r="A705" s="153" t="str">
        <f>IF(B705&gt;0,VLOOKUP(B705,КВСР!A267:B1432,2),IF(C705&gt;0,VLOOKUP(C705,КФСР!A267:B1779,2),IF(D705&gt;0,VLOOKUP(D705,Программа!A$1:B$5100,2),IF(F705&gt;0,VLOOKUP(F705,КВР!A$1:B$5001,2),IF(E705&gt;0,VLOOKUP(E705,Направление!A$1:B$4830,2))))))</f>
        <v>Социальное обеспечение и иные выплаты населению</v>
      </c>
      <c r="B705" s="154"/>
      <c r="C705" s="149"/>
      <c r="D705" s="150"/>
      <c r="E705" s="149"/>
      <c r="F705" s="151">
        <v>300</v>
      </c>
      <c r="G705" s="516">
        <v>0</v>
      </c>
      <c r="H705" s="158"/>
      <c r="I705" s="157">
        <f t="shared" si="14"/>
        <v>0</v>
      </c>
    </row>
    <row r="706" spans="1:9" s="178" customFormat="1" ht="78.75" x14ac:dyDescent="0.25">
      <c r="A706" s="153" t="str">
        <f>IF(B706&gt;0,VLOOKUP(B706,КВСР!A265:B1430,2),IF(C706&gt;0,VLOOKUP(C706,КФСР!A265:B1777,2),IF(D706&gt;0,VLOOKUP(D706,Программа!A$1:B$5100,2),IF(F706&gt;0,VLOOKUP(F706,КВР!A$1:B$5001,2),IF(E706&gt;0,VLOOKUP(E706,Направление!A$1:B$4830,2))))))</f>
        <v>Субвенция на компенсацию отдельным категориям граждан оплаты взноса на капитальный ремонт общего имущества в многоквартирном доме</v>
      </c>
      <c r="B706" s="154"/>
      <c r="C706" s="149"/>
      <c r="D706" s="150"/>
      <c r="E706" s="149" t="s">
        <v>3177</v>
      </c>
      <c r="F706" s="151"/>
      <c r="G706" s="516">
        <v>1060620</v>
      </c>
      <c r="H706" s="516">
        <f>H707</f>
        <v>1043299</v>
      </c>
      <c r="I706" s="157">
        <f t="shared" si="14"/>
        <v>2103919</v>
      </c>
    </row>
    <row r="707" spans="1:9" s="178" customFormat="1" ht="31.5" x14ac:dyDescent="0.25">
      <c r="A707" s="153" t="str">
        <f>IF(B707&gt;0,VLOOKUP(B707,КВСР!A266:B1431,2),IF(C707&gt;0,VLOOKUP(C707,КФСР!A266:B1778,2),IF(D707&gt;0,VLOOKUP(D707,Программа!A$1:B$5100,2),IF(F707&gt;0,VLOOKUP(F707,КВР!A$1:B$5001,2),IF(E707&gt;0,VLOOKUP(E707,Направление!A$1:B$4830,2))))))</f>
        <v>Социальное обеспечение и иные выплаты населению</v>
      </c>
      <c r="B707" s="154"/>
      <c r="C707" s="149"/>
      <c r="D707" s="150"/>
      <c r="E707" s="149"/>
      <c r="F707" s="151">
        <v>300</v>
      </c>
      <c r="G707" s="516">
        <v>1060620</v>
      </c>
      <c r="H707" s="158">
        <v>1043299</v>
      </c>
      <c r="I707" s="157">
        <f t="shared" si="14"/>
        <v>2103919</v>
      </c>
    </row>
    <row r="708" spans="1:9" s="178" customFormat="1" ht="94.5" x14ac:dyDescent="0.25">
      <c r="A708" s="153" t="str">
        <f>IF(B708&gt;0,VLOOKUP(B708,КВСР!A267:B1432,2),IF(C708&gt;0,VLOOKUP(C708,КФСР!A267:B1779,2),IF(D708&gt;0,VLOOKUP(D708,Программа!A$1:B$5100,2),IF(F708&gt;0,VLOOKUP(F708,КВР!A$1:B$5001,2),IF(E708&gt;0,VLOOKUP(E708,Направление!A$1:B$4830,2))))))</f>
        <v>Субвенция на компенсацию отдельным категориям граждан оплаты взноса на капитальный ремонт общего имущества в многоквартирном доме, в части расходов по доставке выплат получателям</v>
      </c>
      <c r="B708" s="154"/>
      <c r="C708" s="149"/>
      <c r="D708" s="150"/>
      <c r="E708" s="149">
        <v>75490</v>
      </c>
      <c r="F708" s="151"/>
      <c r="G708" s="516">
        <v>19002</v>
      </c>
      <c r="H708" s="516">
        <f>H709</f>
        <v>18346</v>
      </c>
      <c r="I708" s="157">
        <f t="shared" si="14"/>
        <v>37348</v>
      </c>
    </row>
    <row r="709" spans="1:9" s="178" customFormat="1" ht="63" x14ac:dyDescent="0.25">
      <c r="A709" s="153" t="str">
        <f>IF(B709&gt;0,VLOOKUP(B709,КВСР!A268:B1433,2),IF(C709&gt;0,VLOOKUP(C709,КФСР!A268:B1780,2),IF(D709&gt;0,VLOOKUP(D709,Программа!A$1:B$5100,2),IF(F709&gt;0,VLOOKUP(F709,КВР!A$1:B$5001,2),IF(E709&gt;0,VLOOKUP(E709,Направление!A$1:B$4830,2))))))</f>
        <v xml:space="preserve">Закупка товаров, работ и услуг для обеспечения государственных (муниципальных) нужд
</v>
      </c>
      <c r="B709" s="154"/>
      <c r="C709" s="149"/>
      <c r="D709" s="150"/>
      <c r="E709" s="149"/>
      <c r="F709" s="151">
        <v>200</v>
      </c>
      <c r="G709" s="516">
        <v>19002</v>
      </c>
      <c r="H709" s="158">
        <v>18346</v>
      </c>
      <c r="I709" s="157">
        <f t="shared" si="14"/>
        <v>37348</v>
      </c>
    </row>
    <row r="710" spans="1:9" s="178" customFormat="1" ht="94.5" hidden="1" x14ac:dyDescent="0.25">
      <c r="A710" s="153" t="str">
        <f>IF(B710&gt;0,VLOOKUP(B710,КВСР!A269:B1434,2),IF(C710&gt;0,VLOOKUP(C710,КФСР!A269:B1781,2),IF(D710&gt;0,VLOOKUP(D710,Программа!A$1:B$5100,2),IF(F710&gt;0,VLOOKUP(F710,КВР!A$1:B$5001,2),IF(E710&gt;0,VLOOKUP(E710,Направление!A$1:B$4830,2))))))</f>
        <v>Субвенция на компенсацию отдельным категориям граждан оплаты взноса на капитальный ремонт общего имущества в многоквартирном доме, в части расходов по доставке выплат получателям</v>
      </c>
      <c r="B710" s="154"/>
      <c r="C710" s="149"/>
      <c r="D710" s="150"/>
      <c r="E710" s="149" t="s">
        <v>3263</v>
      </c>
      <c r="F710" s="151"/>
      <c r="G710" s="516">
        <v>0</v>
      </c>
      <c r="H710" s="158">
        <f>H711</f>
        <v>0</v>
      </c>
      <c r="I710" s="157">
        <f t="shared" si="14"/>
        <v>0</v>
      </c>
    </row>
    <row r="711" spans="1:9" s="178" customFormat="1" ht="63" hidden="1" x14ac:dyDescent="0.25">
      <c r="A711" s="153" t="str">
        <f>IF(B711&gt;0,VLOOKUP(B711,КВСР!A270:B1435,2),IF(C711&gt;0,VLOOKUP(C711,КФСР!A270:B1782,2),IF(D711&gt;0,VLOOKUP(D711,Программа!A$1:B$5100,2),IF(F711&gt;0,VLOOKUP(F711,КВР!A$1:B$5001,2),IF(E711&gt;0,VLOOKUP(E711,Направление!A$1:B$4830,2))))))</f>
        <v xml:space="preserve">Закупка товаров, работ и услуг для обеспечения государственных (муниципальных) нужд
</v>
      </c>
      <c r="B711" s="154"/>
      <c r="C711" s="149"/>
      <c r="D711" s="150"/>
      <c r="E711" s="149"/>
      <c r="F711" s="151">
        <v>200</v>
      </c>
      <c r="G711" s="516">
        <v>0</v>
      </c>
      <c r="H711" s="158"/>
      <c r="I711" s="157">
        <f t="shared" si="14"/>
        <v>0</v>
      </c>
    </row>
    <row r="712" spans="1:9" s="178" customFormat="1" ht="63" x14ac:dyDescent="0.25">
      <c r="A712" s="153" t="str">
        <f>IF(B712&gt;0,VLOOKUP(B712,КВСР!A258:B1423,2),IF(C712&gt;0,VLOOKUP(C712,КФСР!A258:B1770,2),IF(D712&gt;0,VLOOKUP(D712,Программа!A$1:B$5100,2),IF(F712&gt;0,VLOOKUP(F712,КВР!A$1:B$5001,2),IF(E712&gt;0,VLOOKUP(E712,Направление!A$1:B$4830,2))))))</f>
        <v>Социальная защита семей с детьми, инвалидов, ветеранов, граждан и детей, оказавшихся в трудной жизненной ситуации</v>
      </c>
      <c r="B712" s="154"/>
      <c r="C712" s="149"/>
      <c r="D712" s="150" t="s">
        <v>786</v>
      </c>
      <c r="E712" s="149"/>
      <c r="F712" s="151"/>
      <c r="G712" s="606">
        <v>4909200</v>
      </c>
      <c r="H712" s="606">
        <f>H713+H715+H718</f>
        <v>4907148</v>
      </c>
      <c r="I712" s="157">
        <f t="shared" si="14"/>
        <v>9816348</v>
      </c>
    </row>
    <row r="713" spans="1:9" s="178" customFormat="1" ht="47.25" x14ac:dyDescent="0.25">
      <c r="A713" s="153" t="str">
        <f>IF(B713&gt;0,VLOOKUP(B713,КВСР!A261:B1426,2),IF(C713&gt;0,VLOOKUP(C713,КФСР!A261:B1773,2),IF(D713&gt;0,VLOOKUP(D713,Программа!A$1:B$5100,2),IF(F713&gt;0,VLOOKUP(F713,КВР!A$1:B$5001,2),IF(E713&gt;0,VLOOKUP(E713,Направление!A$1:B$4830,2))))))</f>
        <v>Организация перевозок больных, нуждающихся в амбулаторном гемодиализе</v>
      </c>
      <c r="B713" s="154"/>
      <c r="C713" s="149"/>
      <c r="D713" s="150"/>
      <c r="E713" s="149">
        <v>16210</v>
      </c>
      <c r="F713" s="151"/>
      <c r="G713" s="516">
        <v>148500</v>
      </c>
      <c r="H713" s="623">
        <f>H714</f>
        <v>148500</v>
      </c>
      <c r="I713" s="157">
        <f t="shared" si="14"/>
        <v>297000</v>
      </c>
    </row>
    <row r="714" spans="1:9" s="178" customFormat="1" ht="31.5" x14ac:dyDescent="0.25">
      <c r="A714" s="153" t="str">
        <f>IF(B714&gt;0,VLOOKUP(B714,КВСР!A262:B1427,2),IF(C714&gt;0,VLOOKUP(C714,КФСР!A262:B1774,2),IF(D714&gt;0,VLOOKUP(D714,Программа!A$1:B$5100,2),IF(F714&gt;0,VLOOKUP(F714,КВР!A$1:B$5001,2),IF(E714&gt;0,VLOOKUP(E714,Направление!A$1:B$4830,2))))))</f>
        <v>Социальное обеспечение и иные выплаты населению</v>
      </c>
      <c r="B714" s="154"/>
      <c r="C714" s="149"/>
      <c r="D714" s="150"/>
      <c r="E714" s="179"/>
      <c r="F714" s="151">
        <v>300</v>
      </c>
      <c r="G714" s="516">
        <v>148500</v>
      </c>
      <c r="H714" s="158">
        <v>148500</v>
      </c>
      <c r="I714" s="157">
        <f t="shared" si="14"/>
        <v>297000</v>
      </c>
    </row>
    <row r="715" spans="1:9" s="178" customFormat="1" ht="47.25" x14ac:dyDescent="0.25">
      <c r="A715" s="153" t="str">
        <f>IF(B715&gt;0,VLOOKUP(B715,КВСР!A264:B1429,2),IF(C715&gt;0,VLOOKUP(C715,КФСР!A264:B1776,2),IF(D715&gt;0,VLOOKUP(D715,Программа!A$1:B$5100,2),IF(F715&gt;0,VLOOKUP(F715,КВР!A$1:B$5001,2),IF(E715&gt;0,VLOOKUP(E715,Направление!A$1:B$4830,2))))))</f>
        <v>Оказание социальной помощи отдельным категориям граждан за счет средств областного бюджета</v>
      </c>
      <c r="B715" s="154"/>
      <c r="C715" s="149"/>
      <c r="D715" s="150"/>
      <c r="E715" s="149">
        <v>70890</v>
      </c>
      <c r="F715" s="151"/>
      <c r="G715" s="606">
        <v>4760700</v>
      </c>
      <c r="H715" s="487">
        <f>H716+H717</f>
        <v>4758648</v>
      </c>
      <c r="I715" s="157">
        <f t="shared" si="14"/>
        <v>9519348</v>
      </c>
    </row>
    <row r="716" spans="1:9" s="178" customFormat="1" ht="63" x14ac:dyDescent="0.25">
      <c r="A716" s="153" t="str">
        <f>IF(B716&gt;0,VLOOKUP(B716,КВСР!A265:B1430,2),IF(C716&gt;0,VLOOKUP(C716,КФСР!A265:B1777,2),IF(D716&gt;0,VLOOKUP(D716,Программа!A$1:B$5100,2),IF(F716&gt;0,VLOOKUP(F716,КВР!A$1:B$5001,2),IF(E716&gt;0,VLOOKUP(E716,Направление!A$1:B$4830,2))))))</f>
        <v xml:space="preserve">Закупка товаров, работ и услуг для обеспечения государственных (муниципальных) нужд
</v>
      </c>
      <c r="B716" s="154"/>
      <c r="C716" s="149"/>
      <c r="D716" s="150"/>
      <c r="E716" s="149"/>
      <c r="F716" s="151">
        <v>200</v>
      </c>
      <c r="G716" s="516">
        <v>197851</v>
      </c>
      <c r="H716" s="158">
        <v>197271</v>
      </c>
      <c r="I716" s="157">
        <f t="shared" si="14"/>
        <v>395122</v>
      </c>
    </row>
    <row r="717" spans="1:9" s="178" customFormat="1" ht="31.5" x14ac:dyDescent="0.25">
      <c r="A717" s="153" t="str">
        <f>IF(B717&gt;0,VLOOKUP(B717,КВСР!A266:B1431,2),IF(C717&gt;0,VLOOKUP(C717,КФСР!A266:B1778,2),IF(D717&gt;0,VLOOKUP(D717,Программа!A$1:B$5100,2),IF(F717&gt;0,VLOOKUP(F717,КВР!A$1:B$5001,2),IF(E717&gt;0,VLOOKUP(E717,Направление!A$1:B$4830,2))))))</f>
        <v>Социальное обеспечение и иные выплаты населению</v>
      </c>
      <c r="B717" s="154"/>
      <c r="C717" s="149"/>
      <c r="D717" s="150"/>
      <c r="E717" s="149"/>
      <c r="F717" s="151">
        <v>300</v>
      </c>
      <c r="G717" s="516">
        <v>4562849</v>
      </c>
      <c r="H717" s="158">
        <v>4561377</v>
      </c>
      <c r="I717" s="157">
        <f t="shared" si="14"/>
        <v>9124226</v>
      </c>
    </row>
    <row r="718" spans="1:9" s="178" customFormat="1" ht="47.25" hidden="1" x14ac:dyDescent="0.25">
      <c r="A718" s="153" t="str">
        <f>IF(B718&gt;0,VLOOKUP(B718,КВСР!A267:B1432,2),IF(C718&gt;0,VLOOKUP(C718,КФСР!A267:B1779,2),IF(D718&gt;0,VLOOKUP(D718,Программа!A$1:B$5100,2),IF(F718&gt;0,VLOOKUP(F718,КВР!A$1:B$5001,2),IF(E718&gt;0,VLOOKUP(E718,Направление!A$1:B$4830,2))))))</f>
        <v>Оказание социальной помощи отдельным категориям граждан за счет средств областного бюджета</v>
      </c>
      <c r="B718" s="154"/>
      <c r="C718" s="149"/>
      <c r="D718" s="150"/>
      <c r="E718" s="149" t="s">
        <v>3262</v>
      </c>
      <c r="F718" s="151"/>
      <c r="G718" s="516">
        <v>0</v>
      </c>
      <c r="H718" s="158">
        <f>H719+H720</f>
        <v>0</v>
      </c>
      <c r="I718" s="157">
        <f t="shared" ref="I718:I788" si="15">SUM(G718:H718)</f>
        <v>0</v>
      </c>
    </row>
    <row r="719" spans="1:9" s="178" customFormat="1" ht="63" hidden="1" x14ac:dyDescent="0.25">
      <c r="A719" s="153" t="str">
        <f>IF(B719&gt;0,VLOOKUP(B719,КВСР!A268:B1433,2),IF(C719&gt;0,VLOOKUP(C719,КФСР!A268:B1780,2),IF(D719&gt;0,VLOOKUP(D719,Программа!A$1:B$5100,2),IF(F719&gt;0,VLOOKUP(F719,КВР!A$1:B$5001,2),IF(E719&gt;0,VLOOKUP(E719,Направление!A$1:B$4830,2))))))</f>
        <v xml:space="preserve">Закупка товаров, работ и услуг для обеспечения государственных (муниципальных) нужд
</v>
      </c>
      <c r="B719" s="154"/>
      <c r="C719" s="149"/>
      <c r="D719" s="150"/>
      <c r="E719" s="149"/>
      <c r="F719" s="151">
        <v>200</v>
      </c>
      <c r="G719" s="516">
        <v>0</v>
      </c>
      <c r="H719" s="158"/>
      <c r="I719" s="157">
        <f t="shared" si="15"/>
        <v>0</v>
      </c>
    </row>
    <row r="720" spans="1:9" s="178" customFormat="1" ht="31.5" hidden="1" x14ac:dyDescent="0.25">
      <c r="A720" s="153" t="str">
        <f>IF(B720&gt;0,VLOOKUP(B720,КВСР!A269:B1434,2),IF(C720&gt;0,VLOOKUP(C720,КФСР!A269:B1781,2),IF(D720&gt;0,VLOOKUP(D720,Программа!A$1:B$5100,2),IF(F720&gt;0,VLOOKUP(F720,КВР!A$1:B$5001,2),IF(E720&gt;0,VLOOKUP(E720,Направление!A$1:B$4830,2))))))</f>
        <v>Социальное обеспечение и иные выплаты населению</v>
      </c>
      <c r="B720" s="154"/>
      <c r="C720" s="149"/>
      <c r="D720" s="150"/>
      <c r="E720" s="149"/>
      <c r="F720" s="151">
        <v>300</v>
      </c>
      <c r="G720" s="516">
        <v>0</v>
      </c>
      <c r="H720" s="158"/>
      <c r="I720" s="157">
        <f t="shared" si="15"/>
        <v>0</v>
      </c>
    </row>
    <row r="721" spans="1:9" s="178" customFormat="1" x14ac:dyDescent="0.25">
      <c r="A721" s="153" t="str">
        <f>IF(B721&gt;0,VLOOKUP(B721,КВСР!A270:B1435,2),IF(C721&gt;0,VLOOKUP(C721,КФСР!A270:B1782,2),IF(D721&gt;0,VLOOKUP(D721,Программа!A$1:B$5100,2),IF(F721&gt;0,VLOOKUP(F721,КВР!A$1:B$5001,2),IF(E721&gt;0,VLOOKUP(E721,Направление!A$1:B$4830,2))))))</f>
        <v>Непрограммные расходы бюджета</v>
      </c>
      <c r="B721" s="154"/>
      <c r="C721" s="149"/>
      <c r="D721" s="150" t="s">
        <v>624</v>
      </c>
      <c r="E721" s="149"/>
      <c r="F721" s="151"/>
      <c r="G721" s="516">
        <v>75000</v>
      </c>
      <c r="H721" s="516">
        <f>H722</f>
        <v>85000</v>
      </c>
      <c r="I721" s="516">
        <f>I722</f>
        <v>160000</v>
      </c>
    </row>
    <row r="722" spans="1:9" s="178" customFormat="1" ht="31.5" x14ac:dyDescent="0.25">
      <c r="A722" s="153" t="str">
        <f>IF(B722&gt;0,VLOOKUP(B722,КВСР!A271:B1436,2),IF(C722&gt;0,VLOOKUP(C722,КФСР!A271:B1783,2),IF(D722&gt;0,VLOOKUP(D722,Программа!A$1:B$5100,2),IF(F722&gt;0,VLOOKUP(F722,КВР!A$1:B$5001,2),IF(E722&gt;0,VLOOKUP(E722,Направление!A$1:B$4830,2))))))</f>
        <v>Резервные фонды местных администраций</v>
      </c>
      <c r="B722" s="154"/>
      <c r="C722" s="149"/>
      <c r="D722" s="150"/>
      <c r="E722" s="149">
        <v>12900</v>
      </c>
      <c r="F722" s="151"/>
      <c r="G722" s="516">
        <v>75000</v>
      </c>
      <c r="H722" s="516">
        <f>H723</f>
        <v>85000</v>
      </c>
      <c r="I722" s="516">
        <f>I723</f>
        <v>160000</v>
      </c>
    </row>
    <row r="723" spans="1:9" s="178" customFormat="1" ht="31.5" x14ac:dyDescent="0.25">
      <c r="A723" s="153" t="str">
        <f>IF(B723&gt;0,VLOOKUP(B723,КВСР!A272:B1437,2),IF(C723&gt;0,VLOOKUP(C723,КФСР!A272:B1784,2),IF(D723&gt;0,VLOOKUP(D723,Программа!A$1:B$5100,2),IF(F723&gt;0,VLOOKUP(F723,КВР!A$1:B$5001,2),IF(E723&gt;0,VLOOKUP(E723,Направление!A$1:B$4830,2))))))</f>
        <v>Социальное обеспечение и иные выплаты населению</v>
      </c>
      <c r="B723" s="154"/>
      <c r="C723" s="149"/>
      <c r="D723" s="150"/>
      <c r="E723" s="149"/>
      <c r="F723" s="151">
        <v>300</v>
      </c>
      <c r="G723" s="516">
        <v>75000</v>
      </c>
      <c r="H723" s="158">
        <v>85000</v>
      </c>
      <c r="I723" s="157">
        <f t="shared" si="15"/>
        <v>160000</v>
      </c>
    </row>
    <row r="724" spans="1:9" s="166" customFormat="1" x14ac:dyDescent="0.25">
      <c r="A724" s="153" t="str">
        <f>IF(B724&gt;0,VLOOKUP(B724,КВСР!A303:B1468,2),IF(C724&gt;0,VLOOKUP(C724,КФСР!A303:B1815,2),IF(D724&gt;0,VLOOKUP(D724,Программа!A$1:B$5100,2),IF(F724&gt;0,VLOOKUP(F724,КВР!A$1:B$5001,2),IF(E724&gt;0,VLOOKUP(E724,Направление!A$1:B$4830,2))))))</f>
        <v>Охрана семьи и детства</v>
      </c>
      <c r="B724" s="154"/>
      <c r="C724" s="149">
        <v>1004</v>
      </c>
      <c r="D724" s="150"/>
      <c r="E724" s="149"/>
      <c r="F724" s="151"/>
      <c r="G724" s="606">
        <v>73171700</v>
      </c>
      <c r="H724" s="157">
        <f>H725</f>
        <v>69738530</v>
      </c>
      <c r="I724" s="157">
        <f t="shared" si="15"/>
        <v>142910230</v>
      </c>
    </row>
    <row r="725" spans="1:9" s="166" customFormat="1" ht="47.25" x14ac:dyDescent="0.25">
      <c r="A725" s="153" t="str">
        <f>IF(B725&gt;0,VLOOKUP(B725,КВСР!A304:B1469,2),IF(C725&gt;0,VLOOKUP(C725,КФСР!A304:B1816,2),IF(D725&gt;0,VLOOKUP(D725,Программа!A$1:B$5100,2),IF(F725&gt;0,VLOOKUP(F725,КВР!A$1:B$5001,2),IF(E725&gt;0,VLOOKUP(E725,Направление!A$1:B$4830,2))))))</f>
        <v>Муниципальная программа "Социальная поддержка населения Тутаевского муниципального района"</v>
      </c>
      <c r="B725" s="154"/>
      <c r="C725" s="149"/>
      <c r="D725" s="150" t="s">
        <v>693</v>
      </c>
      <c r="E725" s="149"/>
      <c r="F725" s="151"/>
      <c r="G725" s="606">
        <v>73171700</v>
      </c>
      <c r="H725" s="157">
        <f>H726</f>
        <v>69738530</v>
      </c>
      <c r="I725" s="157">
        <f t="shared" si="15"/>
        <v>142910230</v>
      </c>
    </row>
    <row r="726" spans="1:9" s="166" customFormat="1" ht="47.25" x14ac:dyDescent="0.25">
      <c r="A726" s="153" t="str">
        <f>IF(B726&gt;0,VLOOKUP(B726,КВСР!A305:B1470,2),IF(C726&gt;0,VLOOKUP(C726,КФСР!A305:B1817,2),IF(D726&gt;0,VLOOKUP(D726,Программа!A$1:B$5100,2),IF(F726&gt;0,VLOOKUP(F726,КВР!A$1:B$5001,2),IF(E726&gt;0,VLOOKUP(E726,Направление!A$1:B$4830,2))))))</f>
        <v xml:space="preserve">Ведомственная целевая программа «Социальная поддержка населения Тутаевского муниципального района» </v>
      </c>
      <c r="B726" s="154"/>
      <c r="C726" s="149"/>
      <c r="D726" s="150" t="s">
        <v>766</v>
      </c>
      <c r="E726" s="149"/>
      <c r="F726" s="151"/>
      <c r="G726" s="606">
        <v>73171700</v>
      </c>
      <c r="H726" s="157">
        <f>H727+H746</f>
        <v>69738530</v>
      </c>
      <c r="I726" s="157">
        <f t="shared" si="15"/>
        <v>142910230</v>
      </c>
    </row>
    <row r="727" spans="1:9" s="166" customFormat="1" ht="47.25" x14ac:dyDescent="0.25">
      <c r="A727" s="153" t="str">
        <f>IF(B727&gt;0,VLOOKUP(B727,КВСР!A306:B1471,2),IF(C727&gt;0,VLOOKUP(C727,КФСР!A306:B1818,2),IF(D727&gt;0,VLOOKUP(D727,Программа!A$1:B$5100,2),IF(F727&gt;0,VLOOKUP(F727,КВР!A$1:B$5001,2),IF(E727&gt;0,VLOOKUP(E727,Направление!A$1:B$4830,2))))))</f>
        <v>Исполнение публичных обязательств по предоставлению выплат, пособий и компенсаций</v>
      </c>
      <c r="B727" s="154"/>
      <c r="C727" s="149"/>
      <c r="D727" s="174" t="s">
        <v>768</v>
      </c>
      <c r="E727" s="175"/>
      <c r="F727" s="151"/>
      <c r="G727" s="606">
        <v>73071700</v>
      </c>
      <c r="H727" s="606">
        <f>H732+H730+H738+H734+H743+H736+H741+H728</f>
        <v>69588233</v>
      </c>
      <c r="I727" s="157">
        <f t="shared" si="15"/>
        <v>142659933</v>
      </c>
    </row>
    <row r="728" spans="1:9" s="166" customFormat="1" ht="31.5" hidden="1" x14ac:dyDescent="0.25">
      <c r="A728" s="153" t="str">
        <f>IF(B728&gt;0,VLOOKUP(B728,КВСР!A307:B1472,2),IF(C728&gt;0,VLOOKUP(C728,КФСР!A307:B1819,2),IF(D728&gt;0,VLOOKUP(D728,Программа!A$1:B$5100,2),IF(F728&gt;0,VLOOKUP(F728,КВР!A$1:B$5001,2),IF(E728&gt;0,VLOOKUP(E728,Направление!A$1:B$4830,2))))))</f>
        <v>Оказание адресной материальной помощи</v>
      </c>
      <c r="B728" s="154"/>
      <c r="C728" s="149"/>
      <c r="D728" s="174"/>
      <c r="E728" s="175">
        <v>16220</v>
      </c>
      <c r="F728" s="151"/>
      <c r="G728" s="606">
        <v>0</v>
      </c>
      <c r="H728" s="606">
        <f>H729</f>
        <v>0</v>
      </c>
      <c r="I728" s="157">
        <f t="shared" si="15"/>
        <v>0</v>
      </c>
    </row>
    <row r="729" spans="1:9" s="166" customFormat="1" ht="31.5" hidden="1" x14ac:dyDescent="0.25">
      <c r="A729" s="153" t="str">
        <f>IF(B729&gt;0,VLOOKUP(B729,КВСР!A308:B1473,2),IF(C729&gt;0,VLOOKUP(C729,КФСР!A308:B1820,2),IF(D729&gt;0,VLOOKUP(D729,Программа!A$1:B$5100,2),IF(F729&gt;0,VLOOKUP(F729,КВР!A$1:B$5001,2),IF(E729&gt;0,VLOOKUP(E729,Направление!A$1:B$4830,2))))))</f>
        <v>Социальное обеспечение и иные выплаты населению</v>
      </c>
      <c r="B729" s="154"/>
      <c r="C729" s="149"/>
      <c r="D729" s="174"/>
      <c r="E729" s="175"/>
      <c r="F729" s="151">
        <v>300</v>
      </c>
      <c r="G729" s="606">
        <v>0</v>
      </c>
      <c r="H729" s="606"/>
      <c r="I729" s="157">
        <f t="shared" si="15"/>
        <v>0</v>
      </c>
    </row>
    <row r="730" spans="1:9" s="166" customFormat="1" ht="78.75" hidden="1" x14ac:dyDescent="0.25">
      <c r="A730" s="153" t="str">
        <f>IF(B730&gt;0,VLOOKUP(B730,КВСР!A308:B1473,2),IF(C730&gt;0,VLOOKUP(C730,КФСР!A308:B1820,2),IF(D730&gt;0,VLOOKUP(D730,Программа!A$1:B$5100,2),IF(F730&gt;0,VLOOKUP(F730,КВР!A$1:B$5001,2),IF(E730&gt;0,VLOOKUP(E730,Направление!A$1:B$4830,2))))))</f>
        <v>Ежемесячная денежная выплата, назначаемая в случае рождения третьего ребенка или последующих детей до достижения ребенком возраста трех лет</v>
      </c>
      <c r="B730" s="154"/>
      <c r="C730" s="149"/>
      <c r="D730" s="174"/>
      <c r="E730" s="175">
        <v>50840</v>
      </c>
      <c r="F730" s="151"/>
      <c r="G730" s="606">
        <v>0</v>
      </c>
      <c r="H730" s="157">
        <f>H731</f>
        <v>0</v>
      </c>
      <c r="I730" s="157">
        <f t="shared" si="15"/>
        <v>0</v>
      </c>
    </row>
    <row r="731" spans="1:9" s="166" customFormat="1" ht="31.5" hidden="1" x14ac:dyDescent="0.25">
      <c r="A731" s="153" t="str">
        <f>IF(B731&gt;0,VLOOKUP(B731,КВСР!A309:B1474,2),IF(C731&gt;0,VLOOKUP(C731,КФСР!A309:B1821,2),IF(D731&gt;0,VLOOKUP(D731,Программа!A$1:B$5100,2),IF(F731&gt;0,VLOOKUP(F731,КВР!A$1:B$5001,2),IF(E731&gt;0,VLOOKUP(E731,Направление!A$1:B$4830,2))))))</f>
        <v>Социальное обеспечение и иные выплаты населению</v>
      </c>
      <c r="B731" s="154"/>
      <c r="C731" s="149"/>
      <c r="D731" s="177"/>
      <c r="E731" s="175"/>
      <c r="F731" s="151">
        <v>300</v>
      </c>
      <c r="G731" s="516">
        <v>0</v>
      </c>
      <c r="H731" s="158"/>
      <c r="I731" s="157">
        <f t="shared" si="15"/>
        <v>0</v>
      </c>
    </row>
    <row r="732" spans="1:9" s="166" customFormat="1" ht="126" x14ac:dyDescent="0.25">
      <c r="A732" s="153" t="str">
        <f>IF(B732&gt;0,VLOOKUP(B732,КВСР!A308:B1473,2),IF(C732&gt;0,VLOOKUP(C732,КФСР!A308:B1820,2),IF(D732&gt;0,VLOOKUP(D732,Программа!A$1:B$5100,2),IF(F732&gt;0,VLOOKUP(F732,КВР!A$1:B$5001,2),IF(E732&gt;0,VLOOKUP(E732,Направление!A$1:B$4830,2))))))</f>
        <v>Расходы на выплату единовременного пособия беременной жене военнослужащего, проходящего военную службу по призыву, а также ежемесячного пособия на ребенка военнослужащего, проходящего военную службу по призыву, за счет средств федерального бюджета</v>
      </c>
      <c r="B732" s="154"/>
      <c r="C732" s="149"/>
      <c r="D732" s="174"/>
      <c r="E732" s="175">
        <v>52700</v>
      </c>
      <c r="F732" s="151"/>
      <c r="G732" s="606">
        <v>397700</v>
      </c>
      <c r="H732" s="157">
        <f>H733</f>
        <v>171541</v>
      </c>
      <c r="I732" s="157">
        <f t="shared" si="15"/>
        <v>569241</v>
      </c>
    </row>
    <row r="733" spans="1:9" s="166" customFormat="1" ht="31.5" x14ac:dyDescent="0.25">
      <c r="A733" s="153" t="str">
        <f>IF(B733&gt;0,VLOOKUP(B733,КВСР!A309:B1474,2),IF(C733&gt;0,VLOOKUP(C733,КФСР!A309:B1821,2),IF(D733&gt;0,VLOOKUP(D733,Программа!A$1:B$5100,2),IF(F733&gt;0,VLOOKUP(F733,КВР!A$1:B$5001,2),IF(E733&gt;0,VLOOKUP(E733,Направление!A$1:B$4830,2))))))</f>
        <v>Социальное обеспечение и иные выплаты населению</v>
      </c>
      <c r="B733" s="154"/>
      <c r="C733" s="149"/>
      <c r="D733" s="177"/>
      <c r="E733" s="175"/>
      <c r="F733" s="151">
        <v>300</v>
      </c>
      <c r="G733" s="516">
        <v>397700</v>
      </c>
      <c r="H733" s="158">
        <v>171541</v>
      </c>
      <c r="I733" s="157">
        <f t="shared" si="15"/>
        <v>569241</v>
      </c>
    </row>
    <row r="734" spans="1:9" s="166" customFormat="1" ht="110.25" x14ac:dyDescent="0.25">
      <c r="A734" s="153" t="str">
        <f>IF(B734&gt;0,VLOOKUP(B734,КВСР!A310:B1475,2),IF(C734&gt;0,VLOOKUP(C734,КФСР!A310:B1822,2),IF(D734&gt;0,VLOOKUP(D734,Программа!A$1:B$5100,2),IF(F734&gt;0,VLOOKUP(F734,КВР!A$1:B$5001,2),IF(E734&gt;0,VLOOKUP(E734,Направление!A$1:B$4830,2))))))</f>
        <v>Расходы на выплату пособий по уходу за ребенком до достижения им возраста полутора лет гражданам, не подлежащим обязательному социальному страхованию на случай временной нетрудоспособности и в связи с материнством</v>
      </c>
      <c r="B734" s="154"/>
      <c r="C734" s="149"/>
      <c r="D734" s="177"/>
      <c r="E734" s="175">
        <v>53810</v>
      </c>
      <c r="F734" s="151"/>
      <c r="G734" s="606">
        <v>19290000</v>
      </c>
      <c r="H734" s="487">
        <f>H735</f>
        <v>16389109</v>
      </c>
      <c r="I734" s="157">
        <f t="shared" si="15"/>
        <v>35679109</v>
      </c>
    </row>
    <row r="735" spans="1:9" s="166" customFormat="1" ht="31.5" x14ac:dyDescent="0.25">
      <c r="A735" s="153" t="str">
        <f>IF(B735&gt;0,VLOOKUP(B735,КВСР!A311:B1476,2),IF(C735&gt;0,VLOOKUP(C735,КФСР!A311:B1823,2),IF(D735&gt;0,VLOOKUP(D735,Программа!A$1:B$5100,2),IF(F735&gt;0,VLOOKUP(F735,КВР!A$1:B$5001,2),IF(E735&gt;0,VLOOKUP(E735,Направление!A$1:B$4830,2))))))</f>
        <v>Социальное обеспечение и иные выплаты населению</v>
      </c>
      <c r="B735" s="154"/>
      <c r="C735" s="149"/>
      <c r="D735" s="177"/>
      <c r="E735" s="175"/>
      <c r="F735" s="151">
        <v>300</v>
      </c>
      <c r="G735" s="516">
        <v>19290000</v>
      </c>
      <c r="H735" s="158">
        <v>16389109</v>
      </c>
      <c r="I735" s="157">
        <f t="shared" si="15"/>
        <v>35679109</v>
      </c>
    </row>
    <row r="736" spans="1:9" s="166" customFormat="1" ht="94.5" x14ac:dyDescent="0.25">
      <c r="A736" s="153" t="str">
        <f>IF(B736&gt;0,VLOOKUP(B736,КВСР!A312:B1477,2),IF(C736&gt;0,VLOOKUP(C736,КФСР!A312:B1824,2),IF(D736&gt;0,VLOOKUP(D736,Программа!A$1:B$5100,2),IF(F736&gt;0,VLOOKUP(F736,КВР!A$1:B$5001,2),IF(E736&gt;0,VLOOKUP(E736,Направление!A$1:B$4830,2))))))</f>
        <v>Расходы на выплаты пособий при рождении ребенка гражданам, не подлежащим обязательному социальному страхованию на случай временной нетрудоспособности и в связи с материнством</v>
      </c>
      <c r="B736" s="154"/>
      <c r="C736" s="149"/>
      <c r="D736" s="177"/>
      <c r="E736" s="175">
        <v>53850</v>
      </c>
      <c r="F736" s="151"/>
      <c r="G736" s="606">
        <v>2052000</v>
      </c>
      <c r="H736" s="487">
        <f>H737</f>
        <v>1865982</v>
      </c>
      <c r="I736" s="157">
        <f t="shared" si="15"/>
        <v>3917982</v>
      </c>
    </row>
    <row r="737" spans="1:9" s="166" customFormat="1" ht="31.5" x14ac:dyDescent="0.25">
      <c r="A737" s="153" t="str">
        <f>IF(B737&gt;0,VLOOKUP(B737,КВСР!A313:B1478,2),IF(C737&gt;0,VLOOKUP(C737,КФСР!A313:B1825,2),IF(D737&gt;0,VLOOKUP(D737,Программа!A$1:B$5100,2),IF(F737&gt;0,VLOOKUP(F737,КВР!A$1:B$5001,2),IF(E737&gt;0,VLOOKUP(E737,Направление!A$1:B$4830,2))))))</f>
        <v>Социальное обеспечение и иные выплаты населению</v>
      </c>
      <c r="B737" s="154"/>
      <c r="C737" s="149"/>
      <c r="D737" s="177"/>
      <c r="E737" s="175"/>
      <c r="F737" s="151">
        <v>300</v>
      </c>
      <c r="G737" s="516">
        <v>2052000</v>
      </c>
      <c r="H737" s="158">
        <v>1865982</v>
      </c>
      <c r="I737" s="157">
        <f t="shared" si="15"/>
        <v>3917982</v>
      </c>
    </row>
    <row r="738" spans="1:9" s="166" customFormat="1" ht="94.5" x14ac:dyDescent="0.25">
      <c r="A738" s="153" t="str">
        <f>IF(B738&gt;0,VLOOKUP(B738,КВСР!A310:B1475,2),IF(C738&gt;0,VLOOKUP(C738,КФСР!A310:B1822,2),IF(D738&gt;0,VLOOKUP(D738,Программа!A$1:B$5100,2),IF(F738&gt;0,VLOOKUP(F738,КВР!A$1:B$5001,2),IF(E738&gt;0,VLOOKUP(E738,Направление!A$1:B$4830,2))))))</f>
        <v>Субвенция на осуществление переданных полномочий РФ по назначению и осуществлению ежемесячной выплаты в связи с рождением (усыновлением) первого ребенка</v>
      </c>
      <c r="B738" s="154"/>
      <c r="C738" s="149"/>
      <c r="D738" s="174"/>
      <c r="E738" s="175">
        <v>55730</v>
      </c>
      <c r="F738" s="151"/>
      <c r="G738" s="606">
        <v>7400000</v>
      </c>
      <c r="H738" s="157">
        <f>H739+H740</f>
        <v>6807035</v>
      </c>
      <c r="I738" s="157">
        <f t="shared" si="15"/>
        <v>14207035</v>
      </c>
    </row>
    <row r="739" spans="1:9" s="166" customFormat="1" ht="63" hidden="1" x14ac:dyDescent="0.25">
      <c r="A739" s="153" t="str">
        <f>IF(B739&gt;0,VLOOKUP(B739,КВСР!A311:B1476,2),IF(C739&gt;0,VLOOKUP(C739,КФСР!A311:B1823,2),IF(D739&gt;0,VLOOKUP(D739,Программа!A$1:B$5100,2),IF(F739&gt;0,VLOOKUP(F739,КВР!A$1:B$5001,2),IF(E739&gt;0,VLOOKUP(E739,Направление!A$1:B$4830,2))))))</f>
        <v xml:space="preserve">Закупка товаров, работ и услуг для обеспечения государственных (муниципальных) нужд
</v>
      </c>
      <c r="B739" s="154"/>
      <c r="C739" s="149"/>
      <c r="D739" s="177"/>
      <c r="E739" s="175"/>
      <c r="F739" s="151">
        <v>200</v>
      </c>
      <c r="G739" s="516">
        <v>0</v>
      </c>
      <c r="H739" s="158"/>
      <c r="I739" s="157">
        <f t="shared" si="15"/>
        <v>0</v>
      </c>
    </row>
    <row r="740" spans="1:9" s="166" customFormat="1" ht="31.5" x14ac:dyDescent="0.25">
      <c r="A740" s="153" t="str">
        <f>IF(B740&gt;0,VLOOKUP(B740,КВСР!A312:B1477,2),IF(C740&gt;0,VLOOKUP(C740,КФСР!A312:B1824,2),IF(D740&gt;0,VLOOKUP(D740,Программа!A$1:B$5100,2),IF(F740&gt;0,VLOOKUP(F740,КВР!A$1:B$5001,2),IF(E740&gt;0,VLOOKUP(E740,Направление!A$1:B$4830,2))))))</f>
        <v>Социальное обеспечение и иные выплаты населению</v>
      </c>
      <c r="B740" s="154"/>
      <c r="C740" s="149"/>
      <c r="D740" s="177"/>
      <c r="E740" s="175"/>
      <c r="F740" s="151">
        <v>300</v>
      </c>
      <c r="G740" s="516">
        <v>7400000</v>
      </c>
      <c r="H740" s="158">
        <v>6807035</v>
      </c>
      <c r="I740" s="157">
        <f t="shared" si="15"/>
        <v>14207035</v>
      </c>
    </row>
    <row r="741" spans="1:9" s="166" customFormat="1" ht="94.5" x14ac:dyDescent="0.25">
      <c r="A741" s="153" t="str">
        <f>IF(B741&gt;0,VLOOKUP(B741,КВСР!A313:B1478,2),IF(C741&gt;0,VLOOKUP(C741,КФСР!A313:B1825,2),IF(D741&gt;0,VLOOKUP(D741,Программа!A$1:B$5100,2),IF(F741&gt;0,VLOOKUP(F741,КВР!A$1:B$5001,2),IF(E741&gt;0,VLOOKUP(E741,Направление!A$1:B$4830,2))))))</f>
        <v>Ежемесячная денежная выплата, назначаемая в случае рождения третьего ребенка или последующих детей до достижения ребенком возраста трех лет, в части расходов по доставке выплат получателям</v>
      </c>
      <c r="B741" s="154"/>
      <c r="C741" s="149"/>
      <c r="D741" s="177"/>
      <c r="E741" s="149">
        <v>75480</v>
      </c>
      <c r="F741" s="151"/>
      <c r="G741" s="516">
        <v>714000</v>
      </c>
      <c r="H741" s="516">
        <f>H742</f>
        <v>651116</v>
      </c>
      <c r="I741" s="157">
        <f t="shared" si="15"/>
        <v>1365116</v>
      </c>
    </row>
    <row r="742" spans="1:9" s="166" customFormat="1" ht="63" x14ac:dyDescent="0.25">
      <c r="A742" s="153" t="str">
        <f>IF(B742&gt;0,VLOOKUP(B742,КВСР!A314:B1479,2),IF(C742&gt;0,VLOOKUP(C742,КФСР!A314:B1826,2),IF(D742&gt;0,VLOOKUP(D742,Программа!A$1:B$5100,2),IF(F742&gt;0,VLOOKUP(F742,КВР!A$1:B$5001,2),IF(E742&gt;0,VLOOKUP(E742,Направление!A$1:B$4830,2))))))</f>
        <v xml:space="preserve">Закупка товаров, работ и услуг для обеспечения государственных (муниципальных) нужд
</v>
      </c>
      <c r="B742" s="154"/>
      <c r="C742" s="149"/>
      <c r="D742" s="177"/>
      <c r="E742" s="175"/>
      <c r="F742" s="151">
        <v>200</v>
      </c>
      <c r="G742" s="516">
        <v>714000</v>
      </c>
      <c r="H742" s="158">
        <v>651116</v>
      </c>
      <c r="I742" s="157">
        <f t="shared" si="15"/>
        <v>1365116</v>
      </c>
    </row>
    <row r="743" spans="1:9" s="166" customFormat="1" ht="94.5" x14ac:dyDescent="0.25">
      <c r="A743" s="153" t="str">
        <f>IF(B743&gt;0,VLOOKUP(B743,КВСР!A313:B1478,2),IF(C743&gt;0,VLOOKUP(C743,КФСР!A313:B1825,2),IF(D743&gt;0,VLOOKUP(D743,Программа!A$1:B$5100,2),IF(F743&gt;0,VLOOKUP(F743,КВР!A$1:B$5001,2),IF(E743&gt;0,VLOOKUP(E743,Направление!A$1:B$4830,2))))))</f>
        <v>Ежемесячная денежная выплата, назначаемая в случае рождения третьего ребенка или последующих детей до достижения ребенком возраста трех лет, за счет средств областного бюджета</v>
      </c>
      <c r="B743" s="154"/>
      <c r="C743" s="149"/>
      <c r="D743" s="151"/>
      <c r="E743" s="149" t="s">
        <v>2910</v>
      </c>
      <c r="F743" s="151"/>
      <c r="G743" s="606">
        <v>43218000</v>
      </c>
      <c r="H743" s="487">
        <f>H744+H745</f>
        <v>43703450</v>
      </c>
      <c r="I743" s="157">
        <f t="shared" si="15"/>
        <v>86921450</v>
      </c>
    </row>
    <row r="744" spans="1:9" s="166" customFormat="1" ht="63" hidden="1" x14ac:dyDescent="0.25">
      <c r="A744" s="153" t="str">
        <f>IF(B744&gt;0,VLOOKUP(B744,КВСР!A314:B1479,2),IF(C744&gt;0,VLOOKUP(C744,КФСР!A314:B1826,2),IF(D744&gt;0,VLOOKUP(D744,Программа!A$1:B$5100,2),IF(F744&gt;0,VLOOKUP(F744,КВР!A$1:B$5001,2),IF(E744&gt;0,VLOOKUP(E744,Направление!A$1:B$4830,2))))))</f>
        <v xml:space="preserve">Закупка товаров, работ и услуг для обеспечения государственных (муниципальных) нужд
</v>
      </c>
      <c r="B744" s="154"/>
      <c r="C744" s="149"/>
      <c r="D744" s="177"/>
      <c r="E744" s="175"/>
      <c r="F744" s="151">
        <v>200</v>
      </c>
      <c r="G744" s="516">
        <v>0</v>
      </c>
      <c r="H744" s="158"/>
      <c r="I744" s="157">
        <f t="shared" si="15"/>
        <v>0</v>
      </c>
    </row>
    <row r="745" spans="1:9" s="166" customFormat="1" ht="31.5" x14ac:dyDescent="0.25">
      <c r="A745" s="153" t="str">
        <f>IF(B745&gt;0,VLOOKUP(B745,КВСР!A315:B1480,2),IF(C745&gt;0,VLOOKUP(C745,КФСР!A315:B1827,2),IF(D745&gt;0,VLOOKUP(D745,Программа!A$1:B$5100,2),IF(F745&gt;0,VLOOKUP(F745,КВР!A$1:B$5001,2),IF(E745&gt;0,VLOOKUP(E745,Направление!A$1:B$4830,2))))))</f>
        <v>Социальное обеспечение и иные выплаты населению</v>
      </c>
      <c r="B745" s="154"/>
      <c r="C745" s="149"/>
      <c r="D745" s="177"/>
      <c r="E745" s="175"/>
      <c r="F745" s="151">
        <v>300</v>
      </c>
      <c r="G745" s="516">
        <v>43218000</v>
      </c>
      <c r="H745" s="158">
        <v>43703450</v>
      </c>
      <c r="I745" s="157">
        <f t="shared" si="15"/>
        <v>86921450</v>
      </c>
    </row>
    <row r="746" spans="1:9" s="166" customFormat="1" ht="63" x14ac:dyDescent="0.25">
      <c r="A746" s="153" t="str">
        <f>IF(B746&gt;0,VLOOKUP(B746,КВСР!A308:B1473,2),IF(C746&gt;0,VLOOKUP(C746,КФСР!A308:B1820,2),IF(D746&gt;0,VLOOKUP(D746,Программа!A$1:B$5100,2),IF(F746&gt;0,VLOOKUP(F746,КВР!A$1:B$5001,2),IF(E746&gt;0,VLOOKUP(E746,Направление!A$1:B$4830,2))))))</f>
        <v>Социальная защита семей с детьми, инвалидов, ветеранов, граждан и детей, оказавшихся в трудной жизненной ситуации</v>
      </c>
      <c r="B746" s="154"/>
      <c r="C746" s="149"/>
      <c r="D746" s="174" t="s">
        <v>786</v>
      </c>
      <c r="E746" s="175"/>
      <c r="F746" s="151"/>
      <c r="G746" s="500">
        <v>100000</v>
      </c>
      <c r="H746" s="155">
        <f>H747+H749</f>
        <v>150297</v>
      </c>
      <c r="I746" s="157">
        <f t="shared" si="15"/>
        <v>250297</v>
      </c>
    </row>
    <row r="747" spans="1:9" s="166" customFormat="1" ht="31.5" x14ac:dyDescent="0.25">
      <c r="A747" s="153" t="str">
        <f>IF(B747&gt;0,VLOOKUP(B747,КВСР!A309:B1474,2),IF(C747&gt;0,VLOOKUP(C747,КФСР!A309:B1821,2),IF(D747&gt;0,VLOOKUP(D747,Программа!A$1:B$5100,2),IF(F747&gt;0,VLOOKUP(F747,КВР!A$1:B$5001,2),IF(E747&gt;0,VLOOKUP(E747,Направление!A$1:B$4830,2))))))</f>
        <v>Оказание адресной материальной помощи</v>
      </c>
      <c r="B747" s="154"/>
      <c r="C747" s="149"/>
      <c r="D747" s="174"/>
      <c r="E747" s="175">
        <v>16220</v>
      </c>
      <c r="F747" s="151"/>
      <c r="G747" s="500">
        <v>100000</v>
      </c>
      <c r="H747" s="155">
        <f>H748</f>
        <v>150297</v>
      </c>
      <c r="I747" s="157">
        <f t="shared" si="15"/>
        <v>250297</v>
      </c>
    </row>
    <row r="748" spans="1:9" s="166" customFormat="1" ht="31.5" x14ac:dyDescent="0.25">
      <c r="A748" s="153" t="str">
        <f>IF(B748&gt;0,VLOOKUP(B748,КВСР!A310:B1475,2),IF(C748&gt;0,VLOOKUP(C748,КФСР!A310:B1822,2),IF(D748&gt;0,VLOOKUP(D748,Программа!A$1:B$5100,2),IF(F748&gt;0,VLOOKUP(F748,КВР!A$1:B$5001,2),IF(E748&gt;0,VLOOKUP(E748,Направление!A$1:B$4830,2))))))</f>
        <v>Социальное обеспечение и иные выплаты населению</v>
      </c>
      <c r="B748" s="154"/>
      <c r="C748" s="149"/>
      <c r="D748" s="177"/>
      <c r="E748" s="175"/>
      <c r="F748" s="151">
        <v>300</v>
      </c>
      <c r="G748" s="498">
        <v>100000</v>
      </c>
      <c r="H748" s="156">
        <v>150297</v>
      </c>
      <c r="I748" s="157">
        <f t="shared" si="15"/>
        <v>250297</v>
      </c>
    </row>
    <row r="749" spans="1:9" s="166" customFormat="1" ht="63" hidden="1" x14ac:dyDescent="0.25">
      <c r="A749" s="153" t="str">
        <f>IF(B749&gt;0,VLOOKUP(B749,КВСР!A311:B1476,2),IF(C749&gt;0,VLOOKUP(C749,КФСР!A311:B1823,2),IF(D749&gt;0,VLOOKUP(D749,Программа!A$1:B$5100,2),IF(F749&gt;0,VLOOKUP(F749,КВР!A$1:B$5001,2),IF(E749&gt;0,VLOOKUP(E749,Направление!A$1:B$4830,2))))))</f>
        <v>Расходы на укрепление института семьи, повышение качества жизни семей с несовершеннолетними детьми за счет средств областного бюджета</v>
      </c>
      <c r="B749" s="154"/>
      <c r="C749" s="149"/>
      <c r="D749" s="151"/>
      <c r="E749" s="149">
        <v>70970</v>
      </c>
      <c r="F749" s="151"/>
      <c r="G749" s="500">
        <v>0</v>
      </c>
      <c r="H749" s="155">
        <f>H750</f>
        <v>0</v>
      </c>
      <c r="I749" s="157">
        <f t="shared" si="15"/>
        <v>0</v>
      </c>
    </row>
    <row r="750" spans="1:9" s="166" customFormat="1" ht="63" hidden="1" x14ac:dyDescent="0.25">
      <c r="A750" s="153" t="str">
        <f>IF(B750&gt;0,VLOOKUP(B750,КВСР!A312:B1477,2),IF(C750&gt;0,VLOOKUP(C750,КФСР!A312:B1824,2),IF(D750&gt;0,VLOOKUP(D750,Программа!A$1:B$5100,2),IF(F750&gt;0,VLOOKUP(F750,КВР!A$1:B$5001,2),IF(E750&gt;0,VLOOKUP(E750,Направление!A$1:B$4830,2))))))</f>
        <v xml:space="preserve">Закупка товаров, работ и услуг для обеспечения государственных (муниципальных) нужд
</v>
      </c>
      <c r="B750" s="154"/>
      <c r="C750" s="149"/>
      <c r="D750" s="151"/>
      <c r="E750" s="149"/>
      <c r="F750" s="151">
        <v>200</v>
      </c>
      <c r="G750" s="498">
        <v>0</v>
      </c>
      <c r="H750" s="156"/>
      <c r="I750" s="157">
        <f t="shared" si="15"/>
        <v>0</v>
      </c>
    </row>
    <row r="751" spans="1:9" s="166" customFormat="1" ht="31.5" x14ac:dyDescent="0.25">
      <c r="A751" s="153" t="str">
        <f>IF(B751&gt;0,VLOOKUP(B751,КВСР!A308:B1473,2),IF(C751&gt;0,VLOOKUP(C751,КФСР!A308:B1820,2),IF(D751&gt;0,VLOOKUP(D751,Программа!A$1:B$5100,2),IF(F751&gt;0,VLOOKUP(F751,КВР!A$1:B$5001,2),IF(E751&gt;0,VLOOKUP(E751,Направление!A$1:B$4830,2))))))</f>
        <v>Другие вопросы в области социальной политики</v>
      </c>
      <c r="B751" s="154"/>
      <c r="C751" s="149">
        <v>1006</v>
      </c>
      <c r="D751" s="150"/>
      <c r="E751" s="149"/>
      <c r="F751" s="151"/>
      <c r="G751" s="606">
        <v>15510542</v>
      </c>
      <c r="H751" s="606">
        <f>H757+H752+H773+H777</f>
        <v>15441264</v>
      </c>
      <c r="I751" s="157">
        <f t="shared" si="15"/>
        <v>30951806</v>
      </c>
    </row>
    <row r="752" spans="1:9" s="166" customFormat="1" ht="63" hidden="1" x14ac:dyDescent="0.25">
      <c r="A752" s="153" t="str">
        <f>IF(B752&gt;0,VLOOKUP(B752,КВСР!A309:B1474,2),IF(C752&gt;0,VLOOKUP(C752,КФСР!A309:B1821,2),IF(D752&gt;0,VLOOKUP(D752,Программа!A$1:B$5100,2),IF(F752&gt;0,VLOOKUP(F752,КВР!A$1:B$5001,2),IF(E752&gt;0,VLOOKUP(E752,Направление!A$1:B$4830,2))))))</f>
        <v>Муниципальная программа "Развитие образования, физической культуры и спорта в Тутаевском муниципальном районе"</v>
      </c>
      <c r="B752" s="154"/>
      <c r="C752" s="149"/>
      <c r="D752" s="150" t="s">
        <v>684</v>
      </c>
      <c r="E752" s="149"/>
      <c r="F752" s="151"/>
      <c r="G752" s="606">
        <v>0</v>
      </c>
      <c r="H752" s="157">
        <f>H753</f>
        <v>0</v>
      </c>
      <c r="I752" s="157">
        <f t="shared" si="15"/>
        <v>0</v>
      </c>
    </row>
    <row r="753" spans="1:9" s="166" customFormat="1" ht="63" hidden="1" x14ac:dyDescent="0.25">
      <c r="A753" s="153" t="str">
        <f>IF(B753&gt;0,VLOOKUP(B753,КВСР!A310:B1475,2),IF(C753&gt;0,VLOOKUP(C753,КФСР!A310:B1822,2),IF(D753&gt;0,VLOOKUP(D753,Программа!A$1:B$5100,2),IF(F753&gt;0,VLOOKUP(F753,КВР!A$1:B$5001,2),IF(E753&gt;0,VLOOKUP(E753,Направление!A$1:B$4830,2))))))</f>
        <v>Муниципальная целевая программа "Духовно-нравственное воспитание и просвещение населения Тутаевского муниципального района"</v>
      </c>
      <c r="B753" s="154"/>
      <c r="C753" s="149"/>
      <c r="D753" s="150" t="s">
        <v>738</v>
      </c>
      <c r="E753" s="149"/>
      <c r="F753" s="151"/>
      <c r="G753" s="606">
        <v>0</v>
      </c>
      <c r="H753" s="157">
        <f>H754</f>
        <v>0</v>
      </c>
      <c r="I753" s="157">
        <f t="shared" si="15"/>
        <v>0</v>
      </c>
    </row>
    <row r="754" spans="1:9" s="166" customFormat="1" ht="63" hidden="1" x14ac:dyDescent="0.25">
      <c r="A754" s="153" t="str">
        <f>IF(B754&gt;0,VLOOKUP(B754,КВСР!A311:B1476,2),IF(C754&gt;0,VLOOKUP(C754,КФСР!A311:B1823,2),IF(D754&gt;0,VLOOKUP(D754,Программа!A$1:B$5100,2),IF(F754&gt;0,VLOOKUP(F754,КВР!A$1:B$5001,2),IF(E754&gt;0,VLOOKUP(E754,Направление!A$1:B$4830,2))))))</f>
        <v>Реализация мер по созданию целостной системы духовно-нравственного воспитания и просвещения населения</v>
      </c>
      <c r="B754" s="154"/>
      <c r="C754" s="149"/>
      <c r="D754" s="150" t="s">
        <v>740</v>
      </c>
      <c r="E754" s="149"/>
      <c r="F754" s="151"/>
      <c r="G754" s="606">
        <v>0</v>
      </c>
      <c r="H754" s="157">
        <f>H755</f>
        <v>0</v>
      </c>
      <c r="I754" s="157">
        <f t="shared" si="15"/>
        <v>0</v>
      </c>
    </row>
    <row r="755" spans="1:9" s="166" customFormat="1" ht="47.25" hidden="1" x14ac:dyDescent="0.25">
      <c r="A755" s="153" t="str">
        <f>IF(B755&gt;0,VLOOKUP(B755,КВСР!A312:B1477,2),IF(C755&gt;0,VLOOKUP(C755,КФСР!A312:B1824,2),IF(D755&gt;0,VLOOKUP(D755,Программа!A$1:B$5100,2),IF(F755&gt;0,VLOOKUP(F755,КВР!A$1:B$5001,2),IF(E755&gt;0,VLOOKUP(E755,Направление!A$1:B$4830,2))))))</f>
        <v>Расходы на реализацию МЦП "Духовно - нравственное воспитание и просвещение населения ТМР"</v>
      </c>
      <c r="B755" s="154"/>
      <c r="C755" s="149"/>
      <c r="D755" s="150"/>
      <c r="E755" s="149">
        <v>13810</v>
      </c>
      <c r="F755" s="151"/>
      <c r="G755" s="606">
        <v>0</v>
      </c>
      <c r="H755" s="157">
        <f>H756</f>
        <v>0</v>
      </c>
      <c r="I755" s="157">
        <f t="shared" si="15"/>
        <v>0</v>
      </c>
    </row>
    <row r="756" spans="1:9" s="166" customFormat="1" ht="63" hidden="1" x14ac:dyDescent="0.25">
      <c r="A756" s="153" t="str">
        <f>IF(B756&gt;0,VLOOKUP(B756,КВСР!A313:B1478,2),IF(C756&gt;0,VLOOKUP(C756,КФСР!A313:B1825,2),IF(D756&gt;0,VLOOKUP(D756,Программа!A$1:B$5100,2),IF(F756&gt;0,VLOOKUP(F756,КВР!A$1:B$5001,2),IF(E756&gt;0,VLOOKUP(E756,Направление!A$1:B$4830,2))))))</f>
        <v xml:space="preserve">Закупка товаров, работ и услуг для обеспечения государственных (муниципальных) нужд
</v>
      </c>
      <c r="B756" s="154"/>
      <c r="C756" s="149"/>
      <c r="D756" s="150"/>
      <c r="E756" s="149"/>
      <c r="F756" s="151">
        <v>200</v>
      </c>
      <c r="G756" s="607">
        <v>0</v>
      </c>
      <c r="H756" s="159"/>
      <c r="I756" s="157">
        <f t="shared" si="15"/>
        <v>0</v>
      </c>
    </row>
    <row r="757" spans="1:9" s="166" customFormat="1" ht="47.25" x14ac:dyDescent="0.25">
      <c r="A757" s="153" t="str">
        <f>IF(B757&gt;0,VLOOKUP(B757,КВСР!A309:B1474,2),IF(C757&gt;0,VLOOKUP(C757,КФСР!A309:B1821,2),IF(D757&gt;0,VLOOKUP(D757,Программа!A$1:B$5100,2),IF(F757&gt;0,VLOOKUP(F757,КВР!A$1:B$5001,2),IF(E757&gt;0,VLOOKUP(E757,Направление!A$1:B$4830,2))))))</f>
        <v>Муниципальная программа "Социальная поддержка населения Тутаевского муниципального района"</v>
      </c>
      <c r="B757" s="154"/>
      <c r="C757" s="149"/>
      <c r="D757" s="150" t="s">
        <v>693</v>
      </c>
      <c r="E757" s="149"/>
      <c r="F757" s="151"/>
      <c r="G757" s="606">
        <v>15446911</v>
      </c>
      <c r="H757" s="157">
        <f>H758</f>
        <v>15383633</v>
      </c>
      <c r="I757" s="157">
        <f t="shared" si="15"/>
        <v>30830544</v>
      </c>
    </row>
    <row r="758" spans="1:9" s="166" customFormat="1" ht="47.25" x14ac:dyDescent="0.25">
      <c r="A758" s="153" t="str">
        <f>IF(B758&gt;0,VLOOKUP(B758,КВСР!A310:B1475,2),IF(C758&gt;0,VLOOKUP(C758,КФСР!A310:B1822,2),IF(D758&gt;0,VLOOKUP(D758,Программа!A$1:B$5100,2),IF(F758&gt;0,VLOOKUP(F758,КВР!A$1:B$5001,2),IF(E758&gt;0,VLOOKUP(E758,Направление!A$1:B$4830,2))))))</f>
        <v xml:space="preserve">Ведомственная целевая программа «Социальная поддержка населения Тутаевского муниципального района» </v>
      </c>
      <c r="B758" s="154"/>
      <c r="C758" s="149"/>
      <c r="D758" s="150" t="s">
        <v>766</v>
      </c>
      <c r="E758" s="149"/>
      <c r="F758" s="151"/>
      <c r="G758" s="606">
        <v>15446911</v>
      </c>
      <c r="H758" s="157">
        <f>H759+H770</f>
        <v>15383633</v>
      </c>
      <c r="I758" s="157">
        <f t="shared" si="15"/>
        <v>30830544</v>
      </c>
    </row>
    <row r="759" spans="1:9" s="166" customFormat="1" ht="47.25" x14ac:dyDescent="0.25">
      <c r="A759" s="153" t="str">
        <f>IF(B759&gt;0,VLOOKUP(B759,КВСР!A311:B1476,2),IF(C759&gt;0,VLOOKUP(C759,КФСР!A311:B1823,2),IF(D759&gt;0,VLOOKUP(D759,Программа!A$1:B$5100,2),IF(F759&gt;0,VLOOKUP(F759,КВР!A$1:B$5001,2),IF(E759&gt;0,VLOOKUP(E759,Направление!A$1:B$4830,2))))))</f>
        <v>Исполнение публичных обязательств по предоставлению выплат, пособий и компенсаций</v>
      </c>
      <c r="B759" s="154"/>
      <c r="C759" s="149"/>
      <c r="D759" s="150" t="s">
        <v>768</v>
      </c>
      <c r="E759" s="149"/>
      <c r="F759" s="151"/>
      <c r="G759" s="606">
        <v>15132041</v>
      </c>
      <c r="H759" s="157">
        <f>H760+H766+H764</f>
        <v>15158763</v>
      </c>
      <c r="I759" s="157">
        <f t="shared" si="15"/>
        <v>30290804</v>
      </c>
    </row>
    <row r="760" spans="1:9" s="166" customFormat="1" x14ac:dyDescent="0.25">
      <c r="A760" s="153" t="str">
        <f>IF(B760&gt;0,VLOOKUP(B760,КВСР!A312:B1477,2),IF(C760&gt;0,VLOOKUP(C760,КФСР!A312:B1824,2),IF(D760&gt;0,VLOOKUP(D760,Программа!A$1:B$5100,2),IF(F760&gt;0,VLOOKUP(F760,КВР!A$1:B$5001,2),IF(E760&gt;0,VLOOKUP(E760,Направление!A$1:B$4830,2))))))</f>
        <v>Содержание центрального аппарата</v>
      </c>
      <c r="B760" s="154"/>
      <c r="C760" s="149"/>
      <c r="D760" s="150"/>
      <c r="E760" s="149">
        <v>12010</v>
      </c>
      <c r="F760" s="151"/>
      <c r="G760" s="606">
        <v>357731</v>
      </c>
      <c r="H760" s="157">
        <f>H761+H763+H762</f>
        <v>384454</v>
      </c>
      <c r="I760" s="157">
        <f t="shared" si="15"/>
        <v>742185</v>
      </c>
    </row>
    <row r="761" spans="1:9" s="166" customFormat="1" ht="126" x14ac:dyDescent="0.25">
      <c r="A761" s="153" t="str">
        <f>IF(B761&gt;0,VLOOKUP(B761,КВСР!A312:B1477,2),IF(C761&gt;0,VLOOKUP(C761,КФСР!A312:B1824,2),IF(D761&gt;0,VLOOKUP(D761,Программа!A$1:B$5100,2),IF(F761&gt;0,VLOOKUP(F761,КВР!A$1:B$5001,2),IF(E761&gt;0,VLOOKUP(E761,Направление!A$1:B$4830,2))))))</f>
        <v xml:space="preserve">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
</v>
      </c>
      <c r="B761" s="154"/>
      <c r="C761" s="149"/>
      <c r="D761" s="151"/>
      <c r="E761" s="149"/>
      <c r="F761" s="151">
        <v>100</v>
      </c>
      <c r="G761" s="516">
        <v>347700</v>
      </c>
      <c r="H761" s="158">
        <v>347700</v>
      </c>
      <c r="I761" s="157">
        <f t="shared" si="15"/>
        <v>695400</v>
      </c>
    </row>
    <row r="762" spans="1:9" s="166" customFormat="1" ht="63" x14ac:dyDescent="0.25">
      <c r="A762" s="153" t="str">
        <f>IF(B762&gt;0,VLOOKUP(B762,КВСР!A313:B1478,2),IF(C762&gt;0,VLOOKUP(C762,КФСР!A313:B1825,2),IF(D762&gt;0,VLOOKUP(D762,Программа!A$1:B$5100,2),IF(F762&gt;0,VLOOKUP(F762,КВР!A$1:B$5001,2),IF(E762&gt;0,VLOOKUP(E762,Направление!A$1:B$4830,2))))))</f>
        <v xml:space="preserve">Закупка товаров, работ и услуг для обеспечения государственных (муниципальных) нужд
</v>
      </c>
      <c r="B762" s="154"/>
      <c r="C762" s="149"/>
      <c r="D762" s="151"/>
      <c r="E762" s="149"/>
      <c r="F762" s="151">
        <v>200</v>
      </c>
      <c r="G762" s="516">
        <v>7851</v>
      </c>
      <c r="H762" s="158">
        <v>34611</v>
      </c>
      <c r="I762" s="157">
        <f t="shared" si="15"/>
        <v>42462</v>
      </c>
    </row>
    <row r="763" spans="1:9" s="166" customFormat="1" x14ac:dyDescent="0.25">
      <c r="A763" s="153" t="str">
        <f>IF(B763&gt;0,VLOOKUP(B763,КВСР!A313:B1478,2),IF(C763&gt;0,VLOOKUP(C763,КФСР!A313:B1825,2),IF(D763&gt;0,VLOOKUP(D763,Программа!A$1:B$5100,2),IF(F763&gt;0,VLOOKUP(F763,КВР!A$1:B$5001,2),IF(E763&gt;0,VLOOKUP(E763,Направление!A$1:B$4830,2))))))</f>
        <v>Иные бюджетные ассигнования</v>
      </c>
      <c r="B763" s="154"/>
      <c r="C763" s="149"/>
      <c r="D763" s="151"/>
      <c r="E763" s="149"/>
      <c r="F763" s="151">
        <v>800</v>
      </c>
      <c r="G763" s="516">
        <v>2180</v>
      </c>
      <c r="H763" s="158">
        <v>2143</v>
      </c>
      <c r="I763" s="157">
        <f t="shared" si="15"/>
        <v>4323</v>
      </c>
    </row>
    <row r="764" spans="1:9" s="166" customFormat="1" ht="31.5" x14ac:dyDescent="0.25">
      <c r="A764" s="153" t="str">
        <f>IF(B764&gt;0,VLOOKUP(B764,КВСР!A314:B1479,2),IF(C764&gt;0,VLOOKUP(C764,КФСР!A314:B1826,2),IF(D764&gt;0,VLOOKUP(D764,Программа!A$1:B$5100,2),IF(F764&gt;0,VLOOKUP(F764,КВР!A$1:B$5001,2),IF(E764&gt;0,VLOOKUP(E764,Направление!A$1:B$4830,2))))))</f>
        <v>Выполнение других обязательств органов местного самоуправления</v>
      </c>
      <c r="B764" s="154"/>
      <c r="C764" s="149"/>
      <c r="D764" s="151"/>
      <c r="E764" s="149">
        <v>12080</v>
      </c>
      <c r="F764" s="151"/>
      <c r="G764" s="606">
        <v>93180</v>
      </c>
      <c r="H764" s="487">
        <f>H765</f>
        <v>93179</v>
      </c>
      <c r="I764" s="157">
        <f t="shared" si="15"/>
        <v>186359</v>
      </c>
    </row>
    <row r="765" spans="1:9" s="166" customFormat="1" ht="63" x14ac:dyDescent="0.25">
      <c r="A765" s="153" t="str">
        <f>IF(B765&gt;0,VLOOKUP(B765,КВСР!A315:B1480,2),IF(C765&gt;0,VLOOKUP(C765,КФСР!A315:B1827,2),IF(D765&gt;0,VLOOKUP(D765,Программа!A$1:B$5100,2),IF(F765&gt;0,VLOOKUP(F765,КВР!A$1:B$5001,2),IF(E765&gt;0,VLOOKUP(E765,Направление!A$1:B$4830,2))))))</f>
        <v xml:space="preserve">Закупка товаров, работ и услуг для обеспечения государственных (муниципальных) нужд
</v>
      </c>
      <c r="B765" s="154"/>
      <c r="C765" s="149"/>
      <c r="D765" s="151"/>
      <c r="E765" s="149"/>
      <c r="F765" s="151">
        <v>200</v>
      </c>
      <c r="G765" s="516">
        <v>93180</v>
      </c>
      <c r="H765" s="158">
        <v>93179</v>
      </c>
      <c r="I765" s="157">
        <f t="shared" si="15"/>
        <v>186359</v>
      </c>
    </row>
    <row r="766" spans="1:9" s="166" customFormat="1" ht="63" x14ac:dyDescent="0.25">
      <c r="A766" s="153" t="str">
        <f>IF(B766&gt;0,VLOOKUP(B766,КВСР!A314:B1479,2),IF(C766&gt;0,VLOOKUP(C766,КФСР!A314:B1826,2),IF(D766&gt;0,VLOOKUP(D766,Программа!A$1:B$5100,2),IF(F766&gt;0,VLOOKUP(F766,КВР!A$1:B$5001,2),IF(E766&gt;0,VLOOKUP(E766,Направление!A$1:B$4830,2))))))</f>
        <v>Расходы на обеспечение деятельности органов местного самоуправления в сфере социальной защиты населения за счет средств областного бюджета</v>
      </c>
      <c r="B766" s="154"/>
      <c r="C766" s="149"/>
      <c r="D766" s="150"/>
      <c r="E766" s="149">
        <v>70870</v>
      </c>
      <c r="F766" s="151"/>
      <c r="G766" s="606">
        <v>14681130</v>
      </c>
      <c r="H766" s="157">
        <f>H767+H768+H769</f>
        <v>14681130</v>
      </c>
      <c r="I766" s="157">
        <f t="shared" si="15"/>
        <v>29362260</v>
      </c>
    </row>
    <row r="767" spans="1:9" s="166" customFormat="1" ht="126" x14ac:dyDescent="0.25">
      <c r="A767" s="153" t="str">
        <f>IF(B767&gt;0,VLOOKUP(B767,КВСР!A315:B1480,2),IF(C767&gt;0,VLOOKUP(C767,КФСР!A315:B1827,2),IF(D767&gt;0,VLOOKUP(D767,Программа!A$1:B$5100,2),IF(F767&gt;0,VLOOKUP(F767,КВР!A$1:B$5001,2),IF(E767&gt;0,VLOOKUP(E767,Направление!A$1:B$4830,2))))))</f>
        <v xml:space="preserve">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
</v>
      </c>
      <c r="B767" s="154"/>
      <c r="C767" s="149"/>
      <c r="D767" s="151"/>
      <c r="E767" s="149"/>
      <c r="F767" s="151">
        <v>100</v>
      </c>
      <c r="G767" s="516">
        <v>12448200</v>
      </c>
      <c r="H767" s="158">
        <v>12448200</v>
      </c>
      <c r="I767" s="157">
        <f t="shared" si="15"/>
        <v>24896400</v>
      </c>
    </row>
    <row r="768" spans="1:9" s="166" customFormat="1" ht="63" x14ac:dyDescent="0.25">
      <c r="A768" s="153" t="str">
        <f>IF(B768&gt;0,VLOOKUP(B768,КВСР!A316:B1481,2),IF(C768&gt;0,VLOOKUP(C768,КФСР!A316:B1828,2),IF(D768&gt;0,VLOOKUP(D768,Программа!A$1:B$5100,2),IF(F768&gt;0,VLOOKUP(F768,КВР!A$1:B$5001,2),IF(E768&gt;0,VLOOKUP(E768,Направление!A$1:B$4830,2))))))</f>
        <v xml:space="preserve">Закупка товаров, работ и услуг для обеспечения государственных (муниципальных) нужд
</v>
      </c>
      <c r="B768" s="154"/>
      <c r="C768" s="149"/>
      <c r="D768" s="151"/>
      <c r="E768" s="149"/>
      <c r="F768" s="151">
        <v>200</v>
      </c>
      <c r="G768" s="516">
        <v>2209691</v>
      </c>
      <c r="H768" s="158">
        <v>2209691</v>
      </c>
      <c r="I768" s="157">
        <f t="shared" si="15"/>
        <v>4419382</v>
      </c>
    </row>
    <row r="769" spans="1:9" s="166" customFormat="1" x14ac:dyDescent="0.25">
      <c r="A769" s="153" t="str">
        <f>IF(B769&gt;0,VLOOKUP(B769,КВСР!A317:B1482,2),IF(C769&gt;0,VLOOKUP(C769,КФСР!A317:B1829,2),IF(D769&gt;0,VLOOKUP(D769,Программа!A$1:B$5100,2),IF(F769&gt;0,VLOOKUP(F769,КВР!A$1:B$5001,2),IF(E769&gt;0,VLOOKUP(E769,Направление!A$1:B$4830,2))))))</f>
        <v>Иные бюджетные ассигнования</v>
      </c>
      <c r="B769" s="154"/>
      <c r="C769" s="149"/>
      <c r="D769" s="151"/>
      <c r="E769" s="149"/>
      <c r="F769" s="151">
        <v>800</v>
      </c>
      <c r="G769" s="516">
        <v>23239</v>
      </c>
      <c r="H769" s="158">
        <v>23239</v>
      </c>
      <c r="I769" s="157">
        <f t="shared" si="15"/>
        <v>46478</v>
      </c>
    </row>
    <row r="770" spans="1:9" s="166" customFormat="1" ht="31.5" x14ac:dyDescent="0.25">
      <c r="A770" s="153" t="str">
        <f>IF(B770&gt;0,VLOOKUP(B770,КВСР!A318:B1483,2),IF(C770&gt;0,VLOOKUP(C770,КФСР!A318:B1830,2),IF(D770&gt;0,VLOOKUP(D770,Программа!A$1:B$5100,2),IF(F770&gt;0,VLOOKUP(F770,КВР!A$1:B$5001,2),IF(E770&gt;0,VLOOKUP(E770,Направление!A$1:B$4830,2))))))</f>
        <v>Информационное обеспечение реализации мероприятий программы</v>
      </c>
      <c r="B770" s="154"/>
      <c r="C770" s="149"/>
      <c r="D770" s="150" t="s">
        <v>3201</v>
      </c>
      <c r="E770" s="149"/>
      <c r="F770" s="151"/>
      <c r="G770" s="606">
        <v>314870</v>
      </c>
      <c r="H770" s="487">
        <f>H771</f>
        <v>224870</v>
      </c>
      <c r="I770" s="157">
        <f t="shared" si="15"/>
        <v>539740</v>
      </c>
    </row>
    <row r="771" spans="1:9" s="166" customFormat="1" ht="63" x14ac:dyDescent="0.25">
      <c r="A771" s="153" t="str">
        <f>IF(B771&gt;0,VLOOKUP(B771,КВСР!A319:B1484,2),IF(C771&gt;0,VLOOKUP(C771,КФСР!A319:B1831,2),IF(D771&gt;0,VLOOKUP(D771,Программа!A$1:B$5100,2),IF(F771&gt;0,VLOOKUP(F771,КВР!A$1:B$5001,2),IF(E771&gt;0,VLOOKUP(E771,Направление!A$1:B$4830,2))))))</f>
        <v>Расходы на обеспечение деятельности органов местного самоуправления в сфере социальной защиты населения за счет средств областного бюджета</v>
      </c>
      <c r="B771" s="154"/>
      <c r="C771" s="149"/>
      <c r="D771" s="150"/>
      <c r="E771" s="149">
        <v>70870</v>
      </c>
      <c r="F771" s="151"/>
      <c r="G771" s="606">
        <v>314870</v>
      </c>
      <c r="H771" s="487">
        <f>H772</f>
        <v>224870</v>
      </c>
      <c r="I771" s="157">
        <f t="shared" si="15"/>
        <v>539740</v>
      </c>
    </row>
    <row r="772" spans="1:9" s="166" customFormat="1" ht="63" x14ac:dyDescent="0.25">
      <c r="A772" s="153" t="str">
        <f>IF(B772&gt;0,VLOOKUP(B772,КВСР!A320:B1485,2),IF(C772&gt;0,VLOOKUP(C772,КФСР!A320:B1832,2),IF(D772&gt;0,VLOOKUP(D772,Программа!A$1:B$5100,2),IF(F772&gt;0,VLOOKUP(F772,КВР!A$1:B$5001,2),IF(E772&gt;0,VLOOKUP(E772,Направление!A$1:B$4830,2))))))</f>
        <v xml:space="preserve">Закупка товаров, работ и услуг для обеспечения государственных (муниципальных) нужд
</v>
      </c>
      <c r="B772" s="154"/>
      <c r="C772" s="149"/>
      <c r="D772" s="151"/>
      <c r="E772" s="149"/>
      <c r="F772" s="151">
        <v>200</v>
      </c>
      <c r="G772" s="516">
        <v>314870</v>
      </c>
      <c r="H772" s="158">
        <v>224870</v>
      </c>
      <c r="I772" s="157">
        <f t="shared" si="15"/>
        <v>539740</v>
      </c>
    </row>
    <row r="773" spans="1:9" s="166" customFormat="1" ht="31.5" x14ac:dyDescent="0.25">
      <c r="A773" s="153" t="str">
        <f>IF(B773&gt;0,VLOOKUP(B773,КВСР!A321:B1486,2),IF(C773&gt;0,VLOOKUP(C773,КФСР!A321:B1833,2),IF(D773&gt;0,VLOOKUP(D773,Программа!A$1:B$5100,2),IF(F773&gt;0,VLOOKUP(F773,КВР!A$1:B$5001,2),IF(E773&gt;0,VLOOKUP(E773,Направление!A$1:B$4830,2))))))</f>
        <v>Муниципальная программа "Доступная среда "</v>
      </c>
      <c r="B773" s="154"/>
      <c r="C773" s="149"/>
      <c r="D773" s="151" t="s">
        <v>831</v>
      </c>
      <c r="E773" s="149"/>
      <c r="F773" s="151"/>
      <c r="G773" s="516">
        <v>57631</v>
      </c>
      <c r="H773" s="516">
        <f>H774</f>
        <v>57631</v>
      </c>
      <c r="I773" s="157">
        <f t="shared" si="15"/>
        <v>115262</v>
      </c>
    </row>
    <row r="774" spans="1:9" s="166" customFormat="1" ht="78.75" x14ac:dyDescent="0.25">
      <c r="A774" s="153" t="str">
        <f>IF(B774&gt;0,VLOOKUP(B774,КВСР!A322:B1487,2),IF(C774&gt;0,VLOOKUP(C774,КФСР!A322:B1834,2),IF(D774&gt;0,VLOOKUP(D774,Программа!A$1:B$5100,2),IF(F774&gt;0,VLOOKUP(F774,КВР!A$1:B$5001,2),IF(E774&gt;0,VLOOKUP(E774,Направление!A$1:B$4830,2))))))</f>
        <v>Обеспечение доступности приоритетных объектов и услуг в сферах жизнедеятельности граждан с ограниченными возможностями с учетом их особых потребностей</v>
      </c>
      <c r="B774" s="154"/>
      <c r="C774" s="149"/>
      <c r="D774" s="151" t="s">
        <v>833</v>
      </c>
      <c r="E774" s="149"/>
      <c r="F774" s="151"/>
      <c r="G774" s="516">
        <v>57631</v>
      </c>
      <c r="H774" s="516">
        <f>H775</f>
        <v>57631</v>
      </c>
      <c r="I774" s="157">
        <f t="shared" si="15"/>
        <v>115262</v>
      </c>
    </row>
    <row r="775" spans="1:9" s="166" customFormat="1" ht="63" x14ac:dyDescent="0.25">
      <c r="A775" s="153" t="str">
        <f>IF(B775&gt;0,VLOOKUP(B775,КВСР!A323:B1488,2),IF(C775&gt;0,VLOOKUP(C775,КФСР!A323:B1835,2),IF(D775&gt;0,VLOOKUP(D775,Программа!A$1:B$5100,2),IF(F775&gt;0,VLOOKUP(F775,КВР!A$1:B$5001,2),IF(E775&gt;0,VLOOKUP(E775,Направление!A$1:B$4830,2))))))</f>
        <v>Расходы на оборудование социально значимых объектов с целью обеспечения доступности для инвалидов</v>
      </c>
      <c r="B775" s="154"/>
      <c r="C775" s="149"/>
      <c r="D775" s="151"/>
      <c r="E775" s="149">
        <v>16250</v>
      </c>
      <c r="F775" s="151"/>
      <c r="G775" s="516">
        <v>57631</v>
      </c>
      <c r="H775" s="516">
        <f>H776</f>
        <v>57631</v>
      </c>
      <c r="I775" s="157">
        <f t="shared" si="15"/>
        <v>115262</v>
      </c>
    </row>
    <row r="776" spans="1:9" s="166" customFormat="1" ht="63" x14ac:dyDescent="0.25">
      <c r="A776" s="153" t="str">
        <f>IF(B776&gt;0,VLOOKUP(B776,КВСР!A324:B1489,2),IF(C776&gt;0,VLOOKUP(C776,КФСР!A324:B1836,2),IF(D776&gt;0,VLOOKUP(D776,Программа!A$1:B$5100,2),IF(F776&gt;0,VLOOKUP(F776,КВР!A$1:B$5001,2),IF(E776&gt;0,VLOOKUP(E776,Направление!A$1:B$4830,2))))))</f>
        <v xml:space="preserve">Закупка товаров, работ и услуг для обеспечения государственных (муниципальных) нужд
</v>
      </c>
      <c r="B776" s="154"/>
      <c r="C776" s="149"/>
      <c r="D776" s="151"/>
      <c r="E776" s="149"/>
      <c r="F776" s="151">
        <v>200</v>
      </c>
      <c r="G776" s="516">
        <v>57631</v>
      </c>
      <c r="H776" s="158">
        <v>57631</v>
      </c>
      <c r="I776" s="157">
        <f t="shared" si="15"/>
        <v>115262</v>
      </c>
    </row>
    <row r="777" spans="1:9" s="166" customFormat="1" ht="63" hidden="1" x14ac:dyDescent="0.25">
      <c r="A777" s="153" t="str">
        <f>IF(B777&gt;0,VLOOKUP(B777,КВСР!A321:B1486,2),IF(C777&gt;0,VLOOKUP(C777,КФСР!A321:B1833,2),IF(D777&gt;0,VLOOKUP(D777,Программа!A$1:B$5100,2),IF(F777&gt;0,VLOOKUP(F777,КВР!A$1:B$5001,2),IF(E777&gt;0,VLOOKUP(E777,Направление!A$1:B$4830,2))))))</f>
        <v>Муниципальная программа "Профилактика правонарушений и усиление борьбы с преступностью в Тутаевском муниципальном районе"</v>
      </c>
      <c r="B777" s="154"/>
      <c r="C777" s="149"/>
      <c r="D777" s="151" t="s">
        <v>746</v>
      </c>
      <c r="E777" s="149"/>
      <c r="F777" s="151"/>
      <c r="G777" s="516">
        <v>6000</v>
      </c>
      <c r="H777" s="516">
        <f>H778</f>
        <v>0</v>
      </c>
      <c r="I777" s="157">
        <f t="shared" si="15"/>
        <v>6000</v>
      </c>
    </row>
    <row r="778" spans="1:9" s="166" customFormat="1" ht="31.5" hidden="1" x14ac:dyDescent="0.25">
      <c r="A778" s="153" t="str">
        <f>IF(B778&gt;0,VLOOKUP(B778,КВСР!A322:B1487,2),IF(C778&gt;0,VLOOKUP(C778,КФСР!A322:B1834,2),IF(D778&gt;0,VLOOKUP(D778,Программа!A$1:B$5100,2),IF(F778&gt;0,VLOOKUP(F778,КВР!A$1:B$5001,2),IF(E778&gt;0,VLOOKUP(E778,Направление!A$1:B$4830,2))))))</f>
        <v>Реализация мероприятий по профилактике правонарушений</v>
      </c>
      <c r="B778" s="154"/>
      <c r="C778" s="149"/>
      <c r="D778" s="151" t="s">
        <v>748</v>
      </c>
      <c r="E778" s="149"/>
      <c r="F778" s="151"/>
      <c r="G778" s="516">
        <v>6000</v>
      </c>
      <c r="H778" s="516">
        <f>H779</f>
        <v>0</v>
      </c>
      <c r="I778" s="157">
        <f t="shared" si="15"/>
        <v>6000</v>
      </c>
    </row>
    <row r="779" spans="1:9" s="166" customFormat="1" ht="47.25" hidden="1" x14ac:dyDescent="0.25">
      <c r="A779" s="153" t="str">
        <f>IF(B779&gt;0,VLOOKUP(B779,КВСР!A323:B1488,2),IF(C779&gt;0,VLOOKUP(C779,КФСР!A323:B1835,2),IF(D779&gt;0,VLOOKUP(D779,Программа!A$1:B$5100,2),IF(F779&gt;0,VLOOKUP(F779,КВР!A$1:B$5001,2),IF(E779&gt;0,VLOOKUP(E779,Направление!A$1:B$4830,2))))))</f>
        <v>Расходы на профилактику правонарушений и усиления борьбы с преступностью</v>
      </c>
      <c r="B779" s="154"/>
      <c r="C779" s="149"/>
      <c r="D779" s="151"/>
      <c r="E779" s="149">
        <v>12250</v>
      </c>
      <c r="F779" s="151"/>
      <c r="G779" s="516">
        <v>6000</v>
      </c>
      <c r="H779" s="516">
        <f>H780</f>
        <v>0</v>
      </c>
      <c r="I779" s="157">
        <f t="shared" si="15"/>
        <v>6000</v>
      </c>
    </row>
    <row r="780" spans="1:9" s="166" customFormat="1" ht="63" hidden="1" x14ac:dyDescent="0.25">
      <c r="A780" s="153" t="str">
        <f>IF(B780&gt;0,VLOOKUP(B780,КВСР!A324:B1489,2),IF(C780&gt;0,VLOOKUP(C780,КФСР!A324:B1836,2),IF(D780&gt;0,VLOOKUP(D780,Программа!A$1:B$5100,2),IF(F780&gt;0,VLOOKUP(F780,КВР!A$1:B$5001,2),IF(E780&gt;0,VLOOKUP(E780,Направление!A$1:B$4830,2))))))</f>
        <v>Предоставление субсидий бюджетным, автономным учреждениям и иным некоммерческим организациям</v>
      </c>
      <c r="B780" s="154"/>
      <c r="C780" s="149"/>
      <c r="D780" s="151"/>
      <c r="E780" s="149"/>
      <c r="F780" s="151">
        <v>600</v>
      </c>
      <c r="G780" s="516">
        <v>6000</v>
      </c>
      <c r="H780" s="158"/>
      <c r="I780" s="157">
        <f t="shared" si="15"/>
        <v>6000</v>
      </c>
    </row>
    <row r="781" spans="1:9" s="166" customFormat="1" ht="31.5" x14ac:dyDescent="0.25">
      <c r="A781" s="147" t="str">
        <f>IF(B781&gt;0,VLOOKUP(B781,КВСР!A318:B1483,2),IF(C781&gt;0,VLOOKUP(C781,КФСР!A318:B1830,2),IF(D781&gt;0,VLOOKUP(D781,Программа!A$1:B$5100,2),IF(F781&gt;0,VLOOKUP(F781,КВР!A$1:B$5001,2),IF(E781&gt;0,VLOOKUP(E781,Направление!A$1:B$4830,2))))))</f>
        <v>Департамент финансов администрации ТМР</v>
      </c>
      <c r="B781" s="148">
        <v>955</v>
      </c>
      <c r="C781" s="149"/>
      <c r="D781" s="150"/>
      <c r="E781" s="149"/>
      <c r="F781" s="151"/>
      <c r="G781" s="605">
        <v>70552760</v>
      </c>
      <c r="H781" s="152">
        <f>H782+H792+H815+H819+H823+H829</f>
        <v>69745312</v>
      </c>
      <c r="I781" s="620">
        <f t="shared" si="15"/>
        <v>140298072</v>
      </c>
    </row>
    <row r="782" spans="1:9" s="166" customFormat="1" ht="63" x14ac:dyDescent="0.25">
      <c r="A782" s="153" t="str">
        <f>IF(B782&gt;0,VLOOKUP(B782,КВСР!A319:B1484,2),IF(C782&gt;0,VLOOKUP(C782,КФСР!A319:B1831,2),IF(D782&gt;0,VLOOKUP(D782,Программа!A$1:B$5100,2),IF(F782&gt;0,VLOOKUP(F782,КВР!A$1:B$5001,2),IF(E782&gt;0,VLOOKUP(E782,Направление!A$1:B$4830,2))))))</f>
        <v>Обеспечение деятельности финансовых, налоговых и таможенных органов и органов финансового (финансово-бюджетного) надзора</v>
      </c>
      <c r="B782" s="154"/>
      <c r="C782" s="149">
        <v>106</v>
      </c>
      <c r="D782" s="150"/>
      <c r="E782" s="149"/>
      <c r="F782" s="151"/>
      <c r="G782" s="606">
        <v>15173467</v>
      </c>
      <c r="H782" s="157">
        <f>H783</f>
        <v>14905524</v>
      </c>
      <c r="I782" s="157">
        <f t="shared" si="15"/>
        <v>30078991</v>
      </c>
    </row>
    <row r="783" spans="1:9" s="166" customFormat="1" x14ac:dyDescent="0.25">
      <c r="A783" s="153" t="str">
        <f>IF(B783&gt;0,VLOOKUP(B783,КВСР!A320:B1485,2),IF(C783&gt;0,VLOOKUP(C783,КФСР!A320:B1832,2),IF(D783&gt;0,VLOOKUP(D783,Программа!A$1:B$5100,2),IF(F783&gt;0,VLOOKUP(F783,КВР!A$1:B$5001,2),IF(E783&gt;0,VLOOKUP(E783,Направление!A$1:B$4830,2))))))</f>
        <v>Непрограммные расходы бюджета</v>
      </c>
      <c r="B783" s="154"/>
      <c r="C783" s="149"/>
      <c r="D783" s="150" t="s">
        <v>624</v>
      </c>
      <c r="E783" s="149"/>
      <c r="F783" s="151"/>
      <c r="G783" s="606">
        <v>15173467</v>
      </c>
      <c r="H783" s="157">
        <f>H784+H789</f>
        <v>14905524</v>
      </c>
      <c r="I783" s="157">
        <f t="shared" si="15"/>
        <v>30078991</v>
      </c>
    </row>
    <row r="784" spans="1:9" s="166" customFormat="1" x14ac:dyDescent="0.25">
      <c r="A784" s="153" t="str">
        <f>IF(B784&gt;0,VLOOKUP(B784,КВСР!A323:B1488,2),IF(C784&gt;0,VLOOKUP(C784,КФСР!A323:B1835,2),IF(D784&gt;0,VLOOKUP(D784,Программа!A$1:B$5100,2),IF(F784&gt;0,VLOOKUP(F784,КВР!A$1:B$5001,2),IF(E784&gt;0,VLOOKUP(E784,Направление!A$1:B$4830,2))))))</f>
        <v>Содержание центрального аппарата</v>
      </c>
      <c r="B784" s="154"/>
      <c r="C784" s="149"/>
      <c r="D784" s="150"/>
      <c r="E784" s="149">
        <v>12010</v>
      </c>
      <c r="F784" s="151"/>
      <c r="G784" s="606">
        <v>12757511</v>
      </c>
      <c r="H784" s="157">
        <f>H785+H786+H788+H787</f>
        <v>12489568</v>
      </c>
      <c r="I784" s="157">
        <f t="shared" si="15"/>
        <v>25247079</v>
      </c>
    </row>
    <row r="785" spans="1:9" ht="126" x14ac:dyDescent="0.25">
      <c r="A785" s="153" t="str">
        <f>IF(B785&gt;0,VLOOKUP(B785,КВСР!A322:B1487,2),IF(C785&gt;0,VLOOKUP(C785,КФСР!A322:B1834,2),IF(D785&gt;0,VLOOKUP(D785,Программа!A$1:B$5100,2),IF(F785&gt;0,VLOOKUP(F785,КВР!A$1:B$5001,2),IF(E785&gt;0,VLOOKUP(E785,Направление!A$1:B$4830,2))))))</f>
        <v xml:space="preserve">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
</v>
      </c>
      <c r="B785" s="154"/>
      <c r="C785" s="149"/>
      <c r="D785" s="151"/>
      <c r="E785" s="149"/>
      <c r="F785" s="151">
        <v>100</v>
      </c>
      <c r="G785" s="498">
        <v>11371062</v>
      </c>
      <c r="H785" s="156">
        <v>11420843</v>
      </c>
      <c r="I785" s="157">
        <f t="shared" si="15"/>
        <v>22791905</v>
      </c>
    </row>
    <row r="786" spans="1:9" ht="63" x14ac:dyDescent="0.25">
      <c r="A786" s="153" t="str">
        <f>IF(B786&gt;0,VLOOKUP(B786,КВСР!A323:B1488,2),IF(C786&gt;0,VLOOKUP(C786,КФСР!A323:B1835,2),IF(D786&gt;0,VLOOKUP(D786,Программа!A$1:B$5100,2),IF(F786&gt;0,VLOOKUP(F786,КВР!A$1:B$5001,2),IF(E786&gt;0,VLOOKUP(E786,Направление!A$1:B$4830,2))))))</f>
        <v xml:space="preserve">Закупка товаров, работ и услуг для обеспечения государственных (муниципальных) нужд
</v>
      </c>
      <c r="B786" s="154"/>
      <c r="C786" s="149"/>
      <c r="D786" s="151"/>
      <c r="E786" s="149"/>
      <c r="F786" s="151">
        <v>200</v>
      </c>
      <c r="G786" s="498">
        <v>1223649</v>
      </c>
      <c r="H786" s="156">
        <v>905675</v>
      </c>
      <c r="I786" s="157">
        <f t="shared" si="15"/>
        <v>2129324</v>
      </c>
    </row>
    <row r="787" spans="1:9" ht="31.5" x14ac:dyDescent="0.25">
      <c r="A787" s="153" t="str">
        <f>IF(B787&gt;0,VLOOKUP(B787,КВСР!A324:B1489,2),IF(C787&gt;0,VLOOKUP(C787,КФСР!A324:B1836,2),IF(D787&gt;0,VLOOKUP(D787,Программа!A$1:B$5100,2),IF(F787&gt;0,VLOOKUP(F787,КВР!A$1:B$5001,2),IF(E787&gt;0,VLOOKUP(E787,Направление!A$1:B$4830,2))))))</f>
        <v>Социальное обеспечение и иные выплаты населению</v>
      </c>
      <c r="B787" s="154"/>
      <c r="C787" s="149"/>
      <c r="D787" s="151"/>
      <c r="E787" s="149"/>
      <c r="F787" s="151">
        <v>300</v>
      </c>
      <c r="G787" s="498">
        <v>125300</v>
      </c>
      <c r="H787" s="156">
        <v>134438</v>
      </c>
      <c r="I787" s="157">
        <f t="shared" si="15"/>
        <v>259738</v>
      </c>
    </row>
    <row r="788" spans="1:9" x14ac:dyDescent="0.25">
      <c r="A788" s="153" t="str">
        <f>IF(B788&gt;0,VLOOKUP(B788,КВСР!A324:B1489,2),IF(C788&gt;0,VLOOKUP(C788,КФСР!A324:B1836,2),IF(D788&gt;0,VLOOKUP(D788,Программа!A$1:B$5100,2),IF(F788&gt;0,VLOOKUP(F788,КВР!A$1:B$5001,2),IF(E788&gt;0,VLOOKUP(E788,Направление!A$1:B$4830,2))))))</f>
        <v>Иные бюджетные ассигнования</v>
      </c>
      <c r="B788" s="154"/>
      <c r="C788" s="149"/>
      <c r="D788" s="151"/>
      <c r="E788" s="149"/>
      <c r="F788" s="151">
        <v>800</v>
      </c>
      <c r="G788" s="498">
        <v>37500</v>
      </c>
      <c r="H788" s="156">
        <v>28612</v>
      </c>
      <c r="I788" s="157">
        <f t="shared" si="15"/>
        <v>66112</v>
      </c>
    </row>
    <row r="789" spans="1:9" ht="47.25" x14ac:dyDescent="0.25">
      <c r="A789" s="153" t="str">
        <f>IF(B789&gt;0,VLOOKUP(B789,КВСР!A325:B1490,2),IF(C789&gt;0,VLOOKUP(C789,КФСР!A325:B1837,2),IF(D789&gt;0,VLOOKUP(D789,Программа!A$1:B$5100,2),IF(F789&gt;0,VLOOKUP(F789,КВР!A$1:B$5001,2),IF(E789&gt;0,VLOOKUP(E789,Направление!A$1:B$4830,2))))))</f>
        <v>Содержание органов местного самоуправления за счет средств поселений</v>
      </c>
      <c r="B789" s="154"/>
      <c r="C789" s="149"/>
      <c r="D789" s="150"/>
      <c r="E789" s="149">
        <v>29016</v>
      </c>
      <c r="F789" s="151"/>
      <c r="G789" s="500">
        <v>2415956</v>
      </c>
      <c r="H789" s="155">
        <f>H791+H790</f>
        <v>2415956</v>
      </c>
      <c r="I789" s="157">
        <f t="shared" ref="I789:I871" si="16">SUM(G789:H789)</f>
        <v>4831912</v>
      </c>
    </row>
    <row r="790" spans="1:9" ht="126" x14ac:dyDescent="0.25">
      <c r="A790" s="153" t="str">
        <f>IF(B790&gt;0,VLOOKUP(B790,КВСР!A326:B1491,2),IF(C790&gt;0,VLOOKUP(C790,КФСР!A326:B1838,2),IF(D790&gt;0,VLOOKUP(D790,Программа!A$1:B$5100,2),IF(F790&gt;0,VLOOKUP(F790,КВР!A$1:B$5001,2),IF(E790&gt;0,VLOOKUP(E790,Направление!A$1:B$4830,2))))))</f>
        <v xml:space="preserve">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
</v>
      </c>
      <c r="B790" s="154"/>
      <c r="C790" s="149"/>
      <c r="D790" s="150"/>
      <c r="E790" s="149"/>
      <c r="F790" s="151">
        <v>100</v>
      </c>
      <c r="G790" s="612">
        <v>2196324</v>
      </c>
      <c r="H790" s="171">
        <v>2196324</v>
      </c>
      <c r="I790" s="157">
        <f t="shared" si="16"/>
        <v>4392648</v>
      </c>
    </row>
    <row r="791" spans="1:9" ht="63" x14ac:dyDescent="0.25">
      <c r="A791" s="153" t="str">
        <f>IF(B791&gt;0,VLOOKUP(B791,КВСР!A327:B1492,2),IF(C791&gt;0,VLOOKUP(C791,КФСР!A327:B1839,2),IF(D791&gt;0,VLOOKUP(D791,Программа!A$1:B$5100,2),IF(F791&gt;0,VLOOKUP(F791,КВР!A$1:B$5001,2),IF(E791&gt;0,VLOOKUP(E791,Направление!A$1:B$4830,2))))))</f>
        <v xml:space="preserve">Закупка товаров, работ и услуг для обеспечения государственных (муниципальных) нужд
</v>
      </c>
      <c r="B791" s="154"/>
      <c r="C791" s="149"/>
      <c r="D791" s="151"/>
      <c r="E791" s="149"/>
      <c r="F791" s="151">
        <v>200</v>
      </c>
      <c r="G791" s="498">
        <v>219632</v>
      </c>
      <c r="H791" s="156">
        <v>219632</v>
      </c>
      <c r="I791" s="157">
        <f t="shared" si="16"/>
        <v>439264</v>
      </c>
    </row>
    <row r="792" spans="1:9" x14ac:dyDescent="0.25">
      <c r="A792" s="153" t="str">
        <f>IF(B792&gt;0,VLOOKUP(B792,КВСР!A328:B1493,2),IF(C792&gt;0,VLOOKUP(C792,КФСР!A328:B1840,2),IF(D792&gt;0,VLOOKUP(D792,Программа!A$1:B$5100,2),IF(F792&gt;0,VLOOKUP(F792,КВР!A$1:B$5001,2),IF(E792&gt;0,VLOOKUP(E792,Направление!A$1:B$4830,2))))))</f>
        <v>Другие общегосударственные вопросы</v>
      </c>
      <c r="B792" s="154"/>
      <c r="C792" s="149">
        <v>113</v>
      </c>
      <c r="D792" s="151"/>
      <c r="E792" s="149"/>
      <c r="F792" s="151"/>
      <c r="G792" s="500">
        <v>6848708</v>
      </c>
      <c r="H792" s="155">
        <f>H802+H793+H798+H809</f>
        <v>6950025</v>
      </c>
      <c r="I792" s="157">
        <f t="shared" si="16"/>
        <v>13798733</v>
      </c>
    </row>
    <row r="793" spans="1:9" ht="63" hidden="1" x14ac:dyDescent="0.25">
      <c r="A793" s="153" t="str">
        <f>IF(B793&gt;0,VLOOKUP(B793,КВСР!A329:B1494,2),IF(C793&gt;0,VLOOKUP(C793,КФСР!A329:B1841,2),IF(D793&gt;0,VLOOKUP(D793,Программа!A$1:B$5100,2),IF(F793&gt;0,VLOOKUP(F793,КВР!A$1:B$5001,2),IF(E793&gt;0,VLOOKUP(E793,Направление!A$1:B$4830,2))))))</f>
        <v>Муниципальная программа "Повышение эффективности управления муниципальными финансами"</v>
      </c>
      <c r="B793" s="154"/>
      <c r="C793" s="149"/>
      <c r="D793" s="151" t="s">
        <v>632</v>
      </c>
      <c r="E793" s="149"/>
      <c r="F793" s="151"/>
      <c r="G793" s="500">
        <v>0</v>
      </c>
      <c r="H793" s="155">
        <f>H794</f>
        <v>0</v>
      </c>
      <c r="I793" s="157">
        <f t="shared" si="16"/>
        <v>0</v>
      </c>
    </row>
    <row r="794" spans="1:9" ht="63" hidden="1" x14ac:dyDescent="0.25">
      <c r="A794" s="153" t="str">
        <f>IF(B794&gt;0,VLOOKUP(B794,КВСР!A330:B1495,2),IF(C794&gt;0,VLOOKUP(C794,КФСР!A330:B1842,2),IF(D794&gt;0,VLOOKUP(D794,Программа!A$1:B$5100,2),IF(F794&gt;0,VLOOKUP(F794,КВР!A$1:B$5001,2),IF(E794&gt;0,VLOOKUP(E794,Направление!A$1:B$4830,2))))))</f>
        <v>Ведомственная целевая программа департамента финансов администрации Тутаевского муниципального района</v>
      </c>
      <c r="B794" s="154"/>
      <c r="C794" s="149"/>
      <c r="D794" s="150" t="s">
        <v>795</v>
      </c>
      <c r="E794" s="149"/>
      <c r="F794" s="151"/>
      <c r="G794" s="500">
        <v>0</v>
      </c>
      <c r="H794" s="155">
        <f>H795</f>
        <v>0</v>
      </c>
      <c r="I794" s="157">
        <f t="shared" si="16"/>
        <v>0</v>
      </c>
    </row>
    <row r="795" spans="1:9" ht="31.5" hidden="1" x14ac:dyDescent="0.25">
      <c r="A795" s="153" t="str">
        <f>IF(B795&gt;0,VLOOKUP(B795,КВСР!A331:B1496,2),IF(C795&gt;0,VLOOKUP(C795,КФСР!A331:B1843,2),IF(D795&gt;0,VLOOKUP(D795,Программа!A$1:B$5100,2),IF(F795&gt;0,VLOOKUP(F795,КВР!A$1:B$5001,2),IF(E795&gt;0,VLOOKUP(E795,Направление!A$1:B$4830,2))))))</f>
        <v>Обеспечение деятельности финансового органа</v>
      </c>
      <c r="B795" s="154"/>
      <c r="C795" s="149"/>
      <c r="D795" s="150" t="s">
        <v>797</v>
      </c>
      <c r="E795" s="149"/>
      <c r="F795" s="151"/>
      <c r="G795" s="500">
        <v>0</v>
      </c>
      <c r="H795" s="155">
        <f>H796</f>
        <v>0</v>
      </c>
      <c r="I795" s="157">
        <f t="shared" si="16"/>
        <v>0</v>
      </c>
    </row>
    <row r="796" spans="1:9" ht="31.5" hidden="1" x14ac:dyDescent="0.25">
      <c r="A796" s="153" t="str">
        <f>IF(B796&gt;0,VLOOKUP(B796,КВСР!A332:B1497,2),IF(C796&gt;0,VLOOKUP(C796,КФСР!A332:B1844,2),IF(D796&gt;0,VLOOKUP(D796,Программа!A$1:B$5100,2),IF(F796&gt;0,VLOOKUP(F796,КВР!A$1:B$5001,2),IF(E796&gt;0,VLOOKUP(E796,Направление!A$1:B$4830,2))))))</f>
        <v>Выполнение других обязательств органов местного самоуправления</v>
      </c>
      <c r="B796" s="154"/>
      <c r="C796" s="149"/>
      <c r="D796" s="151"/>
      <c r="E796" s="149">
        <v>12080</v>
      </c>
      <c r="F796" s="151"/>
      <c r="G796" s="500">
        <v>0</v>
      </c>
      <c r="H796" s="155">
        <f>H797</f>
        <v>0</v>
      </c>
      <c r="I796" s="157">
        <f t="shared" si="16"/>
        <v>0</v>
      </c>
    </row>
    <row r="797" spans="1:9" ht="63" hidden="1" x14ac:dyDescent="0.25">
      <c r="A797" s="153" t="str">
        <f>IF(B797&gt;0,VLOOKUP(B797,КВСР!A333:B1498,2),IF(C797&gt;0,VLOOKUP(C797,КФСР!A333:B1845,2),IF(D797&gt;0,VLOOKUP(D797,Программа!A$1:B$5100,2),IF(F797&gt;0,VLOOKUP(F797,КВР!A$1:B$5001,2),IF(E797&gt;0,VLOOKUP(E797,Направление!A$1:B$4830,2))))))</f>
        <v xml:space="preserve">Закупка товаров, работ и услуг для обеспечения государственных (муниципальных) нужд
</v>
      </c>
      <c r="B797" s="154"/>
      <c r="C797" s="149"/>
      <c r="D797" s="151"/>
      <c r="E797" s="149"/>
      <c r="F797" s="151">
        <v>200</v>
      </c>
      <c r="G797" s="500">
        <v>0</v>
      </c>
      <c r="H797" s="155"/>
      <c r="I797" s="157">
        <f t="shared" si="16"/>
        <v>0</v>
      </c>
    </row>
    <row r="798" spans="1:9" ht="78.75" x14ac:dyDescent="0.25">
      <c r="A798" s="153" t="str">
        <f>IF(B798&gt;0,VLOOKUP(B798,КВСР!A334:B1499,2),IF(C798&gt;0,VLOOKUP(C798,КФСР!A334:B1846,2),IF(D798&gt;0,VLOOKUP(D798,Программа!A$1:B$5100,2),IF(F798&gt;0,VLOOKUP(F798,КВР!A$1:B$5001,2),IF(E798&gt;0,VLOOKUP(E798,Направление!A$1:B$4830,2))))))</f>
        <v>Муниципальная программа "Развитие муниципальной службы и повышение квалификации руководителей муниципальных учреждений в  Тутаевском муниципальном районе"</v>
      </c>
      <c r="B798" s="154"/>
      <c r="C798" s="149"/>
      <c r="D798" s="151" t="s">
        <v>636</v>
      </c>
      <c r="E798" s="149"/>
      <c r="F798" s="151"/>
      <c r="G798" s="500">
        <v>114800</v>
      </c>
      <c r="H798" s="155">
        <f>H799</f>
        <v>53800</v>
      </c>
      <c r="I798" s="157">
        <f t="shared" si="16"/>
        <v>168600</v>
      </c>
    </row>
    <row r="799" spans="1:9" ht="78.75" x14ac:dyDescent="0.25">
      <c r="A799" s="153" t="str">
        <f>IF(B799&gt;0,VLOOKUP(B799,КВСР!A335:B1500,2),IF(C799&gt;0,VLOOKUP(C799,КФСР!A335:B1847,2),IF(D799&gt;0,VLOOKUP(D799,Программа!A$1:B$5100,2),IF(F799&gt;0,VLOOKUP(F799,КВР!A$1:B$5001,2),IF(E799&gt;0,VLOOKUP(E799,Направление!A$1:B$4830,2))))))</f>
        <v xml:space="preserve">Профессиональное развитие  муниципальных служащих и повышение квалификации руководителей муниципальных учреждений </v>
      </c>
      <c r="B799" s="154"/>
      <c r="C799" s="149"/>
      <c r="D799" s="151" t="s">
        <v>637</v>
      </c>
      <c r="E799" s="149"/>
      <c r="F799" s="151"/>
      <c r="G799" s="500">
        <v>114800</v>
      </c>
      <c r="H799" s="155">
        <f>H800</f>
        <v>53800</v>
      </c>
      <c r="I799" s="157">
        <f t="shared" si="16"/>
        <v>168600</v>
      </c>
    </row>
    <row r="800" spans="1:9" ht="31.5" x14ac:dyDescent="0.25">
      <c r="A800" s="153" t="str">
        <f>IF(B800&gt;0,VLOOKUP(B800,КВСР!A336:B1501,2),IF(C800&gt;0,VLOOKUP(C800,КФСР!A336:B1848,2),IF(D800&gt;0,VLOOKUP(D800,Программа!A$1:B$5100,2),IF(F800&gt;0,VLOOKUP(F800,КВР!A$1:B$5001,2),IF(E800&gt;0,VLOOKUP(E800,Направление!A$1:B$4830,2))))))</f>
        <v>Расходы на развитие муниципальной службы</v>
      </c>
      <c r="B800" s="154"/>
      <c r="C800" s="149"/>
      <c r="D800" s="151"/>
      <c r="E800" s="149">
        <v>12200</v>
      </c>
      <c r="F800" s="151"/>
      <c r="G800" s="500">
        <v>114800</v>
      </c>
      <c r="H800" s="155">
        <f>H801</f>
        <v>53800</v>
      </c>
      <c r="I800" s="157">
        <f t="shared" si="16"/>
        <v>168600</v>
      </c>
    </row>
    <row r="801" spans="1:9" ht="63" x14ac:dyDescent="0.25">
      <c r="A801" s="153" t="str">
        <f>IF(B801&gt;0,VLOOKUP(B801,КВСР!A337:B1502,2),IF(C801&gt;0,VLOOKUP(C801,КФСР!A337:B1849,2),IF(D801&gt;0,VLOOKUP(D801,Программа!A$1:B$5100,2),IF(F801&gt;0,VLOOKUP(F801,КВР!A$1:B$5001,2),IF(E801&gt;0,VLOOKUP(E801,Направление!A$1:B$4830,2))))))</f>
        <v xml:space="preserve">Закупка товаров, работ и услуг для обеспечения государственных (муниципальных) нужд
</v>
      </c>
      <c r="B801" s="154"/>
      <c r="C801" s="149"/>
      <c r="D801" s="151"/>
      <c r="E801" s="149"/>
      <c r="F801" s="151">
        <v>200</v>
      </c>
      <c r="G801" s="500">
        <v>114800</v>
      </c>
      <c r="H801" s="155">
        <v>53800</v>
      </c>
      <c r="I801" s="157">
        <f t="shared" si="16"/>
        <v>168600</v>
      </c>
    </row>
    <row r="802" spans="1:9" ht="63" x14ac:dyDescent="0.25">
      <c r="A802" s="153" t="str">
        <f>IF(B802&gt;0,VLOOKUP(B802,КВСР!A329:B1494,2),IF(C802&gt;0,VLOOKUP(C802,КФСР!A329:B1841,2),IF(D802&gt;0,VLOOKUP(D802,Программа!A$1:B$5100,2),IF(F802&gt;0,VLOOKUP(F802,КВР!A$1:B$5001,2),IF(E802&gt;0,VLOOKUP(E802,Направление!A$1:B$4830,2))))))</f>
        <v>Муниципальная программа "Информатизация управленческой деятельности Администрации Тутаевского муниципального района"</v>
      </c>
      <c r="B802" s="154"/>
      <c r="C802" s="149"/>
      <c r="D802" s="151" t="s">
        <v>640</v>
      </c>
      <c r="E802" s="149"/>
      <c r="F802" s="151"/>
      <c r="G802" s="500">
        <v>1394570</v>
      </c>
      <c r="H802" s="155">
        <f>H803+H806</f>
        <v>1517363</v>
      </c>
      <c r="I802" s="157">
        <f t="shared" si="16"/>
        <v>2911933</v>
      </c>
    </row>
    <row r="803" spans="1:9" ht="31.5" x14ac:dyDescent="0.25">
      <c r="A803" s="153" t="str">
        <f>IF(B803&gt;0,VLOOKUP(B803,КВСР!A330:B1495,2),IF(C803&gt;0,VLOOKUP(C803,КФСР!A330:B1842,2),IF(D803&gt;0,VLOOKUP(D803,Программа!A$1:B$5100,2),IF(F803&gt;0,VLOOKUP(F803,КВР!A$1:B$5001,2),IF(E803&gt;0,VLOOKUP(E803,Направление!A$1:B$4830,2))))))</f>
        <v>Бесперебойное функционирование информационных систем</v>
      </c>
      <c r="B803" s="154"/>
      <c r="C803" s="149"/>
      <c r="D803" s="151" t="s">
        <v>677</v>
      </c>
      <c r="E803" s="149"/>
      <c r="F803" s="151"/>
      <c r="G803" s="500">
        <v>1276570</v>
      </c>
      <c r="H803" s="155">
        <f>H804</f>
        <v>1453418</v>
      </c>
      <c r="I803" s="157">
        <f t="shared" si="16"/>
        <v>2729988</v>
      </c>
    </row>
    <row r="804" spans="1:9" ht="31.5" x14ac:dyDescent="0.25">
      <c r="A804" s="153" t="str">
        <f>IF(B804&gt;0,VLOOKUP(B804,КВСР!A331:B1496,2),IF(C804&gt;0,VLOOKUP(C804,КФСР!A331:B1843,2),IF(D804&gt;0,VLOOKUP(D804,Программа!A$1:B$5100,2),IF(F804&gt;0,VLOOKUP(F804,КВР!A$1:B$5001,2),IF(E804&gt;0,VLOOKUP(E804,Направление!A$1:B$4830,2))))))</f>
        <v>Расходы на проведение мероприятий по информатизации</v>
      </c>
      <c r="B804" s="154"/>
      <c r="C804" s="149"/>
      <c r="D804" s="151"/>
      <c r="E804" s="149">
        <v>12210</v>
      </c>
      <c r="F804" s="151"/>
      <c r="G804" s="500">
        <v>1276570</v>
      </c>
      <c r="H804" s="155">
        <f>H805</f>
        <v>1453418</v>
      </c>
      <c r="I804" s="157">
        <f t="shared" si="16"/>
        <v>2729988</v>
      </c>
    </row>
    <row r="805" spans="1:9" ht="63" x14ac:dyDescent="0.25">
      <c r="A805" s="153" t="str">
        <f>IF(B805&gt;0,VLOOKUP(B805,КВСР!A332:B1497,2),IF(C805&gt;0,VLOOKUP(C805,КФСР!A332:B1844,2),IF(D805&gt;0,VLOOKUP(D805,Программа!A$1:B$5100,2),IF(F805&gt;0,VLOOKUP(F805,КВР!A$1:B$5001,2),IF(E805&gt;0,VLOOKUP(E805,Направление!A$1:B$4830,2))))))</f>
        <v xml:space="preserve">Закупка товаров, работ и услуг для обеспечения государственных (муниципальных) нужд
</v>
      </c>
      <c r="B805" s="154"/>
      <c r="C805" s="149"/>
      <c r="D805" s="151"/>
      <c r="E805" s="149"/>
      <c r="F805" s="151">
        <v>200</v>
      </c>
      <c r="G805" s="498">
        <v>1276570</v>
      </c>
      <c r="H805" s="156">
        <v>1453418</v>
      </c>
      <c r="I805" s="157">
        <f t="shared" si="16"/>
        <v>2729988</v>
      </c>
    </row>
    <row r="806" spans="1:9" ht="63" x14ac:dyDescent="0.25">
      <c r="A806" s="153" t="str">
        <f>IF(B806&gt;0,VLOOKUP(B806,КВСР!A333:B1498,2),IF(C806&gt;0,VLOOKUP(C806,КФСР!A333:B1845,2),IF(D806&gt;0,VLOOKUP(D806,Программа!A$1:B$5100,2),IF(F806&gt;0,VLOOKUP(F806,КВР!A$1:B$5001,2),IF(E806&gt;0,VLOOKUP(E806,Направление!A$1:B$4830,2))))))</f>
        <v>Закупка компьютерного оборудования  и оргтехники для бесперебойного обеспечения деятельности органов местного самоуправления</v>
      </c>
      <c r="B806" s="154"/>
      <c r="C806" s="149"/>
      <c r="D806" s="151" t="s">
        <v>642</v>
      </c>
      <c r="E806" s="149"/>
      <c r="F806" s="151"/>
      <c r="G806" s="500">
        <v>118000</v>
      </c>
      <c r="H806" s="155">
        <f>H807</f>
        <v>63945</v>
      </c>
      <c r="I806" s="157">
        <f t="shared" si="16"/>
        <v>181945</v>
      </c>
    </row>
    <row r="807" spans="1:9" ht="31.5" x14ac:dyDescent="0.25">
      <c r="A807" s="153" t="str">
        <f>IF(B807&gt;0,VLOOKUP(B807,КВСР!A334:B1499,2),IF(C807&gt;0,VLOOKUP(C807,КФСР!A334:B1846,2),IF(D807&gt;0,VLOOKUP(D807,Программа!A$1:B$5100,2),IF(F807&gt;0,VLOOKUP(F807,КВР!A$1:B$5001,2),IF(E807&gt;0,VLOOKUP(E807,Направление!A$1:B$4830,2))))))</f>
        <v>Расходы на проведение мероприятий по информатизации</v>
      </c>
      <c r="B807" s="154"/>
      <c r="C807" s="149"/>
      <c r="D807" s="151"/>
      <c r="E807" s="149">
        <v>12210</v>
      </c>
      <c r="F807" s="151"/>
      <c r="G807" s="500">
        <v>118000</v>
      </c>
      <c r="H807" s="155">
        <f>H808</f>
        <v>63945</v>
      </c>
      <c r="I807" s="157">
        <f t="shared" si="16"/>
        <v>181945</v>
      </c>
    </row>
    <row r="808" spans="1:9" ht="63" x14ac:dyDescent="0.25">
      <c r="A808" s="153" t="str">
        <f>IF(B808&gt;0,VLOOKUP(B808,КВСР!A335:B1500,2),IF(C808&gt;0,VLOOKUP(C808,КФСР!A335:B1847,2),IF(D808&gt;0,VLOOKUP(D808,Программа!A$1:B$5100,2),IF(F808&gt;0,VLOOKUP(F808,КВР!A$1:B$5001,2),IF(E808&gt;0,VLOOKUP(E808,Направление!A$1:B$4830,2))))))</f>
        <v xml:space="preserve">Закупка товаров, работ и услуг для обеспечения государственных (муниципальных) нужд
</v>
      </c>
      <c r="B808" s="154"/>
      <c r="C808" s="149"/>
      <c r="D808" s="151"/>
      <c r="E808" s="149"/>
      <c r="F808" s="151">
        <v>200</v>
      </c>
      <c r="G808" s="498">
        <v>118000</v>
      </c>
      <c r="H808" s="156">
        <v>63945</v>
      </c>
      <c r="I808" s="157">
        <f t="shared" si="16"/>
        <v>181945</v>
      </c>
    </row>
    <row r="809" spans="1:9" x14ac:dyDescent="0.25">
      <c r="A809" s="153" t="str">
        <f>IF(B809&gt;0,VLOOKUP(B809,КВСР!A336:B1501,2),IF(C809&gt;0,VLOOKUP(C809,КФСР!A336:B1848,2),IF(D809&gt;0,VLOOKUP(D809,Программа!A$1:B$5100,2),IF(F809&gt;0,VLOOKUP(F809,КВР!A$1:B$5001,2),IF(E809&gt;0,VLOOKUP(E809,Направление!A$1:B$4830,2))))))</f>
        <v>Непрограммные расходы бюджета</v>
      </c>
      <c r="B809" s="154"/>
      <c r="C809" s="149"/>
      <c r="D809" s="151" t="s">
        <v>624</v>
      </c>
      <c r="E809" s="149"/>
      <c r="F809" s="151"/>
      <c r="G809" s="498">
        <v>5339338</v>
      </c>
      <c r="H809" s="156">
        <f>H810+H812</f>
        <v>5378862</v>
      </c>
      <c r="I809" s="533">
        <f>I810+I812</f>
        <v>10718200</v>
      </c>
    </row>
    <row r="810" spans="1:9" ht="31.5" x14ac:dyDescent="0.25">
      <c r="A810" s="153" t="str">
        <f>IF(B810&gt;0,VLOOKUP(B810,КВСР!A337:B1502,2),IF(C810&gt;0,VLOOKUP(C810,КФСР!A337:B1849,2),IF(D810&gt;0,VLOOKUP(D810,Программа!A$1:B$5100,2),IF(F810&gt;0,VLOOKUP(F810,КВР!A$1:B$5001,2),IF(E810&gt;0,VLOOKUP(E810,Направление!A$1:B$4830,2))))))</f>
        <v>Выполнение других обязательств органов местного самоуправления</v>
      </c>
      <c r="B810" s="154"/>
      <c r="C810" s="149"/>
      <c r="D810" s="151"/>
      <c r="E810" s="149">
        <v>12080</v>
      </c>
      <c r="F810" s="151"/>
      <c r="G810" s="498">
        <v>116000</v>
      </c>
      <c r="H810" s="498">
        <f>H811</f>
        <v>115219</v>
      </c>
      <c r="I810" s="157">
        <f t="shared" si="16"/>
        <v>231219</v>
      </c>
    </row>
    <row r="811" spans="1:9" ht="63" x14ac:dyDescent="0.25">
      <c r="A811" s="153" t="str">
        <f>IF(B811&gt;0,VLOOKUP(B811,КВСР!A338:B1503,2),IF(C811&gt;0,VLOOKUP(C811,КФСР!A338:B1850,2),IF(D811&gt;0,VLOOKUP(D811,Программа!A$1:B$5100,2),IF(F811&gt;0,VLOOKUP(F811,КВР!A$1:B$5001,2),IF(E811&gt;0,VLOOKUP(E811,Направление!A$1:B$4830,2))))))</f>
        <v xml:space="preserve">Закупка товаров, работ и услуг для обеспечения государственных (муниципальных) нужд
</v>
      </c>
      <c r="B811" s="154"/>
      <c r="C811" s="149"/>
      <c r="D811" s="151"/>
      <c r="E811" s="149"/>
      <c r="F811" s="151">
        <v>200</v>
      </c>
      <c r="G811" s="498">
        <v>116000</v>
      </c>
      <c r="H811" s="156">
        <v>115219</v>
      </c>
      <c r="I811" s="157">
        <f t="shared" si="16"/>
        <v>231219</v>
      </c>
    </row>
    <row r="812" spans="1:9" ht="47.25" x14ac:dyDescent="0.25">
      <c r="A812" s="153" t="str">
        <f>IF(B812&gt;0,VLOOKUP(B812,КВСР!A339:B1504,2),IF(C812&gt;0,VLOOKUP(C812,КФСР!A339:B1851,2),IF(D812&gt;0,VLOOKUP(D812,Программа!A$1:B$5100,2),IF(F812&gt;0,VLOOKUP(F812,КВР!A$1:B$5001,2),IF(E812&gt;0,VLOOKUP(E812,Направление!A$1:B$4830,2))))))</f>
        <v>Обеспечение деятельности подведомственных учреждений органов местного самоуправления</v>
      </c>
      <c r="B812" s="154"/>
      <c r="C812" s="149"/>
      <c r="D812" s="151"/>
      <c r="E812" s="149">
        <v>12100</v>
      </c>
      <c r="F812" s="151"/>
      <c r="G812" s="498">
        <v>5223338</v>
      </c>
      <c r="H812" s="498">
        <f>H813+H814</f>
        <v>5263643</v>
      </c>
      <c r="I812" s="157">
        <f t="shared" si="16"/>
        <v>10486981</v>
      </c>
    </row>
    <row r="813" spans="1:9" ht="126" x14ac:dyDescent="0.25">
      <c r="A813" s="153" t="str">
        <f>IF(B813&gt;0,VLOOKUP(B813,КВСР!A340:B1505,2),IF(C813&gt;0,VLOOKUP(C813,КФСР!A340:B1852,2),IF(D813&gt;0,VLOOKUP(D813,Программа!A$1:B$5100,2),IF(F813&gt;0,VLOOKUP(F813,КВР!A$1:B$5001,2),IF(E813&gt;0,VLOOKUP(E813,Направление!A$1:B$4830,2))))))</f>
        <v xml:space="preserve">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
</v>
      </c>
      <c r="B813" s="154"/>
      <c r="C813" s="149"/>
      <c r="D813" s="151"/>
      <c r="E813" s="149"/>
      <c r="F813" s="151">
        <v>100</v>
      </c>
      <c r="G813" s="498">
        <v>3799168</v>
      </c>
      <c r="H813" s="156">
        <v>3896631</v>
      </c>
      <c r="I813" s="157">
        <f t="shared" si="16"/>
        <v>7695799</v>
      </c>
    </row>
    <row r="814" spans="1:9" ht="63" x14ac:dyDescent="0.25">
      <c r="A814" s="153" t="str">
        <f>IF(B814&gt;0,VLOOKUP(B814,КВСР!A341:B1506,2),IF(C814&gt;0,VLOOKUP(C814,КФСР!A341:B1853,2),IF(D814&gt;0,VLOOKUP(D814,Программа!A$1:B$5100,2),IF(F814&gt;0,VLOOKUP(F814,КВР!A$1:B$5001,2),IF(E814&gt;0,VLOOKUP(E814,Направление!A$1:B$4830,2))))))</f>
        <v xml:space="preserve">Закупка товаров, работ и услуг для обеспечения государственных (муниципальных) нужд
</v>
      </c>
      <c r="B814" s="154"/>
      <c r="C814" s="149"/>
      <c r="D814" s="151"/>
      <c r="E814" s="149"/>
      <c r="F814" s="151">
        <v>200</v>
      </c>
      <c r="G814" s="498">
        <v>1424170</v>
      </c>
      <c r="H814" s="156">
        <v>1367012</v>
      </c>
      <c r="I814" s="157">
        <f t="shared" si="16"/>
        <v>2791182</v>
      </c>
    </row>
    <row r="815" spans="1:9" ht="31.5" x14ac:dyDescent="0.25">
      <c r="A815" s="153" t="str">
        <f>IF(B815&gt;0,VLOOKUP(B815,КВСР!A334:B1499,2),IF(C815&gt;0,VLOOKUP(C815,КФСР!A334:B1846,2),IF(D815&gt;0,VLOOKUP(D815,Программа!A$1:B$5100,2),IF(F815&gt;0,VLOOKUP(F815,КВР!A$1:B$5001,2),IF(E815&gt;0,VLOOKUP(E815,Направление!A$1:B$4830,2))))))</f>
        <v>Мобилизационная и вневойсковая подготовка</v>
      </c>
      <c r="B815" s="154"/>
      <c r="C815" s="149">
        <v>203</v>
      </c>
      <c r="D815" s="150"/>
      <c r="E815" s="149"/>
      <c r="F815" s="151"/>
      <c r="G815" s="500">
        <v>739697</v>
      </c>
      <c r="H815" s="155">
        <f>H816</f>
        <v>739697</v>
      </c>
      <c r="I815" s="157">
        <f t="shared" si="16"/>
        <v>1479394</v>
      </c>
    </row>
    <row r="816" spans="1:9" ht="31.5" x14ac:dyDescent="0.25">
      <c r="A816" s="153" t="str">
        <f>IF(B816&gt;0,VLOOKUP(B816,КВСР!A335:B1500,2),IF(C816&gt;0,VLOOKUP(C816,КФСР!A335:B1847,2),IF(D816&gt;0,VLOOKUP(D816,Программа!A$1:B$5100,2),IF(F816&gt;0,VLOOKUP(F816,КВР!A$1:B$5001,2),IF(E816&gt;0,VLOOKUP(E816,Направление!A$1:B$4830,2))))))</f>
        <v>Межбюджетные трансферты  поселениям района</v>
      </c>
      <c r="B816" s="154"/>
      <c r="C816" s="149"/>
      <c r="D816" s="150" t="s">
        <v>799</v>
      </c>
      <c r="E816" s="149"/>
      <c r="F816" s="151"/>
      <c r="G816" s="500">
        <v>739697</v>
      </c>
      <c r="H816" s="155">
        <f>H817</f>
        <v>739697</v>
      </c>
      <c r="I816" s="157">
        <f t="shared" si="16"/>
        <v>1479394</v>
      </c>
    </row>
    <row r="817" spans="1:9" ht="63" x14ac:dyDescent="0.25">
      <c r="A817" s="153" t="str">
        <f>IF(B817&gt;0,VLOOKUP(B817,КВСР!A336:B1501,2),IF(C817&gt;0,VLOOKUP(C817,КФСР!A336:B1848,2),IF(D817&gt;0,VLOOKUP(D817,Программа!A$1:B$5100,2),IF(F817&gt;0,VLOOKUP(F817,КВР!A$1:B$5001,2),IF(E817&gt;0,VLOOKUP(E817,Направление!A$1:B$4830,2))))))</f>
        <v>Субвенция  на осуществление первичного воинского учета на территориях, где отсутствуют военные комиссариаты</v>
      </c>
      <c r="B817" s="154"/>
      <c r="C817" s="149"/>
      <c r="D817" s="150"/>
      <c r="E817" s="149">
        <v>51180</v>
      </c>
      <c r="F817" s="151"/>
      <c r="G817" s="500">
        <v>739697</v>
      </c>
      <c r="H817" s="155">
        <f>H818</f>
        <v>739697</v>
      </c>
      <c r="I817" s="157">
        <f t="shared" si="16"/>
        <v>1479394</v>
      </c>
    </row>
    <row r="818" spans="1:9" x14ac:dyDescent="0.25">
      <c r="A818" s="153" t="str">
        <f>IF(B818&gt;0,VLOOKUP(B818,КВСР!A337:B1502,2),IF(C818&gt;0,VLOOKUP(C818,КФСР!A337:B1849,2),IF(D818&gt;0,VLOOKUP(D818,Программа!A$1:B$5100,2),IF(F818&gt;0,VLOOKUP(F818,КВР!A$1:B$5001,2),IF(E818&gt;0,VLOOKUP(E818,Направление!A$1:B$4830,2))))))</f>
        <v xml:space="preserve"> Межбюджетные трансферты</v>
      </c>
      <c r="B818" s="154"/>
      <c r="C818" s="149"/>
      <c r="D818" s="151"/>
      <c r="E818" s="149"/>
      <c r="F818" s="151">
        <v>500</v>
      </c>
      <c r="G818" s="498">
        <v>739697</v>
      </c>
      <c r="H818" s="156">
        <v>739697</v>
      </c>
      <c r="I818" s="157">
        <f t="shared" si="16"/>
        <v>1479394</v>
      </c>
    </row>
    <row r="819" spans="1:9" ht="47.25" x14ac:dyDescent="0.25">
      <c r="A819" s="153" t="str">
        <f>IF(B819&gt;0,VLOOKUP(B819,КВСР!A338:B1503,2),IF(C819&gt;0,VLOOKUP(C819,КФСР!A338:B1850,2),IF(D819&gt;0,VLOOKUP(D819,Программа!A$1:B$5100,2),IF(F819&gt;0,VLOOKUP(F819,КВР!A$1:B$5001,2),IF(E819&gt;0,VLOOKUP(E819,Направление!A$1:B$4830,2))))))</f>
        <v>Обслуживание внутреннего государственного и муниципального долга</v>
      </c>
      <c r="B819" s="154"/>
      <c r="C819" s="149">
        <v>1301</v>
      </c>
      <c r="D819" s="150"/>
      <c r="E819" s="149"/>
      <c r="F819" s="151"/>
      <c r="G819" s="606">
        <v>1561813</v>
      </c>
      <c r="H819" s="606">
        <f>H820</f>
        <v>926068</v>
      </c>
      <c r="I819" s="157">
        <f t="shared" si="16"/>
        <v>2487881</v>
      </c>
    </row>
    <row r="820" spans="1:9" x14ac:dyDescent="0.25">
      <c r="A820" s="153" t="str">
        <f>IF(B820&gt;0,VLOOKUP(B820,КВСР!A339:B1504,2),IF(C820&gt;0,VLOOKUP(C820,КФСР!A339:B1851,2),IF(D820&gt;0,VLOOKUP(D820,Программа!A$1:B$5100,2),IF(F820&gt;0,VLOOKUP(F820,КВР!A$1:B$5001,2),IF(E820&gt;0,VLOOKUP(E820,Направление!A$1:B$4830,2))))))</f>
        <v>Непрограммные расходы бюджета</v>
      </c>
      <c r="B820" s="154"/>
      <c r="C820" s="149"/>
      <c r="D820" s="150" t="s">
        <v>624</v>
      </c>
      <c r="E820" s="149"/>
      <c r="F820" s="151"/>
      <c r="G820" s="606">
        <v>1561813</v>
      </c>
      <c r="H820" s="606">
        <f>H821</f>
        <v>926068</v>
      </c>
      <c r="I820" s="157">
        <f t="shared" si="16"/>
        <v>2487881</v>
      </c>
    </row>
    <row r="821" spans="1:9" ht="31.5" x14ac:dyDescent="0.25">
      <c r="A821" s="153" t="str">
        <f>IF(B821&gt;0,VLOOKUP(B821,КВСР!A340:B1505,2),IF(C821&gt;0,VLOOKUP(C821,КФСР!A340:B1852,2),IF(D821&gt;0,VLOOKUP(D821,Программа!A$1:B$5100,2),IF(F821&gt;0,VLOOKUP(F821,КВР!A$1:B$5001,2),IF(E821&gt;0,VLOOKUP(E821,Направление!A$1:B$4830,2))))))</f>
        <v>Процентные платежи по обслуживанию муниципального долга</v>
      </c>
      <c r="B821" s="154"/>
      <c r="C821" s="149"/>
      <c r="D821" s="150"/>
      <c r="E821" s="149">
        <v>12800</v>
      </c>
      <c r="F821" s="151"/>
      <c r="G821" s="606">
        <v>1561813</v>
      </c>
      <c r="H821" s="157">
        <f>H822</f>
        <v>926068</v>
      </c>
      <c r="I821" s="157">
        <f t="shared" si="16"/>
        <v>2487881</v>
      </c>
    </row>
    <row r="822" spans="1:9" ht="31.5" x14ac:dyDescent="0.25">
      <c r="A822" s="153" t="str">
        <f>IF(B822&gt;0,VLOOKUP(B822,КВСР!A341:B1506,2),IF(C822&gt;0,VLOOKUP(C822,КФСР!A341:B1853,2),IF(D822&gt;0,VLOOKUP(D822,Программа!A$1:B$5100,2),IF(F822&gt;0,VLOOKUP(F822,КВР!A$1:B$5001,2),IF(E822&gt;0,VLOOKUP(E822,Направление!A$1:B$4830,2))))))</f>
        <v>Обслуживание государственного долга Российской Федерации</v>
      </c>
      <c r="B822" s="154"/>
      <c r="C822" s="149"/>
      <c r="D822" s="151"/>
      <c r="E822" s="149"/>
      <c r="F822" s="151">
        <v>700</v>
      </c>
      <c r="G822" s="498">
        <v>1561813</v>
      </c>
      <c r="H822" s="156">
        <v>926068</v>
      </c>
      <c r="I822" s="157">
        <f t="shared" si="16"/>
        <v>2487881</v>
      </c>
    </row>
    <row r="823" spans="1:9" ht="63" x14ac:dyDescent="0.25">
      <c r="A823" s="153" t="str">
        <f>IF(B823&gt;0,VLOOKUP(B823,КВСР!A342:B1507,2),IF(C823&gt;0,VLOOKUP(C823,КФСР!A342:B1854,2),IF(D823&gt;0,VLOOKUP(D823,Программа!A$1:B$5100,2),IF(F823&gt;0,VLOOKUP(F823,КВР!A$1:B$5001,2),IF(E823&gt;0,VLOOKUP(E823,Направление!A$1:B$4830,2))))))</f>
        <v>Дотации на выравнивание бюджетной обеспеченности субъектов Российской Федерации и муниципальных образований</v>
      </c>
      <c r="B823" s="154"/>
      <c r="C823" s="149">
        <v>1401</v>
      </c>
      <c r="D823" s="150"/>
      <c r="E823" s="149"/>
      <c r="F823" s="151"/>
      <c r="G823" s="606">
        <v>41703000</v>
      </c>
      <c r="H823" s="606">
        <f>H824</f>
        <v>41703000</v>
      </c>
      <c r="I823" s="157">
        <f t="shared" si="16"/>
        <v>83406000</v>
      </c>
    </row>
    <row r="824" spans="1:9" ht="31.5" x14ac:dyDescent="0.25">
      <c r="A824" s="153" t="str">
        <f>IF(B824&gt;0,VLOOKUP(B824,КВСР!A343:B1508,2),IF(C824&gt;0,VLOOKUP(C824,КФСР!A343:B1855,2),IF(D824&gt;0,VLOOKUP(D824,Программа!A$1:B$5100,2),IF(F824&gt;0,VLOOKUP(F824,КВР!A$1:B$5001,2),IF(E824&gt;0,VLOOKUP(E824,Направление!A$1:B$4830,2))))))</f>
        <v>Межбюджетные трансферты  поселениям района</v>
      </c>
      <c r="B824" s="154"/>
      <c r="C824" s="149"/>
      <c r="D824" s="150" t="s">
        <v>799</v>
      </c>
      <c r="E824" s="149"/>
      <c r="F824" s="151"/>
      <c r="G824" s="606">
        <v>41703000</v>
      </c>
      <c r="H824" s="606">
        <f>H825+H827</f>
        <v>41703000</v>
      </c>
      <c r="I824" s="157">
        <f t="shared" si="16"/>
        <v>83406000</v>
      </c>
    </row>
    <row r="825" spans="1:9" ht="47.25" x14ac:dyDescent="0.25">
      <c r="A825" s="153" t="str">
        <f>IF(B825&gt;0,VLOOKUP(B825,КВСР!A347:B1512,2),IF(C825&gt;0,VLOOKUP(C825,КФСР!A347:B1859,2),IF(D825&gt;0,VLOOKUP(D825,Программа!A$1:B$5100,2),IF(F825&gt;0,VLOOKUP(F825,КВР!A$1:B$5001,2),IF(E825&gt;0,VLOOKUP(E825,Направление!A$1:B$4830,2))))))</f>
        <v>Дотации поселениям района  на выравнивание бюджетной обеспеченности</v>
      </c>
      <c r="B825" s="154"/>
      <c r="C825" s="149"/>
      <c r="D825" s="150"/>
      <c r="E825" s="149">
        <v>10800</v>
      </c>
      <c r="F825" s="151"/>
      <c r="G825" s="606">
        <v>300000</v>
      </c>
      <c r="H825" s="157">
        <f>H826</f>
        <v>300000</v>
      </c>
      <c r="I825" s="157">
        <f t="shared" si="16"/>
        <v>600000</v>
      </c>
    </row>
    <row r="826" spans="1:9" x14ac:dyDescent="0.25">
      <c r="A826" s="153" t="str">
        <f>IF(B826&gt;0,VLOOKUP(B826,КВСР!A348:B1513,2),IF(C826&gt;0,VLOOKUP(C826,КФСР!A348:B1860,2),IF(D826&gt;0,VLOOKUP(D826,Программа!A$1:B$5100,2),IF(F826&gt;0,VLOOKUP(F826,КВР!A$1:B$5001,2),IF(E826&gt;0,VLOOKUP(E826,Направление!A$1:B$4830,2))))))</f>
        <v xml:space="preserve"> Межбюджетные трансферты</v>
      </c>
      <c r="B826" s="154"/>
      <c r="C826" s="149"/>
      <c r="D826" s="151"/>
      <c r="E826" s="149"/>
      <c r="F826" s="151">
        <v>500</v>
      </c>
      <c r="G826" s="516">
        <v>300000</v>
      </c>
      <c r="H826" s="158">
        <v>300000</v>
      </c>
      <c r="I826" s="157">
        <f t="shared" si="16"/>
        <v>600000</v>
      </c>
    </row>
    <row r="827" spans="1:9" ht="47.25" x14ac:dyDescent="0.25">
      <c r="A827" s="153" t="str">
        <f>IF(B827&gt;0,VLOOKUP(B827,КВСР!A350:B1515,2),IF(C827&gt;0,VLOOKUP(C827,КФСР!A350:B1862,2),IF(D827&gt;0,VLOOKUP(D827,Программа!A$1:B$5100,2),IF(F827&gt;0,VLOOKUP(F827,КВР!A$1:B$5001,2),IF(E827&gt;0,VLOOKUP(E827,Направление!A$1:B$4830,2))))))</f>
        <v>Дотации поселениям Ярославской области на выравнивание бюджетной обеспеченности</v>
      </c>
      <c r="B827" s="154"/>
      <c r="C827" s="149"/>
      <c r="D827" s="150"/>
      <c r="E827" s="149">
        <v>72970</v>
      </c>
      <c r="F827" s="151"/>
      <c r="G827" s="606">
        <v>41403000</v>
      </c>
      <c r="H827" s="157">
        <f>H828</f>
        <v>41403000</v>
      </c>
      <c r="I827" s="157">
        <f t="shared" si="16"/>
        <v>82806000</v>
      </c>
    </row>
    <row r="828" spans="1:9" x14ac:dyDescent="0.25">
      <c r="A828" s="153" t="str">
        <f>IF(B828&gt;0,VLOOKUP(B828,КВСР!A351:B1516,2),IF(C828&gt;0,VLOOKUP(C828,КФСР!A351:B1863,2),IF(D828&gt;0,VLOOKUP(D828,Программа!A$1:B$5100,2),IF(F828&gt;0,VLOOKUP(F828,КВР!A$1:B$5001,2),IF(E828&gt;0,VLOOKUP(E828,Направление!A$1:B$4830,2))))))</f>
        <v xml:space="preserve"> Межбюджетные трансферты</v>
      </c>
      <c r="B828" s="154"/>
      <c r="C828" s="149"/>
      <c r="D828" s="151"/>
      <c r="E828" s="149"/>
      <c r="F828" s="151">
        <v>500</v>
      </c>
      <c r="G828" s="516">
        <v>41403000</v>
      </c>
      <c r="H828" s="158">
        <v>41403000</v>
      </c>
      <c r="I828" s="157">
        <f t="shared" si="16"/>
        <v>82806000</v>
      </c>
    </row>
    <row r="829" spans="1:9" x14ac:dyDescent="0.25">
      <c r="A829" s="153" t="str">
        <f>IF(B829&gt;0,VLOOKUP(B829,КВСР!A352:B1517,2),IF(C829&gt;0,VLOOKUP(C829,КФСР!A352:B1864,2),IF(D829&gt;0,VLOOKUP(D829,Программа!A$1:B$5100,2),IF(F829&gt;0,VLOOKUP(F829,КВР!A$1:B$5001,2),IF(E829&gt;0,VLOOKUP(E829,Направление!A$1:B$4830,2))))))</f>
        <v>Иные дотации</v>
      </c>
      <c r="B829" s="154"/>
      <c r="C829" s="149">
        <v>1402</v>
      </c>
      <c r="D829" s="151"/>
      <c r="E829" s="149"/>
      <c r="F829" s="151"/>
      <c r="G829" s="516">
        <v>4526075</v>
      </c>
      <c r="H829" s="516">
        <f t="shared" ref="H829:I831" si="17">H830</f>
        <v>4520998</v>
      </c>
      <c r="I829" s="516">
        <f t="shared" si="17"/>
        <v>9047073</v>
      </c>
    </row>
    <row r="830" spans="1:9" ht="31.5" x14ac:dyDescent="0.25">
      <c r="A830" s="153" t="str">
        <f>IF(B830&gt;0,VLOOKUP(B830,КВСР!A353:B1518,2),IF(C830&gt;0,VLOOKUP(C830,КФСР!A353:B1865,2),IF(D830&gt;0,VLOOKUP(D830,Программа!A$1:B$5100,2),IF(F830&gt;0,VLOOKUP(F830,КВР!A$1:B$5001,2),IF(E830&gt;0,VLOOKUP(E830,Направление!A$1:B$4830,2))))))</f>
        <v>Межбюджетные трансферты  поселениям района</v>
      </c>
      <c r="B830" s="154"/>
      <c r="C830" s="149"/>
      <c r="D830" s="151" t="s">
        <v>799</v>
      </c>
      <c r="E830" s="149"/>
      <c r="F830" s="151"/>
      <c r="G830" s="516">
        <v>4526075</v>
      </c>
      <c r="H830" s="516">
        <f t="shared" si="17"/>
        <v>4520998</v>
      </c>
      <c r="I830" s="516">
        <f t="shared" si="17"/>
        <v>9047073</v>
      </c>
    </row>
    <row r="831" spans="1:9" x14ac:dyDescent="0.25">
      <c r="A831" s="153" t="str">
        <f>IF(B831&gt;0,VLOOKUP(B831,КВСР!A354:B1519,2),IF(C831&gt;0,VLOOKUP(C831,КФСР!A354:B1866,2),IF(D831&gt;0,VLOOKUP(D831,Программа!A$1:B$5100,2),IF(F831&gt;0,VLOOKUP(F831,КВР!A$1:B$5001,2),IF(E831&gt;0,VLOOKUP(E831,Направление!A$1:B$4830,2))))))</f>
        <v xml:space="preserve">Иная дотация </v>
      </c>
      <c r="B831" s="154"/>
      <c r="C831" s="149"/>
      <c r="D831" s="151"/>
      <c r="E831" s="149">
        <v>73260</v>
      </c>
      <c r="F831" s="151"/>
      <c r="G831" s="516">
        <v>4526075</v>
      </c>
      <c r="H831" s="516">
        <f t="shared" si="17"/>
        <v>4520998</v>
      </c>
      <c r="I831" s="516">
        <f t="shared" si="17"/>
        <v>9047073</v>
      </c>
    </row>
    <row r="832" spans="1:9" x14ac:dyDescent="0.25">
      <c r="A832" s="153" t="str">
        <f>IF(B832&gt;0,VLOOKUP(B832,КВСР!A355:B1520,2),IF(C832&gt;0,VLOOKUP(C832,КФСР!A355:B1867,2),IF(D832&gt;0,VLOOKUP(D832,Программа!A$1:B$5100,2),IF(F832&gt;0,VLOOKUP(F832,КВР!A$1:B$5001,2),IF(E832&gt;0,VLOOKUP(E832,Направление!A$1:B$4830,2))))))</f>
        <v xml:space="preserve"> Межбюджетные трансферты</v>
      </c>
      <c r="B832" s="154"/>
      <c r="C832" s="149"/>
      <c r="D832" s="151"/>
      <c r="E832" s="149"/>
      <c r="F832" s="151">
        <v>500</v>
      </c>
      <c r="G832" s="516">
        <v>4526075</v>
      </c>
      <c r="H832" s="158">
        <v>4520998</v>
      </c>
      <c r="I832" s="157">
        <f>SUM(G832:H832)</f>
        <v>9047073</v>
      </c>
    </row>
    <row r="833" spans="1:9" ht="47.25" x14ac:dyDescent="0.25">
      <c r="A833" s="147" t="str">
        <f>IF(B833&gt;0,VLOOKUP(B833,КВСР!A352:B1517,2),IF(C833&gt;0,VLOOKUP(C833,КФСР!A352:B1864,2),IF(D833&gt;0,VLOOKUP(D833,Программа!A$1:B$5100,2),IF(F833&gt;0,VLOOKUP(F833,КВР!A$1:B$5001,2),IF(E833&gt;0,VLOOKUP(E833,Направление!A$1:B$4830,2))))))</f>
        <v>Департамент культуры, туризма и молодежной политики Администрации ТМР</v>
      </c>
      <c r="B833" s="148">
        <v>956</v>
      </c>
      <c r="C833" s="149"/>
      <c r="D833" s="150"/>
      <c r="E833" s="149"/>
      <c r="F833" s="151"/>
      <c r="G833" s="605">
        <v>189260239</v>
      </c>
      <c r="H833" s="152">
        <f>H834+H843+H862+H877+H914+H962+H1010+H839</f>
        <v>187513567</v>
      </c>
      <c r="I833" s="620">
        <f t="shared" si="16"/>
        <v>376773806</v>
      </c>
    </row>
    <row r="834" spans="1:9" ht="47.25" x14ac:dyDescent="0.25">
      <c r="A834" s="153" t="str">
        <f>IF(B834&gt;0,VLOOKUP(B834,КВСР!A347:B1512,2),IF(C834&gt;0,VLOOKUP(C834,КФСР!A347:B1859,2),IF(D834&gt;0,VLOOKUP(D834,Программа!A$1:B$5100,2),IF(F834&gt;0,VLOOKUP(F834,КВР!A$1:B$5001,2),IF(E834&gt;0,VLOOKUP(E834,Направление!A$1:B$4830,2))))))</f>
        <v>Другие вопросы в области национальной безопасности и правоохранительной деятельности</v>
      </c>
      <c r="B834" s="148"/>
      <c r="C834" s="149">
        <v>314</v>
      </c>
      <c r="D834" s="150"/>
      <c r="E834" s="149"/>
      <c r="F834" s="151"/>
      <c r="G834" s="688">
        <v>150000</v>
      </c>
      <c r="H834" s="688">
        <f>H835</f>
        <v>150000</v>
      </c>
      <c r="I834" s="157">
        <f t="shared" si="16"/>
        <v>300000</v>
      </c>
    </row>
    <row r="835" spans="1:9" ht="63" x14ac:dyDescent="0.25">
      <c r="A835" s="153" t="str">
        <f>IF(B835&gt;0,VLOOKUP(B835,КВСР!A348:B1513,2),IF(C835&gt;0,VLOOKUP(C835,КФСР!A348:B1860,2),IF(D835&gt;0,VLOOKUP(D835,Программа!A$1:B$5100,2),IF(F835&gt;0,VLOOKUP(F835,КВР!A$1:B$5001,2),IF(E835&gt;0,VLOOKUP(E835,Направление!A$1:B$4830,2))))))</f>
        <v>Муниципальная программа "Профилактика правонарушений и усиление борьбы с преступностью в Тутаевском муниципальном районе"</v>
      </c>
      <c r="B835" s="148"/>
      <c r="C835" s="149"/>
      <c r="D835" s="150" t="s">
        <v>746</v>
      </c>
      <c r="E835" s="149"/>
      <c r="F835" s="151"/>
      <c r="G835" s="688">
        <v>150000</v>
      </c>
      <c r="H835" s="688">
        <f>H836</f>
        <v>150000</v>
      </c>
      <c r="I835" s="157">
        <f t="shared" si="16"/>
        <v>300000</v>
      </c>
    </row>
    <row r="836" spans="1:9" ht="31.5" x14ac:dyDescent="0.25">
      <c r="A836" s="153" t="str">
        <f>IF(B836&gt;0,VLOOKUP(B836,КВСР!A349:B1514,2),IF(C836&gt;0,VLOOKUP(C836,КФСР!A349:B1861,2),IF(D836&gt;0,VLOOKUP(D836,Программа!A$1:B$5100,2),IF(F836&gt;0,VLOOKUP(F836,КВР!A$1:B$5001,2),IF(E836&gt;0,VLOOKUP(E836,Направление!A$1:B$4830,2))))))</f>
        <v>Реализация мероприятий по профилактике правонарушений</v>
      </c>
      <c r="B836" s="148"/>
      <c r="C836" s="149"/>
      <c r="D836" s="150" t="s">
        <v>748</v>
      </c>
      <c r="E836" s="149"/>
      <c r="F836" s="151"/>
      <c r="G836" s="688">
        <v>150000</v>
      </c>
      <c r="H836" s="688">
        <f>H837</f>
        <v>150000</v>
      </c>
      <c r="I836" s="157">
        <f t="shared" si="16"/>
        <v>300000</v>
      </c>
    </row>
    <row r="837" spans="1:9" ht="31.5" x14ac:dyDescent="0.25">
      <c r="A837" s="153" t="str">
        <f>IF(B837&gt;0,VLOOKUP(B837,КВСР!A350:B1515,2),IF(C837&gt;0,VLOOKUP(C837,КФСР!A350:B1862,2),IF(D837&gt;0,VLOOKUP(D837,Программа!A$1:B$5100,2),IF(F837&gt;0,VLOOKUP(F837,КВР!A$1:B$5001,2),IF(E837&gt;0,VLOOKUP(E837,Направление!A$1:B$4830,2))))))</f>
        <v>Обеспечение деятельности народных дружин</v>
      </c>
      <c r="B837" s="148"/>
      <c r="C837" s="149"/>
      <c r="D837" s="150"/>
      <c r="E837" s="149">
        <v>29486</v>
      </c>
      <c r="F837" s="151"/>
      <c r="G837" s="688">
        <v>150000</v>
      </c>
      <c r="H837" s="688">
        <f>H838</f>
        <v>150000</v>
      </c>
      <c r="I837" s="157">
        <f t="shared" si="16"/>
        <v>300000</v>
      </c>
    </row>
    <row r="838" spans="1:9" ht="63" x14ac:dyDescent="0.25">
      <c r="A838" s="153" t="str">
        <f>IF(B838&gt;0,VLOOKUP(B838,КВСР!A351:B1516,2),IF(C838&gt;0,VLOOKUP(C838,КФСР!A351:B1863,2),IF(D838&gt;0,VLOOKUP(D838,Программа!A$1:B$5100,2),IF(F838&gt;0,VLOOKUP(F838,КВР!A$1:B$5001,2),IF(E838&gt;0,VLOOKUP(E838,Направление!A$1:B$4830,2))))))</f>
        <v>Предоставление субсидий бюджетным, автономным учреждениям и иным некоммерческим организациям</v>
      </c>
      <c r="B838" s="148"/>
      <c r="C838" s="149"/>
      <c r="D838" s="150"/>
      <c r="E838" s="149"/>
      <c r="F838" s="151">
        <v>600</v>
      </c>
      <c r="G838" s="688">
        <v>150000</v>
      </c>
      <c r="H838" s="689">
        <v>150000</v>
      </c>
      <c r="I838" s="157">
        <f t="shared" si="16"/>
        <v>300000</v>
      </c>
    </row>
    <row r="839" spans="1:9" ht="31.5" x14ac:dyDescent="0.25">
      <c r="A839" s="153" t="str">
        <f>IF(B839&gt;0,VLOOKUP(B839,КВСР!A352:B1517,2),IF(C839&gt;0,VLOOKUP(C839,КФСР!A352:B1864,2),IF(D839&gt;0,VLOOKUP(D839,Программа!A$1:B$5100,2),IF(F839&gt;0,VLOOKUP(F839,КВР!A$1:B$5001,2),IF(E839&gt;0,VLOOKUP(E839,Направление!A$1:B$4830,2))))))</f>
        <v>Другие вопросы в области национальной экономики</v>
      </c>
      <c r="B839" s="148"/>
      <c r="C839" s="149">
        <v>412</v>
      </c>
      <c r="D839" s="150"/>
      <c r="E839" s="149"/>
      <c r="F839" s="151"/>
      <c r="G839" s="688">
        <v>1509822</v>
      </c>
      <c r="H839" s="689">
        <f>H840</f>
        <v>1509822</v>
      </c>
      <c r="I839" s="689">
        <f>I840</f>
        <v>3019644</v>
      </c>
    </row>
    <row r="840" spans="1:9" ht="31.5" x14ac:dyDescent="0.25">
      <c r="A840" s="153" t="str">
        <f>IF(B840&gt;0,VLOOKUP(B840,КВСР!A353:B1518,2),IF(C840&gt;0,VLOOKUP(C840,КФСР!A353:B1865,2),IF(D840&gt;0,VLOOKUP(D840,Программа!A$1:B$5100,2),IF(F840&gt;0,VLOOKUP(F840,КВР!A$1:B$5001,2),IF(E840&gt;0,VLOOKUP(E840,Направление!A$1:B$4830,2))))))</f>
        <v>Межбюджетные трансферты  поселениям района</v>
      </c>
      <c r="B840" s="148"/>
      <c r="C840" s="149"/>
      <c r="D840" s="150" t="s">
        <v>799</v>
      </c>
      <c r="E840" s="149"/>
      <c r="F840" s="151"/>
      <c r="G840" s="688">
        <v>1509822</v>
      </c>
      <c r="H840" s="689">
        <f>H841</f>
        <v>1509822</v>
      </c>
      <c r="I840" s="689">
        <f>I841</f>
        <v>3019644</v>
      </c>
    </row>
    <row r="841" spans="1:9" ht="78.75" x14ac:dyDescent="0.25">
      <c r="A841" s="153" t="str">
        <f>IF(B841&gt;0,VLOOKUP(B841,КВСР!A354:B1519,2),IF(C841&gt;0,VLOOKUP(C841,КФСР!A354:B1866,2),IF(D841&gt;0,VLOOKUP(D841,Программа!A$1:B$5100,2),IF(F841&gt;0,VLOOKUP(F841,КВР!A$1:B$5001,2),IF(E841&gt;0,VLOOKUP(E841,Направление!A$1:B$4830,2))))))</f>
        <v>Субсидия на реализацию мероприятий по созданию условий для развития инфраструктуры досуга и отдыха на территории муниципальных образований Ярославской области</v>
      </c>
      <c r="B841" s="148"/>
      <c r="C841" s="149"/>
      <c r="D841" s="150"/>
      <c r="E841" s="149">
        <v>71750</v>
      </c>
      <c r="F841" s="151"/>
      <c r="G841" s="688">
        <v>1509822</v>
      </c>
      <c r="H841" s="688">
        <f>H842</f>
        <v>1509822</v>
      </c>
      <c r="I841" s="157">
        <f>SUM(G841:H841)</f>
        <v>3019644</v>
      </c>
    </row>
    <row r="842" spans="1:9" x14ac:dyDescent="0.25">
      <c r="A842" s="153" t="str">
        <f>IF(B842&gt;0,VLOOKUP(B842,КВСР!A355:B1520,2),IF(C842&gt;0,VLOOKUP(C842,КФСР!A355:B1867,2),IF(D842&gt;0,VLOOKUP(D842,Программа!A$1:B$5100,2),IF(F842&gt;0,VLOOKUP(F842,КВР!A$1:B$5001,2),IF(E842&gt;0,VLOOKUP(E842,Направление!A$1:B$4830,2))))))</f>
        <v xml:space="preserve"> Межбюджетные трансферты</v>
      </c>
      <c r="B842" s="148"/>
      <c r="C842" s="149"/>
      <c r="D842" s="150"/>
      <c r="E842" s="149"/>
      <c r="F842" s="151">
        <v>500</v>
      </c>
      <c r="G842" s="688">
        <v>1509822</v>
      </c>
      <c r="H842" s="710">
        <v>1509822</v>
      </c>
      <c r="I842" s="157">
        <f>SUM(G842:H842)</f>
        <v>3019644</v>
      </c>
    </row>
    <row r="843" spans="1:9" x14ac:dyDescent="0.25">
      <c r="A843" s="153" t="str">
        <f>IF(B843&gt;0,VLOOKUP(B843,КВСР!A353:B1518,2),IF(C843&gt;0,VLOOKUP(C843,КФСР!A353:B1865,2),IF(D843&gt;0,VLOOKUP(D843,Программа!A$1:B$5100,2),IF(F843&gt;0,VLOOKUP(F843,КВР!A$1:B$5001,2),IF(E843&gt;0,VLOOKUP(E843,Направление!A$1:B$4830,2))))))</f>
        <v>Благоустройство</v>
      </c>
      <c r="B843" s="148"/>
      <c r="C843" s="149">
        <v>503</v>
      </c>
      <c r="D843" s="151"/>
      <c r="E843" s="149"/>
      <c r="F843" s="151"/>
      <c r="G843" s="164">
        <v>4391363</v>
      </c>
      <c r="H843" s="164">
        <f>H844+H857</f>
        <v>4264807</v>
      </c>
      <c r="I843" s="157">
        <f>SUM(G843:H843)</f>
        <v>8656170</v>
      </c>
    </row>
    <row r="844" spans="1:9" ht="63" x14ac:dyDescent="0.25">
      <c r="A844" s="153" t="str">
        <f>IF(B844&gt;0,VLOOKUP(B844,КВСР!A354:B1519,2),IF(C844&gt;0,VLOOKUP(C844,КФСР!A354:B1866,2),IF(D844&gt;0,VLOOKUP(D844,Программа!A$1:B$5100,2),IF(F844&gt;0,VLOOKUP(F844,КВР!A$1:B$5001,2),IF(E844&gt;0,VLOOKUP(E844,Направление!A$1:B$4830,2))))))</f>
        <v>Муниципальная программа  "Развитие культуры, туризма и молодежной политики в Тутаевском муниципальном районе"</v>
      </c>
      <c r="B844" s="148"/>
      <c r="C844" s="149"/>
      <c r="D844" s="151" t="s">
        <v>714</v>
      </c>
      <c r="E844" s="149"/>
      <c r="F844" s="151"/>
      <c r="G844" s="164">
        <v>3994363</v>
      </c>
      <c r="H844" s="164">
        <f>H845+H852</f>
        <v>3921177</v>
      </c>
      <c r="I844" s="157">
        <f t="shared" si="16"/>
        <v>7915540</v>
      </c>
    </row>
    <row r="845" spans="1:9" ht="94.5" x14ac:dyDescent="0.25">
      <c r="A845" s="153" t="str">
        <f>IF(B845&gt;0,VLOOKUP(B845,КВСР!A355:B1520,2),IF(C845&gt;0,VLOOKUP(C845,КФСР!A355:B1867,2),IF(D845&gt;0,VLOOKUP(D845,Программа!A$1:B$5100,2),IF(F845&gt;0,VLOOKUP(F845,КВР!A$1:B$5001,2),IF(E845&gt;0,VLOOKUP(E845,Направление!A$1:B$4830,2))))))</f>
        <v>Муниципальная целевая программа «Патриотическое воспитание граждан Российской Федерации, проживающих на территории Тутаевского муниципального района Ярославской области»</v>
      </c>
      <c r="B845" s="148"/>
      <c r="C845" s="149"/>
      <c r="D845" s="150" t="s">
        <v>716</v>
      </c>
      <c r="E845" s="149"/>
      <c r="F845" s="151"/>
      <c r="G845" s="164">
        <v>1673917</v>
      </c>
      <c r="H845" s="164">
        <f>H846</f>
        <v>1611925</v>
      </c>
      <c r="I845" s="157">
        <f t="shared" si="16"/>
        <v>3285842</v>
      </c>
    </row>
    <row r="846" spans="1:9" ht="78.75" x14ac:dyDescent="0.25">
      <c r="A846" s="153" t="str">
        <f>IF(B846&gt;0,VLOOKUP(B846,КВСР!A356:B1521,2),IF(C846&gt;0,VLOOKUP(C846,КФСР!A356:B1868,2),IF(D846&gt;0,VLOOKUP(D846,Программа!A$1:B$5100,2),IF(F846&gt;0,VLOOKUP(F846,КВР!A$1:B$5001,2),IF(E846&gt;0,VLOOKUP(E846,Направление!A$1:B$4830,2))))))</f>
        <v>Координирование деятельности, совершенствование организационного, методического и информационного функционирования системы патриотического воспитания</v>
      </c>
      <c r="B846" s="148"/>
      <c r="C846" s="149"/>
      <c r="D846" s="150" t="s">
        <v>718</v>
      </c>
      <c r="E846" s="149"/>
      <c r="F846" s="151"/>
      <c r="G846" s="164">
        <v>1673917</v>
      </c>
      <c r="H846" s="164">
        <f>H847+H849</f>
        <v>1611925</v>
      </c>
      <c r="I846" s="157">
        <f t="shared" si="16"/>
        <v>3285842</v>
      </c>
    </row>
    <row r="847" spans="1:9" ht="47.25" x14ac:dyDescent="0.25">
      <c r="A847" s="153" t="str">
        <f>IF(B847&gt;0,VLOOKUP(B847,КВСР!A357:B1522,2),IF(C847&gt;0,VLOOKUP(C847,КФСР!A357:B1869,2),IF(D847&gt;0,VLOOKUP(D847,Программа!A$1:B$5100,2),IF(F847&gt;0,VLOOKUP(F847,КВР!A$1:B$5001,2),IF(E847&gt;0,VLOOKUP(E847,Направление!A$1:B$4830,2))))))</f>
        <v>Обеспечение мероприятий по строительству и реконструкции  памятников</v>
      </c>
      <c r="B847" s="148"/>
      <c r="C847" s="149"/>
      <c r="D847" s="151"/>
      <c r="E847" s="149">
        <v>29476</v>
      </c>
      <c r="F847" s="151"/>
      <c r="G847" s="164">
        <v>1393009</v>
      </c>
      <c r="H847" s="164">
        <f>H848</f>
        <v>1393009</v>
      </c>
      <c r="I847" s="157">
        <f t="shared" si="16"/>
        <v>2786018</v>
      </c>
    </row>
    <row r="848" spans="1:9" ht="47.25" x14ac:dyDescent="0.25">
      <c r="A848" s="153" t="str">
        <f>IF(B848&gt;0,VLOOKUP(B848,КВСР!A358:B1523,2),IF(C848&gt;0,VLOOKUP(C848,КФСР!A358:B1870,2),IF(D848&gt;0,VLOOKUP(D848,Программа!A$1:B$5100,2),IF(F848&gt;0,VLOOKUP(F848,КВР!A$1:B$5001,2),IF(E848&gt;0,VLOOKUP(E848,Направление!A$1:B$4830,2))))))</f>
        <v>Капитальные вложения в объекты государственной (муниципальной) собственности</v>
      </c>
      <c r="B848" s="148"/>
      <c r="C848" s="149"/>
      <c r="D848" s="151"/>
      <c r="E848" s="149"/>
      <c r="F848" s="151">
        <v>400</v>
      </c>
      <c r="G848" s="164">
        <v>1393009</v>
      </c>
      <c r="H848" s="499">
        <v>1393009</v>
      </c>
      <c r="I848" s="157">
        <f t="shared" si="16"/>
        <v>2786018</v>
      </c>
    </row>
    <row r="849" spans="1:9" ht="47.25" x14ac:dyDescent="0.25">
      <c r="A849" s="153" t="str">
        <f>IF(B849&gt;0,VLOOKUP(B849,КВСР!A359:B1524,2),IF(C849&gt;0,VLOOKUP(C849,КФСР!A359:B1871,2),IF(D849&gt;0,VLOOKUP(D849,Программа!A$1:B$5100,2),IF(F849&gt;0,VLOOKUP(F849,КВР!A$1:B$5001,2),IF(E849&gt;0,VLOOKUP(E849,Направление!A$1:B$4830,2))))))</f>
        <v>Обеспечение мероприятий по содержанию  военно-мемориального комплекса пл.Юности</v>
      </c>
      <c r="B849" s="148"/>
      <c r="C849" s="149"/>
      <c r="D849" s="151"/>
      <c r="E849" s="149">
        <v>29686</v>
      </c>
      <c r="F849" s="151"/>
      <c r="G849" s="164">
        <v>280908</v>
      </c>
      <c r="H849" s="164">
        <f>H850</f>
        <v>218916</v>
      </c>
      <c r="I849" s="157">
        <f t="shared" si="16"/>
        <v>499824</v>
      </c>
    </row>
    <row r="850" spans="1:9" ht="63" x14ac:dyDescent="0.25">
      <c r="A850" s="153" t="str">
        <f>IF(B850&gt;0,VLOOKUP(B850,КВСР!A360:B1525,2),IF(C850&gt;0,VLOOKUP(C850,КФСР!A360:B1872,2),IF(D850&gt;0,VLOOKUP(D850,Программа!A$1:B$5100,2),IF(F850&gt;0,VLOOKUP(F850,КВР!A$1:B$5001,2),IF(E850&gt;0,VLOOKUP(E850,Направление!A$1:B$4830,2))))))</f>
        <v>Предоставление субсидий бюджетным, автономным учреждениям и иным некоммерческим организациям</v>
      </c>
      <c r="B850" s="148"/>
      <c r="C850" s="149"/>
      <c r="D850" s="151"/>
      <c r="E850" s="149"/>
      <c r="F850" s="151">
        <v>600</v>
      </c>
      <c r="G850" s="164">
        <v>280908</v>
      </c>
      <c r="H850" s="499">
        <v>218916</v>
      </c>
      <c r="I850" s="157">
        <f t="shared" si="16"/>
        <v>499824</v>
      </c>
    </row>
    <row r="851" spans="1:9" ht="63" x14ac:dyDescent="0.25">
      <c r="A851" s="153" t="str">
        <f>IF(B851&gt;0,VLOOKUP(B851,КВСР!A361:B1526,2),IF(C851&gt;0,VLOOKUP(C851,КФСР!A361:B1873,2),IF(D851&gt;0,VLOOKUP(D851,Программа!A$1:B$5100,2),IF(F851&gt;0,VLOOKUP(F851,КВР!A$1:B$5001,2),IF(E851&gt;0,VLOOKUP(E851,Направление!A$1:B$4830,2))))))</f>
        <v>Муниципальная целевая программа «Развитие въездного и внутреннего туризма на территории Тутаевского муниципального района»</v>
      </c>
      <c r="B851" s="148"/>
      <c r="C851" s="149"/>
      <c r="D851" s="150" t="s">
        <v>812</v>
      </c>
      <c r="E851" s="149"/>
      <c r="F851" s="151"/>
      <c r="G851" s="164">
        <v>2320446</v>
      </c>
      <c r="H851" s="164">
        <f>H852</f>
        <v>2309252</v>
      </c>
      <c r="I851" s="164">
        <f>I852</f>
        <v>4629698</v>
      </c>
    </row>
    <row r="852" spans="1:9" ht="31.5" x14ac:dyDescent="0.25">
      <c r="A852" s="153" t="str">
        <f>IF(B852&gt;0,VLOOKUP(B852,КВСР!A361:B1526,2),IF(C852&gt;0,VLOOKUP(C852,КФСР!A361:B1873,2),IF(D852&gt;0,VLOOKUP(D852,Программа!A$1:B$5100,2),IF(F852&gt;0,VLOOKUP(F852,КВР!A$1:B$5001,2),IF(E852&gt;0,VLOOKUP(E852,Направление!A$1:B$4830,2))))))</f>
        <v>Создание благоприятных условий для развития туризма</v>
      </c>
      <c r="B852" s="148"/>
      <c r="C852" s="149"/>
      <c r="D852" s="150" t="s">
        <v>814</v>
      </c>
      <c r="E852" s="149"/>
      <c r="F852" s="151"/>
      <c r="G852" s="164">
        <v>2320446</v>
      </c>
      <c r="H852" s="164">
        <f>H853+H855</f>
        <v>2309252</v>
      </c>
      <c r="I852" s="157">
        <f t="shared" si="16"/>
        <v>4629698</v>
      </c>
    </row>
    <row r="853" spans="1:9" ht="47.25" x14ac:dyDescent="0.25">
      <c r="A853" s="153" t="str">
        <f>IF(B853&gt;0,VLOOKUP(B853,КВСР!A362:B1527,2),IF(C853&gt;0,VLOOKUP(C853,КФСР!A362:B1874,2),IF(D853&gt;0,VLOOKUP(D853,Программа!A$1:B$5100,2),IF(F853&gt;0,VLOOKUP(F853,КВР!A$1:B$5001,2),IF(E853&gt;0,VLOOKUP(E853,Направление!A$1:B$4830,2))))))</f>
        <v>Обеспечение мероприятий по строительству, реконструкции и ремонту общественных туалетов</v>
      </c>
      <c r="B853" s="148"/>
      <c r="C853" s="149"/>
      <c r="D853" s="151"/>
      <c r="E853" s="149">
        <v>29506</v>
      </c>
      <c r="F853" s="151"/>
      <c r="G853" s="164">
        <v>810624</v>
      </c>
      <c r="H853" s="164">
        <f>H854</f>
        <v>799430</v>
      </c>
      <c r="I853" s="157">
        <f t="shared" si="16"/>
        <v>1610054</v>
      </c>
    </row>
    <row r="854" spans="1:9" ht="47.25" x14ac:dyDescent="0.25">
      <c r="A854" s="153" t="str">
        <f>IF(B854&gt;0,VLOOKUP(B854,КВСР!A363:B1528,2),IF(C854&gt;0,VLOOKUP(C854,КФСР!A363:B1875,2),IF(D854&gt;0,VLOOKUP(D854,Программа!A$1:B$5100,2),IF(F854&gt;0,VLOOKUP(F854,КВР!A$1:B$5001,2),IF(E854&gt;0,VLOOKUP(E854,Направление!A$1:B$4830,2))))))</f>
        <v>Капитальные вложения в объекты государственной (муниципальной) собственности</v>
      </c>
      <c r="B854" s="148"/>
      <c r="C854" s="149"/>
      <c r="D854" s="151"/>
      <c r="E854" s="149"/>
      <c r="F854" s="151">
        <v>400</v>
      </c>
      <c r="G854" s="164">
        <v>810624</v>
      </c>
      <c r="H854" s="499">
        <v>799430</v>
      </c>
      <c r="I854" s="157">
        <f>SUM(G854:H854)</f>
        <v>1610054</v>
      </c>
    </row>
    <row r="855" spans="1:9" ht="47.25" x14ac:dyDescent="0.25">
      <c r="A855" s="153" t="str">
        <f>IF(B855&gt;0,VLOOKUP(B855,КВСР!A364:B1529,2),IF(C855&gt;0,VLOOKUP(C855,КФСР!A364:B1876,2),IF(D855&gt;0,VLOOKUP(D855,Программа!A$1:B$5100,2),IF(F855&gt;0,VLOOKUP(F855,КВР!A$1:B$5001,2),IF(E855&gt;0,VLOOKUP(E855,Направление!A$1:B$4830,2))))))</f>
        <v>Субсидия  на создание условий для развития  инфраструктуры досуга и отдыха</v>
      </c>
      <c r="B855" s="148"/>
      <c r="C855" s="149"/>
      <c r="D855" s="151"/>
      <c r="E855" s="149">
        <v>71756</v>
      </c>
      <c r="F855" s="151"/>
      <c r="G855" s="164">
        <v>1509822</v>
      </c>
      <c r="H855" s="164">
        <f>H856</f>
        <v>1509822</v>
      </c>
      <c r="I855" s="164">
        <f>I856</f>
        <v>3019644</v>
      </c>
    </row>
    <row r="856" spans="1:9" ht="47.25" x14ac:dyDescent="0.25">
      <c r="A856" s="153" t="str">
        <f>IF(B856&gt;0,VLOOKUP(B856,КВСР!A365:B1530,2),IF(C856&gt;0,VLOOKUP(C856,КФСР!A365:B1877,2),IF(D856&gt;0,VLOOKUP(D856,Программа!A$1:B$5100,2),IF(F856&gt;0,VLOOKUP(F856,КВР!A$1:B$5001,2),IF(E856&gt;0,VLOOKUP(E856,Направление!A$1:B$4830,2))))))</f>
        <v>Капитальные вложения в объекты государственной (муниципальной) собственности</v>
      </c>
      <c r="B856" s="148"/>
      <c r="C856" s="149"/>
      <c r="D856" s="151"/>
      <c r="E856" s="149"/>
      <c r="F856" s="151">
        <v>400</v>
      </c>
      <c r="G856" s="164">
        <v>1509822</v>
      </c>
      <c r="H856" s="499">
        <v>1509822</v>
      </c>
      <c r="I856" s="157">
        <f>SUM(G856:H856)</f>
        <v>3019644</v>
      </c>
    </row>
    <row r="857" spans="1:9" ht="63" x14ac:dyDescent="0.25">
      <c r="A857" s="153" t="str">
        <f>IF(B857&gt;0,VLOOKUP(B857,КВСР!A366:B1531,2),IF(C857&gt;0,VLOOKUP(C857,КФСР!A366:B1878,2),IF(D857&gt;0,VLOOKUP(D857,Программа!A$1:B$5100,2),IF(F857&gt;0,VLOOKUP(F857,КВР!A$1:B$5001,2),IF(E857&gt;0,VLOOKUP(E857,Направление!A$1:B$4830,2))))))</f>
        <v>Муниципальная программа "Благоустройство  и санитарно-эпидемиологическая безопасность  Тутаевского муниципального района</v>
      </c>
      <c r="B857" s="148"/>
      <c r="C857" s="149"/>
      <c r="D857" s="150" t="s">
        <v>972</v>
      </c>
      <c r="E857" s="149"/>
      <c r="F857" s="151"/>
      <c r="G857" s="164">
        <v>397000</v>
      </c>
      <c r="H857" s="164">
        <f>H858</f>
        <v>343630</v>
      </c>
      <c r="I857" s="164">
        <f>I860</f>
        <v>740630</v>
      </c>
    </row>
    <row r="858" spans="1:9" ht="63" x14ac:dyDescent="0.25">
      <c r="A858" s="153" t="str">
        <f>IF(B858&gt;0,VLOOKUP(B858,КВСР!A367:B1532,2),IF(C858&gt;0,VLOOKUP(C858,КФСР!A367:B1879,2),IF(D858&gt;0,VLOOKUP(D858,Программа!A$1:B$5100,2),IF(F858&gt;0,VLOOKUP(F858,КВР!A$1:B$5001,2),IF(E858&gt;0,VLOOKUP(E858,Направление!A$1:B$4830,2))))))</f>
        <v>Муниципальная целевая программа "Благоустройство и озеленение территории  в Тутаевского муниципального  района"</v>
      </c>
      <c r="B858" s="148"/>
      <c r="C858" s="149"/>
      <c r="D858" s="150" t="s">
        <v>978</v>
      </c>
      <c r="E858" s="149"/>
      <c r="F858" s="151"/>
      <c r="G858" s="164">
        <v>397000</v>
      </c>
      <c r="H858" s="164">
        <f>H859</f>
        <v>343630</v>
      </c>
      <c r="I858" s="164">
        <f>I859</f>
        <v>740630</v>
      </c>
    </row>
    <row r="859" spans="1:9" ht="63" x14ac:dyDescent="0.25">
      <c r="A859" s="153" t="str">
        <f>IF(B859&gt;0,VLOOKUP(B859,КВСР!A368:B1533,2),IF(C859&gt;0,VLOOKUP(C859,КФСР!A368:B1880,2),IF(D859&gt;0,VLOOKUP(D859,Программа!A$1:B$5100,2),IF(F859&gt;0,VLOOKUP(F859,КВР!A$1:B$5001,2),IF(E859&gt;0,VLOOKUP(E859,Направление!A$1:B$4830,2))))))</f>
        <v>Улучшение уровня внешнего благоустройства и санитарного  состояния территорий Тутаевского муниципального района</v>
      </c>
      <c r="B859" s="148"/>
      <c r="C859" s="149"/>
      <c r="D859" s="150" t="s">
        <v>980</v>
      </c>
      <c r="E859" s="149"/>
      <c r="F859" s="151"/>
      <c r="G859" s="164">
        <v>397000</v>
      </c>
      <c r="H859" s="164">
        <f>H860</f>
        <v>343630</v>
      </c>
      <c r="I859" s="164">
        <f>I860</f>
        <v>740630</v>
      </c>
    </row>
    <row r="860" spans="1:9" ht="47.25" x14ac:dyDescent="0.25">
      <c r="A860" s="153" t="str">
        <f>IF(B860&gt;0,VLOOKUP(B860,КВСР!A367:B1532,2),IF(C860&gt;0,VLOOKUP(C860,КФСР!A367:B1879,2),IF(D860&gt;0,VLOOKUP(D860,Программа!A$1:B$5100,2),IF(F860&gt;0,VLOOKUP(F860,КВР!A$1:B$5001,2),IF(E860&gt;0,VLOOKUP(E860,Направление!A$1:B$4830,2))))))</f>
        <v xml:space="preserve">Мероприятия по содержанию территории города  из средств гранта района </v>
      </c>
      <c r="B860" s="148"/>
      <c r="C860" s="149"/>
      <c r="D860" s="151"/>
      <c r="E860" s="149">
        <v>75876</v>
      </c>
      <c r="F860" s="151"/>
      <c r="G860" s="164">
        <v>397000</v>
      </c>
      <c r="H860" s="164">
        <f>H861</f>
        <v>343630</v>
      </c>
      <c r="I860" s="164">
        <f>I861</f>
        <v>740630</v>
      </c>
    </row>
    <row r="861" spans="1:9" ht="63" x14ac:dyDescent="0.25">
      <c r="A861" s="153" t="str">
        <f>IF(B861&gt;0,VLOOKUP(B861,КВСР!A368:B1533,2),IF(C861&gt;0,VLOOKUP(C861,КФСР!A368:B1880,2),IF(D861&gt;0,VLOOKUP(D861,Программа!A$1:B$5100,2),IF(F861&gt;0,VLOOKUP(F861,КВР!A$1:B$5001,2),IF(E861&gt;0,VLOOKUP(E861,Направление!A$1:B$4830,2))))))</f>
        <v>Предоставление субсидий бюджетным, автономным учреждениям и иным некоммерческим организациям</v>
      </c>
      <c r="B861" s="148"/>
      <c r="C861" s="149"/>
      <c r="D861" s="151"/>
      <c r="E861" s="149"/>
      <c r="F861" s="151">
        <v>600</v>
      </c>
      <c r="G861" s="164">
        <v>397000</v>
      </c>
      <c r="H861" s="499">
        <v>343630</v>
      </c>
      <c r="I861" s="157">
        <f>SUM(G861:H861)</f>
        <v>740630</v>
      </c>
    </row>
    <row r="862" spans="1:9" s="178" customFormat="1" x14ac:dyDescent="0.25">
      <c r="A862" s="153" t="str">
        <f>IF(B862&gt;0,VLOOKUP(B862,КВСР!A358:B1523,2),IF(C862&gt;0,VLOOKUP(C862,КФСР!A358:B1870,2),IF(D862&gt;0,VLOOKUP(D862,Программа!A$1:B$5100,2),IF(F862&gt;0,VLOOKUP(F862,КВР!A$1:B$5001,2),IF(E862&gt;0,VLOOKUP(E862,Направление!A$1:B$4830,2))))))</f>
        <v>Дополнительное образование детей</v>
      </c>
      <c r="B862" s="154"/>
      <c r="C862" s="149">
        <v>703</v>
      </c>
      <c r="D862" s="150"/>
      <c r="E862" s="149"/>
      <c r="F862" s="151"/>
      <c r="G862" s="606">
        <v>33089601</v>
      </c>
      <c r="H862" s="157">
        <f>H863+H872</f>
        <v>32680358</v>
      </c>
      <c r="I862" s="157">
        <f t="shared" si="16"/>
        <v>65769959</v>
      </c>
    </row>
    <row r="863" spans="1:9" s="178" customFormat="1" ht="63" x14ac:dyDescent="0.25">
      <c r="A863" s="153" t="str">
        <f>IF(B863&gt;0,VLOOKUP(B863,КВСР!A359:B1524,2),IF(C863&gt;0,VLOOKUP(C863,КФСР!A359:B1871,2),IF(D863&gt;0,VLOOKUP(D863,Программа!A$1:B$5100,2),IF(F863&gt;0,VLOOKUP(F863,КВР!A$1:B$5001,2),IF(E863&gt;0,VLOOKUP(E863,Направление!A$1:B$4830,2))))))</f>
        <v>Муниципальная программа  "Развитие культуры, туризма и молодежной политики в Тутаевском муниципальном районе"</v>
      </c>
      <c r="B863" s="154"/>
      <c r="C863" s="149"/>
      <c r="D863" s="170" t="s">
        <v>714</v>
      </c>
      <c r="E863" s="168"/>
      <c r="F863" s="151"/>
      <c r="G863" s="606">
        <v>33089601</v>
      </c>
      <c r="H863" s="157">
        <f>H865</f>
        <v>32680358</v>
      </c>
      <c r="I863" s="157">
        <f t="shared" si="16"/>
        <v>65769959</v>
      </c>
    </row>
    <row r="864" spans="1:9" s="178" customFormat="1" ht="47.25" x14ac:dyDescent="0.25">
      <c r="A864" s="153" t="str">
        <f>IF(B864&gt;0,VLOOKUP(B864,КВСР!A360:B1525,2),IF(C864&gt;0,VLOOKUP(C864,КФСР!A360:B1872,2),IF(D864&gt;0,VLOOKUP(D864,Программа!A$1:B$5100,2),IF(F864&gt;0,VLOOKUP(F864,КВР!A$1:B$5001,2),IF(E864&gt;0,VLOOKUP(E864,Направление!A$1:B$4830,2))))))</f>
        <v>Ведомственная целевая программа «Сохранение и развитие культуры Тутаевского муниципального района»</v>
      </c>
      <c r="B864" s="154"/>
      <c r="C864" s="149"/>
      <c r="D864" s="170" t="s">
        <v>817</v>
      </c>
      <c r="E864" s="168"/>
      <c r="F864" s="151"/>
      <c r="G864" s="606">
        <v>33089601</v>
      </c>
      <c r="H864" s="157">
        <f>H865</f>
        <v>32680358</v>
      </c>
      <c r="I864" s="157">
        <f t="shared" si="16"/>
        <v>65769959</v>
      </c>
    </row>
    <row r="865" spans="1:9" s="178" customFormat="1" ht="47.25" x14ac:dyDescent="0.25">
      <c r="A865" s="153" t="str">
        <f>IF(B865&gt;0,VLOOKUP(B865,КВСР!A361:B1526,2),IF(C865&gt;0,VLOOKUP(C865,КФСР!A361:B1873,2),IF(D865&gt;0,VLOOKUP(D865,Программа!A$1:B$5100,2),IF(F865&gt;0,VLOOKUP(F865,КВР!A$1:B$5001,2),IF(E865&gt;0,VLOOKUP(E865,Направление!A$1:B$4830,2))))))</f>
        <v>Реализация дополнительных образовательных программ в сфере культуры</v>
      </c>
      <c r="B865" s="154"/>
      <c r="C865" s="149"/>
      <c r="D865" s="150" t="s">
        <v>819</v>
      </c>
      <c r="E865" s="149"/>
      <c r="F865" s="151"/>
      <c r="G865" s="606">
        <v>33089601</v>
      </c>
      <c r="H865" s="157">
        <f>H868+H870+H866</f>
        <v>32680358</v>
      </c>
      <c r="I865" s="157">
        <f t="shared" si="16"/>
        <v>65769959</v>
      </c>
    </row>
    <row r="866" spans="1:9" s="178" customFormat="1" ht="31.5" x14ac:dyDescent="0.25">
      <c r="A866" s="153" t="str">
        <f>IF(B866&gt;0,VLOOKUP(B866,КВСР!A361:B1526,2),IF(C866&gt;0,VLOOKUP(C866,КФСР!A361:B1873,2),IF(D866&gt;0,VLOOKUP(D866,Программа!A$1:B$5100,2),IF(F866&gt;0,VLOOKUP(F866,КВР!A$1:B$5001,2),IF(E866&gt;0,VLOOKUP(E866,Направление!A$1:B$4830,2))))))</f>
        <v xml:space="preserve">Выплата ежемесячных и разовых стипендий главы </v>
      </c>
      <c r="B866" s="154"/>
      <c r="C866" s="149"/>
      <c r="D866" s="150"/>
      <c r="E866" s="149">
        <v>12700</v>
      </c>
      <c r="F866" s="151"/>
      <c r="G866" s="606">
        <v>40000</v>
      </c>
      <c r="H866" s="157">
        <f>H867</f>
        <v>40000</v>
      </c>
      <c r="I866" s="157">
        <f t="shared" si="16"/>
        <v>80000</v>
      </c>
    </row>
    <row r="867" spans="1:9" s="178" customFormat="1" ht="63" x14ac:dyDescent="0.25">
      <c r="A867" s="153" t="str">
        <f>IF(B867&gt;0,VLOOKUP(B867,КВСР!A362:B1527,2),IF(C867&gt;0,VLOOKUP(C867,КФСР!A362:B1874,2),IF(D867&gt;0,VLOOKUP(D867,Программа!A$1:B$5100,2),IF(F867&gt;0,VLOOKUP(F867,КВР!A$1:B$5001,2),IF(E867&gt;0,VLOOKUP(E867,Направление!A$1:B$4830,2))))))</f>
        <v>Предоставление субсидий бюджетным, автономным учреждениям и иным некоммерческим организациям</v>
      </c>
      <c r="B867" s="154"/>
      <c r="C867" s="149"/>
      <c r="D867" s="151"/>
      <c r="E867" s="149"/>
      <c r="F867" s="151">
        <v>600</v>
      </c>
      <c r="G867" s="638">
        <v>40000</v>
      </c>
      <c r="H867" s="159">
        <v>40000</v>
      </c>
      <c r="I867" s="157">
        <f t="shared" si="16"/>
        <v>80000</v>
      </c>
    </row>
    <row r="868" spans="1:9" s="178" customFormat="1" ht="47.25" x14ac:dyDescent="0.25">
      <c r="A868" s="153" t="str">
        <f>IF(B868&gt;0,VLOOKUP(B868,КВСР!A361:B1526,2),IF(C868&gt;0,VLOOKUP(C868,КФСР!A361:B1873,2),IF(D868&gt;0,VLOOKUP(D868,Программа!A$1:B$5100,2),IF(F868&gt;0,VLOOKUP(F868,КВР!A$1:B$5001,2),IF(E868&gt;0,VLOOKUP(E868,Направление!A$1:B$4830,2))))))</f>
        <v>Обеспечение деятельности учреждений дополнительного образования</v>
      </c>
      <c r="B868" s="154"/>
      <c r="C868" s="149"/>
      <c r="D868" s="150"/>
      <c r="E868" s="149">
        <v>13210</v>
      </c>
      <c r="F868" s="151"/>
      <c r="G868" s="500">
        <v>33035547</v>
      </c>
      <c r="H868" s="155">
        <f>H869</f>
        <v>32626358</v>
      </c>
      <c r="I868" s="157">
        <f t="shared" si="16"/>
        <v>65661905</v>
      </c>
    </row>
    <row r="869" spans="1:9" s="178" customFormat="1" ht="63" x14ac:dyDescent="0.25">
      <c r="A869" s="153" t="str">
        <f>IF(B869&gt;0,VLOOKUP(B869,КВСР!A362:B1527,2),IF(C869&gt;0,VLOOKUP(C869,КФСР!A362:B1874,2),IF(D869&gt;0,VLOOKUP(D869,Программа!A$1:B$5100,2),IF(F869&gt;0,VLOOKUP(F869,КВР!A$1:B$5001,2),IF(E869&gt;0,VLOOKUP(E869,Направление!A$1:B$4830,2))))))</f>
        <v>Предоставление субсидий бюджетным, автономным учреждениям и иным некоммерческим организациям</v>
      </c>
      <c r="B869" s="154"/>
      <c r="C869" s="149"/>
      <c r="D869" s="151"/>
      <c r="E869" s="149"/>
      <c r="F869" s="151">
        <v>600</v>
      </c>
      <c r="G869" s="156">
        <v>33035547</v>
      </c>
      <c r="H869" s="156">
        <v>32626358</v>
      </c>
      <c r="I869" s="157">
        <f t="shared" si="16"/>
        <v>65661905</v>
      </c>
    </row>
    <row r="870" spans="1:9" s="178" customFormat="1" x14ac:dyDescent="0.25">
      <c r="A870" s="153" t="str">
        <f>IF(B870&gt;0,VLOOKUP(B870,КВСР!A363:B1528,2),IF(C870&gt;0,VLOOKUP(C870,КФСР!A363:B1875,2),IF(D870&gt;0,VLOOKUP(D870,Программа!A$1:B$5100,2),IF(F870&gt;0,VLOOKUP(F870,КВР!A$1:B$5001,2),IF(E870&gt;0,VLOOKUP(E870,Направление!A$1:B$4830,2))))))</f>
        <v>Мероприятия в сфере культуры</v>
      </c>
      <c r="B870" s="154"/>
      <c r="C870" s="149"/>
      <c r="D870" s="150"/>
      <c r="E870" s="149">
        <v>15220</v>
      </c>
      <c r="F870" s="151"/>
      <c r="G870" s="500">
        <v>14054</v>
      </c>
      <c r="H870" s="155">
        <f>H871</f>
        <v>14000</v>
      </c>
      <c r="I870" s="157">
        <f t="shared" si="16"/>
        <v>28054</v>
      </c>
    </row>
    <row r="871" spans="1:9" s="178" customFormat="1" ht="63" x14ac:dyDescent="0.25">
      <c r="A871" s="153" t="str">
        <f>IF(B871&gt;0,VLOOKUP(B871,КВСР!A364:B1529,2),IF(C871&gt;0,VLOOKUP(C871,КФСР!A364:B1876,2),IF(D871&gt;0,VLOOKUP(D871,Программа!A$1:B$5100,2),IF(F871&gt;0,VLOOKUP(F871,КВР!A$1:B$5001,2),IF(E871&gt;0,VLOOKUP(E871,Направление!A$1:B$4830,2))))))</f>
        <v>Предоставление субсидий бюджетным, автономным учреждениям и иным некоммерческим организациям</v>
      </c>
      <c r="B871" s="154"/>
      <c r="C871" s="149"/>
      <c r="D871" s="151"/>
      <c r="E871" s="149"/>
      <c r="F871" s="151">
        <v>600</v>
      </c>
      <c r="G871" s="156">
        <v>14054</v>
      </c>
      <c r="H871" s="156">
        <v>14000</v>
      </c>
      <c r="I871" s="157">
        <f t="shared" si="16"/>
        <v>28054</v>
      </c>
    </row>
    <row r="872" spans="1:9" s="178" customFormat="1" ht="47.25" hidden="1" x14ac:dyDescent="0.25">
      <c r="A872" s="153" t="str">
        <f>IF(B872&gt;0,VLOOKUP(B872,КВСР!A365:B1530,2),IF(C872&gt;0,VLOOKUP(C872,КФСР!A365:B1877,2),IF(D872&gt;0,VLOOKUP(D872,Программа!A$1:B$5100,2),IF(F872&gt;0,VLOOKUP(F872,КВР!A$1:B$5001,2),IF(E872&gt;0,VLOOKUP(E872,Направление!A$1:B$4830,2))))))</f>
        <v>Муниципальная программа "Социальная поддержка населения Тутаевского муниципального района"</v>
      </c>
      <c r="B872" s="154"/>
      <c r="C872" s="149"/>
      <c r="D872" s="151" t="s">
        <v>693</v>
      </c>
      <c r="E872" s="149"/>
      <c r="F872" s="151"/>
      <c r="G872" s="500">
        <v>0</v>
      </c>
      <c r="H872" s="533">
        <f>H873</f>
        <v>0</v>
      </c>
      <c r="I872" s="157">
        <f t="shared" ref="I872:I953" si="18">SUM(G872:H872)</f>
        <v>0</v>
      </c>
    </row>
    <row r="873" spans="1:9" s="178" customFormat="1" ht="63" hidden="1" x14ac:dyDescent="0.25">
      <c r="A873" s="153" t="str">
        <f>IF(B873&gt;0,VLOOKUP(B873,КВСР!A366:B1531,2),IF(C873&gt;0,VLOOKUP(C873,КФСР!A366:B1878,2),IF(D873&gt;0,VLOOKUP(D873,Программа!A$1:B$5100,2),IF(F873&gt;0,VLOOKUP(F873,КВР!A$1:B$5001,2),IF(E873&gt;0,VLOOKUP(E873,Направление!A$1:B$4830,2))))))</f>
        <v>Муниципальная целевая программа "Улучшение условий и охраны труда" по Тутаевскому муниципальному району</v>
      </c>
      <c r="B873" s="154"/>
      <c r="C873" s="149"/>
      <c r="D873" s="150" t="s">
        <v>695</v>
      </c>
      <c r="E873" s="149"/>
      <c r="F873" s="151"/>
      <c r="G873" s="500">
        <v>0</v>
      </c>
      <c r="H873" s="533">
        <f>H874</f>
        <v>0</v>
      </c>
      <c r="I873" s="157">
        <f t="shared" si="18"/>
        <v>0</v>
      </c>
    </row>
    <row r="874" spans="1:9" s="178" customFormat="1" ht="47.25" hidden="1" x14ac:dyDescent="0.25">
      <c r="A874" s="153" t="str">
        <f>IF(B874&gt;0,VLOOKUP(B874,КВСР!A366:B1531,2),IF(C874&gt;0,VLOOKUP(C874,КФСР!A366:B1878,2),IF(D874&gt;0,VLOOKUP(D874,Программа!A$1:B$5100,2),IF(F874&gt;0,VLOOKUP(F874,КВР!A$1:B$5001,2),IF(E874&gt;0,VLOOKUP(E874,Направление!A$1:B$4830,2))))))</f>
        <v>Обучение по охране труда работников организаций Тутаевского муниципального района</v>
      </c>
      <c r="B874" s="154"/>
      <c r="C874" s="149"/>
      <c r="D874" s="150" t="s">
        <v>2924</v>
      </c>
      <c r="E874" s="149"/>
      <c r="F874" s="151"/>
      <c r="G874" s="500">
        <v>0</v>
      </c>
      <c r="H874" s="533">
        <f>H875</f>
        <v>0</v>
      </c>
      <c r="I874" s="157">
        <f t="shared" si="18"/>
        <v>0</v>
      </c>
    </row>
    <row r="875" spans="1:9" s="178" customFormat="1" ht="31.5" hidden="1" x14ac:dyDescent="0.25">
      <c r="A875" s="153" t="str">
        <f>IF(B875&gt;0,VLOOKUP(B875,КВСР!A367:B1532,2),IF(C875&gt;0,VLOOKUP(C875,КФСР!A367:B1879,2),IF(D875&gt;0,VLOOKUP(D875,Программа!A$1:B$5100,2),IF(F875&gt;0,VLOOKUP(F875,КВР!A$1:B$5001,2),IF(E875&gt;0,VLOOKUP(E875,Направление!A$1:B$4830,2))))))</f>
        <v>Расходы на реализацию МЦП "Улучшение условий и охраны труда"</v>
      </c>
      <c r="B875" s="154"/>
      <c r="C875" s="149"/>
      <c r="D875" s="151"/>
      <c r="E875" s="149">
        <v>16150</v>
      </c>
      <c r="F875" s="151"/>
      <c r="G875" s="500">
        <v>0</v>
      </c>
      <c r="H875" s="533">
        <f>H876</f>
        <v>0</v>
      </c>
      <c r="I875" s="157">
        <f t="shared" si="18"/>
        <v>0</v>
      </c>
    </row>
    <row r="876" spans="1:9" s="178" customFormat="1" ht="63" hidden="1" x14ac:dyDescent="0.25">
      <c r="A876" s="153" t="str">
        <f>IF(B876&gt;0,VLOOKUP(B876,КВСР!A368:B1533,2),IF(C876&gt;0,VLOOKUP(C876,КФСР!A368:B1880,2),IF(D876&gt;0,VLOOKUP(D876,Программа!A$1:B$5100,2),IF(F876&gt;0,VLOOKUP(F876,КВР!A$1:B$5001,2),IF(E876&gt;0,VLOOKUP(E876,Направление!A$1:B$4830,2))))))</f>
        <v>Предоставление субсидий бюджетным, автономным учреждениям и иным некоммерческим организациям</v>
      </c>
      <c r="B876" s="154"/>
      <c r="C876" s="149"/>
      <c r="D876" s="151"/>
      <c r="E876" s="149"/>
      <c r="F876" s="151">
        <v>600</v>
      </c>
      <c r="G876" s="498">
        <v>0</v>
      </c>
      <c r="H876" s="156"/>
      <c r="I876" s="157">
        <f t="shared" si="18"/>
        <v>0</v>
      </c>
    </row>
    <row r="877" spans="1:9" s="178" customFormat="1" x14ac:dyDescent="0.25">
      <c r="A877" s="153" t="str">
        <f>IF(B877&gt;0,VLOOKUP(B877,КВСР!A362:B1527,2),IF(C877&gt;0,VLOOKUP(C877,КФСР!A362:B1874,2),IF(D877&gt;0,VLOOKUP(D877,Программа!A$1:B$5100,2),IF(F877&gt;0,VLOOKUP(F877,КВР!A$1:B$5001,2),IF(E877&gt;0,VLOOKUP(E877,Направление!A$1:B$4830,2))))))</f>
        <v>Молодежная политика</v>
      </c>
      <c r="B877" s="154"/>
      <c r="C877" s="149">
        <v>707</v>
      </c>
      <c r="D877" s="150"/>
      <c r="E877" s="149"/>
      <c r="F877" s="151"/>
      <c r="G877" s="606">
        <v>12190199</v>
      </c>
      <c r="H877" s="157">
        <f>H878+H910</f>
        <v>11852964</v>
      </c>
      <c r="I877" s="157">
        <f t="shared" si="18"/>
        <v>24043163</v>
      </c>
    </row>
    <row r="878" spans="1:9" s="178" customFormat="1" ht="63" x14ac:dyDescent="0.25">
      <c r="A878" s="153" t="str">
        <f>IF(B878&gt;0,VLOOKUP(B878,КВСР!A363:B1528,2),IF(C878&gt;0,VLOOKUP(C878,КФСР!A363:B1875,2),IF(D878&gt;0,VLOOKUP(D878,Программа!A$1:B$5100,2),IF(F878&gt;0,VLOOKUP(F878,КВР!A$1:B$5001,2),IF(E878&gt;0,VLOOKUP(E878,Направление!A$1:B$4830,2))))))</f>
        <v>Муниципальная программа  "Развитие культуры, туризма и молодежной политики в Тутаевском муниципальном районе"</v>
      </c>
      <c r="B878" s="154"/>
      <c r="C878" s="149"/>
      <c r="D878" s="150" t="s">
        <v>714</v>
      </c>
      <c r="E878" s="149"/>
      <c r="F878" s="151"/>
      <c r="G878" s="606">
        <v>12190199</v>
      </c>
      <c r="H878" s="157">
        <f>H879+H900+H906</f>
        <v>11852964</v>
      </c>
      <c r="I878" s="157">
        <f t="shared" si="18"/>
        <v>24043163</v>
      </c>
    </row>
    <row r="879" spans="1:9" s="178" customFormat="1" ht="31.5" x14ac:dyDescent="0.25">
      <c r="A879" s="153" t="str">
        <f>IF(B879&gt;0,VLOOKUP(B879,КВСР!A364:B1529,2),IF(C879&gt;0,VLOOKUP(C879,КФСР!A364:B1876,2),IF(D879&gt;0,VLOOKUP(D879,Программа!A$1:B$5100,2),IF(F879&gt;0,VLOOKUP(F879,КВР!A$1:B$5001,2),IF(E879&gt;0,VLOOKUP(E879,Направление!A$1:B$4830,2))))))</f>
        <v>Ведомственная целевая программа «Молодежь»</v>
      </c>
      <c r="B879" s="154"/>
      <c r="C879" s="149"/>
      <c r="D879" s="150" t="s">
        <v>822</v>
      </c>
      <c r="E879" s="149"/>
      <c r="F879" s="151"/>
      <c r="G879" s="606">
        <v>11879199</v>
      </c>
      <c r="H879" s="157">
        <f>H880+H895</f>
        <v>11541964</v>
      </c>
      <c r="I879" s="157">
        <f t="shared" si="18"/>
        <v>23421163</v>
      </c>
    </row>
    <row r="880" spans="1:9" s="178" customFormat="1" ht="63" x14ac:dyDescent="0.25">
      <c r="A880" s="153" t="str">
        <f>IF(B880&gt;0,VLOOKUP(B880,КВСР!A364:B1529,2),IF(C880&gt;0,VLOOKUP(C880,КФСР!A364:B1876,2),IF(D880&gt;0,VLOOKUP(D880,Программа!A$1:B$5100,2),IF(F880&gt;0,VLOOKUP(F880,КВР!A$1:B$5001,2),IF(E880&gt;0,VLOOKUP(E880,Направление!A$1:B$4830,2))))))</f>
        <v>Обеспечение условий для выполнения муниципального задания на оказание услуг, выполнение работ в сфере молодежной политики</v>
      </c>
      <c r="B880" s="154"/>
      <c r="C880" s="149"/>
      <c r="D880" s="150" t="s">
        <v>824</v>
      </c>
      <c r="E880" s="149"/>
      <c r="F880" s="151"/>
      <c r="G880" s="606">
        <v>11789199</v>
      </c>
      <c r="H880" s="157">
        <f>H881+H883+H885+H889+H887+H891+H893</f>
        <v>11451964</v>
      </c>
      <c r="I880" s="157">
        <f t="shared" si="18"/>
        <v>23241163</v>
      </c>
    </row>
    <row r="881" spans="1:9" s="178" customFormat="1" ht="31.5" hidden="1" x14ac:dyDescent="0.25">
      <c r="A881" s="153" t="str">
        <f>IF(B881&gt;0,VLOOKUP(B881,КВСР!A365:B1530,2),IF(C881&gt;0,VLOOKUP(C881,КФСР!A365:B1877,2),IF(D881&gt;0,VLOOKUP(D881,Программа!A$1:B$5100,2),IF(F881&gt;0,VLOOKUP(F881,КВР!A$1:B$5001,2),IF(E881&gt;0,VLOOKUP(E881,Направление!A$1:B$4830,2))))))</f>
        <v xml:space="preserve">Выплата ежемесячных и разовых стипендий главы </v>
      </c>
      <c r="B881" s="154"/>
      <c r="C881" s="149"/>
      <c r="D881" s="150"/>
      <c r="E881" s="149">
        <v>12700</v>
      </c>
      <c r="F881" s="151"/>
      <c r="G881" s="606">
        <v>0</v>
      </c>
      <c r="H881" s="157">
        <f>H882</f>
        <v>0</v>
      </c>
      <c r="I881" s="157">
        <f t="shared" si="18"/>
        <v>0</v>
      </c>
    </row>
    <row r="882" spans="1:9" s="178" customFormat="1" ht="63" hidden="1" x14ac:dyDescent="0.25">
      <c r="A882" s="153" t="str">
        <f>IF(B882&gt;0,VLOOKUP(B882,КВСР!A366:B1531,2),IF(C882&gt;0,VLOOKUP(C882,КФСР!A366:B1878,2),IF(D882&gt;0,VLOOKUP(D882,Программа!A$1:B$5100,2),IF(F882&gt;0,VLOOKUP(F882,КВР!A$1:B$5001,2),IF(E882&gt;0,VLOOKUP(E882,Направление!A$1:B$4830,2))))))</f>
        <v>Предоставление субсидий бюджетным, автономным учреждениям и иным некоммерческим организациям</v>
      </c>
      <c r="B882" s="154"/>
      <c r="C882" s="149"/>
      <c r="D882" s="151"/>
      <c r="E882" s="149"/>
      <c r="F882" s="151">
        <v>600</v>
      </c>
      <c r="G882" s="638">
        <v>0</v>
      </c>
      <c r="H882" s="159"/>
      <c r="I882" s="157">
        <f t="shared" si="18"/>
        <v>0</v>
      </c>
    </row>
    <row r="883" spans="1:9" s="178" customFormat="1" ht="47.25" x14ac:dyDescent="0.25">
      <c r="A883" s="153" t="str">
        <f>IF(B883&gt;0,VLOOKUP(B883,КВСР!A365:B1530,2),IF(C883&gt;0,VLOOKUP(C883,КФСР!A365:B1877,2),IF(D883&gt;0,VLOOKUP(D883,Программа!A$1:B$5100,2),IF(F883&gt;0,VLOOKUP(F883,КВР!A$1:B$5001,2),IF(E883&gt;0,VLOOKUP(E883,Направление!A$1:B$4830,2))))))</f>
        <v xml:space="preserve">Обеспечение деятельности учреждений в сфере молодежной политики </v>
      </c>
      <c r="B883" s="154"/>
      <c r="C883" s="149"/>
      <c r="D883" s="150"/>
      <c r="E883" s="149">
        <v>14510</v>
      </c>
      <c r="F883" s="151"/>
      <c r="G883" s="500">
        <v>8467722</v>
      </c>
      <c r="H883" s="155">
        <f>H884</f>
        <v>8130486</v>
      </c>
      <c r="I883" s="157">
        <f t="shared" si="18"/>
        <v>16598208</v>
      </c>
    </row>
    <row r="884" spans="1:9" s="178" customFormat="1" ht="63" x14ac:dyDescent="0.25">
      <c r="A884" s="153" t="str">
        <f>IF(B884&gt;0,VLOOKUP(B884,КВСР!A366:B1531,2),IF(C884&gt;0,VLOOKUP(C884,КФСР!A366:B1878,2),IF(D884&gt;0,VLOOKUP(D884,Программа!A$1:B$5100,2),IF(F884&gt;0,VLOOKUP(F884,КВР!A$1:B$5001,2),IF(E884&gt;0,VLOOKUP(E884,Направление!A$1:B$4830,2))))))</f>
        <v>Предоставление субсидий бюджетным, автономным учреждениям и иным некоммерческим организациям</v>
      </c>
      <c r="B884" s="154"/>
      <c r="C884" s="149"/>
      <c r="D884" s="151"/>
      <c r="E884" s="149"/>
      <c r="F884" s="151">
        <v>600</v>
      </c>
      <c r="G884" s="156">
        <v>8467722</v>
      </c>
      <c r="H884" s="156">
        <v>8130486</v>
      </c>
      <c r="I884" s="157">
        <f t="shared" si="18"/>
        <v>16598208</v>
      </c>
    </row>
    <row r="885" spans="1:9" s="178" customFormat="1" ht="31.5" hidden="1" x14ac:dyDescent="0.25">
      <c r="A885" s="153" t="str">
        <f>IF(B885&gt;0,VLOOKUP(B885,КВСР!A367:B1532,2),IF(C885&gt;0,VLOOKUP(C885,КФСР!A367:B1879,2),IF(D885&gt;0,VLOOKUP(D885,Программа!A$1:B$5100,2),IF(F885&gt;0,VLOOKUP(F885,КВР!A$1:B$5001,2),IF(E885&gt;0,VLOOKUP(E885,Направление!A$1:B$4830,2))))))</f>
        <v>Мероприятия в сфере молодежной политики</v>
      </c>
      <c r="B885" s="154"/>
      <c r="C885" s="149"/>
      <c r="D885" s="150"/>
      <c r="E885" s="149">
        <v>14530</v>
      </c>
      <c r="F885" s="151"/>
      <c r="G885" s="606">
        <v>0</v>
      </c>
      <c r="H885" s="157">
        <f>H886</f>
        <v>0</v>
      </c>
      <c r="I885" s="157">
        <f t="shared" si="18"/>
        <v>0</v>
      </c>
    </row>
    <row r="886" spans="1:9" s="178" customFormat="1" ht="63" hidden="1" x14ac:dyDescent="0.25">
      <c r="A886" s="153" t="str">
        <f>IF(B886&gt;0,VLOOKUP(B886,КВСР!A368:B1533,2),IF(C886&gt;0,VLOOKUP(C886,КФСР!A368:B1880,2),IF(D886&gt;0,VLOOKUP(D886,Программа!A$1:B$5100,2),IF(F886&gt;0,VLOOKUP(F886,КВР!A$1:B$5001,2),IF(E886&gt;0,VLOOKUP(E886,Направление!A$1:B$4830,2))))))</f>
        <v>Предоставление субсидий бюджетным, автономным учреждениям и иным некоммерческим организациям</v>
      </c>
      <c r="B886" s="154"/>
      <c r="C886" s="149"/>
      <c r="D886" s="151"/>
      <c r="E886" s="149"/>
      <c r="F886" s="151">
        <v>600</v>
      </c>
      <c r="G886" s="498">
        <v>0</v>
      </c>
      <c r="H886" s="156"/>
      <c r="I886" s="157">
        <f t="shared" si="18"/>
        <v>0</v>
      </c>
    </row>
    <row r="887" spans="1:9" s="178" customFormat="1" x14ac:dyDescent="0.25">
      <c r="A887" s="153" t="str">
        <f>IF(B887&gt;0,VLOOKUP(B887,КВСР!A369:B1534,2),IF(C887&gt;0,VLOOKUP(C887,КФСР!A369:B1881,2),IF(D887&gt;0,VLOOKUP(D887,Программа!A$1:B$5100,2),IF(F887&gt;0,VLOOKUP(F887,КВР!A$1:B$5001,2),IF(E887&gt;0,VLOOKUP(E887,Направление!A$1:B$4830,2))))))</f>
        <v xml:space="preserve">Иная дотация </v>
      </c>
      <c r="B887" s="154"/>
      <c r="C887" s="149"/>
      <c r="D887" s="151"/>
      <c r="E887" s="149">
        <v>73260</v>
      </c>
      <c r="F887" s="151"/>
      <c r="G887" s="500">
        <v>230999</v>
      </c>
      <c r="H887" s="155">
        <f>H888</f>
        <v>230999</v>
      </c>
      <c r="I887" s="157">
        <f t="shared" si="18"/>
        <v>461998</v>
      </c>
    </row>
    <row r="888" spans="1:9" s="178" customFormat="1" ht="63" x14ac:dyDescent="0.25">
      <c r="A888" s="153" t="str">
        <f>IF(B888&gt;0,VLOOKUP(B888,КВСР!A370:B1535,2),IF(C888&gt;0,VLOOKUP(C888,КФСР!A370:B1882,2),IF(D888&gt;0,VLOOKUP(D888,Программа!A$1:B$5100,2),IF(F888&gt;0,VLOOKUP(F888,КВР!A$1:B$5001,2),IF(E888&gt;0,VLOOKUP(E888,Направление!A$1:B$4830,2))))))</f>
        <v>Предоставление субсидий бюджетным, автономным учреждениям и иным некоммерческим организациям</v>
      </c>
      <c r="B888" s="154"/>
      <c r="C888" s="149"/>
      <c r="D888" s="150"/>
      <c r="E888" s="149"/>
      <c r="F888" s="151">
        <v>600</v>
      </c>
      <c r="G888" s="156">
        <v>230999</v>
      </c>
      <c r="H888" s="156">
        <v>230999</v>
      </c>
      <c r="I888" s="157">
        <f t="shared" si="18"/>
        <v>461998</v>
      </c>
    </row>
    <row r="889" spans="1:9" s="178" customFormat="1" ht="63" x14ac:dyDescent="0.25">
      <c r="A889" s="153" t="str">
        <f>IF(B889&gt;0,VLOOKUP(B889,КВСР!A371:B1536,2),IF(C889&gt;0,VLOOKUP(C889,КФСР!A371:B1883,2),IF(D889&gt;0,VLOOKUP(D889,Программа!A$1:B$5100,2),IF(F889&gt;0,VLOOKUP(F889,КВР!A$1:B$5001,2),IF(E889&gt;0,VLOOKUP(E889,Направление!A$1:B$4830,2))))))</f>
        <v>Расходы на оказание (выполнение) муниципальными учреждениями услуг (работ) в сфере молодежной политики за счет средств областного бюджета</v>
      </c>
      <c r="B889" s="154"/>
      <c r="C889" s="149"/>
      <c r="D889" s="150"/>
      <c r="E889" s="149">
        <v>70650</v>
      </c>
      <c r="F889" s="151"/>
      <c r="G889" s="500">
        <v>2166960</v>
      </c>
      <c r="H889" s="155">
        <f>H890</f>
        <v>2166960</v>
      </c>
      <c r="I889" s="157">
        <f t="shared" si="18"/>
        <v>4333920</v>
      </c>
    </row>
    <row r="890" spans="1:9" s="178" customFormat="1" ht="63" x14ac:dyDescent="0.25">
      <c r="A890" s="153" t="str">
        <f>IF(B890&gt;0,VLOOKUP(B890,КВСР!A370:B1535,2),IF(C890&gt;0,VLOOKUP(C890,КФСР!A370:B1882,2),IF(D890&gt;0,VLOOKUP(D890,Программа!A$1:B$5100,2),IF(F890&gt;0,VLOOKUP(F890,КВР!A$1:B$5001,2),IF(E890&gt;0,VLOOKUP(E890,Направление!A$1:B$4830,2))))))</f>
        <v>Предоставление субсидий бюджетным, автономным учреждениям и иным некоммерческим организациям</v>
      </c>
      <c r="B890" s="154"/>
      <c r="C890" s="149"/>
      <c r="D890" s="150"/>
      <c r="E890" s="149"/>
      <c r="F890" s="151">
        <v>600</v>
      </c>
      <c r="G890" s="516">
        <v>2166960</v>
      </c>
      <c r="H890" s="158">
        <v>2166960</v>
      </c>
      <c r="I890" s="157">
        <f t="shared" si="18"/>
        <v>4333920</v>
      </c>
    </row>
    <row r="891" spans="1:9" s="178" customFormat="1" ht="47.25" x14ac:dyDescent="0.25">
      <c r="A891" s="153" t="str">
        <f>IF(B891&gt;0,VLOOKUP(B891,КВСР!A371:B1536,2),IF(C891&gt;0,VLOOKUP(C891,КФСР!A371:B1883,2),IF(D891&gt;0,VLOOKUP(D891,Программа!A$1:B$5100,2),IF(F891&gt;0,VLOOKUP(F891,КВР!A$1:B$5001,2),IF(E891&gt;0,VLOOKUP(E891,Направление!A$1:B$4830,2))))))</f>
        <v>Расходы на обеспечение трудоустройства несовершеннолетних граждан на временные рабочие места</v>
      </c>
      <c r="B891" s="154"/>
      <c r="C891" s="149"/>
      <c r="D891" s="150"/>
      <c r="E891" s="149">
        <v>76150</v>
      </c>
      <c r="F891" s="151"/>
      <c r="G891" s="516">
        <v>371240</v>
      </c>
      <c r="H891" s="516">
        <f>H892</f>
        <v>371240</v>
      </c>
      <c r="I891" s="516">
        <f>I892</f>
        <v>742480</v>
      </c>
    </row>
    <row r="892" spans="1:9" s="178" customFormat="1" ht="63" x14ac:dyDescent="0.25">
      <c r="A892" s="153" t="str">
        <f>IF(B892&gt;0,VLOOKUP(B892,КВСР!A372:B1537,2),IF(C892&gt;0,VLOOKUP(C892,КФСР!A372:B1884,2),IF(D892&gt;0,VLOOKUP(D892,Программа!A$1:B$5100,2),IF(F892&gt;0,VLOOKUP(F892,КВР!A$1:B$5001,2),IF(E892&gt;0,VLOOKUP(E892,Направление!A$1:B$4830,2))))))</f>
        <v>Предоставление субсидий бюджетным, автономным учреждениям и иным некоммерческим организациям</v>
      </c>
      <c r="B892" s="154"/>
      <c r="C892" s="149"/>
      <c r="D892" s="150"/>
      <c r="E892" s="149"/>
      <c r="F892" s="151">
        <v>600</v>
      </c>
      <c r="G892" s="516">
        <v>371240</v>
      </c>
      <c r="H892" s="158">
        <v>371240</v>
      </c>
      <c r="I892" s="157">
        <f t="shared" si="18"/>
        <v>742480</v>
      </c>
    </row>
    <row r="893" spans="1:9" s="178" customFormat="1" ht="47.25" x14ac:dyDescent="0.25">
      <c r="A893" s="153" t="str">
        <f>IF(B893&gt;0,VLOOKUP(B893,КВСР!A373:B1538,2),IF(C893&gt;0,VLOOKUP(C893,КФСР!A373:B1885,2),IF(D893&gt;0,VLOOKUP(D893,Программа!A$1:B$5100,2),IF(F893&gt;0,VLOOKUP(F893,КВР!A$1:B$5001,2),IF(E893&gt;0,VLOOKUP(E893,Направление!A$1:B$4830,2))))))</f>
        <v>Расходы на обеспечение трудоустройства несовершеннолетних граждан на временные рабочие места</v>
      </c>
      <c r="B893" s="154"/>
      <c r="C893" s="149"/>
      <c r="D893" s="150"/>
      <c r="E893" s="149">
        <v>16151</v>
      </c>
      <c r="F893" s="151"/>
      <c r="G893" s="516">
        <v>552278</v>
      </c>
      <c r="H893" s="516">
        <f>H894</f>
        <v>552279</v>
      </c>
      <c r="I893" s="516">
        <f>I894</f>
        <v>1104557</v>
      </c>
    </row>
    <row r="894" spans="1:9" s="178" customFormat="1" ht="63" x14ac:dyDescent="0.25">
      <c r="A894" s="153" t="str">
        <f>IF(B894&gt;0,VLOOKUP(B894,КВСР!A374:B1539,2),IF(C894&gt;0,VLOOKUP(C894,КФСР!A374:B1886,2),IF(D894&gt;0,VLOOKUP(D894,Программа!A$1:B$5100,2),IF(F894&gt;0,VLOOKUP(F894,КВР!A$1:B$5001,2),IF(E894&gt;0,VLOOKUP(E894,Направление!A$1:B$4830,2))))))</f>
        <v>Предоставление субсидий бюджетным, автономным учреждениям и иным некоммерческим организациям</v>
      </c>
      <c r="B894" s="154"/>
      <c r="C894" s="149"/>
      <c r="D894" s="150"/>
      <c r="E894" s="149"/>
      <c r="F894" s="151">
        <v>600</v>
      </c>
      <c r="G894" s="516">
        <v>552278</v>
      </c>
      <c r="H894" s="158">
        <v>552279</v>
      </c>
      <c r="I894" s="157">
        <f t="shared" si="18"/>
        <v>1104557</v>
      </c>
    </row>
    <row r="895" spans="1:9" s="178" customFormat="1" ht="47.25" x14ac:dyDescent="0.25">
      <c r="A895" s="153" t="str">
        <f>IF(B895&gt;0,VLOOKUP(B895,КВСР!A371:B1536,2),IF(C895&gt;0,VLOOKUP(C895,КФСР!A371:B1883,2),IF(D895&gt;0,VLOOKUP(D895,Программа!A$1:B$5100,2),IF(F895&gt;0,VLOOKUP(F895,КВР!A$1:B$5001,2),IF(E895&gt;0,VLOOKUP(E895,Направление!A$1:B$4830,2))))))</f>
        <v>Обеспечение качества и доступности услуг(работ) в сфере молодежной политики</v>
      </c>
      <c r="B895" s="154"/>
      <c r="C895" s="149"/>
      <c r="D895" s="150" t="s">
        <v>3047</v>
      </c>
      <c r="E895" s="149"/>
      <c r="F895" s="151"/>
      <c r="G895" s="606">
        <v>90000</v>
      </c>
      <c r="H895" s="487">
        <f>H896+H898</f>
        <v>90000</v>
      </c>
      <c r="I895" s="157">
        <f t="shared" si="18"/>
        <v>180000</v>
      </c>
    </row>
    <row r="896" spans="1:9" s="178" customFormat="1" ht="31.5" x14ac:dyDescent="0.25">
      <c r="A896" s="153" t="str">
        <f>IF(B896&gt;0,VLOOKUP(B896,КВСР!A372:B1537,2),IF(C896&gt;0,VLOOKUP(C896,КФСР!A372:B1884,2),IF(D896&gt;0,VLOOKUP(D896,Программа!A$1:B$5100,2),IF(F896&gt;0,VLOOKUP(F896,КВР!A$1:B$5001,2),IF(E896&gt;0,VLOOKUP(E896,Направление!A$1:B$4830,2))))))</f>
        <v xml:space="preserve">Выплата ежемесячных и разовых стипендий главы </v>
      </c>
      <c r="B896" s="154"/>
      <c r="C896" s="149"/>
      <c r="D896" s="150"/>
      <c r="E896" s="149">
        <v>12700</v>
      </c>
      <c r="F896" s="151"/>
      <c r="G896" s="606">
        <v>90000</v>
      </c>
      <c r="H896" s="487">
        <f>H897</f>
        <v>90000</v>
      </c>
      <c r="I896" s="157">
        <f t="shared" si="18"/>
        <v>180000</v>
      </c>
    </row>
    <row r="897" spans="1:9" s="178" customFormat="1" ht="63" x14ac:dyDescent="0.25">
      <c r="A897" s="153" t="str">
        <f>IF(B897&gt;0,VLOOKUP(B897,КВСР!A373:B1538,2),IF(C897&gt;0,VLOOKUP(C897,КФСР!A373:B1885,2),IF(D897&gt;0,VLOOKUP(D897,Программа!A$1:B$5100,2),IF(F897&gt;0,VLOOKUP(F897,КВР!A$1:B$5001,2),IF(E897&gt;0,VLOOKUP(E897,Направление!A$1:B$4830,2))))))</f>
        <v>Предоставление субсидий бюджетным, автономным учреждениям и иным некоммерческим организациям</v>
      </c>
      <c r="B897" s="154"/>
      <c r="C897" s="149"/>
      <c r="D897" s="150"/>
      <c r="E897" s="149"/>
      <c r="F897" s="151">
        <v>600</v>
      </c>
      <c r="G897" s="516">
        <v>90000</v>
      </c>
      <c r="H897" s="158">
        <v>90000</v>
      </c>
      <c r="I897" s="157">
        <f t="shared" si="18"/>
        <v>180000</v>
      </c>
    </row>
    <row r="898" spans="1:9" s="178" customFormat="1" ht="47.25" hidden="1" x14ac:dyDescent="0.25">
      <c r="A898" s="153" t="str">
        <f>IF(B898&gt;0,VLOOKUP(B898,КВСР!A374:B1539,2),IF(C898&gt;0,VLOOKUP(C898,КФСР!A374:B1886,2),IF(D898&gt;0,VLOOKUP(D898,Программа!A$1:B$5100,2),IF(F898&gt;0,VLOOKUP(F898,КВР!A$1:B$5001,2),IF(E898&gt;0,VLOOKUP(E898,Направление!A$1:B$4830,2))))))</f>
        <v xml:space="preserve">Обеспечение деятельности учреждений в сфере молодежной политики </v>
      </c>
      <c r="B898" s="154"/>
      <c r="C898" s="149"/>
      <c r="D898" s="150"/>
      <c r="E898" s="149">
        <v>14510</v>
      </c>
      <c r="F898" s="151"/>
      <c r="G898" s="606">
        <v>0</v>
      </c>
      <c r="H898" s="487">
        <f>H899</f>
        <v>0</v>
      </c>
      <c r="I898" s="157">
        <f t="shared" si="18"/>
        <v>0</v>
      </c>
    </row>
    <row r="899" spans="1:9" s="178" customFormat="1" ht="63" hidden="1" x14ac:dyDescent="0.25">
      <c r="A899" s="153" t="str">
        <f>IF(B899&gt;0,VLOOKUP(B899,КВСР!A374:B1539,2),IF(C899&gt;0,VLOOKUP(C899,КФСР!A374:B1886,2),IF(D899&gt;0,VLOOKUP(D899,Программа!A$1:B$5100,2),IF(F899&gt;0,VLOOKUP(F899,КВР!A$1:B$5001,2),IF(E899&gt;0,VLOOKUP(E899,Направление!A$1:B$4830,2))))))</f>
        <v>Предоставление субсидий бюджетным, автономным учреждениям и иным некоммерческим организациям</v>
      </c>
      <c r="B899" s="154"/>
      <c r="C899" s="149"/>
      <c r="D899" s="150"/>
      <c r="E899" s="149"/>
      <c r="F899" s="151">
        <v>600</v>
      </c>
      <c r="G899" s="516">
        <v>0</v>
      </c>
      <c r="H899" s="158"/>
      <c r="I899" s="157">
        <f t="shared" si="18"/>
        <v>0</v>
      </c>
    </row>
    <row r="900" spans="1:9" s="178" customFormat="1" ht="94.5" x14ac:dyDescent="0.25">
      <c r="A900" s="153" t="str">
        <f>IF(B900&gt;0,VLOOKUP(B900,КВСР!A371:B1536,2),IF(C900&gt;0,VLOOKUP(C900,КФСР!A371:B1883,2),IF(D900&gt;0,VLOOKUP(D900,Программа!A$1:B$5100,2),IF(F900&gt;0,VLOOKUP(F900,КВР!A$1:B$5001,2),IF(E900&gt;0,VLOOKUP(E900,Направление!A$1:B$4830,2))))))</f>
        <v>Муниципальная целевая программа «Патриотическое воспитание граждан Российской Федерации, проживающих на территории Тутаевского муниципального района Ярославской области»</v>
      </c>
      <c r="B900" s="154"/>
      <c r="C900" s="149"/>
      <c r="D900" s="150" t="s">
        <v>716</v>
      </c>
      <c r="E900" s="149"/>
      <c r="F900" s="151"/>
      <c r="G900" s="606">
        <v>251000</v>
      </c>
      <c r="H900" s="157">
        <f>H901</f>
        <v>251000</v>
      </c>
      <c r="I900" s="157">
        <f t="shared" si="18"/>
        <v>502000</v>
      </c>
    </row>
    <row r="901" spans="1:9" s="178" customFormat="1" ht="78.75" x14ac:dyDescent="0.25">
      <c r="A901" s="153" t="str">
        <f>IF(B901&gt;0,VLOOKUP(B901,КВСР!A372:B1537,2),IF(C901&gt;0,VLOOKUP(C901,КФСР!A372:B1884,2),IF(D901&gt;0,VLOOKUP(D901,Программа!A$1:B$5100,2),IF(F901&gt;0,VLOOKUP(F901,КВР!A$1:B$5001,2),IF(E901&gt;0,VLOOKUP(E901,Направление!A$1:B$4830,2))))))</f>
        <v>Координирование деятельности, совершенствование организационного, методического и информационного функционирования системы патриотического воспитания</v>
      </c>
      <c r="B901" s="154"/>
      <c r="C901" s="149"/>
      <c r="D901" s="150" t="s">
        <v>718</v>
      </c>
      <c r="E901" s="149"/>
      <c r="F901" s="151"/>
      <c r="G901" s="606">
        <v>251000</v>
      </c>
      <c r="H901" s="157">
        <f>H902+H904</f>
        <v>251000</v>
      </c>
      <c r="I901" s="157">
        <f t="shared" si="18"/>
        <v>502000</v>
      </c>
    </row>
    <row r="902" spans="1:9" s="178" customFormat="1" ht="31.5" x14ac:dyDescent="0.25">
      <c r="A902" s="153" t="str">
        <f>IF(B902&gt;0,VLOOKUP(B902,КВСР!A374:B1539,2),IF(C902&gt;0,VLOOKUP(C902,КФСР!A374:B1886,2),IF(D902&gt;0,VLOOKUP(D902,Программа!A$1:B$5100,2),IF(F902&gt;0,VLOOKUP(F902,КВР!A$1:B$5001,2),IF(E902&gt;0,VLOOKUP(E902,Направление!A$1:B$4830,2))))))</f>
        <v>Мероприятия по патриотическому воспитанию граждан</v>
      </c>
      <c r="B902" s="154"/>
      <c r="C902" s="149"/>
      <c r="D902" s="150"/>
      <c r="E902" s="149">
        <v>14880</v>
      </c>
      <c r="F902" s="151"/>
      <c r="G902" s="606">
        <v>200000</v>
      </c>
      <c r="H902" s="157">
        <f>H903</f>
        <v>200000</v>
      </c>
      <c r="I902" s="157">
        <f t="shared" si="18"/>
        <v>400000</v>
      </c>
    </row>
    <row r="903" spans="1:9" s="178" customFormat="1" ht="63" x14ac:dyDescent="0.25">
      <c r="A903" s="153" t="str">
        <f>IF(B903&gt;0,VLOOKUP(B903,КВСР!A375:B1540,2),IF(C903&gt;0,VLOOKUP(C903,КФСР!A375:B1887,2),IF(D903&gt;0,VLOOKUP(D903,Программа!A$1:B$5100,2),IF(F903&gt;0,VLOOKUP(F903,КВР!A$1:B$5001,2),IF(E903&gt;0,VLOOKUP(E903,Направление!A$1:B$4830,2))))))</f>
        <v>Предоставление субсидий бюджетным, автономным учреждениям и иным некоммерческим организациям</v>
      </c>
      <c r="B903" s="154"/>
      <c r="C903" s="149"/>
      <c r="D903" s="150"/>
      <c r="E903" s="149"/>
      <c r="F903" s="151">
        <v>600</v>
      </c>
      <c r="G903" s="158">
        <v>200000</v>
      </c>
      <c r="H903" s="158">
        <v>200000</v>
      </c>
      <c r="I903" s="157">
        <f t="shared" si="18"/>
        <v>400000</v>
      </c>
    </row>
    <row r="904" spans="1:9" s="178" customFormat="1" ht="31.5" x14ac:dyDescent="0.25">
      <c r="A904" s="153" t="str">
        <f>IF(B904&gt;0,VLOOKUP(B904,КВСР!A376:B1541,2),IF(C904&gt;0,VLOOKUP(C904,КФСР!A376:B1888,2),IF(D904&gt;0,VLOOKUP(D904,Программа!A$1:B$5100,2),IF(F904&gt;0,VLOOKUP(F904,КВР!A$1:B$5001,2),IF(E904&gt;0,VLOOKUP(E904,Направление!A$1:B$4830,2))))))</f>
        <v>Мероприятия по патриотическому воспитанию граждан</v>
      </c>
      <c r="B904" s="154"/>
      <c r="C904" s="149"/>
      <c r="D904" s="150"/>
      <c r="E904" s="149">
        <v>74880</v>
      </c>
      <c r="F904" s="151"/>
      <c r="G904" s="738">
        <v>51000</v>
      </c>
      <c r="H904" s="738">
        <f>H905</f>
        <v>51000</v>
      </c>
      <c r="I904" s="157">
        <f t="shared" si="18"/>
        <v>102000</v>
      </c>
    </row>
    <row r="905" spans="1:9" s="178" customFormat="1" ht="63" x14ac:dyDescent="0.25">
      <c r="A905" s="153" t="str">
        <f>IF(B905&gt;0,VLOOKUP(B905,КВСР!A377:B1542,2),IF(C905&gt;0,VLOOKUP(C905,КФСР!A377:B1889,2),IF(D905&gt;0,VLOOKUP(D905,Программа!A$1:B$5100,2),IF(F905&gt;0,VLOOKUP(F905,КВР!A$1:B$5001,2),IF(E905&gt;0,VLOOKUP(E905,Направление!A$1:B$4830,2))))))</f>
        <v>Предоставление субсидий бюджетным, автономным учреждениям и иным некоммерческим организациям</v>
      </c>
      <c r="B905" s="154"/>
      <c r="C905" s="149"/>
      <c r="D905" s="150"/>
      <c r="E905" s="149"/>
      <c r="F905" s="151">
        <v>600</v>
      </c>
      <c r="G905" s="487">
        <v>51000</v>
      </c>
      <c r="H905" s="158">
        <v>51000</v>
      </c>
      <c r="I905" s="157">
        <f t="shared" si="18"/>
        <v>102000</v>
      </c>
    </row>
    <row r="906" spans="1:9" s="178" customFormat="1" ht="63" x14ac:dyDescent="0.25">
      <c r="A906" s="153" t="str">
        <f>IF(B906&gt;0,VLOOKUP(B906,КВСР!A376:B1541,2),IF(C906&gt;0,VLOOKUP(C906,КФСР!A376:B1888,2),IF(D906&gt;0,VLOOKUP(D906,Программа!A$1:B$5100,2),IF(F906&gt;0,VLOOKUP(F906,КВР!A$1:B$5001,2),IF(E906&gt;0,VLOOKUP(E906,Направление!A$1:B$4830,2))))))</f>
        <v>Муниципальная целевая программа «Комплексные меры противодействия злоупотреблению наркотиками и их незаконному обороту»</v>
      </c>
      <c r="B906" s="154"/>
      <c r="C906" s="149"/>
      <c r="D906" s="150" t="s">
        <v>721</v>
      </c>
      <c r="E906" s="149"/>
      <c r="F906" s="151"/>
      <c r="G906" s="606">
        <v>60000</v>
      </c>
      <c r="H906" s="157">
        <f>H907</f>
        <v>60000</v>
      </c>
      <c r="I906" s="157">
        <f t="shared" si="18"/>
        <v>120000</v>
      </c>
    </row>
    <row r="907" spans="1:9" s="178" customFormat="1" ht="47.25" x14ac:dyDescent="0.25">
      <c r="A907" s="153" t="str">
        <f>IF(B907&gt;0,VLOOKUP(B907,КВСР!A377:B1542,2),IF(C907&gt;0,VLOOKUP(C907,КФСР!A377:B1889,2),IF(D907&gt;0,VLOOKUP(D907,Программа!A$1:B$5100,2),IF(F907&gt;0,VLOOKUP(F907,КВР!A$1:B$5001,2),IF(E907&gt;0,VLOOKUP(E907,Направление!A$1:B$4830,2))))))</f>
        <v>Развитие системы профилактики немедицинского потребления наркотиков</v>
      </c>
      <c r="B907" s="154"/>
      <c r="C907" s="149"/>
      <c r="D907" s="150" t="s">
        <v>723</v>
      </c>
      <c r="E907" s="149"/>
      <c r="F907" s="151"/>
      <c r="G907" s="606">
        <v>60000</v>
      </c>
      <c r="H907" s="157">
        <f>H908</f>
        <v>60000</v>
      </c>
      <c r="I907" s="157">
        <f t="shared" si="18"/>
        <v>120000</v>
      </c>
    </row>
    <row r="908" spans="1:9" s="178" customFormat="1" ht="63" x14ac:dyDescent="0.25">
      <c r="A908" s="153" t="str">
        <f>IF(B908&gt;0,VLOOKUP(B908,КВСР!A378:B1543,2),IF(C908&gt;0,VLOOKUP(C908,КФСР!A378:B1890,2),IF(D908&gt;0,VLOOKUP(D908,Программа!A$1:B$5100,2),IF(F908&gt;0,VLOOKUP(F908,КВР!A$1:B$5001,2),IF(E908&gt;0,VLOOKUP(E908,Направление!A$1:B$4830,2))))))</f>
        <v>Расходы на реализацию  МЦП "Комплексные меры противодействия злоупотреблению наркотиками и их незаконному обороту"</v>
      </c>
      <c r="B908" s="180"/>
      <c r="C908" s="175"/>
      <c r="D908" s="174"/>
      <c r="E908" s="175">
        <v>13820</v>
      </c>
      <c r="F908" s="177"/>
      <c r="G908" s="500">
        <v>60000</v>
      </c>
      <c r="H908" s="155">
        <f>H909</f>
        <v>60000</v>
      </c>
      <c r="I908" s="157">
        <f t="shared" si="18"/>
        <v>120000</v>
      </c>
    </row>
    <row r="909" spans="1:9" s="178" customFormat="1" ht="63" x14ac:dyDescent="0.25">
      <c r="A909" s="153" t="str">
        <f>IF(B909&gt;0,VLOOKUP(B909,КВСР!A379:B1544,2),IF(C909&gt;0,VLOOKUP(C909,КФСР!A379:B1891,2),IF(D909&gt;0,VLOOKUP(D909,Программа!A$1:B$5100,2),IF(F909&gt;0,VLOOKUP(F909,КВР!A$1:B$5001,2),IF(E909&gt;0,VLOOKUP(E909,Направление!A$1:B$4830,2))))))</f>
        <v>Предоставление субсидий бюджетным, автономным учреждениям и иным некоммерческим организациям</v>
      </c>
      <c r="B909" s="154"/>
      <c r="C909" s="149"/>
      <c r="D909" s="150"/>
      <c r="E909" s="149"/>
      <c r="F909" s="151">
        <v>600</v>
      </c>
      <c r="G909" s="158">
        <v>60000</v>
      </c>
      <c r="H909" s="158">
        <v>60000</v>
      </c>
      <c r="I909" s="157">
        <f t="shared" si="18"/>
        <v>120000</v>
      </c>
    </row>
    <row r="910" spans="1:9" s="178" customFormat="1" ht="31.5" hidden="1" x14ac:dyDescent="0.25">
      <c r="A910" s="153" t="str">
        <f>IF(B910&gt;0,VLOOKUP(B910,КВСР!A376:B1541,2),IF(C910&gt;0,VLOOKUP(C910,КФСР!A376:B1888,2),IF(D910&gt;0,VLOOKUP(D910,Программа!A$1:B$5100,2),IF(F910&gt;0,VLOOKUP(F910,КВР!A$1:B$5001,2),IF(E910&gt;0,VLOOKUP(E910,Направление!A$1:B$4830,2))))))</f>
        <v>Муниципальная программа "Доступная среда "</v>
      </c>
      <c r="B910" s="154"/>
      <c r="C910" s="149"/>
      <c r="D910" s="150" t="s">
        <v>831</v>
      </c>
      <c r="E910" s="149"/>
      <c r="F910" s="151"/>
      <c r="G910" s="606">
        <v>0</v>
      </c>
      <c r="H910" s="157">
        <f>H911</f>
        <v>0</v>
      </c>
      <c r="I910" s="157">
        <f t="shared" si="18"/>
        <v>0</v>
      </c>
    </row>
    <row r="911" spans="1:9" s="178" customFormat="1" ht="78.75" hidden="1" x14ac:dyDescent="0.25">
      <c r="A911" s="153" t="str">
        <f>IF(B911&gt;0,VLOOKUP(B911,КВСР!A377:B1542,2),IF(C911&gt;0,VLOOKUP(C911,КФСР!A377:B1889,2),IF(D911&gt;0,VLOOKUP(D911,Программа!A$1:B$5100,2),IF(F911&gt;0,VLOOKUP(F911,КВР!A$1:B$5001,2),IF(E911&gt;0,VLOOKUP(E911,Направление!A$1:B$4830,2))))))</f>
        <v>Обеспечение доступности приоритетных объектов и услуг в сферах жизнедеятельности граждан с ограниченными возможностями с учетом их особых потребностей</v>
      </c>
      <c r="B911" s="154"/>
      <c r="C911" s="149"/>
      <c r="D911" s="150" t="s">
        <v>833</v>
      </c>
      <c r="E911" s="149"/>
      <c r="F911" s="151"/>
      <c r="G911" s="606">
        <v>0</v>
      </c>
      <c r="H911" s="157">
        <f>H912</f>
        <v>0</v>
      </c>
      <c r="I911" s="157">
        <f t="shared" si="18"/>
        <v>0</v>
      </c>
    </row>
    <row r="912" spans="1:9" s="178" customFormat="1" ht="63" hidden="1" x14ac:dyDescent="0.25">
      <c r="A912" s="153" t="str">
        <f>IF(B912&gt;0,VLOOKUP(B912,КВСР!A378:B1543,2),IF(C912&gt;0,VLOOKUP(C912,КФСР!A378:B1890,2),IF(D912&gt;0,VLOOKUP(D912,Программа!A$1:B$5100,2),IF(F912&gt;0,VLOOKUP(F912,КВР!A$1:B$5001,2),IF(E912&gt;0,VLOOKUP(E912,Направление!A$1:B$4830,2))))))</f>
        <v>Расходы на оборудование социально значимых объектов с целью обеспечения доступности для инвалидов</v>
      </c>
      <c r="B912" s="154"/>
      <c r="C912" s="149"/>
      <c r="D912" s="150"/>
      <c r="E912" s="149">
        <v>16500</v>
      </c>
      <c r="F912" s="151"/>
      <c r="G912" s="606">
        <v>0</v>
      </c>
      <c r="H912" s="157">
        <f>H913</f>
        <v>0</v>
      </c>
      <c r="I912" s="157">
        <f t="shared" si="18"/>
        <v>0</v>
      </c>
    </row>
    <row r="913" spans="1:9" s="178" customFormat="1" ht="63" hidden="1" x14ac:dyDescent="0.25">
      <c r="A913" s="153" t="str">
        <f>IF(B913&gt;0,VLOOKUP(B913,КВСР!A379:B1544,2),IF(C913&gt;0,VLOOKUP(C913,КФСР!A379:B1891,2),IF(D913&gt;0,VLOOKUP(D913,Программа!A$1:B$5100,2),IF(F913&gt;0,VLOOKUP(F913,КВР!A$1:B$5001,2),IF(E913&gt;0,VLOOKUP(E913,Направление!A$1:B$4830,2))))))</f>
        <v>Предоставление субсидий бюджетным, автономным учреждениям и иным некоммерческим организациям</v>
      </c>
      <c r="B913" s="154"/>
      <c r="C913" s="149"/>
      <c r="D913" s="151"/>
      <c r="E913" s="149"/>
      <c r="F913" s="151">
        <v>600</v>
      </c>
      <c r="G913" s="516">
        <v>0</v>
      </c>
      <c r="H913" s="158"/>
      <c r="I913" s="157">
        <f t="shared" si="18"/>
        <v>0</v>
      </c>
    </row>
    <row r="914" spans="1:9" s="178" customFormat="1" x14ac:dyDescent="0.25">
      <c r="A914" s="153" t="str">
        <f>IF(B914&gt;0,VLOOKUP(B914,КВСР!A386:B1551,2),IF(C914&gt;0,VLOOKUP(C914,КФСР!A386:B1898,2),IF(D914&gt;0,VLOOKUP(D914,Программа!A$1:B$5100,2),IF(F914&gt;0,VLOOKUP(F914,КВР!A$1:B$5001,2),IF(E914&gt;0,VLOOKUP(E914,Направление!A$1:B$4830,2))))))</f>
        <v>Культура</v>
      </c>
      <c r="B914" s="154"/>
      <c r="C914" s="149">
        <v>801</v>
      </c>
      <c r="D914" s="170"/>
      <c r="E914" s="168"/>
      <c r="F914" s="169"/>
      <c r="G914" s="606">
        <v>104695187</v>
      </c>
      <c r="H914" s="157">
        <f>H915+H958+H950</f>
        <v>103666973</v>
      </c>
      <c r="I914" s="157">
        <f t="shared" si="18"/>
        <v>208362160</v>
      </c>
    </row>
    <row r="915" spans="1:9" s="178" customFormat="1" ht="63" x14ac:dyDescent="0.25">
      <c r="A915" s="153" t="str">
        <f>IF(B915&gt;0,VLOOKUP(B915,КВСР!A387:B1552,2),IF(C915&gt;0,VLOOKUP(C915,КФСР!A387:B1899,2),IF(D915&gt;0,VLOOKUP(D915,Программа!A$1:B$5100,2),IF(F915&gt;0,VLOOKUP(F915,КВР!A$1:B$5001,2),IF(E915&gt;0,VLOOKUP(E915,Направление!A$1:B$4830,2))))))</f>
        <v>Муниципальная программа  "Развитие культуры, туризма и молодежной политики в Тутаевском муниципальном районе"</v>
      </c>
      <c r="B915" s="154"/>
      <c r="C915" s="149"/>
      <c r="D915" s="170" t="s">
        <v>714</v>
      </c>
      <c r="E915" s="168"/>
      <c r="F915" s="169"/>
      <c r="G915" s="606">
        <v>104635187</v>
      </c>
      <c r="H915" s="157">
        <f>H920+H916</f>
        <v>103656973</v>
      </c>
      <c r="I915" s="157">
        <f t="shared" si="18"/>
        <v>208292160</v>
      </c>
    </row>
    <row r="916" spans="1:9" s="178" customFormat="1" ht="94.5" x14ac:dyDescent="0.25">
      <c r="A916" s="153" t="str">
        <f>IF(B916&gt;0,VLOOKUP(B916,КВСР!A388:B1553,2),IF(C916&gt;0,VLOOKUP(C916,КФСР!A388:B1900,2),IF(D916&gt;0,VLOOKUP(D916,Программа!A$1:B$5100,2),IF(F916&gt;0,VLOOKUP(F916,КВР!A$1:B$5001,2),IF(E916&gt;0,VLOOKUP(E916,Направление!A$1:B$4830,2))))))</f>
        <v>Муниципальная целевая программа «Патриотическое воспитание граждан Российской Федерации, проживающих на территории Тутаевского муниципального района Ярославской области»</v>
      </c>
      <c r="B916" s="154"/>
      <c r="C916" s="149"/>
      <c r="D916" s="170" t="s">
        <v>716</v>
      </c>
      <c r="E916" s="168"/>
      <c r="F916" s="169"/>
      <c r="G916" s="606">
        <v>18000</v>
      </c>
      <c r="H916" s="606">
        <f>H917</f>
        <v>18000</v>
      </c>
      <c r="I916" s="157">
        <f t="shared" si="18"/>
        <v>36000</v>
      </c>
    </row>
    <row r="917" spans="1:9" s="178" customFormat="1" ht="78.75" x14ac:dyDescent="0.25">
      <c r="A917" s="153" t="str">
        <f>IF(B917&gt;0,VLOOKUP(B917,КВСР!A389:B1554,2),IF(C917&gt;0,VLOOKUP(C917,КФСР!A389:B1901,2),IF(D917&gt;0,VLOOKUP(D917,Программа!A$1:B$5100,2),IF(F917&gt;0,VLOOKUP(F917,КВР!A$1:B$5001,2),IF(E917&gt;0,VLOOKUP(E917,Направление!A$1:B$4830,2))))))</f>
        <v>Координирование деятельности, совершенствование организационного, методического и информационного функционирования системы патриотического воспитания</v>
      </c>
      <c r="B917" s="154"/>
      <c r="C917" s="149"/>
      <c r="D917" s="170" t="s">
        <v>718</v>
      </c>
      <c r="E917" s="168"/>
      <c r="F917" s="169"/>
      <c r="G917" s="606">
        <v>18000</v>
      </c>
      <c r="H917" s="606">
        <f>H918</f>
        <v>18000</v>
      </c>
      <c r="I917" s="157">
        <f t="shared" si="18"/>
        <v>36000</v>
      </c>
    </row>
    <row r="918" spans="1:9" s="178" customFormat="1" ht="31.5" x14ac:dyDescent="0.25">
      <c r="A918" s="153" t="str">
        <f>IF(B918&gt;0,VLOOKUP(B918,КВСР!A390:B1555,2),IF(C918&gt;0,VLOOKUP(C918,КФСР!A390:B1902,2),IF(D918&gt;0,VLOOKUP(D918,Программа!A$1:B$5100,2),IF(F918&gt;0,VLOOKUP(F918,КВР!A$1:B$5001,2),IF(E918&gt;0,VLOOKUP(E918,Направление!A$1:B$4830,2))))))</f>
        <v>Мероприятия по патриотическому воспитанию граждан</v>
      </c>
      <c r="B918" s="154"/>
      <c r="C918" s="149"/>
      <c r="D918" s="170"/>
      <c r="E918" s="168">
        <v>74880</v>
      </c>
      <c r="F918" s="169"/>
      <c r="G918" s="606">
        <v>18000</v>
      </c>
      <c r="H918" s="606">
        <f>H919</f>
        <v>18000</v>
      </c>
      <c r="I918" s="157">
        <f t="shared" si="18"/>
        <v>36000</v>
      </c>
    </row>
    <row r="919" spans="1:9" s="178" customFormat="1" ht="63" x14ac:dyDescent="0.25">
      <c r="A919" s="153" t="str">
        <f>IF(B919&gt;0,VLOOKUP(B919,КВСР!A391:B1556,2),IF(C919&gt;0,VLOOKUP(C919,КФСР!A391:B1903,2),IF(D919&gt;0,VLOOKUP(D919,Программа!A$1:B$5100,2),IF(F919&gt;0,VLOOKUP(F919,КВР!A$1:B$5001,2),IF(E919&gt;0,VLOOKUP(E919,Направление!A$1:B$4830,2))))))</f>
        <v>Предоставление субсидий бюджетным, автономным учреждениям и иным некоммерческим организациям</v>
      </c>
      <c r="B919" s="154"/>
      <c r="C919" s="149"/>
      <c r="D919" s="170"/>
      <c r="E919" s="168"/>
      <c r="F919" s="169">
        <v>600</v>
      </c>
      <c r="G919" s="606">
        <v>18000</v>
      </c>
      <c r="H919" s="157">
        <v>18000</v>
      </c>
      <c r="I919" s="157">
        <f t="shared" si="18"/>
        <v>36000</v>
      </c>
    </row>
    <row r="920" spans="1:9" s="178" customFormat="1" ht="47.25" x14ac:dyDescent="0.25">
      <c r="A920" s="153" t="str">
        <f>IF(B920&gt;0,VLOOKUP(B920,КВСР!A388:B1553,2),IF(C920&gt;0,VLOOKUP(C920,КФСР!A388:B1900,2),IF(D920&gt;0,VLOOKUP(D920,Программа!A$1:B$5100,2),IF(F920&gt;0,VLOOKUP(F920,КВР!A$1:B$5001,2),IF(E920&gt;0,VLOOKUP(E920,Направление!A$1:B$4830,2))))))</f>
        <v>Ведомственная целевая программа «Сохранение и развитие культуры Тутаевского муниципального района»</v>
      </c>
      <c r="B920" s="154"/>
      <c r="C920" s="149"/>
      <c r="D920" s="170" t="s">
        <v>817</v>
      </c>
      <c r="E920" s="168"/>
      <c r="F920" s="169"/>
      <c r="G920" s="606">
        <v>104617187</v>
      </c>
      <c r="H920" s="157">
        <f>H921+H937</f>
        <v>103638973</v>
      </c>
      <c r="I920" s="157">
        <f t="shared" si="18"/>
        <v>208256160</v>
      </c>
    </row>
    <row r="921" spans="1:9" s="178" customFormat="1" ht="31.5" x14ac:dyDescent="0.25">
      <c r="A921" s="153" t="str">
        <f>IF(B921&gt;0,VLOOKUP(B921,КВСР!A389:B1554,2),IF(C921&gt;0,VLOOKUP(C921,КФСР!A389:B1901,2),IF(D921&gt;0,VLOOKUP(D921,Программа!A$1:B$5100,2),IF(F921&gt;0,VLOOKUP(F921,КВР!A$1:B$5001,2),IF(E921&gt;0,VLOOKUP(E921,Направление!A$1:B$4830,2))))))</f>
        <v>Содействие доступу граждан к культурным ценностям</v>
      </c>
      <c r="B921" s="154"/>
      <c r="C921" s="149"/>
      <c r="D921" s="170" t="s">
        <v>836</v>
      </c>
      <c r="E921" s="168"/>
      <c r="F921" s="169"/>
      <c r="G921" s="606">
        <v>83860015</v>
      </c>
      <c r="H921" s="157">
        <f>H924+H929+H922+H927+H931+H935+H933</f>
        <v>81796702</v>
      </c>
      <c r="I921" s="157">
        <f t="shared" si="18"/>
        <v>165656717</v>
      </c>
    </row>
    <row r="922" spans="1:9" s="178" customFormat="1" ht="31.5" x14ac:dyDescent="0.25">
      <c r="A922" s="153" t="str">
        <f>IF(B922&gt;0,VLOOKUP(B922,КВСР!A389:B1554,2),IF(C922&gt;0,VLOOKUP(C922,КФСР!A389:B1901,2),IF(D922&gt;0,VLOOKUP(D922,Программа!A$1:B$5100,2),IF(F922&gt;0,VLOOKUP(F922,КВР!A$1:B$5001,2),IF(E922&gt;0,VLOOKUP(E922,Направление!A$1:B$4830,2))))))</f>
        <v xml:space="preserve">Выплата ежемесячных и разовых стипендий главы </v>
      </c>
      <c r="B922" s="154"/>
      <c r="C922" s="149"/>
      <c r="D922" s="170"/>
      <c r="E922" s="168">
        <v>12700</v>
      </c>
      <c r="F922" s="169"/>
      <c r="G922" s="606">
        <v>40000</v>
      </c>
      <c r="H922" s="157">
        <f>H923</f>
        <v>40000</v>
      </c>
      <c r="I922" s="157">
        <f t="shared" si="18"/>
        <v>80000</v>
      </c>
    </row>
    <row r="923" spans="1:9" s="178" customFormat="1" ht="63" x14ac:dyDescent="0.25">
      <c r="A923" s="153" t="str">
        <f>IF(B923&gt;0,VLOOKUP(B923,КВСР!A390:B1555,2),IF(C923&gt;0,VLOOKUP(C923,КФСР!A390:B1902,2),IF(D923&gt;0,VLOOKUP(D923,Программа!A$1:B$5100,2),IF(F923&gt;0,VLOOKUP(F923,КВР!A$1:B$5001,2),IF(E923&gt;0,VLOOKUP(E923,Направление!A$1:B$4830,2))))))</f>
        <v>Предоставление субсидий бюджетным, автономным учреждениям и иным некоммерческим организациям</v>
      </c>
      <c r="B923" s="154"/>
      <c r="C923" s="149"/>
      <c r="D923" s="169"/>
      <c r="E923" s="168"/>
      <c r="F923" s="169">
        <v>600</v>
      </c>
      <c r="G923" s="638">
        <v>40000</v>
      </c>
      <c r="H923" s="159">
        <v>40000</v>
      </c>
      <c r="I923" s="157">
        <f t="shared" si="18"/>
        <v>80000</v>
      </c>
    </row>
    <row r="924" spans="1:9" s="178" customFormat="1" ht="47.25" x14ac:dyDescent="0.25">
      <c r="A924" s="153" t="str">
        <f>IF(B924&gt;0,VLOOKUP(B924,КВСР!A389:B1554,2),IF(C924&gt;0,VLOOKUP(C924,КФСР!A389:B1901,2),IF(D924&gt;0,VLOOKUP(D924,Программа!A$1:B$5100,2),IF(F924&gt;0,VLOOKUP(F924,КВР!A$1:B$5001,2),IF(E924&gt;0,VLOOKUP(E924,Направление!A$1:B$4830,2))))))</f>
        <v>Обеспечение деятельности учреждений по организации досуга в сфере культуры</v>
      </c>
      <c r="B924" s="154"/>
      <c r="C924" s="149"/>
      <c r="D924" s="170"/>
      <c r="E924" s="168">
        <v>15010</v>
      </c>
      <c r="F924" s="169"/>
      <c r="G924" s="606">
        <v>78811645</v>
      </c>
      <c r="H924" s="157">
        <f>H926+H925</f>
        <v>76750562</v>
      </c>
      <c r="I924" s="157">
        <f t="shared" si="18"/>
        <v>155562207</v>
      </c>
    </row>
    <row r="925" spans="1:9" s="178" customFormat="1" ht="47.25" x14ac:dyDescent="0.25">
      <c r="A925" s="153" t="str">
        <f>IF(B925&gt;0,VLOOKUP(B925,КВСР!A390:B1555,2),IF(C925&gt;0,VLOOKUP(C925,КФСР!A390:B1902,2),IF(D925&gt;0,VLOOKUP(D925,Программа!A$1:B$5100,2),IF(F925&gt;0,VLOOKUP(F925,КВР!A$1:B$5001,2),IF(E925&gt;0,VLOOKUP(E925,Направление!A$1:B$4830,2))))))</f>
        <v>Капитальные вложения в объекты государственной (муниципальной) собственности</v>
      </c>
      <c r="B925" s="154"/>
      <c r="C925" s="149"/>
      <c r="D925" s="170"/>
      <c r="E925" s="168"/>
      <c r="F925" s="169">
        <v>400</v>
      </c>
      <c r="G925" s="606">
        <v>43073</v>
      </c>
      <c r="H925" s="157">
        <v>43073</v>
      </c>
      <c r="I925" s="157">
        <f t="shared" si="18"/>
        <v>86146</v>
      </c>
    </row>
    <row r="926" spans="1:9" s="178" customFormat="1" ht="63" x14ac:dyDescent="0.25">
      <c r="A926" s="153" t="str">
        <f>IF(B926&gt;0,VLOOKUP(B926,КВСР!A390:B1555,2),IF(C926&gt;0,VLOOKUP(C926,КФСР!A390:B1902,2),IF(D926&gt;0,VLOOKUP(D926,Программа!A$1:B$5100,2),IF(F926&gt;0,VLOOKUP(F926,КВР!A$1:B$5001,2),IF(E926&gt;0,VLOOKUP(E926,Направление!A$1:B$4830,2))))))</f>
        <v>Предоставление субсидий бюджетным, автономным учреждениям и иным некоммерческим организациям</v>
      </c>
      <c r="B926" s="154"/>
      <c r="C926" s="149"/>
      <c r="D926" s="169"/>
      <c r="E926" s="168"/>
      <c r="F926" s="169">
        <v>600</v>
      </c>
      <c r="G926" s="158">
        <v>78768572</v>
      </c>
      <c r="H926" s="158">
        <v>76707489</v>
      </c>
      <c r="I926" s="157">
        <f t="shared" si="18"/>
        <v>155476061</v>
      </c>
    </row>
    <row r="927" spans="1:9" s="178" customFormat="1" x14ac:dyDescent="0.25">
      <c r="A927" s="153" t="str">
        <f>IF(B927&gt;0,VLOOKUP(B927,КВСР!A393:B1558,2),IF(C927&gt;0,VLOOKUP(C927,КФСР!A393:B1905,2),IF(D927&gt;0,VLOOKUP(D927,Программа!A$1:B$5100,2),IF(F927&gt;0,VLOOKUP(F927,КВР!A$1:B$5001,2),IF(E927&gt;0,VLOOKUP(E927,Направление!A$1:B$4830,2))))))</f>
        <v>Мероприятия в сфере культуры</v>
      </c>
      <c r="B927" s="154"/>
      <c r="C927" s="149"/>
      <c r="D927" s="170"/>
      <c r="E927" s="168">
        <v>15220</v>
      </c>
      <c r="F927" s="169"/>
      <c r="G927" s="606">
        <v>2431829</v>
      </c>
      <c r="H927" s="157">
        <f>H928</f>
        <v>2386096</v>
      </c>
      <c r="I927" s="157">
        <f t="shared" si="18"/>
        <v>4817925</v>
      </c>
    </row>
    <row r="928" spans="1:9" s="178" customFormat="1" ht="63" x14ac:dyDescent="0.25">
      <c r="A928" s="153" t="str">
        <f>IF(B928&gt;0,VLOOKUP(B928,КВСР!A394:B1559,2),IF(C928&gt;0,VLOOKUP(C928,КФСР!A394:B1906,2),IF(D928&gt;0,VLOOKUP(D928,Программа!A$1:B$5100,2),IF(F928&gt;0,VLOOKUP(F928,КВР!A$1:B$5001,2),IF(E928&gt;0,VLOOKUP(E928,Направление!A$1:B$4830,2))))))</f>
        <v>Предоставление субсидий бюджетным, автономным учреждениям и иным некоммерческим организациям</v>
      </c>
      <c r="B928" s="154"/>
      <c r="C928" s="149"/>
      <c r="D928" s="170"/>
      <c r="E928" s="168"/>
      <c r="F928" s="169">
        <v>600</v>
      </c>
      <c r="G928" s="158">
        <v>2431829</v>
      </c>
      <c r="H928" s="158">
        <v>2386096</v>
      </c>
      <c r="I928" s="157">
        <f t="shared" si="18"/>
        <v>4817925</v>
      </c>
    </row>
    <row r="929" spans="1:9" s="178" customFormat="1" ht="31.5" x14ac:dyDescent="0.25">
      <c r="A929" s="153" t="str">
        <f>IF(B929&gt;0,VLOOKUP(B929,КВСР!A391:B1556,2),IF(C929&gt;0,VLOOKUP(C929,КФСР!A391:B1903,2),IF(D929&gt;0,VLOOKUP(D929,Программа!A$1:B$5100,2),IF(F929&gt;0,VLOOKUP(F929,КВР!A$1:B$5001,2),IF(E929&gt;0,VLOOKUP(E929,Направление!A$1:B$4830,2))))))</f>
        <v xml:space="preserve">Обеспечение культурно-досуговых мероприятий </v>
      </c>
      <c r="B929" s="154"/>
      <c r="C929" s="149"/>
      <c r="D929" s="170"/>
      <c r="E929" s="168">
        <v>29216</v>
      </c>
      <c r="F929" s="169"/>
      <c r="G929" s="606">
        <v>1700000</v>
      </c>
      <c r="H929" s="157">
        <f>H930</f>
        <v>1700000</v>
      </c>
      <c r="I929" s="157">
        <f t="shared" si="18"/>
        <v>3400000</v>
      </c>
    </row>
    <row r="930" spans="1:9" s="178" customFormat="1" ht="63" x14ac:dyDescent="0.25">
      <c r="A930" s="153" t="str">
        <f>IF(B930&gt;0,VLOOKUP(B930,КВСР!A392:B1557,2),IF(C930&gt;0,VLOOKUP(C930,КФСР!A392:B1904,2),IF(D930&gt;0,VLOOKUP(D930,Программа!A$1:B$5100,2),IF(F930&gt;0,VLOOKUP(F930,КВР!A$1:B$5001,2),IF(E930&gt;0,VLOOKUP(E930,Направление!A$1:B$4830,2))))))</f>
        <v>Предоставление субсидий бюджетным, автономным учреждениям и иным некоммерческим организациям</v>
      </c>
      <c r="B930" s="154"/>
      <c r="C930" s="149"/>
      <c r="D930" s="150"/>
      <c r="E930" s="149"/>
      <c r="F930" s="151">
        <v>600</v>
      </c>
      <c r="G930" s="516">
        <v>1700000</v>
      </c>
      <c r="H930" s="158">
        <v>1700000</v>
      </c>
      <c r="I930" s="157">
        <f t="shared" si="18"/>
        <v>3400000</v>
      </c>
    </row>
    <row r="931" spans="1:9" s="178" customFormat="1" x14ac:dyDescent="0.25">
      <c r="A931" s="153" t="str">
        <f>IF(B931&gt;0,VLOOKUP(B931,КВСР!A393:B1558,2),IF(C931&gt;0,VLOOKUP(C931,КФСР!A393:B1905,2),IF(D931&gt;0,VLOOKUP(D931,Программа!A$1:B$5100,2),IF(F931&gt;0,VLOOKUP(F931,КВР!A$1:B$5001,2),IF(E931&gt;0,VLOOKUP(E931,Направление!A$1:B$4830,2))))))</f>
        <v xml:space="preserve">Иная дотация </v>
      </c>
      <c r="B931" s="154"/>
      <c r="C931" s="149"/>
      <c r="D931" s="150"/>
      <c r="E931" s="149">
        <v>73260</v>
      </c>
      <c r="F931" s="151"/>
      <c r="G931" s="606">
        <v>826541</v>
      </c>
      <c r="H931" s="157">
        <f>H932</f>
        <v>826491</v>
      </c>
      <c r="I931" s="157">
        <f t="shared" si="18"/>
        <v>1653032</v>
      </c>
    </row>
    <row r="932" spans="1:9" s="178" customFormat="1" ht="63" x14ac:dyDescent="0.25">
      <c r="A932" s="153" t="str">
        <f>IF(B932&gt;0,VLOOKUP(B932,КВСР!A394:B1559,2),IF(C932&gt;0,VLOOKUP(C932,КФСР!A394:B1906,2),IF(D932&gt;0,VLOOKUP(D932,Программа!A$1:B$5100,2),IF(F932&gt;0,VLOOKUP(F932,КВР!A$1:B$5001,2),IF(E932&gt;0,VLOOKUP(E932,Направление!A$1:B$4830,2))))))</f>
        <v>Предоставление субсидий бюджетным, автономным учреждениям и иным некоммерческим организациям</v>
      </c>
      <c r="B932" s="154"/>
      <c r="C932" s="149"/>
      <c r="D932" s="150"/>
      <c r="E932" s="149"/>
      <c r="F932" s="151">
        <v>600</v>
      </c>
      <c r="G932" s="516">
        <v>826541</v>
      </c>
      <c r="H932" s="158">
        <v>826491</v>
      </c>
      <c r="I932" s="157">
        <f t="shared" si="18"/>
        <v>1653032</v>
      </c>
    </row>
    <row r="933" spans="1:9" s="178" customFormat="1" ht="94.5" x14ac:dyDescent="0.25">
      <c r="A933" s="153" t="str">
        <f>IF(B933&gt;0,VLOOKUP(B933,КВСР!A395:B1560,2),IF(C933&gt;0,VLOOKUP(C933,КФСР!A395:B1907,2),IF(D933&gt;0,VLOOKUP(D933,Программа!A$1:B$5100,2),IF(F933&gt;0,VLOOKUP(F933,КВР!A$1:B$5001,2),IF(E933&gt;0,VLOOKUP(E933,Направление!A$1:B$4830,2))))))</f>
        <v>На реализацию мероприятий по поощрению достижения наилучших значений показателей по отдельным направлениям развития муниципальных образований Ярославской области</v>
      </c>
      <c r="B933" s="154"/>
      <c r="C933" s="149"/>
      <c r="D933" s="150"/>
      <c r="E933" s="149">
        <v>75870</v>
      </c>
      <c r="F933" s="151"/>
      <c r="G933" s="516">
        <f>G934</f>
        <v>0</v>
      </c>
      <c r="H933" s="516">
        <f t="shared" ref="H933:I933" si="19">H934</f>
        <v>43553</v>
      </c>
      <c r="I933" s="516">
        <f t="shared" si="19"/>
        <v>43553</v>
      </c>
    </row>
    <row r="934" spans="1:9" s="178" customFormat="1" ht="63" x14ac:dyDescent="0.25">
      <c r="A934" s="153" t="str">
        <f>IF(B934&gt;0,VLOOKUP(B934,КВСР!A396:B1561,2),IF(C934&gt;0,VLOOKUP(C934,КФСР!A396:B1908,2),IF(D934&gt;0,VLOOKUP(D934,Программа!A$1:B$5100,2),IF(F934&gt;0,VLOOKUP(F934,КВР!A$1:B$5001,2),IF(E934&gt;0,VLOOKUP(E934,Направление!A$1:B$4830,2))))))</f>
        <v>Предоставление субсидий бюджетным, автономным учреждениям и иным некоммерческим организациям</v>
      </c>
      <c r="B934" s="154"/>
      <c r="C934" s="149"/>
      <c r="D934" s="150"/>
      <c r="E934" s="149"/>
      <c r="F934" s="151">
        <v>600</v>
      </c>
      <c r="G934" s="516"/>
      <c r="H934" s="158">
        <v>43553</v>
      </c>
      <c r="I934" s="157">
        <f>G934+H934</f>
        <v>43553</v>
      </c>
    </row>
    <row r="935" spans="1:9" s="178" customFormat="1" ht="31.5" x14ac:dyDescent="0.25">
      <c r="A935" s="153" t="str">
        <f>IF(B935&gt;0,VLOOKUP(B935,КВСР!A395:B1560,2),IF(C935&gt;0,VLOOKUP(C935,КФСР!A395:B1907,2),IF(D935&gt;0,VLOOKUP(D935,Программа!A$1:B$5100,2),IF(F935&gt;0,VLOOKUP(F935,КВР!A$1:B$5001,2),IF(E935&gt;0,VLOOKUP(E935,Направление!A$1:B$4830,2))))))</f>
        <v>Расходы на поддержку отрасли культуры</v>
      </c>
      <c r="B935" s="154"/>
      <c r="C935" s="149"/>
      <c r="D935" s="150"/>
      <c r="E935" s="149" t="s">
        <v>3460</v>
      </c>
      <c r="F935" s="151"/>
      <c r="G935" s="516">
        <v>50000</v>
      </c>
      <c r="H935" s="516">
        <f>H936</f>
        <v>50000</v>
      </c>
      <c r="I935" s="516">
        <f>I936</f>
        <v>100000</v>
      </c>
    </row>
    <row r="936" spans="1:9" s="178" customFormat="1" ht="63" x14ac:dyDescent="0.25">
      <c r="A936" s="153" t="str">
        <f>IF(B936&gt;0,VLOOKUP(B936,КВСР!A396:B1561,2),IF(C936&gt;0,VLOOKUP(C936,КФСР!A396:B1908,2),IF(D936&gt;0,VLOOKUP(D936,Программа!A$1:B$5100,2),IF(F936&gt;0,VLOOKUP(F936,КВР!A$1:B$5001,2),IF(E936&gt;0,VLOOKUP(E936,Направление!A$1:B$4830,2))))))</f>
        <v>Предоставление субсидий бюджетным, автономным учреждениям и иным некоммерческим организациям</v>
      </c>
      <c r="B936" s="154"/>
      <c r="C936" s="149"/>
      <c r="D936" s="150"/>
      <c r="E936" s="149"/>
      <c r="F936" s="151">
        <v>600</v>
      </c>
      <c r="G936" s="516">
        <v>50000</v>
      </c>
      <c r="H936" s="158">
        <v>50000</v>
      </c>
      <c r="I936" s="157">
        <f t="shared" si="18"/>
        <v>100000</v>
      </c>
    </row>
    <row r="937" spans="1:9" s="178" customFormat="1" ht="47.25" x14ac:dyDescent="0.25">
      <c r="A937" s="153" t="str">
        <f>IF(B937&gt;0,VLOOKUP(B937,КВСР!A395:B1560,2),IF(C937&gt;0,VLOOKUP(C937,КФСР!A395:B1907,2),IF(D937&gt;0,VLOOKUP(D937,Программа!A$1:B$5100,2),IF(F937&gt;0,VLOOKUP(F937,КВР!A$1:B$5001,2),IF(E937&gt;0,VLOOKUP(E937,Направление!A$1:B$4830,2))))))</f>
        <v>Поддержка доступа граждан к информационно-библиотечным ресурсам</v>
      </c>
      <c r="B937" s="154"/>
      <c r="C937" s="149"/>
      <c r="D937" s="150" t="s">
        <v>841</v>
      </c>
      <c r="E937" s="149"/>
      <c r="F937" s="151"/>
      <c r="G937" s="606">
        <v>20757172</v>
      </c>
      <c r="H937" s="157">
        <f>H938+H942+H944+H946+H948+H940</f>
        <v>21842271</v>
      </c>
      <c r="I937" s="157">
        <f>I938+I942+I944+I946+I948+I940</f>
        <v>42599443</v>
      </c>
    </row>
    <row r="938" spans="1:9" s="178" customFormat="1" x14ac:dyDescent="0.25">
      <c r="A938" s="153" t="str">
        <f>IF(B938&gt;0,VLOOKUP(B938,КВСР!A396:B1561,2),IF(C938&gt;0,VLOOKUP(C938,КФСР!A396:B1908,2),IF(D938&gt;0,VLOOKUP(D938,Программа!A$1:B$5100,2),IF(F938&gt;0,VLOOKUP(F938,КВР!A$1:B$5001,2),IF(E938&gt;0,VLOOKUP(E938,Направление!A$1:B$4830,2))))))</f>
        <v>Обеспечение деятельности библиотек</v>
      </c>
      <c r="B938" s="154"/>
      <c r="C938" s="149"/>
      <c r="D938" s="150"/>
      <c r="E938" s="149">
        <v>15110</v>
      </c>
      <c r="F938" s="151"/>
      <c r="G938" s="606">
        <v>20270469</v>
      </c>
      <c r="H938" s="157">
        <f>H939</f>
        <v>21385288</v>
      </c>
      <c r="I938" s="157">
        <f t="shared" si="18"/>
        <v>41655757</v>
      </c>
    </row>
    <row r="939" spans="1:9" s="178" customFormat="1" ht="63" x14ac:dyDescent="0.25">
      <c r="A939" s="153" t="str">
        <f>IF(B939&gt;0,VLOOKUP(B939,КВСР!A397:B1562,2),IF(C939&gt;0,VLOOKUP(C939,КФСР!A397:B1909,2),IF(D939&gt;0,VLOOKUP(D939,Программа!A$1:B$5100,2),IF(F939&gt;0,VLOOKUP(F939,КВР!A$1:B$5001,2),IF(E939&gt;0,VLOOKUP(E939,Направление!A$1:B$4830,2))))))</f>
        <v>Предоставление субсидий бюджетным, автономным учреждениям и иным некоммерческим организациям</v>
      </c>
      <c r="B939" s="154"/>
      <c r="C939" s="149"/>
      <c r="D939" s="150"/>
      <c r="E939" s="149"/>
      <c r="F939" s="151">
        <v>600</v>
      </c>
      <c r="G939" s="158">
        <v>20270469</v>
      </c>
      <c r="H939" s="158">
        <v>21385288</v>
      </c>
      <c r="I939" s="157">
        <f t="shared" si="18"/>
        <v>41655757</v>
      </c>
    </row>
    <row r="940" spans="1:9" s="178" customFormat="1" ht="39.75" customHeight="1" x14ac:dyDescent="0.25">
      <c r="A940" s="153" t="str">
        <f>IF(B940&gt;0,VLOOKUP(B940,КВСР!A398:B1563,2),IF(C940&gt;0,VLOOKUP(C940,КФСР!A398:B1910,2),IF(D940&gt;0,VLOOKUP(D940,Программа!A$1:B$5100,2),IF(F940&gt;0,VLOOKUP(F940,КВР!A$1:B$5001,2),IF(E940&gt;0,VLOOKUP(E940,Направление!A$1:B$4830,2))))))</f>
        <v xml:space="preserve">Расходы на комплектование книжных фондов библиотек </v>
      </c>
      <c r="B940" s="154"/>
      <c r="C940" s="149"/>
      <c r="D940" s="150"/>
      <c r="E940" s="149">
        <v>15190</v>
      </c>
      <c r="F940" s="151"/>
      <c r="G940" s="487">
        <f>G941</f>
        <v>0</v>
      </c>
      <c r="H940" s="487">
        <f t="shared" ref="H940:I940" si="20">H941</f>
        <v>6880</v>
      </c>
      <c r="I940" s="487">
        <f t="shared" si="20"/>
        <v>6880</v>
      </c>
    </row>
    <row r="941" spans="1:9" s="178" customFormat="1" ht="63" x14ac:dyDescent="0.25">
      <c r="A941" s="153" t="str">
        <f>IF(B941&gt;0,VLOOKUP(B941,КВСР!A399:B1564,2),IF(C941&gt;0,VLOOKUP(C941,КФСР!A399:B1911,2),IF(D941&gt;0,VLOOKUP(D941,Программа!A$1:B$5100,2),IF(F941&gt;0,VLOOKUP(F941,КВР!A$1:B$5001,2),IF(E941&gt;0,VLOOKUP(E941,Направление!A$1:B$4830,2))))))</f>
        <v>Предоставление субсидий бюджетным, автономным учреждениям и иным некоммерческим организациям</v>
      </c>
      <c r="B941" s="154"/>
      <c r="C941" s="149"/>
      <c r="D941" s="150"/>
      <c r="E941" s="149"/>
      <c r="F941" s="151">
        <v>600</v>
      </c>
      <c r="G941" s="158"/>
      <c r="H941" s="158">
        <v>6880</v>
      </c>
      <c r="I941" s="157">
        <f>G941+H941</f>
        <v>6880</v>
      </c>
    </row>
    <row r="942" spans="1:9" s="178" customFormat="1" x14ac:dyDescent="0.25">
      <c r="A942" s="153" t="str">
        <f>IF(B942&gt;0,VLOOKUP(B942,КВСР!A398:B1563,2),IF(C942&gt;0,VLOOKUP(C942,КФСР!A398:B1910,2),IF(D942&gt;0,VLOOKUP(D942,Программа!A$1:B$5100,2),IF(F942&gt;0,VLOOKUP(F942,КВР!A$1:B$5001,2),IF(E942&gt;0,VLOOKUP(E942,Направление!A$1:B$4830,2))))))</f>
        <v>Мероприятия в сфере культуры</v>
      </c>
      <c r="B942" s="154"/>
      <c r="C942" s="149"/>
      <c r="D942" s="150"/>
      <c r="E942" s="149">
        <v>15220</v>
      </c>
      <c r="F942" s="151"/>
      <c r="G942" s="606">
        <v>170000</v>
      </c>
      <c r="H942" s="487">
        <f>H943</f>
        <v>140300</v>
      </c>
      <c r="I942" s="157">
        <f t="shared" si="18"/>
        <v>310300</v>
      </c>
    </row>
    <row r="943" spans="1:9" s="178" customFormat="1" ht="63" x14ac:dyDescent="0.25">
      <c r="A943" s="153" t="str">
        <f>IF(B943&gt;0,VLOOKUP(B943,КВСР!A399:B1564,2),IF(C943&gt;0,VLOOKUP(C943,КФСР!A399:B1911,2),IF(D943&gt;0,VLOOKUP(D943,Программа!A$1:B$5100,2),IF(F943&gt;0,VLOOKUP(F943,КВР!A$1:B$5001,2),IF(E943&gt;0,VLOOKUP(E943,Направление!A$1:B$4830,2))))))</f>
        <v>Предоставление субсидий бюджетным, автономным учреждениям и иным некоммерческим организациям</v>
      </c>
      <c r="B943" s="154"/>
      <c r="C943" s="149"/>
      <c r="D943" s="150"/>
      <c r="E943" s="149"/>
      <c r="F943" s="151">
        <v>600</v>
      </c>
      <c r="G943" s="158">
        <v>170000</v>
      </c>
      <c r="H943" s="158">
        <v>140300</v>
      </c>
      <c r="I943" s="157">
        <f t="shared" si="18"/>
        <v>310300</v>
      </c>
    </row>
    <row r="944" spans="1:9" s="178" customFormat="1" ht="31.5" x14ac:dyDescent="0.25">
      <c r="A944" s="153" t="str">
        <f>IF(B944&gt;0,VLOOKUP(B944,КВСР!A400:B1565,2),IF(C944&gt;0,VLOOKUP(C944,КФСР!A400:B1912,2),IF(D944&gt;0,VLOOKUP(D944,Программа!A$1:B$5100,2),IF(F944&gt;0,VLOOKUP(F944,КВР!A$1:B$5001,2),IF(E944&gt;0,VLOOKUP(E944,Направление!A$1:B$4830,2))))))</f>
        <v xml:space="preserve">Обеспечение культурно-досуговых мероприятий </v>
      </c>
      <c r="B944" s="154"/>
      <c r="C944" s="149"/>
      <c r="D944" s="150"/>
      <c r="E944" s="149">
        <v>29216</v>
      </c>
      <c r="F944" s="151"/>
      <c r="G944" s="158">
        <v>160000</v>
      </c>
      <c r="H944" s="158">
        <f>H945</f>
        <v>159980</v>
      </c>
      <c r="I944" s="157">
        <f t="shared" si="18"/>
        <v>319980</v>
      </c>
    </row>
    <row r="945" spans="1:9" s="178" customFormat="1" ht="63" x14ac:dyDescent="0.25">
      <c r="A945" s="153" t="str">
        <f>IF(B945&gt;0,VLOOKUP(B945,КВСР!A401:B1566,2),IF(C945&gt;0,VLOOKUP(C945,КФСР!A401:B1913,2),IF(D945&gt;0,VLOOKUP(D945,Программа!A$1:B$5100,2),IF(F945&gt;0,VLOOKUP(F945,КВР!A$1:B$5001,2),IF(E945&gt;0,VLOOKUP(E945,Направление!A$1:B$4830,2))))))</f>
        <v>Предоставление субсидий бюджетным, автономным учреждениям и иным некоммерческим организациям</v>
      </c>
      <c r="B945" s="154"/>
      <c r="C945" s="149"/>
      <c r="D945" s="150"/>
      <c r="E945" s="149"/>
      <c r="F945" s="151">
        <v>600</v>
      </c>
      <c r="G945" s="158">
        <v>160000</v>
      </c>
      <c r="H945" s="158">
        <v>159980</v>
      </c>
      <c r="I945" s="157">
        <f t="shared" si="18"/>
        <v>319980</v>
      </c>
    </row>
    <row r="946" spans="1:9" s="178" customFormat="1" x14ac:dyDescent="0.25">
      <c r="A946" s="153" t="str">
        <f>IF(B946&gt;0,VLOOKUP(B946,КВСР!A402:B1567,2),IF(C946&gt;0,VLOOKUP(C946,КФСР!A402:B1914,2),IF(D946&gt;0,VLOOKUP(D946,Программа!A$1:B$5100,2),IF(F946&gt;0,VLOOKUP(F946,КВР!A$1:B$5001,2),IF(E946&gt;0,VLOOKUP(E946,Направление!A$1:B$4830,2))))))</f>
        <v xml:space="preserve">Иная дотация </v>
      </c>
      <c r="B946" s="154"/>
      <c r="C946" s="149"/>
      <c r="D946" s="150"/>
      <c r="E946" s="149">
        <v>73260</v>
      </c>
      <c r="F946" s="151"/>
      <c r="G946" s="158">
        <v>69100</v>
      </c>
      <c r="H946" s="158">
        <f>H947</f>
        <v>69100</v>
      </c>
      <c r="I946" s="157">
        <f t="shared" si="18"/>
        <v>138200</v>
      </c>
    </row>
    <row r="947" spans="1:9" s="178" customFormat="1" ht="63" x14ac:dyDescent="0.25">
      <c r="A947" s="153" t="str">
        <f>IF(B947&gt;0,VLOOKUP(B947,КВСР!A403:B1568,2),IF(C947&gt;0,VLOOKUP(C947,КФСР!A403:B1915,2),IF(D947&gt;0,VLOOKUP(D947,Программа!A$1:B$5100,2),IF(F947&gt;0,VLOOKUP(F947,КВР!A$1:B$5001,2),IF(E947&gt;0,VLOOKUP(E947,Направление!A$1:B$4830,2))))))</f>
        <v>Предоставление субсидий бюджетным, автономным учреждениям и иным некоммерческим организациям</v>
      </c>
      <c r="B947" s="154"/>
      <c r="C947" s="149"/>
      <c r="D947" s="150"/>
      <c r="E947" s="149"/>
      <c r="F947" s="151">
        <v>600</v>
      </c>
      <c r="G947" s="158">
        <v>69100</v>
      </c>
      <c r="H947" s="158">
        <v>69100</v>
      </c>
      <c r="I947" s="157">
        <f t="shared" si="18"/>
        <v>138200</v>
      </c>
    </row>
    <row r="948" spans="1:9" s="178" customFormat="1" ht="48.75" customHeight="1" x14ac:dyDescent="0.25">
      <c r="A948" s="153" t="str">
        <f>IF(B948&gt;0,VLOOKUP(B948,КВСР!A404:B1569,2),IF(C948&gt;0,VLOOKUP(C948,КФСР!A404:B1916,2),IF(D948&gt;0,VLOOKUP(D948,Программа!A$1:B$5100,2),IF(F948&gt;0,VLOOKUP(F948,КВР!A$1:B$5001,2),IF(E948&gt;0,VLOOKUP(E948,Направление!A$1:B$4830,2))))))</f>
        <v>Расходы на поддержку отрасли культуры</v>
      </c>
      <c r="B948" s="154"/>
      <c r="C948" s="149"/>
      <c r="D948" s="150"/>
      <c r="E948" s="149" t="s">
        <v>3460</v>
      </c>
      <c r="F948" s="151"/>
      <c r="G948" s="487">
        <v>87603</v>
      </c>
      <c r="H948" s="487">
        <f>H949</f>
        <v>80723</v>
      </c>
      <c r="I948" s="157">
        <f t="shared" si="18"/>
        <v>168326</v>
      </c>
    </row>
    <row r="949" spans="1:9" s="178" customFormat="1" ht="63" x14ac:dyDescent="0.25">
      <c r="A949" s="153" t="str">
        <f>IF(B949&gt;0,VLOOKUP(B949,КВСР!A405:B1570,2),IF(C949&gt;0,VLOOKUP(C949,КФСР!A405:B1917,2),IF(D949&gt;0,VLOOKUP(D949,Программа!A$1:B$5100,2),IF(F949&gt;0,VLOOKUP(F949,КВР!A$1:B$5001,2),IF(E949&gt;0,VLOOKUP(E949,Направление!A$1:B$4830,2))))))</f>
        <v>Предоставление субсидий бюджетным, автономным учреждениям и иным некоммерческим организациям</v>
      </c>
      <c r="B949" s="154"/>
      <c r="C949" s="149"/>
      <c r="D949" s="150"/>
      <c r="E949" s="149"/>
      <c r="F949" s="151">
        <v>600</v>
      </c>
      <c r="G949" s="158">
        <v>87603</v>
      </c>
      <c r="H949" s="158">
        <v>80723</v>
      </c>
      <c r="I949" s="157">
        <f t="shared" si="18"/>
        <v>168326</v>
      </c>
    </row>
    <row r="950" spans="1:9" s="178" customFormat="1" ht="47.25" x14ac:dyDescent="0.25">
      <c r="A950" s="153" t="str">
        <f>IF(B950&gt;0,VLOOKUP(B950,КВСР!A398:B1563,2),IF(C950&gt;0,VLOOKUP(C950,КФСР!A398:B1910,2),IF(D950&gt;0,VLOOKUP(D950,Программа!A$1:B$5100,2),IF(F950&gt;0,VLOOKUP(F950,КВР!A$1:B$5001,2),IF(E950&gt;0,VLOOKUP(E950,Направление!A$1:B$4830,2))))))</f>
        <v>Муниципальная программа "Социальная поддержка населения Тутаевского муниципального района"</v>
      </c>
      <c r="B950" s="154"/>
      <c r="C950" s="149"/>
      <c r="D950" s="150" t="s">
        <v>693</v>
      </c>
      <c r="E950" s="149"/>
      <c r="F950" s="151"/>
      <c r="G950" s="606">
        <v>60000</v>
      </c>
      <c r="H950" s="157">
        <f>H951</f>
        <v>10000</v>
      </c>
      <c r="I950" s="157">
        <f t="shared" si="18"/>
        <v>70000</v>
      </c>
    </row>
    <row r="951" spans="1:9" s="178" customFormat="1" ht="63" x14ac:dyDescent="0.25">
      <c r="A951" s="153" t="str">
        <f>IF(B951&gt;0,VLOOKUP(B951,КВСР!A399:B1564,2),IF(C951&gt;0,VLOOKUP(C951,КФСР!A399:B1911,2),IF(D951&gt;0,VLOOKUP(D951,Программа!A$1:B$5100,2),IF(F951&gt;0,VLOOKUP(F951,КВР!A$1:B$5001,2),IF(E951&gt;0,VLOOKUP(E951,Направление!A$1:B$4830,2))))))</f>
        <v>Муниципальная целевая программа "Улучшение условий и охраны труда" по Тутаевскому муниципальному району</v>
      </c>
      <c r="B951" s="154"/>
      <c r="C951" s="149"/>
      <c r="D951" s="150" t="s">
        <v>695</v>
      </c>
      <c r="E951" s="149"/>
      <c r="F951" s="151"/>
      <c r="G951" s="606">
        <v>60000</v>
      </c>
      <c r="H951" s="157">
        <f>H952+H955</f>
        <v>10000</v>
      </c>
      <c r="I951" s="157">
        <f t="shared" si="18"/>
        <v>70000</v>
      </c>
    </row>
    <row r="952" spans="1:9" s="178" customFormat="1" ht="63" x14ac:dyDescent="0.25">
      <c r="A952" s="153" t="str">
        <f>IF(B952&gt;0,VLOOKUP(B952,КВСР!A400:B1565,2),IF(C952&gt;0,VLOOKUP(C952,КФСР!A400:B1912,2),IF(D952&gt;0,VLOOKUP(D952,Программа!A$1:B$5100,2),IF(F952&gt;0,VLOOKUP(F952,КВР!A$1:B$5001,2),IF(E952&gt;0,VLOOKUP(E952,Направление!A$1:B$4830,2))))))</f>
        <v>Специальная оценка условий труда работающих в организациях расположенных на территории Тутаевского муниципального района</v>
      </c>
      <c r="B952" s="154"/>
      <c r="C952" s="149"/>
      <c r="D952" s="150" t="s">
        <v>696</v>
      </c>
      <c r="E952" s="149"/>
      <c r="F952" s="151"/>
      <c r="G952" s="606">
        <v>55000</v>
      </c>
      <c r="H952" s="157">
        <f>H953</f>
        <v>10000</v>
      </c>
      <c r="I952" s="157">
        <f t="shared" si="18"/>
        <v>65000</v>
      </c>
    </row>
    <row r="953" spans="1:9" s="178" customFormat="1" ht="31.5" x14ac:dyDescent="0.25">
      <c r="A953" s="153" t="str">
        <f>IF(B953&gt;0,VLOOKUP(B953,КВСР!A401:B1566,2),IF(C953&gt;0,VLOOKUP(C953,КФСР!A401:B1913,2),IF(D953&gt;0,VLOOKUP(D953,Программа!A$1:B$5100,2),IF(F953&gt;0,VLOOKUP(F953,КВР!A$1:B$5001,2),IF(E953&gt;0,VLOOKUP(E953,Направление!A$1:B$4830,2))))))</f>
        <v>Расходы на реализацию МЦП "Улучшение условий и охраны труда"</v>
      </c>
      <c r="B953" s="154"/>
      <c r="C953" s="149"/>
      <c r="D953" s="150"/>
      <c r="E953" s="149">
        <v>16150</v>
      </c>
      <c r="F953" s="151"/>
      <c r="G953" s="606">
        <v>55000</v>
      </c>
      <c r="H953" s="157">
        <f>H954</f>
        <v>10000</v>
      </c>
      <c r="I953" s="157">
        <f t="shared" si="18"/>
        <v>65000</v>
      </c>
    </row>
    <row r="954" spans="1:9" s="178" customFormat="1" ht="63" x14ac:dyDescent="0.25">
      <c r="A954" s="153" t="str">
        <f>IF(B954&gt;0,VLOOKUP(B954,КВСР!A402:B1567,2),IF(C954&gt;0,VLOOKUP(C954,КФСР!A402:B1914,2),IF(D954&gt;0,VLOOKUP(D954,Программа!A$1:B$5100,2),IF(F954&gt;0,VLOOKUP(F954,КВР!A$1:B$5001,2),IF(E954&gt;0,VLOOKUP(E954,Направление!A$1:B$4830,2))))))</f>
        <v>Предоставление субсидий бюджетным, автономным учреждениям и иным некоммерческим организациям</v>
      </c>
      <c r="B954" s="154"/>
      <c r="C954" s="149"/>
      <c r="D954" s="150"/>
      <c r="E954" s="149"/>
      <c r="F954" s="151">
        <v>600</v>
      </c>
      <c r="G954" s="158">
        <v>55000</v>
      </c>
      <c r="H954" s="158">
        <v>10000</v>
      </c>
      <c r="I954" s="157">
        <f t="shared" ref="I954:I1017" si="21">SUM(G954:H954)</f>
        <v>65000</v>
      </c>
    </row>
    <row r="955" spans="1:9" s="178" customFormat="1" ht="47.25" hidden="1" x14ac:dyDescent="0.25">
      <c r="A955" s="153" t="str">
        <f>IF(B955&gt;0,VLOOKUP(B955,КВСР!A403:B1568,2),IF(C955&gt;0,VLOOKUP(C955,КФСР!A403:B1915,2),IF(D955&gt;0,VLOOKUP(D955,Программа!A$1:B$5100,2),IF(F955&gt;0,VLOOKUP(F955,КВР!A$1:B$5001,2),IF(E955&gt;0,VLOOKUP(E955,Направление!A$1:B$4830,2))))))</f>
        <v>Обучение по охране труда работников организаций Тутаевского муниципального района</v>
      </c>
      <c r="B955" s="154"/>
      <c r="C955" s="149"/>
      <c r="D955" s="150" t="s">
        <v>2924</v>
      </c>
      <c r="E955" s="149"/>
      <c r="F955" s="151"/>
      <c r="G955" s="606">
        <v>5000</v>
      </c>
      <c r="H955" s="487">
        <f>H956</f>
        <v>0</v>
      </c>
      <c r="I955" s="157">
        <f t="shared" si="21"/>
        <v>5000</v>
      </c>
    </row>
    <row r="956" spans="1:9" s="178" customFormat="1" ht="31.5" hidden="1" x14ac:dyDescent="0.25">
      <c r="A956" s="153" t="str">
        <f>IF(B956&gt;0,VLOOKUP(B956,КВСР!A404:B1569,2),IF(C956&gt;0,VLOOKUP(C956,КФСР!A404:B1916,2),IF(D956&gt;0,VLOOKUP(D956,Программа!A$1:B$5100,2),IF(F956&gt;0,VLOOKUP(F956,КВР!A$1:B$5001,2),IF(E956&gt;0,VLOOKUP(E956,Направление!A$1:B$4830,2))))))</f>
        <v>Расходы на реализацию МЦП "Улучшение условий и охраны труда"</v>
      </c>
      <c r="B956" s="154"/>
      <c r="C956" s="149"/>
      <c r="D956" s="150"/>
      <c r="E956" s="149">
        <v>16150</v>
      </c>
      <c r="F956" s="151"/>
      <c r="G956" s="606">
        <v>5000</v>
      </c>
      <c r="H956" s="487">
        <f>H957</f>
        <v>0</v>
      </c>
      <c r="I956" s="157">
        <f t="shared" si="21"/>
        <v>5000</v>
      </c>
    </row>
    <row r="957" spans="1:9" s="178" customFormat="1" ht="63" hidden="1" x14ac:dyDescent="0.25">
      <c r="A957" s="153" t="str">
        <f>IF(B957&gt;0,VLOOKUP(B957,КВСР!A405:B1570,2),IF(C957&gt;0,VLOOKUP(C957,КФСР!A405:B1917,2),IF(D957&gt;0,VLOOKUP(D957,Программа!A$1:B$5100,2),IF(F957&gt;0,VLOOKUP(F957,КВР!A$1:B$5001,2),IF(E957&gt;0,VLOOKUP(E957,Направление!A$1:B$4830,2))))))</f>
        <v>Предоставление субсидий бюджетным, автономным учреждениям и иным некоммерческим организациям</v>
      </c>
      <c r="B957" s="154"/>
      <c r="C957" s="149"/>
      <c r="D957" s="150"/>
      <c r="E957" s="149"/>
      <c r="F957" s="151">
        <v>600</v>
      </c>
      <c r="G957" s="516">
        <v>5000</v>
      </c>
      <c r="H957" s="158"/>
      <c r="I957" s="157">
        <f t="shared" si="21"/>
        <v>5000</v>
      </c>
    </row>
    <row r="958" spans="1:9" s="178" customFormat="1" ht="31.5" hidden="1" x14ac:dyDescent="0.25">
      <c r="A958" s="153" t="str">
        <f>IF(B958&gt;0,VLOOKUP(B958,КВСР!A401:B1566,2),IF(C958&gt;0,VLOOKUP(C958,КФСР!A401:B1913,2),IF(D958&gt;0,VLOOKUP(D958,Программа!A$1:B$5100,2),IF(F958&gt;0,VLOOKUP(F958,КВР!A$1:B$5001,2),IF(E958&gt;0,VLOOKUP(E958,Направление!A$1:B$4830,2))))))</f>
        <v>Муниципальная программа "Доступная среда "</v>
      </c>
      <c r="B958" s="154"/>
      <c r="C958" s="149"/>
      <c r="D958" s="150" t="s">
        <v>831</v>
      </c>
      <c r="E958" s="149"/>
      <c r="F958" s="151"/>
      <c r="G958" s="606">
        <v>0</v>
      </c>
      <c r="H958" s="157">
        <f>H959</f>
        <v>0</v>
      </c>
      <c r="I958" s="157">
        <f t="shared" si="21"/>
        <v>0</v>
      </c>
    </row>
    <row r="959" spans="1:9" s="178" customFormat="1" ht="78.75" hidden="1" x14ac:dyDescent="0.25">
      <c r="A959" s="153" t="str">
        <f>IF(B959&gt;0,VLOOKUP(B959,КВСР!A396:B1561,2),IF(C959&gt;0,VLOOKUP(C959,КФСР!A396:B1908,2),IF(D959&gt;0,VLOOKUP(D959,Программа!A$1:B$5100,2),IF(F959&gt;0,VLOOKUP(F959,КВР!A$1:B$5001,2),IF(E959&gt;0,VLOOKUP(E959,Направление!A$1:B$4830,2))))))</f>
        <v>Обеспечение доступности приоритетных объектов и услуг в сферах жизнедеятельности граждан с ограниченными возможностями с учетом их особых потребностей</v>
      </c>
      <c r="B959" s="154"/>
      <c r="C959" s="149"/>
      <c r="D959" s="150" t="s">
        <v>833</v>
      </c>
      <c r="E959" s="149"/>
      <c r="F959" s="151"/>
      <c r="G959" s="606">
        <v>0</v>
      </c>
      <c r="H959" s="157">
        <f>H960</f>
        <v>0</v>
      </c>
      <c r="I959" s="157">
        <f t="shared" si="21"/>
        <v>0</v>
      </c>
    </row>
    <row r="960" spans="1:9" s="178" customFormat="1" ht="63" hidden="1" x14ac:dyDescent="0.25">
      <c r="A960" s="153" t="str">
        <f>IF(B960&gt;0,VLOOKUP(B960,КВСР!A397:B1562,2),IF(C960&gt;0,VLOOKUP(C960,КФСР!A397:B1909,2),IF(D960&gt;0,VLOOKUP(D960,Программа!A$1:B$5100,2),IF(F960&gt;0,VLOOKUP(F960,КВР!A$1:B$5001,2),IF(E960&gt;0,VLOOKUP(E960,Направление!A$1:B$4830,2))))))</f>
        <v>Расходы на оборудование социально значимых объектов с целью обеспечения доступности для инвалидов</v>
      </c>
      <c r="B960" s="154"/>
      <c r="C960" s="149"/>
      <c r="D960" s="150"/>
      <c r="E960" s="149">
        <v>16250</v>
      </c>
      <c r="F960" s="151"/>
      <c r="G960" s="606">
        <v>0</v>
      </c>
      <c r="H960" s="157">
        <f>H961</f>
        <v>0</v>
      </c>
      <c r="I960" s="157">
        <f t="shared" si="21"/>
        <v>0</v>
      </c>
    </row>
    <row r="961" spans="1:9" s="178" customFormat="1" ht="63" hidden="1" x14ac:dyDescent="0.25">
      <c r="A961" s="153" t="str">
        <f>IF(B961&gt;0,VLOOKUP(B961,КВСР!A398:B1563,2),IF(C961&gt;0,VLOOKUP(C961,КФСР!A398:B1910,2),IF(D961&gt;0,VLOOKUP(D961,Программа!A$1:B$5100,2),IF(F961&gt;0,VLOOKUP(F961,КВР!A$1:B$5001,2),IF(E961&gt;0,VLOOKUP(E961,Направление!A$1:B$4830,2))))))</f>
        <v>Предоставление субсидий бюджетным, автономным учреждениям и иным некоммерческим организациям</v>
      </c>
      <c r="B961" s="154"/>
      <c r="C961" s="149"/>
      <c r="D961" s="151"/>
      <c r="E961" s="149"/>
      <c r="F961" s="151">
        <v>600</v>
      </c>
      <c r="G961" s="516">
        <v>0</v>
      </c>
      <c r="H961" s="158"/>
      <c r="I961" s="157">
        <f t="shared" si="21"/>
        <v>0</v>
      </c>
    </row>
    <row r="962" spans="1:9" s="178" customFormat="1" ht="31.5" x14ac:dyDescent="0.25">
      <c r="A962" s="153" t="str">
        <f>IF(B962&gt;0,VLOOKUP(B962,КВСР!A402:B1567,2),IF(C962&gt;0,VLOOKUP(C962,КФСР!A402:B1914,2),IF(D962&gt;0,VLOOKUP(D962,Программа!A$1:B$5100,2),IF(F962&gt;0,VLOOKUP(F962,КВР!A$1:B$5001,2),IF(E962&gt;0,VLOOKUP(E962,Направление!A$1:B$4830,2))))))</f>
        <v>Другие вопросы в области культуры, кинематографии</v>
      </c>
      <c r="B962" s="154"/>
      <c r="C962" s="149">
        <v>804</v>
      </c>
      <c r="D962" s="150"/>
      <c r="E962" s="149"/>
      <c r="F962" s="151"/>
      <c r="G962" s="606">
        <v>28993354</v>
      </c>
      <c r="H962" s="157">
        <f>H963+H1006+H988+H993+H998+H1002</f>
        <v>29147930</v>
      </c>
      <c r="I962" s="157">
        <f t="shared" si="21"/>
        <v>58141284</v>
      </c>
    </row>
    <row r="963" spans="1:9" s="178" customFormat="1" ht="63" x14ac:dyDescent="0.25">
      <c r="A963" s="153" t="str">
        <f>IF(B963&gt;0,VLOOKUP(B963,КВСР!A403:B1568,2),IF(C963&gt;0,VLOOKUP(C963,КФСР!A403:B1915,2),IF(D963&gt;0,VLOOKUP(D963,Программа!A$1:B$5100,2),IF(F963&gt;0,VLOOKUP(F963,КВР!A$1:B$5001,2),IF(E963&gt;0,VLOOKUP(E963,Направление!A$1:B$4830,2))))))</f>
        <v>Муниципальная программа  "Развитие культуры, туризма и молодежной политики в Тутаевском муниципальном районе"</v>
      </c>
      <c r="B963" s="154"/>
      <c r="C963" s="149"/>
      <c r="D963" s="150" t="s">
        <v>714</v>
      </c>
      <c r="E963" s="149"/>
      <c r="F963" s="151"/>
      <c r="G963" s="606">
        <v>28961354</v>
      </c>
      <c r="H963" s="157">
        <f>H972+H968+H964</f>
        <v>29115930</v>
      </c>
      <c r="I963" s="157">
        <f t="shared" si="21"/>
        <v>58077284</v>
      </c>
    </row>
    <row r="964" spans="1:9" s="178" customFormat="1" ht="94.5" hidden="1" x14ac:dyDescent="0.25">
      <c r="A964" s="153" t="str">
        <f>IF(B964&gt;0,VLOOKUP(B964,КВСР!A404:B1569,2),IF(C964&gt;0,VLOOKUP(C964,КФСР!A404:B1916,2),IF(D964&gt;0,VLOOKUP(D964,Программа!A$1:B$5100,2),IF(F964&gt;0,VLOOKUP(F964,КВР!A$1:B$5001,2),IF(E964&gt;0,VLOOKUP(E964,Направление!A$1:B$4830,2))))))</f>
        <v>Муниципальная целевая программа «Патриотическое воспитание граждан Российской Федерации, проживающих на территории Тутаевского муниципального района Ярославской области»</v>
      </c>
      <c r="B964" s="154"/>
      <c r="C964" s="149"/>
      <c r="D964" s="150" t="s">
        <v>716</v>
      </c>
      <c r="E964" s="149"/>
      <c r="F964" s="151"/>
      <c r="G964" s="606">
        <v>0</v>
      </c>
      <c r="H964" s="157">
        <f>H965</f>
        <v>0</v>
      </c>
      <c r="I964" s="157">
        <f t="shared" si="21"/>
        <v>0</v>
      </c>
    </row>
    <row r="965" spans="1:9" s="178" customFormat="1" ht="78.75" hidden="1" x14ac:dyDescent="0.25">
      <c r="A965" s="153" t="str">
        <f>IF(B965&gt;0,VLOOKUP(B965,КВСР!A405:B1570,2),IF(C965&gt;0,VLOOKUP(C965,КФСР!A405:B1917,2),IF(D965&gt;0,VLOOKUP(D965,Программа!A$1:B$5100,2),IF(F965&gt;0,VLOOKUP(F965,КВР!A$1:B$5001,2),IF(E965&gt;0,VLOOKUP(E965,Направление!A$1:B$4830,2))))))</f>
        <v>Координирование деятельности, совершенствование организационного, методического и информационного функционирования системы патриотического воспитания</v>
      </c>
      <c r="B965" s="154"/>
      <c r="C965" s="149"/>
      <c r="D965" s="150" t="s">
        <v>718</v>
      </c>
      <c r="E965" s="149"/>
      <c r="F965" s="151"/>
      <c r="G965" s="606">
        <v>0</v>
      </c>
      <c r="H965" s="157">
        <f>H966</f>
        <v>0</v>
      </c>
      <c r="I965" s="157">
        <f t="shared" si="21"/>
        <v>0</v>
      </c>
    </row>
    <row r="966" spans="1:9" s="178" customFormat="1" ht="47.25" hidden="1" x14ac:dyDescent="0.25">
      <c r="A966" s="153" t="str">
        <f>IF(B966&gt;0,VLOOKUP(B966,КВСР!A406:B1571,2),IF(C966&gt;0,VLOOKUP(C966,КФСР!A406:B1918,2),IF(D966&gt;0,VLOOKUP(D966,Программа!A$1:B$5100,2),IF(F966&gt;0,VLOOKUP(F966,КВР!A$1:B$5001,2),IF(E966&gt;0,VLOOKUP(E966,Направление!A$1:B$4830,2))))))</f>
        <v>Расходы на реализацию мероприятий патриотического воспитания молодежи</v>
      </c>
      <c r="B966" s="154"/>
      <c r="C966" s="149"/>
      <c r="D966" s="150"/>
      <c r="E966" s="149">
        <v>14560</v>
      </c>
      <c r="F966" s="151"/>
      <c r="G966" s="606">
        <v>0</v>
      </c>
      <c r="H966" s="157">
        <f>H967</f>
        <v>0</v>
      </c>
      <c r="I966" s="157">
        <f t="shared" si="21"/>
        <v>0</v>
      </c>
    </row>
    <row r="967" spans="1:9" s="178" customFormat="1" ht="63" hidden="1" x14ac:dyDescent="0.25">
      <c r="A967" s="153" t="str">
        <f>IF(B967&gt;0,VLOOKUP(B967,КВСР!A407:B1572,2),IF(C967&gt;0,VLOOKUP(C967,КФСР!A407:B1919,2),IF(D967&gt;0,VLOOKUP(D967,Программа!A$1:B$5100,2),IF(F967&gt;0,VLOOKUP(F967,КВР!A$1:B$5001,2),IF(E967&gt;0,VLOOKUP(E967,Направление!A$1:B$4830,2))))))</f>
        <v>Предоставление субсидий бюджетным, автономным учреждениям и иным некоммерческим организациям</v>
      </c>
      <c r="B967" s="154"/>
      <c r="C967" s="149"/>
      <c r="D967" s="150"/>
      <c r="E967" s="149"/>
      <c r="F967" s="151">
        <v>600</v>
      </c>
      <c r="G967" s="606">
        <v>0</v>
      </c>
      <c r="H967" s="549"/>
      <c r="I967" s="157">
        <f t="shared" si="21"/>
        <v>0</v>
      </c>
    </row>
    <row r="968" spans="1:9" s="178" customFormat="1" ht="63" hidden="1" x14ac:dyDescent="0.25">
      <c r="A968" s="153" t="str">
        <f>IF(B968&gt;0,VLOOKUP(B968,КВСР!A404:B1569,2),IF(C968&gt;0,VLOOKUP(C968,КФСР!A404:B1916,2),IF(D968&gt;0,VLOOKUP(D968,Программа!A$1:B$5100,2),IF(F968&gt;0,VLOOKUP(F968,КВР!A$1:B$5001,2),IF(E968&gt;0,VLOOKUP(E968,Направление!A$1:B$4830,2))))))</f>
        <v>Муниципальная целевая программа «Комплексные меры противодействия злоупотреблению наркотиками и их незаконному обороту»</v>
      </c>
      <c r="B968" s="154"/>
      <c r="C968" s="149"/>
      <c r="D968" s="150" t="s">
        <v>721</v>
      </c>
      <c r="E968" s="149"/>
      <c r="F968" s="151"/>
      <c r="G968" s="606">
        <v>0</v>
      </c>
      <c r="H968" s="157">
        <f>H969</f>
        <v>0</v>
      </c>
      <c r="I968" s="157">
        <f t="shared" si="21"/>
        <v>0</v>
      </c>
    </row>
    <row r="969" spans="1:9" s="178" customFormat="1" ht="47.25" hidden="1" x14ac:dyDescent="0.25">
      <c r="A969" s="153" t="str">
        <f>IF(B969&gt;0,VLOOKUP(B969,КВСР!A405:B1570,2),IF(C969&gt;0,VLOOKUP(C969,КФСР!A405:B1917,2),IF(D969&gt;0,VLOOKUP(D969,Программа!A$1:B$5100,2),IF(F969&gt;0,VLOOKUP(F969,КВР!A$1:B$5001,2),IF(E969&gt;0,VLOOKUP(E969,Направление!A$1:B$4830,2))))))</f>
        <v>Развитие системы профилактики немедицинского потребления наркотиков</v>
      </c>
      <c r="B969" s="154"/>
      <c r="C969" s="149"/>
      <c r="D969" s="150" t="s">
        <v>723</v>
      </c>
      <c r="E969" s="149"/>
      <c r="F969" s="151"/>
      <c r="G969" s="606">
        <v>0</v>
      </c>
      <c r="H969" s="157">
        <f>H970</f>
        <v>0</v>
      </c>
      <c r="I969" s="157">
        <f t="shared" si="21"/>
        <v>0</v>
      </c>
    </row>
    <row r="970" spans="1:9" s="178" customFormat="1" ht="63" hidden="1" x14ac:dyDescent="0.25">
      <c r="A970" s="153" t="str">
        <f>IF(B970&gt;0,VLOOKUP(B970,КВСР!A406:B1571,2),IF(C970&gt;0,VLOOKUP(C970,КФСР!A406:B1918,2),IF(D970&gt;0,VLOOKUP(D970,Программа!A$1:B$5100,2),IF(F970&gt;0,VLOOKUP(F970,КВР!A$1:B$5001,2),IF(E970&gt;0,VLOOKUP(E970,Направление!A$1:B$4830,2))))))</f>
        <v>Расходы на реализацию  МЦП "Комплексные меры противодействия злоупотреблению наркотиками и их незаконному обороту"</v>
      </c>
      <c r="B970" s="180"/>
      <c r="C970" s="175"/>
      <c r="D970" s="174"/>
      <c r="E970" s="175">
        <v>13820</v>
      </c>
      <c r="F970" s="177"/>
      <c r="G970" s="500">
        <v>0</v>
      </c>
      <c r="H970" s="155">
        <f>H971</f>
        <v>0</v>
      </c>
      <c r="I970" s="157">
        <f t="shared" si="21"/>
        <v>0</v>
      </c>
    </row>
    <row r="971" spans="1:9" s="178" customFormat="1" ht="63" hidden="1" x14ac:dyDescent="0.25">
      <c r="A971" s="153" t="str">
        <f>IF(B971&gt;0,VLOOKUP(B971,КВСР!A407:B1572,2),IF(C971&gt;0,VLOOKUP(C971,КФСР!A407:B1919,2),IF(D971&gt;0,VLOOKUP(D971,Программа!A$1:B$5100,2),IF(F971&gt;0,VLOOKUP(F971,КВР!A$1:B$5001,2),IF(E971&gt;0,VLOOKUP(E971,Направление!A$1:B$4830,2))))))</f>
        <v>Предоставление субсидий бюджетным, автономным учреждениям и иным некоммерческим организациям</v>
      </c>
      <c r="B971" s="154"/>
      <c r="C971" s="149"/>
      <c r="D971" s="150"/>
      <c r="E971" s="149"/>
      <c r="F971" s="151">
        <v>600</v>
      </c>
      <c r="G971" s="613">
        <v>0</v>
      </c>
      <c r="H971" s="181"/>
      <c r="I971" s="157">
        <f t="shared" si="21"/>
        <v>0</v>
      </c>
    </row>
    <row r="972" spans="1:9" s="178" customFormat="1" ht="47.25" x14ac:dyDescent="0.25">
      <c r="A972" s="153" t="str">
        <f>IF(B972&gt;0,VLOOKUP(B972,КВСР!A404:B1569,2),IF(C972&gt;0,VLOOKUP(C972,КФСР!A404:B1916,2),IF(D972&gt;0,VLOOKUP(D972,Программа!A$1:B$5100,2),IF(F972&gt;0,VLOOKUP(F972,КВР!A$1:B$5001,2),IF(E972&gt;0,VLOOKUP(E972,Направление!A$1:B$4830,2))))))</f>
        <v>Ведомственная целевая программа «Сохранение и развитие культуры Тутаевского муниципального района»</v>
      </c>
      <c r="B972" s="154"/>
      <c r="C972" s="149"/>
      <c r="D972" s="150" t="s">
        <v>817</v>
      </c>
      <c r="E972" s="149"/>
      <c r="F972" s="151"/>
      <c r="G972" s="606">
        <v>28961354</v>
      </c>
      <c r="H972" s="157">
        <f>H973</f>
        <v>29115930</v>
      </c>
      <c r="I972" s="157">
        <f t="shared" si="21"/>
        <v>58077284</v>
      </c>
    </row>
    <row r="973" spans="1:9" s="178" customFormat="1" ht="31.5" x14ac:dyDescent="0.25">
      <c r="A973" s="153" t="str">
        <f>IF(B973&gt;0,VLOOKUP(B973,КВСР!A405:B1570,2),IF(C973&gt;0,VLOOKUP(C973,КФСР!A405:B1917,2),IF(D973&gt;0,VLOOKUP(D973,Программа!A$1:B$5100,2),IF(F973&gt;0,VLOOKUP(F973,КВР!A$1:B$5001,2),IF(E973&gt;0,VLOOKUP(E973,Направление!A$1:B$4830,2))))))</f>
        <v>Обеспечение эффективности управления системой культуры</v>
      </c>
      <c r="B973" s="154"/>
      <c r="C973" s="149"/>
      <c r="D973" s="150" t="s">
        <v>844</v>
      </c>
      <c r="E973" s="149"/>
      <c r="F973" s="151"/>
      <c r="G973" s="606">
        <v>28961354</v>
      </c>
      <c r="H973" s="157">
        <f>H974+H978+H982+H985</f>
        <v>29115930</v>
      </c>
      <c r="I973" s="157">
        <f t="shared" si="21"/>
        <v>58077284</v>
      </c>
    </row>
    <row r="974" spans="1:9" s="178" customFormat="1" x14ac:dyDescent="0.25">
      <c r="A974" s="153" t="str">
        <f>IF(B974&gt;0,VLOOKUP(B974,КВСР!A405:B1570,2),IF(C974&gt;0,VLOOKUP(C974,КФСР!A405:B1917,2),IF(D974&gt;0,VLOOKUP(D974,Программа!A$1:B$5100,2),IF(F974&gt;0,VLOOKUP(F974,КВР!A$1:B$5001,2),IF(E974&gt;0,VLOOKUP(E974,Направление!A$1:B$4830,2))))))</f>
        <v>Содержание центрального аппарата</v>
      </c>
      <c r="B974" s="154"/>
      <c r="C974" s="149"/>
      <c r="D974" s="150"/>
      <c r="E974" s="149">
        <v>12010</v>
      </c>
      <c r="F974" s="151"/>
      <c r="G974" s="500">
        <v>3870015</v>
      </c>
      <c r="H974" s="155">
        <f>H975+H976+H977</f>
        <v>3796382</v>
      </c>
      <c r="I974" s="157">
        <f t="shared" si="21"/>
        <v>7666397</v>
      </c>
    </row>
    <row r="975" spans="1:9" s="178" customFormat="1" ht="126" x14ac:dyDescent="0.25">
      <c r="A975" s="153" t="str">
        <f>IF(B975&gt;0,VLOOKUP(B975,КВСР!A406:B1571,2),IF(C975&gt;0,VLOOKUP(C975,КФСР!A406:B1918,2),IF(D975&gt;0,VLOOKUP(D975,Программа!A$1:B$5100,2),IF(F975&gt;0,VLOOKUP(F975,КВР!A$1:B$5001,2),IF(E975&gt;0,VLOOKUP(E975,Направление!A$1:B$4830,2))))))</f>
        <v xml:space="preserve">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
</v>
      </c>
      <c r="B975" s="154"/>
      <c r="C975" s="149"/>
      <c r="D975" s="151"/>
      <c r="E975" s="149"/>
      <c r="F975" s="151">
        <v>100</v>
      </c>
      <c r="G975" s="156">
        <v>3421129</v>
      </c>
      <c r="H975" s="156">
        <v>3634306</v>
      </c>
      <c r="I975" s="157">
        <f t="shared" si="21"/>
        <v>7055435</v>
      </c>
    </row>
    <row r="976" spans="1:9" s="178" customFormat="1" ht="63" x14ac:dyDescent="0.25">
      <c r="A976" s="153" t="str">
        <f>IF(B976&gt;0,VLOOKUP(B976,КВСР!A407:B1572,2),IF(C976&gt;0,VLOOKUP(C976,КФСР!A407:B1919,2),IF(D976&gt;0,VLOOKUP(D976,Программа!A$1:B$5100,2),IF(F976&gt;0,VLOOKUP(F976,КВР!A$1:B$5001,2),IF(E976&gt;0,VLOOKUP(E976,Направление!A$1:B$4830,2))))))</f>
        <v xml:space="preserve">Закупка товаров, работ и услуг для обеспечения государственных (муниципальных) нужд
</v>
      </c>
      <c r="B976" s="154"/>
      <c r="C976" s="149"/>
      <c r="D976" s="151"/>
      <c r="E976" s="149"/>
      <c r="F976" s="151">
        <v>200</v>
      </c>
      <c r="G976" s="156">
        <v>392886</v>
      </c>
      <c r="H976" s="156">
        <v>107634</v>
      </c>
      <c r="I976" s="157">
        <f t="shared" si="21"/>
        <v>500520</v>
      </c>
    </row>
    <row r="977" spans="1:9" s="178" customFormat="1" x14ac:dyDescent="0.25">
      <c r="A977" s="153" t="str">
        <f>IF(B977&gt;0,VLOOKUP(B977,КВСР!A408:B1573,2),IF(C977&gt;0,VLOOKUP(C977,КФСР!A408:B1920,2),IF(D977&gt;0,VLOOKUP(D977,Программа!A$1:B$5100,2),IF(F977&gt;0,VLOOKUP(F977,КВР!A$1:B$5001,2),IF(E977&gt;0,VLOOKUP(E977,Направление!A$1:B$4830,2))))))</f>
        <v>Иные бюджетные ассигнования</v>
      </c>
      <c r="B977" s="154"/>
      <c r="C977" s="149"/>
      <c r="D977" s="151"/>
      <c r="E977" s="149"/>
      <c r="F977" s="151">
        <v>800</v>
      </c>
      <c r="G977" s="156">
        <v>56000</v>
      </c>
      <c r="H977" s="156">
        <v>54442</v>
      </c>
      <c r="I977" s="157">
        <f t="shared" si="21"/>
        <v>110442</v>
      </c>
    </row>
    <row r="978" spans="1:9" s="178" customFormat="1" ht="31.5" x14ac:dyDescent="0.25">
      <c r="A978" s="153" t="str">
        <f>IF(B978&gt;0,VLOOKUP(B978,КВСР!A409:B1574,2),IF(C978&gt;0,VLOOKUP(C978,КФСР!A409:B1921,2),IF(D978&gt;0,VLOOKUP(D978,Программа!A$1:B$5100,2),IF(F978&gt;0,VLOOKUP(F978,КВР!A$1:B$5001,2),IF(E978&gt;0,VLOOKUP(E978,Направление!A$1:B$4830,2))))))</f>
        <v>Обеспечение деятельности прочих учреждений в сфере культуры</v>
      </c>
      <c r="B978" s="154"/>
      <c r="C978" s="149"/>
      <c r="D978" s="150"/>
      <c r="E978" s="149">
        <v>15210</v>
      </c>
      <c r="F978" s="151"/>
      <c r="G978" s="500">
        <v>24568945</v>
      </c>
      <c r="H978" s="155">
        <f>H979+H980+H981</f>
        <v>24797154</v>
      </c>
      <c r="I978" s="157">
        <f t="shared" si="21"/>
        <v>49366099</v>
      </c>
    </row>
    <row r="979" spans="1:9" s="178" customFormat="1" ht="126" x14ac:dyDescent="0.25">
      <c r="A979" s="153" t="str">
        <f>IF(B979&gt;0,VLOOKUP(B979,КВСР!A410:B1575,2),IF(C979&gt;0,VLOOKUP(C979,КФСР!A410:B1922,2),IF(D979&gt;0,VLOOKUP(D979,Программа!A$1:B$5100,2),IF(F979&gt;0,VLOOKUP(F979,КВР!A$1:B$5001,2),IF(E979&gt;0,VLOOKUP(E979,Направление!A$1:B$4830,2))))))</f>
        <v xml:space="preserve">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
</v>
      </c>
      <c r="B979" s="154"/>
      <c r="C979" s="149"/>
      <c r="D979" s="151"/>
      <c r="E979" s="149"/>
      <c r="F979" s="151">
        <v>100</v>
      </c>
      <c r="G979" s="158">
        <v>23872685</v>
      </c>
      <c r="H979" s="158">
        <v>24136547</v>
      </c>
      <c r="I979" s="157">
        <f t="shared" si="21"/>
        <v>48009232</v>
      </c>
    </row>
    <row r="980" spans="1:9" s="178" customFormat="1" ht="63" x14ac:dyDescent="0.25">
      <c r="A980" s="153" t="str">
        <f>IF(B980&gt;0,VLOOKUP(B980,КВСР!A411:B1576,2),IF(C980&gt;0,VLOOKUP(C980,КФСР!A411:B1923,2),IF(D980&gt;0,VLOOKUP(D980,Программа!A$1:B$5100,2),IF(F980&gt;0,VLOOKUP(F980,КВР!A$1:B$5001,2),IF(E980&gt;0,VLOOKUP(E980,Направление!A$1:B$4830,2))))))</f>
        <v xml:space="preserve">Закупка товаров, работ и услуг для обеспечения государственных (муниципальных) нужд
</v>
      </c>
      <c r="B980" s="154"/>
      <c r="C980" s="149"/>
      <c r="D980" s="151"/>
      <c r="E980" s="149"/>
      <c r="F980" s="151">
        <v>200</v>
      </c>
      <c r="G980" s="158">
        <v>664885</v>
      </c>
      <c r="H980" s="158">
        <v>628784</v>
      </c>
      <c r="I980" s="157">
        <f t="shared" si="21"/>
        <v>1293669</v>
      </c>
    </row>
    <row r="981" spans="1:9" s="178" customFormat="1" x14ac:dyDescent="0.25">
      <c r="A981" s="153" t="str">
        <f>IF(B981&gt;0,VLOOKUP(B981,КВСР!A412:B1577,2),IF(C981&gt;0,VLOOKUP(C981,КФСР!A412:B1924,2),IF(D981&gt;0,VLOOKUP(D981,Программа!A$1:B$5100,2),IF(F981&gt;0,VLOOKUP(F981,КВР!A$1:B$5001,2),IF(E981&gt;0,VLOOKUP(E981,Направление!A$1:B$4830,2))))))</f>
        <v>Иные бюджетные ассигнования</v>
      </c>
      <c r="B981" s="154"/>
      <c r="C981" s="149"/>
      <c r="D981" s="151"/>
      <c r="E981" s="149"/>
      <c r="F981" s="151">
        <v>800</v>
      </c>
      <c r="G981" s="158">
        <v>31375</v>
      </c>
      <c r="H981" s="158">
        <v>31823</v>
      </c>
      <c r="I981" s="157">
        <f t="shared" si="21"/>
        <v>63198</v>
      </c>
    </row>
    <row r="982" spans="1:9" s="178" customFormat="1" ht="47.25" x14ac:dyDescent="0.25">
      <c r="A982" s="153" t="str">
        <f>IF(B982&gt;0,VLOOKUP(B982,КВСР!A412:B1577,2),IF(C982&gt;0,VLOOKUP(C982,КФСР!A412:B1924,2),IF(D982&gt;0,VLOOKUP(D982,Программа!A$1:B$5100,2),IF(F982&gt;0,VLOOKUP(F982,КВР!A$1:B$5001,2),IF(E982&gt;0,VLOOKUP(E982,Направление!A$1:B$4830,2))))))</f>
        <v>Содержание органов местного самоуправления за счет средств поселений</v>
      </c>
      <c r="B982" s="154"/>
      <c r="C982" s="149"/>
      <c r="D982" s="150"/>
      <c r="E982" s="149">
        <v>29016</v>
      </c>
      <c r="F982" s="151"/>
      <c r="G982" s="606">
        <v>362394</v>
      </c>
      <c r="H982" s="157">
        <f>H983+H984</f>
        <v>362394</v>
      </c>
      <c r="I982" s="157">
        <f t="shared" si="21"/>
        <v>724788</v>
      </c>
    </row>
    <row r="983" spans="1:9" s="178" customFormat="1" ht="126" x14ac:dyDescent="0.25">
      <c r="A983" s="153" t="str">
        <f>IF(B983&gt;0,VLOOKUP(B983,КВСР!A413:B1578,2),IF(C983&gt;0,VLOOKUP(C983,КФСР!A413:B1925,2),IF(D983&gt;0,VLOOKUP(D983,Программа!A$1:B$5100,2),IF(F983&gt;0,VLOOKUP(F983,КВР!A$1:B$5001,2),IF(E983&gt;0,VLOOKUP(E983,Направление!A$1:B$4830,2))))))</f>
        <v xml:space="preserve">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
</v>
      </c>
      <c r="B983" s="154"/>
      <c r="C983" s="149"/>
      <c r="D983" s="151"/>
      <c r="E983" s="149"/>
      <c r="F983" s="151">
        <v>100</v>
      </c>
      <c r="G983" s="516">
        <v>329449</v>
      </c>
      <c r="H983" s="158">
        <v>329449</v>
      </c>
      <c r="I983" s="157">
        <f t="shared" si="21"/>
        <v>658898</v>
      </c>
    </row>
    <row r="984" spans="1:9" s="178" customFormat="1" ht="63" x14ac:dyDescent="0.25">
      <c r="A984" s="153" t="str">
        <f>IF(B984&gt;0,VLOOKUP(B984,КВСР!A414:B1579,2),IF(C984&gt;0,VLOOKUP(C984,КФСР!A414:B1926,2),IF(D984&gt;0,VLOOKUP(D984,Программа!A$1:B$5100,2),IF(F984&gt;0,VLOOKUP(F984,КВР!A$1:B$5001,2),IF(E984&gt;0,VLOOKUP(E984,Направление!A$1:B$4830,2))))))</f>
        <v xml:space="preserve">Закупка товаров, работ и услуг для обеспечения государственных (муниципальных) нужд
</v>
      </c>
      <c r="B984" s="154"/>
      <c r="C984" s="149"/>
      <c r="D984" s="151"/>
      <c r="E984" s="149"/>
      <c r="F984" s="151">
        <v>200</v>
      </c>
      <c r="G984" s="516">
        <v>32945</v>
      </c>
      <c r="H984" s="158">
        <v>32945</v>
      </c>
      <c r="I984" s="157">
        <f t="shared" si="21"/>
        <v>65890</v>
      </c>
    </row>
    <row r="985" spans="1:9" s="178" customFormat="1" ht="47.25" x14ac:dyDescent="0.25">
      <c r="A985" s="153" t="str">
        <f>IF(B985&gt;0,VLOOKUP(B985,КВСР!A415:B1580,2),IF(C985&gt;0,VLOOKUP(C985,КФСР!A415:B1927,2),IF(D985&gt;0,VLOOKUP(D985,Программа!A$1:B$5100,2),IF(F985&gt;0,VLOOKUP(F985,КВР!A$1:B$5001,2),IF(E985&gt;0,VLOOKUP(E985,Направление!A$1:B$4830,2))))))</f>
        <v>Субсидия на ремонт дорожных объектов муниципальной собственности</v>
      </c>
      <c r="B985" s="154"/>
      <c r="C985" s="149"/>
      <c r="D985" s="151"/>
      <c r="E985" s="149">
        <v>26216</v>
      </c>
      <c r="F985" s="151"/>
      <c r="G985" s="516">
        <v>160000</v>
      </c>
      <c r="H985" s="158">
        <f>H986+H987</f>
        <v>160000</v>
      </c>
      <c r="I985" s="157">
        <f t="shared" si="21"/>
        <v>320000</v>
      </c>
    </row>
    <row r="986" spans="1:9" s="178" customFormat="1" ht="63" x14ac:dyDescent="0.25">
      <c r="A986" s="153" t="str">
        <f>IF(B986&gt;0,VLOOKUP(B986,КВСР!A416:B1581,2),IF(C986&gt;0,VLOOKUP(C986,КФСР!A416:B1928,2),IF(D986&gt;0,VLOOKUP(D986,Программа!A$1:B$5100,2),IF(F986&gt;0,VLOOKUP(F986,КВР!A$1:B$5001,2),IF(E986&gt;0,VLOOKUP(E986,Направление!A$1:B$4830,2))))))</f>
        <v>Предоставление субсидий бюджетным, автономным учреждениям и иным некоммерческим организациям</v>
      </c>
      <c r="B986" s="154"/>
      <c r="C986" s="149"/>
      <c r="D986" s="151"/>
      <c r="E986" s="149"/>
      <c r="F986" s="151">
        <v>600</v>
      </c>
      <c r="G986" s="516">
        <v>60000</v>
      </c>
      <c r="H986" s="158">
        <v>60000</v>
      </c>
      <c r="I986" s="157">
        <f t="shared" si="21"/>
        <v>120000</v>
      </c>
    </row>
    <row r="987" spans="1:9" s="178" customFormat="1" x14ac:dyDescent="0.25">
      <c r="A987" s="153" t="str">
        <f>IF(B987&gt;0,VLOOKUP(B987,КВСР!A417:B1582,2),IF(C987&gt;0,VLOOKUP(C987,КФСР!A417:B1929,2),IF(D987&gt;0,VLOOKUP(D987,Программа!A$1:B$5100,2),IF(F987&gt;0,VLOOKUP(F987,КВР!A$1:B$5001,2),IF(E987&gt;0,VLOOKUP(E987,Направление!A$1:B$4830,2))))))</f>
        <v>Иные бюджетные ассигнования</v>
      </c>
      <c r="B987" s="154"/>
      <c r="C987" s="149"/>
      <c r="D987" s="151"/>
      <c r="E987" s="149"/>
      <c r="F987" s="151">
        <v>800</v>
      </c>
      <c r="G987" s="516">
        <v>100000</v>
      </c>
      <c r="H987" s="158">
        <v>100000</v>
      </c>
      <c r="I987" s="157">
        <f t="shared" si="21"/>
        <v>200000</v>
      </c>
    </row>
    <row r="988" spans="1:9" s="178" customFormat="1" ht="63" hidden="1" x14ac:dyDescent="0.25">
      <c r="A988" s="153" t="str">
        <f>IF(B988&gt;0,VLOOKUP(B988,КВСР!A415:B1580,2),IF(C988&gt;0,VLOOKUP(C988,КФСР!A415:B1927,2),IF(D988&gt;0,VLOOKUP(D988,Программа!A$1:B$5100,2),IF(F988&gt;0,VLOOKUP(F988,КВР!A$1:B$5001,2),IF(E988&gt;0,VLOOKUP(E988,Направление!A$1:B$4830,2))))))</f>
        <v>Муниципальная программа "Развитие образования, физической культуры и спорта в Тутаевском муниципальном районе"</v>
      </c>
      <c r="B988" s="154"/>
      <c r="C988" s="149"/>
      <c r="D988" s="150" t="s">
        <v>684</v>
      </c>
      <c r="E988" s="149"/>
      <c r="F988" s="151"/>
      <c r="G988" s="606">
        <v>0</v>
      </c>
      <c r="H988" s="157">
        <f>H989</f>
        <v>0</v>
      </c>
      <c r="I988" s="157">
        <f t="shared" si="21"/>
        <v>0</v>
      </c>
    </row>
    <row r="989" spans="1:9" s="178" customFormat="1" ht="63" hidden="1" x14ac:dyDescent="0.25">
      <c r="A989" s="153" t="str">
        <f>IF(B989&gt;0,VLOOKUP(B989,КВСР!A416:B1581,2),IF(C989&gt;0,VLOOKUP(C989,КФСР!A416:B1928,2),IF(D989&gt;0,VLOOKUP(D989,Программа!A$1:B$5100,2),IF(F989&gt;0,VLOOKUP(F989,КВР!A$1:B$5001,2),IF(E989&gt;0,VLOOKUP(E989,Направление!A$1:B$4830,2))))))</f>
        <v>Муниципальная целевая программа "Духовно-нравственное воспитание и просвещение населения Тутаевского муниципального района"</v>
      </c>
      <c r="B989" s="154"/>
      <c r="C989" s="149"/>
      <c r="D989" s="150" t="s">
        <v>738</v>
      </c>
      <c r="E989" s="149"/>
      <c r="F989" s="151"/>
      <c r="G989" s="606">
        <v>0</v>
      </c>
      <c r="H989" s="157">
        <f>H990</f>
        <v>0</v>
      </c>
      <c r="I989" s="157">
        <f t="shared" si="21"/>
        <v>0</v>
      </c>
    </row>
    <row r="990" spans="1:9" s="178" customFormat="1" ht="63" hidden="1" x14ac:dyDescent="0.25">
      <c r="A990" s="153" t="str">
        <f>IF(B990&gt;0,VLOOKUP(B990,КВСР!A417:B1582,2),IF(C990&gt;0,VLOOKUP(C990,КФСР!A417:B1929,2),IF(D990&gt;0,VLOOKUP(D990,Программа!A$1:B$5100,2),IF(F990&gt;0,VLOOKUP(F990,КВР!A$1:B$5001,2),IF(E990&gt;0,VLOOKUP(E990,Направление!A$1:B$4830,2))))))</f>
        <v>Реализация мер по созданию целостной системы духовно-нравственного воспитания и просвещения населения</v>
      </c>
      <c r="B990" s="154"/>
      <c r="C990" s="149"/>
      <c r="D990" s="150" t="s">
        <v>740</v>
      </c>
      <c r="E990" s="149"/>
      <c r="F990" s="151"/>
      <c r="G990" s="606">
        <v>0</v>
      </c>
      <c r="H990" s="157">
        <f>H991</f>
        <v>0</v>
      </c>
      <c r="I990" s="157">
        <f t="shared" si="21"/>
        <v>0</v>
      </c>
    </row>
    <row r="991" spans="1:9" s="178" customFormat="1" ht="47.25" hidden="1" x14ac:dyDescent="0.25">
      <c r="A991" s="153" t="str">
        <f>IF(B991&gt;0,VLOOKUP(B991,КВСР!A418:B1583,2),IF(C991&gt;0,VLOOKUP(C991,КФСР!A418:B1930,2),IF(D991&gt;0,VLOOKUP(D991,Программа!A$1:B$5100,2),IF(F991&gt;0,VLOOKUP(F991,КВР!A$1:B$5001,2),IF(E991&gt;0,VLOOKUP(E991,Направление!A$1:B$4830,2))))))</f>
        <v>Расходы на реализацию МЦП "Духовно - нравственное воспитание и просвещение населения ТМР"</v>
      </c>
      <c r="B991" s="154"/>
      <c r="C991" s="149"/>
      <c r="D991" s="150"/>
      <c r="E991" s="149">
        <v>13810</v>
      </c>
      <c r="F991" s="151"/>
      <c r="G991" s="606">
        <v>0</v>
      </c>
      <c r="H991" s="157">
        <f>H992</f>
        <v>0</v>
      </c>
      <c r="I991" s="157">
        <f t="shared" si="21"/>
        <v>0</v>
      </c>
    </row>
    <row r="992" spans="1:9" s="178" customFormat="1" ht="63" hidden="1" x14ac:dyDescent="0.25">
      <c r="A992" s="153" t="str">
        <f>IF(B992&gt;0,VLOOKUP(B992,КВСР!A418:B1583,2),IF(C992&gt;0,VLOOKUP(C992,КФСР!A418:B1930,2),IF(D992&gt;0,VLOOKUP(D992,Программа!A$1:B$5100,2),IF(F992&gt;0,VLOOKUP(F992,КВР!A$1:B$5001,2),IF(E992&gt;0,VLOOKUP(E992,Направление!A$1:B$4830,2))))))</f>
        <v xml:space="preserve">Закупка товаров, работ и услуг для обеспечения государственных (муниципальных) нужд
</v>
      </c>
      <c r="B992" s="154"/>
      <c r="C992" s="149"/>
      <c r="D992" s="151"/>
      <c r="E992" s="149"/>
      <c r="F992" s="151">
        <v>200</v>
      </c>
      <c r="G992" s="516">
        <v>0</v>
      </c>
      <c r="H992" s="158"/>
      <c r="I992" s="157">
        <f t="shared" si="21"/>
        <v>0</v>
      </c>
    </row>
    <row r="993" spans="1:9" s="178" customFormat="1" ht="47.25" hidden="1" x14ac:dyDescent="0.25">
      <c r="A993" s="153" t="str">
        <f>IF(B993&gt;0,VLOOKUP(B993,КВСР!A419:B1584,2),IF(C993&gt;0,VLOOKUP(C993,КФСР!A419:B1931,2),IF(D993&gt;0,VLOOKUP(D993,Программа!A$1:B$5100,2),IF(F993&gt;0,VLOOKUP(F993,КВР!A$1:B$5001,2),IF(E993&gt;0,VLOOKUP(E993,Направление!A$1:B$4830,2))))))</f>
        <v>Муниципальная программа "Социальная поддержка населения Тутаевского муниципального района"</v>
      </c>
      <c r="B993" s="154"/>
      <c r="C993" s="149"/>
      <c r="D993" s="150" t="s">
        <v>693</v>
      </c>
      <c r="E993" s="149"/>
      <c r="F993" s="151"/>
      <c r="G993" s="606">
        <v>0</v>
      </c>
      <c r="H993" s="157">
        <f>H994</f>
        <v>0</v>
      </c>
      <c r="I993" s="157">
        <f t="shared" si="21"/>
        <v>0</v>
      </c>
    </row>
    <row r="994" spans="1:9" s="178" customFormat="1" ht="63" hidden="1" x14ac:dyDescent="0.25">
      <c r="A994" s="153" t="str">
        <f>IF(B994&gt;0,VLOOKUP(B994,КВСР!A420:B1585,2),IF(C994&gt;0,VLOOKUP(C994,КФСР!A420:B1932,2),IF(D994&gt;0,VLOOKUP(D994,Программа!A$1:B$5100,2),IF(F994&gt;0,VLOOKUP(F994,КВР!A$1:B$5001,2),IF(E994&gt;0,VLOOKUP(E994,Направление!A$1:B$4830,2))))))</f>
        <v>Муниципальная целевая программа "Улучшение условий и охраны труда" по Тутаевскому муниципальному району</v>
      </c>
      <c r="B994" s="154"/>
      <c r="C994" s="149"/>
      <c r="D994" s="150" t="s">
        <v>695</v>
      </c>
      <c r="E994" s="149"/>
      <c r="F994" s="151"/>
      <c r="G994" s="606">
        <v>0</v>
      </c>
      <c r="H994" s="157">
        <f>H995</f>
        <v>0</v>
      </c>
      <c r="I994" s="157">
        <f t="shared" si="21"/>
        <v>0</v>
      </c>
    </row>
    <row r="995" spans="1:9" s="178" customFormat="1" ht="63" hidden="1" x14ac:dyDescent="0.25">
      <c r="A995" s="153" t="str">
        <f>IF(B995&gt;0,VLOOKUP(B995,КВСР!A421:B1586,2),IF(C995&gt;0,VLOOKUP(C995,КФСР!A421:B1933,2),IF(D995&gt;0,VLOOKUP(D995,Программа!A$1:B$5100,2),IF(F995&gt;0,VLOOKUP(F995,КВР!A$1:B$5001,2),IF(E995&gt;0,VLOOKUP(E995,Направление!A$1:B$4830,2))))))</f>
        <v>Специальная оценка условий труда работающих в организациях расположенных на территории Тутаевского муниципального района</v>
      </c>
      <c r="B995" s="154"/>
      <c r="C995" s="149"/>
      <c r="D995" s="150" t="s">
        <v>696</v>
      </c>
      <c r="E995" s="149"/>
      <c r="F995" s="151"/>
      <c r="G995" s="606">
        <v>0</v>
      </c>
      <c r="H995" s="157">
        <f>H996</f>
        <v>0</v>
      </c>
      <c r="I995" s="157">
        <f t="shared" si="21"/>
        <v>0</v>
      </c>
    </row>
    <row r="996" spans="1:9" s="178" customFormat="1" ht="31.5" hidden="1" x14ac:dyDescent="0.25">
      <c r="A996" s="153" t="str">
        <f>IF(B996&gt;0,VLOOKUP(B996,КВСР!A422:B1587,2),IF(C996&gt;0,VLOOKUP(C996,КФСР!A422:B1934,2),IF(D996&gt;0,VLOOKUP(D996,Программа!A$1:B$5100,2),IF(F996&gt;0,VLOOKUP(F996,КВР!A$1:B$5001,2),IF(E996&gt;0,VLOOKUP(E996,Направление!A$1:B$4830,2))))))</f>
        <v>Расходы на реализацию МЦП "Улучшение условий и охраны труда"</v>
      </c>
      <c r="B996" s="154"/>
      <c r="C996" s="149"/>
      <c r="D996" s="150"/>
      <c r="E996" s="149">
        <v>16150</v>
      </c>
      <c r="F996" s="151"/>
      <c r="G996" s="606">
        <v>0</v>
      </c>
      <c r="H996" s="157">
        <f>H997</f>
        <v>0</v>
      </c>
      <c r="I996" s="157">
        <f t="shared" si="21"/>
        <v>0</v>
      </c>
    </row>
    <row r="997" spans="1:9" s="178" customFormat="1" ht="63" hidden="1" x14ac:dyDescent="0.25">
      <c r="A997" s="153" t="str">
        <f>IF(B997&gt;0,VLOOKUP(B997,КВСР!A423:B1588,2),IF(C997&gt;0,VLOOKUP(C997,КФСР!A423:B1935,2),IF(D997&gt;0,VLOOKUP(D997,Программа!A$1:B$5100,2),IF(F997&gt;0,VLOOKUP(F997,КВР!A$1:B$5001,2),IF(E997&gt;0,VLOOKUP(E997,Направление!A$1:B$4830,2))))))</f>
        <v>Предоставление субсидий бюджетным, автономным учреждениям и иным некоммерческим организациям</v>
      </c>
      <c r="B997" s="154"/>
      <c r="C997" s="149"/>
      <c r="D997" s="150"/>
      <c r="E997" s="149"/>
      <c r="F997" s="151">
        <v>600</v>
      </c>
      <c r="G997" s="516">
        <v>0</v>
      </c>
      <c r="H997" s="158"/>
      <c r="I997" s="157">
        <f t="shared" si="21"/>
        <v>0</v>
      </c>
    </row>
    <row r="998" spans="1:9" s="178" customFormat="1" ht="78.75" hidden="1" x14ac:dyDescent="0.25">
      <c r="A998" s="153" t="str">
        <f>IF(B998&gt;0,VLOOKUP(B998,КВСР!A424:B1589,2),IF(C998&gt;0,VLOOKUP(C998,КФСР!A424:B1936,2),IF(D998&gt;0,VLOOKUP(D998,Программа!A$1:B$5100,2),IF(F998&gt;0,VLOOKUP(F998,КВР!A$1:B$5001,2),IF(E998&gt;0,VLOOKUP(E998,Направление!A$1:B$4830,2))))))</f>
        <v>Муниципальная программа "Развитие муниципальной службы и повышение квалификации руководителей муниципальных учреждений в  Тутаевском муниципальном районе"</v>
      </c>
      <c r="B998" s="154"/>
      <c r="C998" s="149"/>
      <c r="D998" s="150" t="s">
        <v>636</v>
      </c>
      <c r="E998" s="149"/>
      <c r="F998" s="151"/>
      <c r="G998" s="606">
        <v>0</v>
      </c>
      <c r="H998" s="487">
        <f>H999</f>
        <v>0</v>
      </c>
      <c r="I998" s="157">
        <f t="shared" si="21"/>
        <v>0</v>
      </c>
    </row>
    <row r="999" spans="1:9" s="178" customFormat="1" ht="78.75" hidden="1" x14ac:dyDescent="0.25">
      <c r="A999" s="153" t="str">
        <f>IF(B999&gt;0,VLOOKUP(B999,КВСР!A425:B1590,2),IF(C999&gt;0,VLOOKUP(C999,КФСР!A425:B1937,2),IF(D999&gt;0,VLOOKUP(D999,Программа!A$1:B$5100,2),IF(F999&gt;0,VLOOKUP(F999,КВР!A$1:B$5001,2),IF(E999&gt;0,VLOOKUP(E999,Направление!A$1:B$4830,2))))))</f>
        <v xml:space="preserve">Профессиональное развитие  муниципальных служащих и повышение квалификации руководителей муниципальных учреждений </v>
      </c>
      <c r="B999" s="154"/>
      <c r="C999" s="149"/>
      <c r="D999" s="150" t="s">
        <v>637</v>
      </c>
      <c r="E999" s="149"/>
      <c r="F999" s="151"/>
      <c r="G999" s="606">
        <v>0</v>
      </c>
      <c r="H999" s="487">
        <f>H1000</f>
        <v>0</v>
      </c>
      <c r="I999" s="157">
        <f t="shared" si="21"/>
        <v>0</v>
      </c>
    </row>
    <row r="1000" spans="1:9" s="178" customFormat="1" ht="31.5" hidden="1" x14ac:dyDescent="0.25">
      <c r="A1000" s="153" t="str">
        <f>IF(B1000&gt;0,VLOOKUP(B1000,КВСР!A426:B1591,2),IF(C1000&gt;0,VLOOKUP(C1000,КФСР!A426:B1938,2),IF(D1000&gt;0,VLOOKUP(D1000,Программа!A$1:B$5100,2),IF(F1000&gt;0,VLOOKUP(F1000,КВР!A$1:B$5001,2),IF(E1000&gt;0,VLOOKUP(E1000,Направление!A$1:B$4830,2))))))</f>
        <v>Расходы на развитие муниципальной службы</v>
      </c>
      <c r="B1000" s="154"/>
      <c r="C1000" s="149"/>
      <c r="D1000" s="150"/>
      <c r="E1000" s="149">
        <v>12200</v>
      </c>
      <c r="F1000" s="151"/>
      <c r="G1000" s="606">
        <v>0</v>
      </c>
      <c r="H1000" s="487">
        <f>H1001</f>
        <v>0</v>
      </c>
      <c r="I1000" s="157">
        <f t="shared" si="21"/>
        <v>0</v>
      </c>
    </row>
    <row r="1001" spans="1:9" s="178" customFormat="1" ht="63" hidden="1" x14ac:dyDescent="0.25">
      <c r="A1001" s="153" t="str">
        <f>IF(B1001&gt;0,VLOOKUP(B1001,КВСР!A427:B1592,2),IF(C1001&gt;0,VLOOKUP(C1001,КФСР!A427:B1939,2),IF(D1001&gt;0,VLOOKUP(D1001,Программа!A$1:B$5100,2),IF(F1001&gt;0,VLOOKUP(F1001,КВР!A$1:B$5001,2),IF(E1001&gt;0,VLOOKUP(E1001,Направление!A$1:B$4830,2))))))</f>
        <v xml:space="preserve">Закупка товаров, работ и услуг для обеспечения государственных (муниципальных) нужд
</v>
      </c>
      <c r="B1001" s="154"/>
      <c r="C1001" s="149"/>
      <c r="D1001" s="150"/>
      <c r="E1001" s="149"/>
      <c r="F1001" s="151">
        <v>200</v>
      </c>
      <c r="G1001" s="516">
        <v>0</v>
      </c>
      <c r="H1001" s="158"/>
      <c r="I1001" s="157">
        <f t="shared" si="21"/>
        <v>0</v>
      </c>
    </row>
    <row r="1002" spans="1:9" s="178" customFormat="1" ht="63" hidden="1" x14ac:dyDescent="0.25">
      <c r="A1002" s="153" t="str">
        <f>IF(B1002&gt;0,VLOOKUP(B1002,КВСР!A428:B1593,2),IF(C1002&gt;0,VLOOKUP(C1002,КФСР!A428:B1940,2),IF(D1002&gt;0,VLOOKUP(D1002,Программа!A$1:B$5100,2),IF(F1002&gt;0,VLOOKUP(F1002,КВР!A$1:B$5001,2),IF(E1002&gt;0,VLOOKUP(E1002,Направление!A$1:B$4830,2))))))</f>
        <v>Муниципальная программа "Информатизация управленческой деятельности Администрации Тутаевского муниципального района"</v>
      </c>
      <c r="B1002" s="154"/>
      <c r="C1002" s="149"/>
      <c r="D1002" s="150" t="s">
        <v>640</v>
      </c>
      <c r="E1002" s="149"/>
      <c r="F1002" s="151"/>
      <c r="G1002" s="606">
        <v>0</v>
      </c>
      <c r="H1002" s="487">
        <f>H1003</f>
        <v>0</v>
      </c>
      <c r="I1002" s="157">
        <f t="shared" si="21"/>
        <v>0</v>
      </c>
    </row>
    <row r="1003" spans="1:9" s="178" customFormat="1" ht="31.5" hidden="1" x14ac:dyDescent="0.25">
      <c r="A1003" s="153" t="str">
        <f>IF(B1003&gt;0,VLOOKUP(B1003,КВСР!A429:B1594,2),IF(C1003&gt;0,VLOOKUP(C1003,КФСР!A429:B1941,2),IF(D1003&gt;0,VLOOKUP(D1003,Программа!A$1:B$5100,2),IF(F1003&gt;0,VLOOKUP(F1003,КВР!A$1:B$5001,2),IF(E1003&gt;0,VLOOKUP(E1003,Направление!A$1:B$4830,2))))))</f>
        <v>Бесперебойное функционирование информационных систем</v>
      </c>
      <c r="B1003" s="154"/>
      <c r="C1003" s="149"/>
      <c r="D1003" s="150" t="s">
        <v>677</v>
      </c>
      <c r="E1003" s="149"/>
      <c r="F1003" s="151"/>
      <c r="G1003" s="606">
        <v>0</v>
      </c>
      <c r="H1003" s="487">
        <f>H1004</f>
        <v>0</v>
      </c>
      <c r="I1003" s="157">
        <f t="shared" si="21"/>
        <v>0</v>
      </c>
    </row>
    <row r="1004" spans="1:9" s="178" customFormat="1" ht="31.5" hidden="1" x14ac:dyDescent="0.25">
      <c r="A1004" s="153" t="str">
        <f>IF(B1004&gt;0,VLOOKUP(B1004,КВСР!A430:B1595,2),IF(C1004&gt;0,VLOOKUP(C1004,КФСР!A430:B1942,2),IF(D1004&gt;0,VLOOKUP(D1004,Программа!A$1:B$5100,2),IF(F1004&gt;0,VLOOKUP(F1004,КВР!A$1:B$5001,2),IF(E1004&gt;0,VLOOKUP(E1004,Направление!A$1:B$4830,2))))))</f>
        <v>Расходы на проведение мероприятий по информатизации</v>
      </c>
      <c r="B1004" s="154"/>
      <c r="C1004" s="149"/>
      <c r="D1004" s="150"/>
      <c r="E1004" s="149">
        <v>12210</v>
      </c>
      <c r="F1004" s="151"/>
      <c r="G1004" s="606">
        <v>0</v>
      </c>
      <c r="H1004" s="487">
        <f>H1005</f>
        <v>0</v>
      </c>
      <c r="I1004" s="157">
        <f t="shared" si="21"/>
        <v>0</v>
      </c>
    </row>
    <row r="1005" spans="1:9" s="178" customFormat="1" ht="63" hidden="1" x14ac:dyDescent="0.25">
      <c r="A1005" s="153" t="str">
        <f>IF(B1005&gt;0,VLOOKUP(B1005,КВСР!A431:B1596,2),IF(C1005&gt;0,VLOOKUP(C1005,КФСР!A431:B1943,2),IF(D1005&gt;0,VLOOKUP(D1005,Программа!A$1:B$5100,2),IF(F1005&gt;0,VLOOKUP(F1005,КВР!A$1:B$5001,2),IF(E1005&gt;0,VLOOKUP(E1005,Направление!A$1:B$4830,2))))))</f>
        <v xml:space="preserve">Закупка товаров, работ и услуг для обеспечения государственных (муниципальных) нужд
</v>
      </c>
      <c r="B1005" s="154"/>
      <c r="C1005" s="149"/>
      <c r="D1005" s="150"/>
      <c r="E1005" s="149"/>
      <c r="F1005" s="151">
        <v>200</v>
      </c>
      <c r="G1005" s="516">
        <v>0</v>
      </c>
      <c r="H1005" s="158"/>
      <c r="I1005" s="157">
        <f t="shared" si="21"/>
        <v>0</v>
      </c>
    </row>
    <row r="1006" spans="1:9" ht="63" x14ac:dyDescent="0.25">
      <c r="A1006" s="153" t="str">
        <f>IF(B1006&gt;0,VLOOKUP(B1006,КВСР!A433:B1598,2),IF(C1006&gt;0,VLOOKUP(C1006,КФСР!A433:B1945,2),IF(D1006&gt;0,VLOOKUP(D1006,Программа!A$1:B$5100,2),IF(F1006&gt;0,VLOOKUP(F1006,КВР!A$1:B$5001,2),IF(E1006&gt;0,VLOOKUP(E1006,Направление!A$1:B$4830,2))))))</f>
        <v>Муниципальная программа "Профилактика правонарушений и усиление борьбы с преступностью в Тутаевском муниципальном районе"</v>
      </c>
      <c r="B1006" s="154"/>
      <c r="C1006" s="149"/>
      <c r="D1006" s="150" t="s">
        <v>746</v>
      </c>
      <c r="E1006" s="149"/>
      <c r="F1006" s="151"/>
      <c r="G1006" s="606">
        <v>32000</v>
      </c>
      <c r="H1006" s="157">
        <f>H1007</f>
        <v>32000</v>
      </c>
      <c r="I1006" s="157">
        <f t="shared" si="21"/>
        <v>64000</v>
      </c>
    </row>
    <row r="1007" spans="1:9" ht="31.5" x14ac:dyDescent="0.25">
      <c r="A1007" s="153" t="str">
        <f>IF(B1007&gt;0,VLOOKUP(B1007,КВСР!A434:B1599,2),IF(C1007&gt;0,VLOOKUP(C1007,КФСР!A434:B1946,2),IF(D1007&gt;0,VLOOKUP(D1007,Программа!A$1:B$5100,2),IF(F1007&gt;0,VLOOKUP(F1007,КВР!A$1:B$5001,2),IF(E1007&gt;0,VLOOKUP(E1007,Направление!A$1:B$4830,2))))))</f>
        <v>Реализация мероприятий по профилактике правонарушений</v>
      </c>
      <c r="B1007" s="154"/>
      <c r="C1007" s="149"/>
      <c r="D1007" s="150" t="s">
        <v>748</v>
      </c>
      <c r="E1007" s="149"/>
      <c r="F1007" s="151"/>
      <c r="G1007" s="606">
        <v>32000</v>
      </c>
      <c r="H1007" s="157">
        <f>H1008</f>
        <v>32000</v>
      </c>
      <c r="I1007" s="157">
        <f t="shared" si="21"/>
        <v>64000</v>
      </c>
    </row>
    <row r="1008" spans="1:9" ht="47.25" x14ac:dyDescent="0.25">
      <c r="A1008" s="153" t="str">
        <f>IF(B1008&gt;0,VLOOKUP(B1008,КВСР!A435:B1600,2),IF(C1008&gt;0,VLOOKUP(C1008,КФСР!A435:B1947,2),IF(D1008&gt;0,VLOOKUP(D1008,Программа!A$1:B$5100,2),IF(F1008&gt;0,VLOOKUP(F1008,КВР!A$1:B$5001,2),IF(E1008&gt;0,VLOOKUP(E1008,Направление!A$1:B$4830,2))))))</f>
        <v>Расходы на профилактику правонарушений и усиления борьбы с преступностью</v>
      </c>
      <c r="B1008" s="154"/>
      <c r="C1008" s="149"/>
      <c r="D1008" s="150"/>
      <c r="E1008" s="149">
        <v>12250</v>
      </c>
      <c r="F1008" s="151"/>
      <c r="G1008" s="606">
        <v>32000</v>
      </c>
      <c r="H1008" s="157">
        <f>H1009</f>
        <v>32000</v>
      </c>
      <c r="I1008" s="157">
        <f t="shared" si="21"/>
        <v>64000</v>
      </c>
    </row>
    <row r="1009" spans="1:9" ht="63" x14ac:dyDescent="0.25">
      <c r="A1009" s="153" t="str">
        <f>IF(B1009&gt;0,VLOOKUP(B1009,КВСР!A436:B1601,2),IF(C1009&gt;0,VLOOKUP(C1009,КФСР!A436:B1948,2),IF(D1009&gt;0,VLOOKUP(D1009,Программа!A$1:B$5100,2),IF(F1009&gt;0,VLOOKUP(F1009,КВР!A$1:B$5001,2),IF(E1009&gt;0,VLOOKUP(E1009,Направление!A$1:B$4830,2))))))</f>
        <v>Предоставление субсидий бюджетным, автономным учреждениям и иным некоммерческим организациям</v>
      </c>
      <c r="B1009" s="154"/>
      <c r="C1009" s="149"/>
      <c r="D1009" s="151"/>
      <c r="E1009" s="149"/>
      <c r="F1009" s="151">
        <v>600</v>
      </c>
      <c r="G1009" s="158">
        <v>32000</v>
      </c>
      <c r="H1009" s="158">
        <v>32000</v>
      </c>
      <c r="I1009" s="157">
        <f t="shared" si="21"/>
        <v>64000</v>
      </c>
    </row>
    <row r="1010" spans="1:9" x14ac:dyDescent="0.25">
      <c r="A1010" s="153" t="str">
        <f>IF(B1010&gt;0,VLOOKUP(B1010,КВСР!A436:B1601,2),IF(C1010&gt;0,VLOOKUP(C1010,КФСР!A436:B1948,2),IF(D1010&gt;0,VLOOKUP(D1010,Программа!A$1:B$5100,2),IF(F1010&gt;0,VLOOKUP(F1010,КВР!A$1:B$5001,2),IF(E1010&gt;0,VLOOKUP(E1010,Направление!A$1:B$4830,2))))))</f>
        <v>Периодическая печать и издательства</v>
      </c>
      <c r="B1010" s="154"/>
      <c r="C1010" s="149">
        <v>1202</v>
      </c>
      <c r="D1010" s="150"/>
      <c r="E1010" s="149"/>
      <c r="F1010" s="151"/>
      <c r="G1010" s="606">
        <v>4240713</v>
      </c>
      <c r="H1010" s="157">
        <f>H1011</f>
        <v>4240713</v>
      </c>
      <c r="I1010" s="157">
        <f t="shared" si="21"/>
        <v>8481426</v>
      </c>
    </row>
    <row r="1011" spans="1:9" x14ac:dyDescent="0.25">
      <c r="A1011" s="153" t="str">
        <f>IF(B1011&gt;0,VLOOKUP(B1011,КВСР!A437:B1602,2),IF(C1011&gt;0,VLOOKUP(C1011,КФСР!A437:B1949,2),IF(D1011&gt;0,VLOOKUP(D1011,Программа!A$1:B$5100,2),IF(F1011&gt;0,VLOOKUP(F1011,КВР!A$1:B$5001,2),IF(E1011&gt;0,VLOOKUP(E1011,Направление!A$1:B$4830,2))))))</f>
        <v>Непрограммные расходы бюджета</v>
      </c>
      <c r="B1011" s="154"/>
      <c r="C1011" s="149"/>
      <c r="D1011" s="150" t="s">
        <v>624</v>
      </c>
      <c r="E1011" s="149"/>
      <c r="F1011" s="151"/>
      <c r="G1011" s="606">
        <v>4240713</v>
      </c>
      <c r="H1011" s="157">
        <f>H1012</f>
        <v>4240713</v>
      </c>
      <c r="I1011" s="157">
        <f t="shared" si="21"/>
        <v>8481426</v>
      </c>
    </row>
    <row r="1012" spans="1:9" x14ac:dyDescent="0.25">
      <c r="A1012" s="153" t="str">
        <f>IF(B1012&gt;0,VLOOKUP(B1012,КВСР!A438:B1603,2),IF(C1012&gt;0,VLOOKUP(C1012,КФСР!A438:B1950,2),IF(D1012&gt;0,VLOOKUP(D1012,Программа!A$1:B$5100,2),IF(F1012&gt;0,VLOOKUP(F1012,КВР!A$1:B$5001,2),IF(E1012&gt;0,VLOOKUP(E1012,Направление!A$1:B$4830,2))))))</f>
        <v xml:space="preserve">Поддержка периодических изданий </v>
      </c>
      <c r="B1012" s="154"/>
      <c r="C1012" s="149"/>
      <c r="D1012" s="150"/>
      <c r="E1012" s="149">
        <v>12750</v>
      </c>
      <c r="F1012" s="151"/>
      <c r="G1012" s="606">
        <v>4240713</v>
      </c>
      <c r="H1012" s="157">
        <f>H1013</f>
        <v>4240713</v>
      </c>
      <c r="I1012" s="157">
        <f t="shared" si="21"/>
        <v>8481426</v>
      </c>
    </row>
    <row r="1013" spans="1:9" ht="63" x14ac:dyDescent="0.25">
      <c r="A1013" s="153" t="str">
        <f>IF(B1013&gt;0,VLOOKUP(B1013,КВСР!A439:B1604,2),IF(C1013&gt;0,VLOOKUP(C1013,КФСР!A439:B1951,2),IF(D1013&gt;0,VLOOKUP(D1013,Программа!A$1:B$5100,2),IF(F1013&gt;0,VLOOKUP(F1013,КВР!A$1:B$5001,2),IF(E1013&gt;0,VLOOKUP(E1013,Направление!A$1:B$4830,2))))))</f>
        <v>Предоставление субсидий бюджетным, автономным учреждениям и иным некоммерческим организациям</v>
      </c>
      <c r="B1013" s="154"/>
      <c r="C1013" s="149"/>
      <c r="D1013" s="151"/>
      <c r="E1013" s="149"/>
      <c r="F1013" s="151">
        <v>600</v>
      </c>
      <c r="G1013" s="156">
        <v>4240713</v>
      </c>
      <c r="H1013" s="156">
        <v>4240713</v>
      </c>
      <c r="I1013" s="157">
        <f t="shared" si="21"/>
        <v>8481426</v>
      </c>
    </row>
    <row r="1014" spans="1:9" ht="31.5" x14ac:dyDescent="0.25">
      <c r="A1014" s="147" t="str">
        <f>IF(B1014&gt;0,VLOOKUP(B1014,КВСР!A440:B1605,2),IF(C1014&gt;0,VLOOKUP(C1014,КФСР!A440:B1952,2),IF(D1014&gt;0,VLOOKUP(D1014,Программа!A$1:B$5100,2),IF(F1014&gt;0,VLOOKUP(F1014,КВР!A$1:B$5001,2),IF(E1014&gt;0,VLOOKUP(E1014,Направление!A$1:B$4830,2))))))</f>
        <v>Департамент ЖКХ и строительства Администрации ТМР</v>
      </c>
      <c r="B1014" s="148">
        <v>958</v>
      </c>
      <c r="C1014" s="149"/>
      <c r="D1014" s="150"/>
      <c r="E1014" s="149"/>
      <c r="F1014" s="151"/>
      <c r="G1014" s="605">
        <v>82683724.530000001</v>
      </c>
      <c r="H1014" s="605">
        <f>H1015+H1040+H1050+H1080+H1137+H1170+H1203+H1182+H1029+H1033+H1195+H1160+H1176+H1058</f>
        <v>81592258</v>
      </c>
      <c r="I1014" s="620">
        <f t="shared" si="21"/>
        <v>164275982.53</v>
      </c>
    </row>
    <row r="1015" spans="1:9" x14ac:dyDescent="0.25">
      <c r="A1015" s="153" t="str">
        <f>IF(B1015&gt;0,VLOOKUP(B1015,КВСР!A445:B1610,2),IF(C1015&gt;0,VLOOKUP(C1015,КФСР!A445:B1957,2),IF(D1015&gt;0,VLOOKUP(D1015,Программа!A$1:B$5100,2),IF(F1015&gt;0,VLOOKUP(F1015,КВР!A$1:B$5001,2),IF(E1015&gt;0,VLOOKUP(E1015,Направление!A$1:B$4830,2))))))</f>
        <v>Топливно-энергетический комплекс</v>
      </c>
      <c r="B1015" s="148"/>
      <c r="C1015" s="149">
        <v>402</v>
      </c>
      <c r="D1015" s="150"/>
      <c r="E1015" s="149"/>
      <c r="F1015" s="151"/>
      <c r="G1015" s="500">
        <v>766964</v>
      </c>
      <c r="H1015" s="155">
        <f>H1016+H1021</f>
        <v>665185</v>
      </c>
      <c r="I1015" s="157">
        <f t="shared" si="21"/>
        <v>1432149</v>
      </c>
    </row>
    <row r="1016" spans="1:9" ht="63" x14ac:dyDescent="0.25">
      <c r="A1016" s="153" t="str">
        <f>IF(B1016&gt;0,VLOOKUP(B1016,КВСР!A446:B1611,2),IF(C1016&gt;0,VLOOKUP(C1016,КФСР!A446:B1958,2),IF(D1016&gt;0,VLOOKUP(D1016,Программа!A$1:B$5100,2),IF(F1016&gt;0,VLOOKUP(F1016,КВР!A$1:B$5001,2),IF(E1016&gt;0,VLOOKUP(E1016,Направление!A$1:B$4830,2))))))</f>
        <v>Муниципальная программа "Обеспечение качественными коммунальными услугами населения Тутаевского муниципального района"</v>
      </c>
      <c r="B1016" s="148"/>
      <c r="C1016" s="149"/>
      <c r="D1016" s="150" t="s">
        <v>849</v>
      </c>
      <c r="E1016" s="149"/>
      <c r="F1016" s="151"/>
      <c r="G1016" s="500">
        <v>500000</v>
      </c>
      <c r="H1016" s="155">
        <f>H1017</f>
        <v>398222</v>
      </c>
      <c r="I1016" s="157">
        <f t="shared" si="21"/>
        <v>898222</v>
      </c>
    </row>
    <row r="1017" spans="1:9" ht="94.5" x14ac:dyDescent="0.25">
      <c r="A1017" s="153" t="str">
        <f>IF(B1017&gt;0,VLOOKUP(B1017,КВСР!A447:B1612,2),IF(C1017&gt;0,VLOOKUP(C1017,КФСР!A447:B1959,2),IF(D1017&gt;0,VLOOKUP(D1017,Программа!A$1:B$5100,2),IF(F1017&gt;0,VLOOKUP(F1017,КВР!A$1:B$5001,2),IF(E1017&gt;0,VLOOKUP(E1017,Направление!A$1:B$4830,2))))))</f>
        <v>Муниципальная целевая программа "Обеспечение надежного теплоснабжения жилищного фонда и учреждений  бюджетной сферы" на территории Тутаевского муниципального района</v>
      </c>
      <c r="B1017" s="148"/>
      <c r="C1017" s="149"/>
      <c r="D1017" s="150" t="s">
        <v>851</v>
      </c>
      <c r="E1017" s="149"/>
      <c r="F1017" s="151"/>
      <c r="G1017" s="500">
        <v>500000</v>
      </c>
      <c r="H1017" s="155">
        <f>H1018</f>
        <v>398222</v>
      </c>
      <c r="I1017" s="157">
        <f t="shared" si="21"/>
        <v>898222</v>
      </c>
    </row>
    <row r="1018" spans="1:9" ht="63" x14ac:dyDescent="0.25">
      <c r="A1018" s="153" t="str">
        <f>IF(B1018&gt;0,VLOOKUP(B1018,КВСР!A448:B1613,2),IF(C1018&gt;0,VLOOKUP(C1018,КФСР!A448:B1960,2),IF(D1018&gt;0,VLOOKUP(D1018,Программа!A$1:B$5100,2),IF(F1018&gt;0,VLOOKUP(F1018,КВР!A$1:B$5001,2),IF(E1018&gt;0,VLOOKUP(E1018,Направление!A$1:B$4830,2))))))</f>
        <v>Обеспечение надежного снабжения  твердым топливом  сельского населения, путем частичного возмещения расходов</v>
      </c>
      <c r="B1018" s="148"/>
      <c r="C1018" s="149"/>
      <c r="D1018" s="150" t="s">
        <v>852</v>
      </c>
      <c r="E1018" s="149"/>
      <c r="F1018" s="151"/>
      <c r="G1018" s="500">
        <v>500000</v>
      </c>
      <c r="H1018" s="155">
        <f>H1019</f>
        <v>398222</v>
      </c>
      <c r="I1018" s="157">
        <f t="shared" ref="I1018:I1093" si="22">SUM(G1018:H1018)</f>
        <v>898222</v>
      </c>
    </row>
    <row r="1019" spans="1:9" ht="47.25" x14ac:dyDescent="0.25">
      <c r="A1019" s="153" t="str">
        <f>IF(B1019&gt;0,VLOOKUP(B1019,КВСР!A447:B1612,2),IF(C1019&gt;0,VLOOKUP(C1019,КФСР!A447:B1959,2),IF(D1019&gt;0,VLOOKUP(D1019,Программа!A$1:B$5100,2),IF(F1019&gt;0,VLOOKUP(F1019,КВР!A$1:B$5001,2),IF(E1019&gt;0,VLOOKUP(E1019,Направление!A$1:B$4830,2))))))</f>
        <v>Субсидия  на возмещение части затрат по обеспечению населения твердым топливом</v>
      </c>
      <c r="B1019" s="148"/>
      <c r="C1019" s="149"/>
      <c r="D1019" s="150"/>
      <c r="E1019" s="149">
        <v>10110</v>
      </c>
      <c r="F1019" s="151"/>
      <c r="G1019" s="500">
        <v>500000</v>
      </c>
      <c r="H1019" s="155">
        <f>H1020</f>
        <v>398222</v>
      </c>
      <c r="I1019" s="157">
        <f t="shared" si="22"/>
        <v>898222</v>
      </c>
    </row>
    <row r="1020" spans="1:9" x14ac:dyDescent="0.25">
      <c r="A1020" s="153" t="str">
        <f>IF(B1020&gt;0,VLOOKUP(B1020,КВСР!A448:B1613,2),IF(C1020&gt;0,VLOOKUP(C1020,КФСР!A448:B1960,2),IF(D1020&gt;0,VLOOKUP(D1020,Программа!A$1:B$5100,2),IF(F1020&gt;0,VLOOKUP(F1020,КВР!A$1:B$5001,2),IF(E1020&gt;0,VLOOKUP(E1020,Направление!A$1:B$4830,2))))))</f>
        <v>Иные бюджетные ассигнования</v>
      </c>
      <c r="B1020" s="148"/>
      <c r="C1020" s="149"/>
      <c r="D1020" s="151"/>
      <c r="E1020" s="149"/>
      <c r="F1020" s="151">
        <v>800</v>
      </c>
      <c r="G1020" s="498">
        <v>500000</v>
      </c>
      <c r="H1020" s="156">
        <v>398222</v>
      </c>
      <c r="I1020" s="157">
        <f t="shared" si="22"/>
        <v>898222</v>
      </c>
    </row>
    <row r="1021" spans="1:9" ht="63" x14ac:dyDescent="0.25">
      <c r="A1021" s="153" t="str">
        <f>IF(B1021&gt;0,VLOOKUP(B1021,КВСР!A451:B1616,2),IF(C1021&gt;0,VLOOKUP(C1021,КФСР!A451:B1963,2),IF(D1021&gt;0,VLOOKUP(D1021,Программа!A$1:B$5100,2),IF(F1021&gt;0,VLOOKUP(F1021,КВР!A$1:B$5001,2),IF(E1021&gt;0,VLOOKUP(E1021,Направление!A$1:B$4830,2))))))</f>
        <v>Муниципальная  программа "Об энергосбережении и повышении энергетической эффективности Тутаевского муниципального района"</v>
      </c>
      <c r="B1021" s="148"/>
      <c r="C1021" s="149"/>
      <c r="D1021" s="151" t="s">
        <v>854</v>
      </c>
      <c r="E1021" s="149"/>
      <c r="F1021" s="151"/>
      <c r="G1021" s="164">
        <v>266964</v>
      </c>
      <c r="H1021" s="164">
        <f>H1022</f>
        <v>266963</v>
      </c>
      <c r="I1021" s="157">
        <f t="shared" si="22"/>
        <v>533927</v>
      </c>
    </row>
    <row r="1022" spans="1:9" ht="110.25" x14ac:dyDescent="0.25">
      <c r="A1022" s="153" t="str">
        <f>IF(B1022&gt;0,VLOOKUP(B1022,КВСР!A452:B1617,2),IF(C1022&gt;0,VLOOKUP(C1022,КФСР!A452:B1964,2),IF(D1022&gt;0,VLOOKUP(D1022,Программа!A$1:B$5100,2),IF(F1022&gt;0,VLOOKUP(F1022,КВР!A$1:B$5001,2),IF(E1022&gt;0,VLOOKUP(E1022,Направление!A$1:B$4830,2))))))</f>
        <v>Обеспечение рационального использования топливно- энергетических ресурсов при их производстве, передаче и потреблении и создание условий повышения энергетической эффективности</v>
      </c>
      <c r="B1022" s="148"/>
      <c r="C1022" s="149"/>
      <c r="D1022" s="151" t="s">
        <v>856</v>
      </c>
      <c r="E1022" s="149"/>
      <c r="F1022" s="151"/>
      <c r="G1022" s="164">
        <v>266964</v>
      </c>
      <c r="H1022" s="164">
        <f>H1023+H1025+H1027</f>
        <v>266963</v>
      </c>
      <c r="I1022" s="157">
        <f t="shared" si="22"/>
        <v>533927</v>
      </c>
    </row>
    <row r="1023" spans="1:9" ht="47.25" x14ac:dyDescent="0.25">
      <c r="A1023" s="153" t="str">
        <f>IF(B1023&gt;0,VLOOKUP(B1023,КВСР!A452:B1617,2),IF(C1023&gt;0,VLOOKUP(C1023,КФСР!A452:B1964,2),IF(D1023&gt;0,VLOOKUP(D1023,Программа!A$1:B$5100,2),IF(F1023&gt;0,VLOOKUP(F1023,КВР!A$1:B$5001,2),IF(E1023&gt;0,VLOOKUP(E1023,Направление!A$1:B$4830,2))))))</f>
        <v>Мероприятия по повышению энергоэффективности и энергосбережению</v>
      </c>
      <c r="B1023" s="148"/>
      <c r="C1023" s="149"/>
      <c r="D1023" s="151"/>
      <c r="E1023" s="149">
        <v>10400</v>
      </c>
      <c r="F1023" s="151"/>
      <c r="G1023" s="164">
        <v>98200</v>
      </c>
      <c r="H1023" s="164">
        <f>H1024</f>
        <v>98200</v>
      </c>
      <c r="I1023" s="157">
        <f t="shared" si="22"/>
        <v>196400</v>
      </c>
    </row>
    <row r="1024" spans="1:9" ht="63" x14ac:dyDescent="0.25">
      <c r="A1024" s="153" t="str">
        <f>IF(B1024&gt;0,VLOOKUP(B1024,КВСР!A453:B1618,2),IF(C1024&gt;0,VLOOKUP(C1024,КФСР!A453:B1965,2),IF(D1024&gt;0,VLOOKUP(D1024,Программа!A$1:B$5100,2),IF(F1024&gt;0,VLOOKUP(F1024,КВР!A$1:B$5001,2),IF(E1024&gt;0,VLOOKUP(E1024,Направление!A$1:B$4830,2))))))</f>
        <v xml:space="preserve">Закупка товаров, работ и услуг для обеспечения государственных (муниципальных) нужд
</v>
      </c>
      <c r="B1024" s="148"/>
      <c r="C1024" s="149"/>
      <c r="D1024" s="151"/>
      <c r="E1024" s="149"/>
      <c r="F1024" s="151">
        <v>200</v>
      </c>
      <c r="G1024" s="498">
        <v>98200</v>
      </c>
      <c r="H1024" s="156">
        <v>98200</v>
      </c>
      <c r="I1024" s="157">
        <f t="shared" si="22"/>
        <v>196400</v>
      </c>
    </row>
    <row r="1025" spans="1:9" ht="31.5" x14ac:dyDescent="0.25">
      <c r="A1025" s="153" t="str">
        <f>IF(B1025&gt;0,VLOOKUP(B1025,КВСР!A454:B1619,2),IF(C1025&gt;0,VLOOKUP(C1025,КФСР!A454:B1966,2),IF(D1025&gt;0,VLOOKUP(D1025,Программа!A$1:B$5100,2),IF(F1025&gt;0,VLOOKUP(F1025,КВР!A$1:B$5001,2),IF(E1025&gt;0,VLOOKUP(E1025,Направление!A$1:B$4830,2))))))</f>
        <v>Мероприятия по актуализации схем теплоснабжения</v>
      </c>
      <c r="B1025" s="148"/>
      <c r="C1025" s="149"/>
      <c r="D1025" s="151"/>
      <c r="E1025" s="149">
        <v>29536</v>
      </c>
      <c r="F1025" s="151"/>
      <c r="G1025" s="498">
        <v>109030</v>
      </c>
      <c r="H1025" s="498">
        <f>H1026</f>
        <v>109029</v>
      </c>
      <c r="I1025" s="157">
        <f>SUM(G1025:H1025)</f>
        <v>218059</v>
      </c>
    </row>
    <row r="1026" spans="1:9" ht="63" x14ac:dyDescent="0.25">
      <c r="A1026" s="153" t="str">
        <f>IF(B1026&gt;0,VLOOKUP(B1026,КВСР!A455:B1620,2),IF(C1026&gt;0,VLOOKUP(C1026,КФСР!A455:B1967,2),IF(D1026&gt;0,VLOOKUP(D1026,Программа!A$1:B$5100,2),IF(F1026&gt;0,VLOOKUP(F1026,КВР!A$1:B$5001,2),IF(E1026&gt;0,VLOOKUP(E1026,Направление!A$1:B$4830,2))))))</f>
        <v xml:space="preserve">Закупка товаров, работ и услуг для обеспечения государственных (муниципальных) нужд
</v>
      </c>
      <c r="B1026" s="148"/>
      <c r="C1026" s="149"/>
      <c r="D1026" s="151"/>
      <c r="E1026" s="149"/>
      <c r="F1026" s="151">
        <v>200</v>
      </c>
      <c r="G1026" s="498">
        <v>109030</v>
      </c>
      <c r="H1026" s="156">
        <v>109029</v>
      </c>
      <c r="I1026" s="157">
        <f>SUM(G1026:H1026)</f>
        <v>218059</v>
      </c>
    </row>
    <row r="1027" spans="1:9" ht="47.25" x14ac:dyDescent="0.25">
      <c r="A1027" s="153" t="str">
        <f>IF(B1027&gt;0,VLOOKUP(B1027,КВСР!A456:B1621,2),IF(C1027&gt;0,VLOOKUP(C1027,КФСР!A456:B1968,2),IF(D1027&gt;0,VLOOKUP(D1027,Программа!A$1:B$5100,2),IF(F1027&gt;0,VLOOKUP(F1027,КВР!A$1:B$5001,2),IF(E1027&gt;0,VLOOKUP(E1027,Направление!A$1:B$4830,2))))))</f>
        <v>Обеспечение мероприятий по актуализации схем водоснабжения и водоотведения</v>
      </c>
      <c r="B1027" s="148"/>
      <c r="C1027" s="149"/>
      <c r="D1027" s="151"/>
      <c r="E1027" s="149">
        <v>29636</v>
      </c>
      <c r="F1027" s="151"/>
      <c r="G1027" s="498">
        <v>59734</v>
      </c>
      <c r="H1027" s="498">
        <f>H1028</f>
        <v>59734</v>
      </c>
      <c r="I1027" s="157">
        <f>SUM(G1027:H1027)</f>
        <v>119468</v>
      </c>
    </row>
    <row r="1028" spans="1:9" ht="63" x14ac:dyDescent="0.25">
      <c r="A1028" s="153" t="str">
        <f>IF(B1028&gt;0,VLOOKUP(B1028,КВСР!A457:B1622,2),IF(C1028&gt;0,VLOOKUP(C1028,КФСР!A457:B1969,2),IF(D1028&gt;0,VLOOKUP(D1028,Программа!A$1:B$5100,2),IF(F1028&gt;0,VLOOKUP(F1028,КВР!A$1:B$5001,2),IF(E1028&gt;0,VLOOKUP(E1028,Направление!A$1:B$4830,2))))))</f>
        <v xml:space="preserve">Закупка товаров, работ и услуг для обеспечения государственных (муниципальных) нужд
</v>
      </c>
      <c r="B1028" s="148"/>
      <c r="C1028" s="149"/>
      <c r="D1028" s="151"/>
      <c r="E1028" s="149"/>
      <c r="F1028" s="151">
        <v>200</v>
      </c>
      <c r="G1028" s="498">
        <v>59734</v>
      </c>
      <c r="H1028" s="156">
        <v>59734</v>
      </c>
      <c r="I1028" s="157">
        <f>SUM(G1028:H1028)</f>
        <v>119468</v>
      </c>
    </row>
    <row r="1029" spans="1:9" x14ac:dyDescent="0.25">
      <c r="A1029" s="153" t="str">
        <f>IF(B1029&gt;0,VLOOKUP(B1029,КВСР!A454:B1619,2),IF(C1029&gt;0,VLOOKUP(C1029,КФСР!A454:B1966,2),IF(D1029&gt;0,VLOOKUP(D1029,Программа!A$1:B$5100,2),IF(F1029&gt;0,VLOOKUP(F1029,КВР!A$1:B$5001,2),IF(E1029&gt;0,VLOOKUP(E1029,Направление!A$1:B$4830,2))))))</f>
        <v>Сельское хозяйство и рыболовство</v>
      </c>
      <c r="B1029" s="148"/>
      <c r="C1029" s="149">
        <v>405</v>
      </c>
      <c r="D1029" s="151"/>
      <c r="E1029" s="149"/>
      <c r="F1029" s="151"/>
      <c r="G1029" s="164">
        <v>688375</v>
      </c>
      <c r="H1029" s="164">
        <f>H1030</f>
        <v>278155</v>
      </c>
      <c r="I1029" s="157">
        <f t="shared" si="22"/>
        <v>966530</v>
      </c>
    </row>
    <row r="1030" spans="1:9" x14ac:dyDescent="0.25">
      <c r="A1030" s="153" t="str">
        <f>IF(B1030&gt;0,VLOOKUP(B1030,КВСР!A455:B1620,2),IF(C1030&gt;0,VLOOKUP(C1030,КФСР!A455:B1967,2),IF(D1030&gt;0,VLOOKUP(D1030,Программа!A$1:B$5100,2),IF(F1030&gt;0,VLOOKUP(F1030,КВР!A$1:B$5001,2),IF(E1030&gt;0,VLOOKUP(E1030,Направление!A$1:B$4830,2))))))</f>
        <v>Непрограммные расходы бюджета</v>
      </c>
      <c r="B1030" s="148"/>
      <c r="C1030" s="149"/>
      <c r="D1030" s="151" t="s">
        <v>624</v>
      </c>
      <c r="E1030" s="149"/>
      <c r="F1030" s="151"/>
      <c r="G1030" s="164">
        <v>688375</v>
      </c>
      <c r="H1030" s="164">
        <f>H1031</f>
        <v>278155</v>
      </c>
      <c r="I1030" s="157">
        <f t="shared" si="22"/>
        <v>966530</v>
      </c>
    </row>
    <row r="1031" spans="1:9" ht="31.5" x14ac:dyDescent="0.25">
      <c r="A1031" s="153" t="str">
        <f>IF(B1031&gt;0,VLOOKUP(B1031,КВСР!A458:B1623,2),IF(C1031&gt;0,VLOOKUP(C1031,КФСР!A458:B1970,2),IF(D1031&gt;0,VLOOKUP(D1031,Программа!A$1:B$5100,2),IF(F1031&gt;0,VLOOKUP(F1031,КВР!A$1:B$5001,2),IF(E1031&gt;0,VLOOKUP(E1031,Направление!A$1:B$4830,2))))))</f>
        <v>Субвенция на отлов и содержание безнадзорных животных</v>
      </c>
      <c r="B1031" s="148"/>
      <c r="C1031" s="149"/>
      <c r="D1031" s="151"/>
      <c r="E1031" s="149">
        <v>74420</v>
      </c>
      <c r="F1031" s="151"/>
      <c r="G1031" s="498">
        <v>688375</v>
      </c>
      <c r="H1031" s="498">
        <f>H1032</f>
        <v>278155</v>
      </c>
      <c r="I1031" s="157">
        <f t="shared" si="22"/>
        <v>966530</v>
      </c>
    </row>
    <row r="1032" spans="1:9" ht="63" x14ac:dyDescent="0.25">
      <c r="A1032" s="153" t="str">
        <f>IF(B1032&gt;0,VLOOKUP(B1032,КВСР!A459:B1624,2),IF(C1032&gt;0,VLOOKUP(C1032,КФСР!A459:B1971,2),IF(D1032&gt;0,VLOOKUP(D1032,Программа!A$1:B$5100,2),IF(F1032&gt;0,VLOOKUP(F1032,КВР!A$1:B$5001,2),IF(E1032&gt;0,VLOOKUP(E1032,Направление!A$1:B$4830,2))))))</f>
        <v xml:space="preserve">Закупка товаров, работ и услуг для обеспечения государственных (муниципальных) нужд
</v>
      </c>
      <c r="B1032" s="148"/>
      <c r="C1032" s="149"/>
      <c r="D1032" s="151"/>
      <c r="E1032" s="149"/>
      <c r="F1032" s="151">
        <v>200</v>
      </c>
      <c r="G1032" s="498">
        <v>688375</v>
      </c>
      <c r="H1032" s="156">
        <v>278155</v>
      </c>
      <c r="I1032" s="157">
        <f t="shared" si="22"/>
        <v>966530</v>
      </c>
    </row>
    <row r="1033" spans="1:9" hidden="1" x14ac:dyDescent="0.25">
      <c r="A1033" s="153" t="str">
        <f>IF(B1033&gt;0,VLOOKUP(B1033,КВСР!A458:B1623,2),IF(C1033&gt;0,VLOOKUP(C1033,КФСР!A458:B1970,2),IF(D1033&gt;0,VLOOKUP(D1033,Программа!A$1:B$5100,2),IF(F1033&gt;0,VLOOKUP(F1033,КВР!A$1:B$5001,2),IF(E1033&gt;0,VLOOKUP(E1033,Направление!A$1:B$4830,2))))))</f>
        <v>Водные ресурсы</v>
      </c>
      <c r="B1033" s="148"/>
      <c r="C1033" s="149">
        <v>406</v>
      </c>
      <c r="D1033" s="151"/>
      <c r="E1033" s="149"/>
      <c r="F1033" s="151"/>
      <c r="G1033" s="498">
        <v>0</v>
      </c>
      <c r="H1033" s="498">
        <f>H1034</f>
        <v>0</v>
      </c>
      <c r="I1033" s="157">
        <f t="shared" si="22"/>
        <v>0</v>
      </c>
    </row>
    <row r="1034" spans="1:9" ht="63" hidden="1" x14ac:dyDescent="0.25">
      <c r="A1034" s="153" t="str">
        <f>IF(B1034&gt;0,VLOOKUP(B1034,КВСР!A459:B1624,2),IF(C1034&gt;0,VLOOKUP(C1034,КФСР!A459:B1971,2),IF(D1034&gt;0,VLOOKUP(D1034,Программа!A$1:B$5100,2),IF(F1034&gt;0,VLOOKUP(F1034,КВР!A$1:B$5001,2),IF(E1034&gt;0,VLOOKUP(E1034,Направление!A$1:B$4830,2))))))</f>
        <v>Муниципальная программа "Охрана окружающей среды и рациональное природопользование в Тутаевском муниципальном районе"</v>
      </c>
      <c r="B1034" s="148"/>
      <c r="C1034" s="149"/>
      <c r="D1034" s="151" t="s">
        <v>2911</v>
      </c>
      <c r="E1034" s="149"/>
      <c r="F1034" s="151"/>
      <c r="G1034" s="498">
        <v>0</v>
      </c>
      <c r="H1034" s="498">
        <f>H1035</f>
        <v>0</v>
      </c>
      <c r="I1034" s="157">
        <f t="shared" si="22"/>
        <v>0</v>
      </c>
    </row>
    <row r="1035" spans="1:9" ht="47.25" hidden="1" x14ac:dyDescent="0.25">
      <c r="A1035" s="153" t="str">
        <f>IF(B1035&gt;0,VLOOKUP(B1035,КВСР!A460:B1625,2),IF(C1035&gt;0,VLOOKUP(C1035,КФСР!A460:B1972,2),IF(D1035&gt;0,VLOOKUP(D1035,Программа!A$1:B$5100,2),IF(F1035&gt;0,VLOOKUP(F1035,КВР!A$1:B$5001,2),IF(E1035&gt;0,VLOOKUP(E1035,Направление!A$1:B$4830,2))))))</f>
        <v>Развитие водохозяйственного комплекса Тутаевского муниципального района</v>
      </c>
      <c r="B1035" s="148"/>
      <c r="C1035" s="149"/>
      <c r="D1035" s="151" t="s">
        <v>2912</v>
      </c>
      <c r="E1035" s="149"/>
      <c r="F1035" s="151"/>
      <c r="G1035" s="498">
        <v>0</v>
      </c>
      <c r="H1035" s="498">
        <f>H1036+H1038</f>
        <v>0</v>
      </c>
      <c r="I1035" s="157">
        <f t="shared" si="22"/>
        <v>0</v>
      </c>
    </row>
    <row r="1036" spans="1:9" ht="31.5" hidden="1" x14ac:dyDescent="0.25">
      <c r="A1036" s="153" t="str">
        <f>IF(B1036&gt;0,VLOOKUP(B1036,КВСР!A461:B1626,2),IF(C1036&gt;0,VLOOKUP(C1036,КФСР!A461:B1973,2),IF(D1036&gt;0,VLOOKUP(D1036,Программа!A$1:B$5100,2),IF(F1036&gt;0,VLOOKUP(F1036,КВР!A$1:B$5001,2),IF(E1036&gt;0,VLOOKUP(E1036,Направление!A$1:B$4830,2))))))</f>
        <v>Расходы на капитальный ремонт плотины на р.Костромка</v>
      </c>
      <c r="B1036" s="148"/>
      <c r="C1036" s="149"/>
      <c r="D1036" s="151"/>
      <c r="E1036" s="149" t="s">
        <v>2917</v>
      </c>
      <c r="F1036" s="151"/>
      <c r="G1036" s="498">
        <v>0</v>
      </c>
      <c r="H1036" s="498">
        <f>H1037</f>
        <v>0</v>
      </c>
      <c r="I1036" s="157">
        <f t="shared" si="22"/>
        <v>0</v>
      </c>
    </row>
    <row r="1037" spans="1:9" ht="63" hidden="1" x14ac:dyDescent="0.25">
      <c r="A1037" s="153" t="str">
        <f>IF(B1037&gt;0,VLOOKUP(B1037,КВСР!A462:B1627,2),IF(C1037&gt;0,VLOOKUP(C1037,КФСР!A462:B1974,2),IF(D1037&gt;0,VLOOKUP(D1037,Программа!A$1:B$5100,2),IF(F1037&gt;0,VLOOKUP(F1037,КВР!A$1:B$5001,2),IF(E1037&gt;0,VLOOKUP(E1037,Направление!A$1:B$4830,2))))))</f>
        <v>Предоставление субсидий бюджетным, автономным учреждениям и иным некоммерческим организациям</v>
      </c>
      <c r="B1037" s="148"/>
      <c r="C1037" s="149"/>
      <c r="D1037" s="151"/>
      <c r="E1037" s="149"/>
      <c r="F1037" s="151">
        <v>600</v>
      </c>
      <c r="G1037" s="498">
        <v>0</v>
      </c>
      <c r="H1037" s="156"/>
      <c r="I1037" s="157">
        <f t="shared" si="22"/>
        <v>0</v>
      </c>
    </row>
    <row r="1038" spans="1:9" ht="63" hidden="1" x14ac:dyDescent="0.25">
      <c r="A1038" s="153" t="str">
        <f>IF(B1038&gt;0,VLOOKUP(B1038,КВСР!A463:B1628,2),IF(C1038&gt;0,VLOOKUP(C1038,КФСР!A463:B1975,2),IF(D1038&gt;0,VLOOKUP(D1038,Программа!A$1:B$5100,2),IF(F1038&gt;0,VLOOKUP(F1038,КВР!A$1:B$5001,2),IF(E1038&gt;0,VLOOKUP(E1038,Направление!A$1:B$4830,2))))))</f>
        <v>Субсидия на реализацию мероприятий, направленных на капитальный ремонт гидротехнических сооружений</v>
      </c>
      <c r="B1038" s="148"/>
      <c r="C1038" s="149"/>
      <c r="D1038" s="151"/>
      <c r="E1038" s="149" t="s">
        <v>2916</v>
      </c>
      <c r="F1038" s="151"/>
      <c r="G1038" s="498">
        <v>0</v>
      </c>
      <c r="H1038" s="498">
        <f>H1039</f>
        <v>0</v>
      </c>
      <c r="I1038" s="157">
        <f t="shared" si="22"/>
        <v>0</v>
      </c>
    </row>
    <row r="1039" spans="1:9" ht="63" hidden="1" x14ac:dyDescent="0.25">
      <c r="A1039" s="153" t="str">
        <f>IF(B1039&gt;0,VLOOKUP(B1039,КВСР!A464:B1629,2),IF(C1039&gt;0,VLOOKUP(C1039,КФСР!A464:B1976,2),IF(D1039&gt;0,VLOOKUP(D1039,Программа!A$1:B$5100,2),IF(F1039&gt;0,VLOOKUP(F1039,КВР!A$1:B$5001,2),IF(E1039&gt;0,VLOOKUP(E1039,Направление!A$1:B$4830,2))))))</f>
        <v>Предоставление субсидий бюджетным, автономным учреждениям и иным некоммерческим организациям</v>
      </c>
      <c r="B1039" s="148"/>
      <c r="C1039" s="149"/>
      <c r="D1039" s="151"/>
      <c r="E1039" s="149"/>
      <c r="F1039" s="151">
        <v>600</v>
      </c>
      <c r="G1039" s="498">
        <v>0</v>
      </c>
      <c r="H1039" s="156"/>
      <c r="I1039" s="157">
        <f t="shared" si="22"/>
        <v>0</v>
      </c>
    </row>
    <row r="1040" spans="1:9" x14ac:dyDescent="0.25">
      <c r="A1040" s="153" t="str">
        <f>IF(B1040&gt;0,VLOOKUP(B1040,КВСР!A456:B1621,2),IF(C1040&gt;0,VLOOKUP(C1040,КФСР!A456:B1968,2),IF(D1040&gt;0,VLOOKUP(D1040,Программа!A$1:B$5100,2),IF(F1040&gt;0,VLOOKUP(F1040,КВР!A$1:B$5001,2),IF(E1040&gt;0,VLOOKUP(E1040,Направление!A$1:B$4830,2))))))</f>
        <v>Транспорт</v>
      </c>
      <c r="B1040" s="148"/>
      <c r="C1040" s="149">
        <v>408</v>
      </c>
      <c r="D1040" s="150"/>
      <c r="E1040" s="149"/>
      <c r="F1040" s="151"/>
      <c r="G1040" s="500">
        <v>27961853</v>
      </c>
      <c r="H1040" s="155">
        <f>H1041</f>
        <v>27430409</v>
      </c>
      <c r="I1040" s="157">
        <f t="shared" si="22"/>
        <v>55392262</v>
      </c>
    </row>
    <row r="1041" spans="1:9" ht="78.75" x14ac:dyDescent="0.25">
      <c r="A1041" s="153" t="str">
        <f>IF(B1041&gt;0,VLOOKUP(B1041,КВСР!A457:B1622,2),IF(C1041&gt;0,VLOOKUP(C1041,КФСР!A457:B1969,2),IF(D1041&gt;0,VLOOKUP(D1041,Программа!A$1:B$5100,2),IF(F1041&gt;0,VLOOKUP(F1041,КВР!A$1:B$5001,2),IF(E1041&gt;0,VLOOKUP(E1041,Направление!A$1:B$4830,2))))))</f>
        <v>Муниципальная программа  "Организация перевозок автомобильным и речным транспортом на территории Тутаевского муниципального района"</v>
      </c>
      <c r="B1041" s="154"/>
      <c r="C1041" s="149"/>
      <c r="D1041" s="150" t="s">
        <v>859</v>
      </c>
      <c r="E1041" s="149"/>
      <c r="F1041" s="151"/>
      <c r="G1041" s="500">
        <v>27961853</v>
      </c>
      <c r="H1041" s="155">
        <f>H1042+H1047</f>
        <v>27430409</v>
      </c>
      <c r="I1041" s="157">
        <f t="shared" si="22"/>
        <v>55392262</v>
      </c>
    </row>
    <row r="1042" spans="1:9" ht="78.75" x14ac:dyDescent="0.25">
      <c r="A1042" s="153" t="str">
        <f>IF(B1042&gt;0,VLOOKUP(B1042,КВСР!A467:B1632,2),IF(C1042&gt;0,VLOOKUP(C1042,КФСР!A467:B1979,2),IF(D1042&gt;0,VLOOKUP(D1042,Программа!A$1:B$5100,2),IF(F1042&gt;0,VLOOKUP(F1042,КВР!A$1:B$5001,2),IF(E1042&gt;0,VLOOKUP(E1042,Направление!A$1:B$4830,2))))))</f>
        <v>Организация предоставления транспортных услуг по перевозке пассажиров автомобильным транспортом, транспортом общего пользования</v>
      </c>
      <c r="B1042" s="148"/>
      <c r="C1042" s="149"/>
      <c r="D1042" s="150" t="s">
        <v>865</v>
      </c>
      <c r="E1042" s="149"/>
      <c r="F1042" s="151"/>
      <c r="G1042" s="164">
        <v>22007853</v>
      </c>
      <c r="H1042" s="164">
        <f>H1043+H1045</f>
        <v>21476409</v>
      </c>
      <c r="I1042" s="157">
        <f t="shared" si="22"/>
        <v>43484262</v>
      </c>
    </row>
    <row r="1043" spans="1:9" ht="63" x14ac:dyDescent="0.25">
      <c r="A1043" s="153" t="str">
        <f>IF(B1043&gt;0,VLOOKUP(B1043,КВСР!A468:B1633,2),IF(C1043&gt;0,VLOOKUP(C1043,КФСР!A468:B1980,2),IF(D1043&gt;0,VLOOKUP(D1043,Программа!A$1:B$5100,2),IF(F1043&gt;0,VLOOKUP(F1043,КВР!A$1:B$5001,2),IF(E1043&gt;0,VLOOKUP(E1043,Направление!A$1:B$4830,2))))))</f>
        <v>Субсидия на возмещение затрат по пассажирским перевозкам внутримуниципальным транспортом общего пользования</v>
      </c>
      <c r="B1043" s="148"/>
      <c r="C1043" s="149"/>
      <c r="D1043" s="150"/>
      <c r="E1043" s="149">
        <v>10100</v>
      </c>
      <c r="F1043" s="151"/>
      <c r="G1043" s="164">
        <v>21383300</v>
      </c>
      <c r="H1043" s="164">
        <f>H1044</f>
        <v>20955841</v>
      </c>
      <c r="I1043" s="157">
        <f t="shared" si="22"/>
        <v>42339141</v>
      </c>
    </row>
    <row r="1044" spans="1:9" x14ac:dyDescent="0.25">
      <c r="A1044" s="153" t="str">
        <f>IF(B1044&gt;0,VLOOKUP(B1044,КВСР!A469:B1634,2),IF(C1044&gt;0,VLOOKUP(C1044,КФСР!A469:B1981,2),IF(D1044&gt;0,VLOOKUP(D1044,Программа!A$1:B$5100,2),IF(F1044&gt;0,VLOOKUP(F1044,КВР!A$1:B$5001,2),IF(E1044&gt;0,VLOOKUP(E1044,Направление!A$1:B$4830,2))))))</f>
        <v>Иные бюджетные ассигнования</v>
      </c>
      <c r="B1044" s="148"/>
      <c r="C1044" s="149"/>
      <c r="D1044" s="150"/>
      <c r="E1044" s="149"/>
      <c r="F1044" s="151">
        <v>800</v>
      </c>
      <c r="G1044" s="498">
        <v>21383300</v>
      </c>
      <c r="H1044" s="156">
        <v>20955841</v>
      </c>
      <c r="I1044" s="157">
        <f t="shared" si="22"/>
        <v>42339141</v>
      </c>
    </row>
    <row r="1045" spans="1:9" ht="63" x14ac:dyDescent="0.25">
      <c r="A1045" s="153" t="str">
        <f>IF(B1045&gt;0,VLOOKUP(B1045,КВСР!A470:B1635,2),IF(C1045&gt;0,VLOOKUP(C1045,КФСР!A470:B1982,2),IF(D1045&gt;0,VLOOKUP(D1045,Программа!A$1:B$5100,2),IF(F1045&gt;0,VLOOKUP(F1045,КВР!A$1:B$5001,2),IF(E1045&gt;0,VLOOKUP(E1045,Направление!A$1:B$4830,2))))))</f>
        <v>Обеспечение мероприятий по осуществлению межсезонных пассажирских  перевозок на автомобильном  транспорте</v>
      </c>
      <c r="B1045" s="148"/>
      <c r="C1045" s="149"/>
      <c r="D1045" s="150"/>
      <c r="E1045" s="149">
        <v>29176</v>
      </c>
      <c r="F1045" s="151"/>
      <c r="G1045" s="498">
        <v>624553</v>
      </c>
      <c r="H1045" s="498">
        <f>H1046</f>
        <v>520568</v>
      </c>
      <c r="I1045" s="157">
        <f t="shared" si="22"/>
        <v>1145121</v>
      </c>
    </row>
    <row r="1046" spans="1:9" x14ac:dyDescent="0.25">
      <c r="A1046" s="153" t="str">
        <f>IF(B1046&gt;0,VLOOKUP(B1046,КВСР!A471:B1636,2),IF(C1046&gt;0,VLOOKUP(C1046,КФСР!A471:B1983,2),IF(D1046&gt;0,VLOOKUP(D1046,Программа!A$1:B$5100,2),IF(F1046&gt;0,VLOOKUP(F1046,КВР!A$1:B$5001,2),IF(E1046&gt;0,VLOOKUP(E1046,Направление!A$1:B$4830,2))))))</f>
        <v>Иные бюджетные ассигнования</v>
      </c>
      <c r="B1046" s="148"/>
      <c r="C1046" s="149"/>
      <c r="D1046" s="150"/>
      <c r="E1046" s="149"/>
      <c r="F1046" s="151">
        <v>800</v>
      </c>
      <c r="G1046" s="498">
        <v>624553</v>
      </c>
      <c r="H1046" s="156">
        <v>520568</v>
      </c>
      <c r="I1046" s="157">
        <f t="shared" si="22"/>
        <v>1145121</v>
      </c>
    </row>
    <row r="1047" spans="1:9" ht="47.25" x14ac:dyDescent="0.25">
      <c r="A1047" s="153" t="str">
        <f>IF(B1047&gt;0,VLOOKUP(B1047,КВСР!A472:B1637,2),IF(C1047&gt;0,VLOOKUP(C1047,КФСР!A472:B1984,2),IF(D1047&gt;0,VLOOKUP(D1047,Программа!A$1:B$5100,2),IF(F1047&gt;0,VLOOKUP(F1047,КВР!A$1:B$5001,2),IF(E1047&gt;0,VLOOKUP(E1047,Направление!A$1:B$4830,2))))))</f>
        <v>Организация предоставления транспортных услуг по перевозке пассажиров речным транспортом</v>
      </c>
      <c r="B1047" s="148"/>
      <c r="C1047" s="149"/>
      <c r="D1047" s="150" t="s">
        <v>3294</v>
      </c>
      <c r="E1047" s="149"/>
      <c r="F1047" s="151"/>
      <c r="G1047" s="498">
        <v>5954000</v>
      </c>
      <c r="H1047" s="498">
        <f>H1048</f>
        <v>5954000</v>
      </c>
      <c r="I1047" s="157">
        <f t="shared" si="22"/>
        <v>11908000</v>
      </c>
    </row>
    <row r="1048" spans="1:9" ht="47.25" x14ac:dyDescent="0.25">
      <c r="A1048" s="153" t="str">
        <f>IF(B1048&gt;0,VLOOKUP(B1048,КВСР!A473:B1638,2),IF(C1048&gt;0,VLOOKUP(C1048,КФСР!A473:B1985,2),IF(D1048&gt;0,VLOOKUP(D1048,Программа!A$1:B$5100,2),IF(F1048&gt;0,VLOOKUP(F1048,КВР!A$1:B$5001,2),IF(E1048&gt;0,VLOOKUP(E1048,Направление!A$1:B$4830,2))))))</f>
        <v>Обеспечение мероприятий по осуществлению грузопассажирских  перевозок на речном транспорте</v>
      </c>
      <c r="B1048" s="148"/>
      <c r="C1048" s="149"/>
      <c r="D1048" s="150"/>
      <c r="E1048" s="149">
        <v>29166</v>
      </c>
      <c r="F1048" s="151"/>
      <c r="G1048" s="498">
        <v>5954000</v>
      </c>
      <c r="H1048" s="498">
        <f>H1049</f>
        <v>5954000</v>
      </c>
      <c r="I1048" s="157">
        <f t="shared" si="22"/>
        <v>11908000</v>
      </c>
    </row>
    <row r="1049" spans="1:9" x14ac:dyDescent="0.25">
      <c r="A1049" s="153" t="str">
        <f>IF(B1049&gt;0,VLOOKUP(B1049,КВСР!A474:B1639,2),IF(C1049&gt;0,VLOOKUP(C1049,КФСР!A474:B1986,2),IF(D1049&gt;0,VLOOKUP(D1049,Программа!A$1:B$5100,2),IF(F1049&gt;0,VLOOKUP(F1049,КВР!A$1:B$5001,2),IF(E1049&gt;0,VLOOKUP(E1049,Направление!A$1:B$4830,2))))))</f>
        <v>Иные бюджетные ассигнования</v>
      </c>
      <c r="B1049" s="148"/>
      <c r="C1049" s="149"/>
      <c r="D1049" s="150"/>
      <c r="E1049" s="149"/>
      <c r="F1049" s="151">
        <v>800</v>
      </c>
      <c r="G1049" s="498">
        <v>5954000</v>
      </c>
      <c r="H1049" s="156">
        <v>5954000</v>
      </c>
      <c r="I1049" s="157">
        <f t="shared" si="22"/>
        <v>11908000</v>
      </c>
    </row>
    <row r="1050" spans="1:9" ht="31.5" x14ac:dyDescent="0.25">
      <c r="A1050" s="153" t="str">
        <f>IF(B1050&gt;0,VLOOKUP(B1050,КВСР!A475:B1640,2),IF(C1050&gt;0,VLOOKUP(C1050,КФСР!A475:B1987,2),IF(D1050&gt;0,VLOOKUP(D1050,Программа!A$1:B$5100,2),IF(F1050&gt;0,VLOOKUP(F1050,КВР!A$1:B$5001,2),IF(E1050&gt;0,VLOOKUP(E1050,Направление!A$1:B$4830,2))))))</f>
        <v>Другие вопросы в области национальной экономики</v>
      </c>
      <c r="B1050" s="148"/>
      <c r="C1050" s="149">
        <v>412</v>
      </c>
      <c r="D1050" s="150"/>
      <c r="E1050" s="149"/>
      <c r="F1050" s="151"/>
      <c r="G1050" s="500">
        <v>184576</v>
      </c>
      <c r="H1050" s="155">
        <f>H1051</f>
        <v>184575</v>
      </c>
      <c r="I1050" s="157">
        <f t="shared" si="22"/>
        <v>369151</v>
      </c>
    </row>
    <row r="1051" spans="1:9" x14ac:dyDescent="0.25">
      <c r="A1051" s="153" t="str">
        <f>IF(B1051&gt;0,VLOOKUP(B1051,КВСР!A476:B1641,2),IF(C1051&gt;0,VLOOKUP(C1051,КФСР!A476:B1988,2),IF(D1051&gt;0,VLOOKUP(D1051,Программа!A$1:B$5100,2),IF(F1051&gt;0,VLOOKUP(F1051,КВР!A$1:B$5001,2),IF(E1051&gt;0,VLOOKUP(E1051,Направление!A$1:B$4830,2))))))</f>
        <v>Непрограммные расходы бюджета</v>
      </c>
      <c r="B1051" s="148"/>
      <c r="C1051" s="149"/>
      <c r="D1051" s="150" t="s">
        <v>624</v>
      </c>
      <c r="E1051" s="149"/>
      <c r="F1051" s="151"/>
      <c r="G1051" s="500">
        <v>184576</v>
      </c>
      <c r="H1051" s="155">
        <f>H1052+H1054+H1056</f>
        <v>184575</v>
      </c>
      <c r="I1051" s="157">
        <f t="shared" si="22"/>
        <v>369151</v>
      </c>
    </row>
    <row r="1052" spans="1:9" ht="47.25" x14ac:dyDescent="0.25">
      <c r="A1052" s="153" t="str">
        <f>IF(B1052&gt;0,VLOOKUP(B1052,КВСР!A477:B1642,2),IF(C1052&gt;0,VLOOKUP(C1052,КФСР!A477:B1989,2),IF(D1052&gt;0,VLOOKUP(D1052,Программа!A$1:B$5100,2),IF(F1052&gt;0,VLOOKUP(F1052,КВР!A$1:B$5001,2),IF(E1052&gt;0,VLOOKUP(E1052,Направление!A$1:B$4830,2))))))</f>
        <v>Обеспечение мероприятий по разработке программ транспортной инфраструктуры сельских поселений</v>
      </c>
      <c r="B1052" s="183"/>
      <c r="C1052" s="149"/>
      <c r="D1052" s="149"/>
      <c r="E1052" s="149">
        <v>10530</v>
      </c>
      <c r="F1052" s="687"/>
      <c r="G1052" s="500">
        <v>62689</v>
      </c>
      <c r="H1052" s="155">
        <f>H1053</f>
        <v>62688</v>
      </c>
      <c r="I1052" s="157">
        <f t="shared" si="22"/>
        <v>125377</v>
      </c>
    </row>
    <row r="1053" spans="1:9" ht="63" x14ac:dyDescent="0.25">
      <c r="A1053" s="182" t="str">
        <f>IF(B1053&gt;0,VLOOKUP(B1053,КВСР!A468:B1633,2),IF(C1053&gt;0,VLOOKUP(C1053,КФСР!A468:B1980,2),IF(D1053&gt;0,VLOOKUP(D1053,Программа!A$1:B$5100,2),IF(F1053&gt;0,VLOOKUP(F1053,КВР!A$1:B$5001,2),IF(E1053&gt;0,VLOOKUP(E1053,Направление!A$1:B$4830,2))))))</f>
        <v xml:space="preserve">Закупка товаров, работ и услуг для обеспечения государственных (муниципальных) нужд
</v>
      </c>
      <c r="B1053" s="148"/>
      <c r="C1053" s="149"/>
      <c r="D1053" s="151"/>
      <c r="E1053" s="149"/>
      <c r="F1053" s="151">
        <v>200</v>
      </c>
      <c r="G1053" s="498">
        <v>62689</v>
      </c>
      <c r="H1053" s="156">
        <v>62688</v>
      </c>
      <c r="I1053" s="157">
        <f t="shared" si="22"/>
        <v>125377</v>
      </c>
    </row>
    <row r="1054" spans="1:9" ht="47.25" x14ac:dyDescent="0.25">
      <c r="A1054" s="182" t="str">
        <f>IF(B1054&gt;0,VLOOKUP(B1054,КВСР!A469:B1634,2),IF(C1054&gt;0,VLOOKUP(C1054,КФСР!A469:B1981,2),IF(D1054&gt;0,VLOOKUP(D1054,Программа!A$1:B$5100,2),IF(F1054&gt;0,VLOOKUP(F1054,КВР!A$1:B$5001,2),IF(E1054&gt;0,VLOOKUP(E1054,Направление!A$1:B$4830,2))))))</f>
        <v>Обеспечение мероприятий  по разработке программы транспортной инфраструктуры</v>
      </c>
      <c r="B1054" s="148"/>
      <c r="C1054" s="149"/>
      <c r="D1054" s="151"/>
      <c r="E1054" s="149">
        <v>29626</v>
      </c>
      <c r="F1054" s="151"/>
      <c r="G1054" s="498">
        <v>22987</v>
      </c>
      <c r="H1054" s="498">
        <f>H1055</f>
        <v>22987</v>
      </c>
      <c r="I1054" s="157">
        <f t="shared" si="22"/>
        <v>45974</v>
      </c>
    </row>
    <row r="1055" spans="1:9" ht="63" x14ac:dyDescent="0.25">
      <c r="A1055" s="182" t="str">
        <f>IF(B1055&gt;0,VLOOKUP(B1055,КВСР!A470:B1635,2),IF(C1055&gt;0,VLOOKUP(C1055,КФСР!A470:B1982,2),IF(D1055&gt;0,VLOOKUP(D1055,Программа!A$1:B$5100,2),IF(F1055&gt;0,VLOOKUP(F1055,КВР!A$1:B$5001,2),IF(E1055&gt;0,VLOOKUP(E1055,Направление!A$1:B$4830,2))))))</f>
        <v xml:space="preserve">Закупка товаров, работ и услуг для обеспечения государственных (муниципальных) нужд
</v>
      </c>
      <c r="B1055" s="148"/>
      <c r="C1055" s="149"/>
      <c r="D1055" s="151"/>
      <c r="E1055" s="149"/>
      <c r="F1055" s="151">
        <v>200</v>
      </c>
      <c r="G1055" s="498">
        <v>22987</v>
      </c>
      <c r="H1055" s="156">
        <v>22987</v>
      </c>
      <c r="I1055" s="157">
        <f t="shared" si="22"/>
        <v>45974</v>
      </c>
    </row>
    <row r="1056" spans="1:9" ht="47.25" x14ac:dyDescent="0.25">
      <c r="A1056" s="182" t="str">
        <f>IF(B1056&gt;0,VLOOKUP(B1056,КВСР!A471:B1636,2),IF(C1056&gt;0,VLOOKUP(C1056,КФСР!A471:B1983,2),IF(D1056&gt;0,VLOOKUP(D1056,Программа!A$1:B$5100,2),IF(F1056&gt;0,VLOOKUP(F1056,КВР!A$1:B$5001,2),IF(E1056&gt;0,VLOOKUP(E1056,Направление!A$1:B$4830,2))))))</f>
        <v>Обеспечение мероприятий по разработке программы коммунальной инфраструктуры</v>
      </c>
      <c r="B1056" s="148"/>
      <c r="C1056" s="149"/>
      <c r="D1056" s="151"/>
      <c r="E1056" s="414">
        <v>29716</v>
      </c>
      <c r="F1056" s="151"/>
      <c r="G1056" s="498">
        <v>98900</v>
      </c>
      <c r="H1056" s="498">
        <f>H1057</f>
        <v>98900</v>
      </c>
      <c r="I1056" s="157">
        <f t="shared" si="22"/>
        <v>197800</v>
      </c>
    </row>
    <row r="1057" spans="1:9" ht="63" x14ac:dyDescent="0.25">
      <c r="A1057" s="182" t="str">
        <f>IF(B1057&gt;0,VLOOKUP(B1057,КВСР!A472:B1637,2),IF(C1057&gt;0,VLOOKUP(C1057,КФСР!A472:B1984,2),IF(D1057&gt;0,VLOOKUP(D1057,Программа!A$1:B$5100,2),IF(F1057&gt;0,VLOOKUP(F1057,КВР!A$1:B$5001,2),IF(E1057&gt;0,VLOOKUP(E1057,Направление!A$1:B$4830,2))))))</f>
        <v xml:space="preserve">Закупка товаров, работ и услуг для обеспечения государственных (муниципальных) нужд
</v>
      </c>
      <c r="B1057" s="148"/>
      <c r="C1057" s="149"/>
      <c r="D1057" s="151"/>
      <c r="E1057" s="149"/>
      <c r="F1057" s="151">
        <v>200</v>
      </c>
      <c r="G1057" s="498">
        <v>98900</v>
      </c>
      <c r="H1057" s="156">
        <v>98900</v>
      </c>
      <c r="I1057" s="157">
        <f t="shared" si="22"/>
        <v>197800</v>
      </c>
    </row>
    <row r="1058" spans="1:9" x14ac:dyDescent="0.25">
      <c r="A1058" s="153" t="str">
        <f>IF(B1058&gt;0,VLOOKUP(B1058,КВСР!A475:B1640,2),IF(C1058&gt;0,VLOOKUP(C1058,КФСР!A475:B1987,2),IF(D1058&gt;0,VLOOKUP(D1058,Программа!A$1:B$5100,2),IF(F1058&gt;0,VLOOKUP(F1058,КВР!A$1:B$5001,2),IF(E1058&gt;0,VLOOKUP(E1058,Направление!A$1:B$4830,2))))))</f>
        <v>Жилищное хозяйство</v>
      </c>
      <c r="B1058" s="148"/>
      <c r="C1058" s="149">
        <v>501</v>
      </c>
      <c r="D1058" s="151"/>
      <c r="E1058" s="149"/>
      <c r="F1058" s="151"/>
      <c r="G1058" s="498">
        <v>3514709</v>
      </c>
      <c r="H1058" s="498">
        <f>H1059+H1077</f>
        <v>3260776</v>
      </c>
      <c r="I1058" s="157">
        <f t="shared" si="22"/>
        <v>6775485</v>
      </c>
    </row>
    <row r="1059" spans="1:9" ht="47.25" x14ac:dyDescent="0.25">
      <c r="A1059" s="153" t="str">
        <f>IF(B1059&gt;0,VLOOKUP(B1059,КВСР!A476:B1641,2),IF(C1059&gt;0,VLOOKUP(C1059,КФСР!A476:B1988,2),IF(D1059&gt;0,VLOOKUP(D1059,Программа!A$1:B$5100,2),IF(F1059&gt;0,VLOOKUP(F1059,КВР!A$1:B$5001,2),IF(E1059&gt;0,VLOOKUP(E1059,Направление!A$1:B$4830,2))))))</f>
        <v>Муниципальная программа  "Развитие жилищного хозяйства Тутаевского муниципального района"</v>
      </c>
      <c r="B1059" s="148"/>
      <c r="C1059" s="149"/>
      <c r="D1059" s="150" t="s">
        <v>954</v>
      </c>
      <c r="E1059" s="149"/>
      <c r="F1059" s="151"/>
      <c r="G1059" s="498">
        <v>3492209</v>
      </c>
      <c r="H1059" s="498">
        <f>H1060+H1064</f>
        <v>3245762</v>
      </c>
      <c r="I1059" s="157">
        <f t="shared" si="22"/>
        <v>6737971</v>
      </c>
    </row>
    <row r="1060" spans="1:9" ht="78.75" x14ac:dyDescent="0.25">
      <c r="A1060" s="153" t="str">
        <f>IF(B1060&gt;0,VLOOKUP(B1060,КВСР!A477:B1642,2),IF(C1060&gt;0,VLOOKUP(C1060,КФСР!A477:B1989,2),IF(D1060&gt;0,VLOOKUP(D1060,Программа!A$1:B$5100,2),IF(F1060&gt;0,VLOOKUP(F1060,КВР!A$1:B$5001,2),IF(E1060&gt;0,VLOOKUP(E1060,Направление!A$1:B$4830,2))))))</f>
        <v>Муниципальная целевая программа "Развитие  лифтового хозяйства на территории городского поселения Тутаев Тутаевского муниципального района"</v>
      </c>
      <c r="B1060" s="148"/>
      <c r="C1060" s="149"/>
      <c r="D1060" s="150" t="s">
        <v>957</v>
      </c>
      <c r="E1060" s="149"/>
      <c r="F1060" s="151"/>
      <c r="G1060" s="498">
        <v>1349209</v>
      </c>
      <c r="H1060" s="498">
        <f>H1061</f>
        <v>1349208</v>
      </c>
      <c r="I1060" s="157">
        <f t="shared" si="22"/>
        <v>2698417</v>
      </c>
    </row>
    <row r="1061" spans="1:9" ht="47.25" x14ac:dyDescent="0.25">
      <c r="A1061" s="153" t="str">
        <f>IF(B1061&gt;0,VLOOKUP(B1061,КВСР!A478:B1643,2),IF(C1061&gt;0,VLOOKUP(C1061,КФСР!A478:B1990,2),IF(D1061&gt;0,VLOOKUP(D1061,Программа!A$1:B$5100,2),IF(F1061&gt;0,VLOOKUP(F1061,КВР!A$1:B$5001,2),IF(E1061&gt;0,VLOOKUP(E1061,Направление!A$1:B$4830,2))))))</f>
        <v>Обеспечение мероприятий по восстановлению лифтового хозяйства многоквартирных домов</v>
      </c>
      <c r="B1061" s="148"/>
      <c r="C1061" s="149"/>
      <c r="D1061" s="150" t="s">
        <v>960</v>
      </c>
      <c r="E1061" s="149"/>
      <c r="F1061" s="151"/>
      <c r="G1061" s="498">
        <v>1349209</v>
      </c>
      <c r="H1061" s="498">
        <f>H1062</f>
        <v>1349208</v>
      </c>
      <c r="I1061" s="157">
        <f t="shared" si="22"/>
        <v>2698417</v>
      </c>
    </row>
    <row r="1062" spans="1:9" ht="63" x14ac:dyDescent="0.25">
      <c r="A1062" s="153" t="str">
        <f>IF(B1062&gt;0,VLOOKUP(B1062,КВСР!A479:B1644,2),IF(C1062&gt;0,VLOOKUP(C1062,КФСР!A479:B1991,2),IF(D1062&gt;0,VLOOKUP(D1062,Программа!A$1:B$5100,2),IF(F1062&gt;0,VLOOKUP(F1062,КВР!A$1:B$5001,2),IF(E1062&gt;0,VLOOKUP(E1062,Направление!A$1:B$4830,2))))))</f>
        <v>Обеспечение мероприятий посодержанию,  реконструкции и капитальному ремонту муниципального жилищного фонда</v>
      </c>
      <c r="B1062" s="148"/>
      <c r="C1062" s="149"/>
      <c r="D1062" s="150"/>
      <c r="E1062" s="149">
        <v>29376</v>
      </c>
      <c r="F1062" s="151"/>
      <c r="G1062" s="498">
        <v>1349209</v>
      </c>
      <c r="H1062" s="498">
        <f>H1063</f>
        <v>1349208</v>
      </c>
      <c r="I1062" s="157">
        <f t="shared" si="22"/>
        <v>2698417</v>
      </c>
    </row>
    <row r="1063" spans="1:9" ht="47.25" x14ac:dyDescent="0.25">
      <c r="A1063" s="153" t="str">
        <f>IF(B1063&gt;0,VLOOKUP(B1063,КВСР!A480:B1645,2),IF(C1063&gt;0,VLOOKUP(C1063,КФСР!A480:B1992,2),IF(D1063&gt;0,VLOOKUP(D1063,Программа!A$1:B$5100,2),IF(F1063&gt;0,VLOOKUP(F1063,КВР!A$1:B$5001,2),IF(E1063&gt;0,VLOOKUP(E1063,Направление!A$1:B$4830,2))))))</f>
        <v>Капитальные вложения в объекты государственной (муниципальной) собственности</v>
      </c>
      <c r="B1063" s="148"/>
      <c r="C1063" s="149"/>
      <c r="D1063" s="150"/>
      <c r="E1063" s="149"/>
      <c r="F1063" s="151">
        <v>400</v>
      </c>
      <c r="G1063" s="498">
        <v>1349209</v>
      </c>
      <c r="H1063" s="156">
        <v>1349208</v>
      </c>
      <c r="I1063" s="157">
        <f t="shared" si="22"/>
        <v>2698417</v>
      </c>
    </row>
    <row r="1064" spans="1:9" ht="63" x14ac:dyDescent="0.25">
      <c r="A1064" s="153" t="str">
        <f>IF(B1064&gt;0,VLOOKUP(B1064,КВСР!A481:B1646,2),IF(C1064&gt;0,VLOOKUP(C1064,КФСР!A481:B1993,2),IF(D1064&gt;0,VLOOKUP(D1064,Программа!A$1:B$5100,2),IF(F1064&gt;0,VLOOKUP(F1064,КВР!A$1:B$5001,2),IF(E1064&gt;0,VLOOKUP(E1064,Направление!A$1:B$4830,2))))))</f>
        <v>Муниципальная целевая программа "Ремонт и содержание муниципального жилищного фонда   Тутаевского муниципального района"</v>
      </c>
      <c r="B1064" s="148"/>
      <c r="C1064" s="149"/>
      <c r="D1064" s="150" t="s">
        <v>963</v>
      </c>
      <c r="E1064" s="149"/>
      <c r="F1064" s="151"/>
      <c r="G1064" s="498">
        <v>2143000</v>
      </c>
      <c r="H1064" s="498">
        <f>H1065+H1068+H1071+H1074</f>
        <v>1896554</v>
      </c>
      <c r="I1064" s="157">
        <f t="shared" si="22"/>
        <v>4039554</v>
      </c>
    </row>
    <row r="1065" spans="1:9" ht="47.25" hidden="1" x14ac:dyDescent="0.25">
      <c r="A1065" s="153" t="str">
        <f>IF(B1065&gt;0,VLOOKUP(B1065,КВСР!A482:B1647,2),IF(C1065&gt;0,VLOOKUP(C1065,КФСР!A482:B1994,2),IF(D1065&gt;0,VLOOKUP(D1065,Программа!A$1:B$5100,2),IF(F1065&gt;0,VLOOKUP(F1065,КВР!A$1:B$5001,2),IF(E1065&gt;0,VLOOKUP(E1065,Направление!A$1:B$4830,2))))))</f>
        <v>Обеспечение мероприятий по замене приборов учета в муниципальном жилищном фонде</v>
      </c>
      <c r="B1065" s="148"/>
      <c r="C1065" s="149"/>
      <c r="D1065" s="150" t="s">
        <v>965</v>
      </c>
      <c r="E1065" s="149"/>
      <c r="F1065" s="151"/>
      <c r="G1065" s="498">
        <v>100000</v>
      </c>
      <c r="H1065" s="498">
        <f>H1066</f>
        <v>0</v>
      </c>
      <c r="I1065" s="157">
        <f t="shared" si="22"/>
        <v>100000</v>
      </c>
    </row>
    <row r="1066" spans="1:9" ht="47.25" hidden="1" x14ac:dyDescent="0.25">
      <c r="A1066" s="153" t="str">
        <f>IF(B1066&gt;0,VLOOKUP(B1066,КВСР!A483:B1648,2),IF(C1066&gt;0,VLOOKUP(C1066,КФСР!A483:B1995,2),IF(D1066&gt;0,VLOOKUP(D1066,Программа!A$1:B$5100,2),IF(F1066&gt;0,VLOOKUP(F1066,КВР!A$1:B$5001,2),IF(E1066&gt;0,VLOOKUP(E1066,Направление!A$1:B$4830,2))))))</f>
        <v>Обеспечение мероприятий по установке приборов учета потребляемых ресурсов</v>
      </c>
      <c r="B1066" s="148"/>
      <c r="C1066" s="149"/>
      <c r="D1066" s="150"/>
      <c r="E1066" s="149">
        <v>29306</v>
      </c>
      <c r="F1066" s="151"/>
      <c r="G1066" s="498">
        <v>100000</v>
      </c>
      <c r="H1066" s="498">
        <f>H1067</f>
        <v>0</v>
      </c>
      <c r="I1066" s="157">
        <f t="shared" si="22"/>
        <v>100000</v>
      </c>
    </row>
    <row r="1067" spans="1:9" ht="63" hidden="1" x14ac:dyDescent="0.25">
      <c r="A1067" s="153" t="str">
        <f>IF(B1067&gt;0,VLOOKUP(B1067,КВСР!A484:B1649,2),IF(C1067&gt;0,VLOOKUP(C1067,КФСР!A484:B1996,2),IF(D1067&gt;0,VLOOKUP(D1067,Программа!A$1:B$5100,2),IF(F1067&gt;0,VLOOKUP(F1067,КВР!A$1:B$5001,2),IF(E1067&gt;0,VLOOKUP(E1067,Направление!A$1:B$4830,2))))))</f>
        <v xml:space="preserve">Закупка товаров, работ и услуг для обеспечения государственных (муниципальных) нужд
</v>
      </c>
      <c r="B1067" s="148"/>
      <c r="C1067" s="149"/>
      <c r="D1067" s="150"/>
      <c r="E1067" s="149"/>
      <c r="F1067" s="151">
        <v>200</v>
      </c>
      <c r="G1067" s="498">
        <v>100000</v>
      </c>
      <c r="H1067" s="156"/>
      <c r="I1067" s="157">
        <f t="shared" si="22"/>
        <v>100000</v>
      </c>
    </row>
    <row r="1068" spans="1:9" ht="31.5" x14ac:dyDescent="0.25">
      <c r="A1068" s="153" t="str">
        <f>IF(B1068&gt;0,VLOOKUP(B1068,КВСР!A485:B1650,2),IF(C1068&gt;0,VLOOKUP(C1068,КФСР!A485:B1997,2),IF(D1068&gt;0,VLOOKUP(D1068,Программа!A$1:B$5100,2),IF(F1068&gt;0,VLOOKUP(F1068,КВР!A$1:B$5001,2),IF(E1068&gt;0,VLOOKUP(E1068,Направление!A$1:B$4830,2))))))</f>
        <v>Обеспечение мероприятий по ремонту общедомового имущества</v>
      </c>
      <c r="B1068" s="148"/>
      <c r="C1068" s="149"/>
      <c r="D1068" s="150" t="s">
        <v>968</v>
      </c>
      <c r="E1068" s="149"/>
      <c r="F1068" s="151"/>
      <c r="G1068" s="498">
        <v>1243000</v>
      </c>
      <c r="H1068" s="498">
        <f>H1069</f>
        <v>1372975</v>
      </c>
      <c r="I1068" s="157">
        <f t="shared" si="22"/>
        <v>2615975</v>
      </c>
    </row>
    <row r="1069" spans="1:9" ht="63" x14ac:dyDescent="0.25">
      <c r="A1069" s="153" t="str">
        <f>IF(B1069&gt;0,VLOOKUP(B1069,КВСР!A486:B1651,2),IF(C1069&gt;0,VLOOKUP(C1069,КФСР!A486:B1998,2),IF(D1069&gt;0,VLOOKUP(D1069,Программа!A$1:B$5100,2),IF(F1069&gt;0,VLOOKUP(F1069,КВР!A$1:B$5001,2),IF(E1069&gt;0,VLOOKUP(E1069,Направление!A$1:B$4830,2))))))</f>
        <v>Обеспечение мероприятий посодержанию,  реконструкции и капитальному ремонту муниципального жилищного фонда</v>
      </c>
      <c r="B1069" s="148"/>
      <c r="C1069" s="149"/>
      <c r="D1069" s="150"/>
      <c r="E1069" s="149">
        <v>29376</v>
      </c>
      <c r="F1069" s="151"/>
      <c r="G1069" s="498">
        <v>1243000</v>
      </c>
      <c r="H1069" s="498">
        <f>H1070</f>
        <v>1372975</v>
      </c>
      <c r="I1069" s="157">
        <f t="shared" si="22"/>
        <v>2615975</v>
      </c>
    </row>
    <row r="1070" spans="1:9" ht="63" x14ac:dyDescent="0.25">
      <c r="A1070" s="153" t="str">
        <f>IF(B1070&gt;0,VLOOKUP(B1070,КВСР!A487:B1652,2),IF(C1070&gt;0,VLOOKUP(C1070,КФСР!A487:B1999,2),IF(D1070&gt;0,VLOOKUP(D1070,Программа!A$1:B$5100,2),IF(F1070&gt;0,VLOOKUP(F1070,КВР!A$1:B$5001,2),IF(E1070&gt;0,VLOOKUP(E1070,Направление!A$1:B$4830,2))))))</f>
        <v xml:space="preserve">Закупка товаров, работ и услуг для обеспечения государственных (муниципальных) нужд
</v>
      </c>
      <c r="B1070" s="148"/>
      <c r="C1070" s="149"/>
      <c r="D1070" s="150"/>
      <c r="E1070" s="149"/>
      <c r="F1070" s="151">
        <v>200</v>
      </c>
      <c r="G1070" s="498">
        <v>1243000</v>
      </c>
      <c r="H1070" s="156">
        <v>1372975</v>
      </c>
      <c r="I1070" s="157">
        <f t="shared" si="22"/>
        <v>2615975</v>
      </c>
    </row>
    <row r="1071" spans="1:9" ht="31.5" x14ac:dyDescent="0.25">
      <c r="A1071" s="153" t="str">
        <f>IF(B1071&gt;0,VLOOKUP(B1071,КВСР!A488:B1653,2),IF(C1071&gt;0,VLOOKUP(C1071,КФСР!A488:B2000,2),IF(D1071&gt;0,VLOOKUP(D1071,Программа!A$1:B$5100,2),IF(F1071&gt;0,VLOOKUP(F1071,КВР!A$1:B$5001,2),IF(E1071&gt;0,VLOOKUP(E1071,Направление!A$1:B$4830,2))))))</f>
        <v>Обеспечение мероприятий по ремонту муниципальных квартир</v>
      </c>
      <c r="B1071" s="148"/>
      <c r="C1071" s="149"/>
      <c r="D1071" s="150" t="s">
        <v>969</v>
      </c>
      <c r="E1071" s="149"/>
      <c r="F1071" s="151"/>
      <c r="G1071" s="498">
        <v>623000</v>
      </c>
      <c r="H1071" s="498">
        <f>H1072</f>
        <v>403579</v>
      </c>
      <c r="I1071" s="157">
        <f t="shared" si="22"/>
        <v>1026579</v>
      </c>
    </row>
    <row r="1072" spans="1:9" ht="63" x14ac:dyDescent="0.25">
      <c r="A1072" s="153" t="str">
        <f>IF(B1072&gt;0,VLOOKUP(B1072,КВСР!A489:B1654,2),IF(C1072&gt;0,VLOOKUP(C1072,КФСР!A489:B2001,2),IF(D1072&gt;0,VLOOKUP(D1072,Программа!A$1:B$5100,2),IF(F1072&gt;0,VLOOKUP(F1072,КВР!A$1:B$5001,2),IF(E1072&gt;0,VLOOKUP(E1072,Направление!A$1:B$4830,2))))))</f>
        <v>Обеспечение мероприятий посодержанию,  реконструкции и капитальному ремонту муниципального жилищного фонда</v>
      </c>
      <c r="B1072" s="148"/>
      <c r="C1072" s="149"/>
      <c r="D1072" s="150"/>
      <c r="E1072" s="149">
        <v>29376</v>
      </c>
      <c r="F1072" s="151"/>
      <c r="G1072" s="498">
        <v>623000</v>
      </c>
      <c r="H1072" s="498">
        <f>H1073</f>
        <v>403579</v>
      </c>
      <c r="I1072" s="157">
        <f t="shared" si="22"/>
        <v>1026579</v>
      </c>
    </row>
    <row r="1073" spans="1:9" ht="63" x14ac:dyDescent="0.25">
      <c r="A1073" s="153" t="str">
        <f>IF(B1073&gt;0,VLOOKUP(B1073,КВСР!A490:B1655,2),IF(C1073&gt;0,VLOOKUP(C1073,КФСР!A490:B2002,2),IF(D1073&gt;0,VLOOKUP(D1073,Программа!A$1:B$5100,2),IF(F1073&gt;0,VLOOKUP(F1073,КВР!A$1:B$5001,2),IF(E1073&gt;0,VLOOKUP(E1073,Направление!A$1:B$4830,2))))))</f>
        <v xml:space="preserve">Закупка товаров, работ и услуг для обеспечения государственных (муниципальных) нужд
</v>
      </c>
      <c r="B1073" s="148"/>
      <c r="C1073" s="149"/>
      <c r="D1073" s="150"/>
      <c r="E1073" s="149"/>
      <c r="F1073" s="151">
        <v>200</v>
      </c>
      <c r="G1073" s="498">
        <v>623000</v>
      </c>
      <c r="H1073" s="156">
        <v>403579</v>
      </c>
      <c r="I1073" s="157">
        <f t="shared" si="22"/>
        <v>1026579</v>
      </c>
    </row>
    <row r="1074" spans="1:9" ht="31.5" x14ac:dyDescent="0.25">
      <c r="A1074" s="153" t="str">
        <f>IF(B1074&gt;0,VLOOKUP(B1074,КВСР!A491:B1656,2),IF(C1074&gt;0,VLOOKUP(C1074,КФСР!A491:B2003,2),IF(D1074&gt;0,VLOOKUP(D1074,Программа!A$1:B$5100,2),IF(F1074&gt;0,VLOOKUP(F1074,КВР!A$1:B$5001,2),IF(E1074&gt;0,VLOOKUP(E1074,Направление!A$1:B$4830,2))))))</f>
        <v>Обеспечение мероприятий по обследованию жилых домов</v>
      </c>
      <c r="B1074" s="148"/>
      <c r="C1074" s="149"/>
      <c r="D1074" s="150" t="s">
        <v>3281</v>
      </c>
      <c r="E1074" s="149"/>
      <c r="F1074" s="151"/>
      <c r="G1074" s="498">
        <v>177000</v>
      </c>
      <c r="H1074" s="498">
        <f>H1075</f>
        <v>120000</v>
      </c>
      <c r="I1074" s="157">
        <f t="shared" si="22"/>
        <v>297000</v>
      </c>
    </row>
    <row r="1075" spans="1:9" ht="63" x14ac:dyDescent="0.25">
      <c r="A1075" s="153" t="str">
        <f>IF(B1075&gt;0,VLOOKUP(B1075,КВСР!A492:B1657,2),IF(C1075&gt;0,VLOOKUP(C1075,КФСР!A492:B2004,2),IF(D1075&gt;0,VLOOKUP(D1075,Программа!A$1:B$5100,2),IF(F1075&gt;0,VLOOKUP(F1075,КВР!A$1:B$5001,2),IF(E1075&gt;0,VLOOKUP(E1075,Направление!A$1:B$4830,2))))))</f>
        <v>Обеспечение мероприятий посодержанию,  реконструкции и капитальному ремонту муниципального жилищного фонда</v>
      </c>
      <c r="B1075" s="148"/>
      <c r="C1075" s="149"/>
      <c r="D1075" s="150"/>
      <c r="E1075" s="149">
        <v>29376</v>
      </c>
      <c r="F1075" s="151"/>
      <c r="G1075" s="498">
        <v>177000</v>
      </c>
      <c r="H1075" s="498">
        <f>H1076</f>
        <v>120000</v>
      </c>
      <c r="I1075" s="157">
        <f t="shared" si="22"/>
        <v>297000</v>
      </c>
    </row>
    <row r="1076" spans="1:9" ht="63" x14ac:dyDescent="0.25">
      <c r="A1076" s="153" t="str">
        <f>IF(B1076&gt;0,VLOOKUP(B1076,КВСР!A493:B1658,2),IF(C1076&gt;0,VLOOKUP(C1076,КФСР!A493:B2005,2),IF(D1076&gt;0,VLOOKUP(D1076,Программа!A$1:B$5100,2),IF(F1076&gt;0,VLOOKUP(F1076,КВР!A$1:B$5001,2),IF(E1076&gt;0,VLOOKUP(E1076,Направление!A$1:B$4830,2))))))</f>
        <v xml:space="preserve">Закупка товаров, работ и услуг для обеспечения государственных (муниципальных) нужд
</v>
      </c>
      <c r="B1076" s="148"/>
      <c r="C1076" s="149"/>
      <c r="D1076" s="150"/>
      <c r="E1076" s="149"/>
      <c r="F1076" s="151">
        <v>200</v>
      </c>
      <c r="G1076" s="498">
        <v>177000</v>
      </c>
      <c r="H1076" s="156">
        <v>120000</v>
      </c>
      <c r="I1076" s="157">
        <f t="shared" si="22"/>
        <v>297000</v>
      </c>
    </row>
    <row r="1077" spans="1:9" x14ac:dyDescent="0.25">
      <c r="A1077" s="153" t="str">
        <f>IF(B1077&gt;0,VLOOKUP(B1077,КВСР!A494:B1659,2),IF(C1077&gt;0,VLOOKUP(C1077,КФСР!A494:B2006,2),IF(D1077&gt;0,VLOOKUP(D1077,Программа!A$1:B$5100,2),IF(F1077&gt;0,VLOOKUP(F1077,КВР!A$1:B$5001,2),IF(E1077&gt;0,VLOOKUP(E1077,Направление!A$1:B$4830,2))))))</f>
        <v>Непрограммные расходы бюджета</v>
      </c>
      <c r="B1077" s="148"/>
      <c r="C1077" s="149"/>
      <c r="D1077" s="150" t="s">
        <v>624</v>
      </c>
      <c r="E1077" s="149"/>
      <c r="F1077" s="151"/>
      <c r="G1077" s="498">
        <v>22500</v>
      </c>
      <c r="H1077" s="498">
        <f>H1078</f>
        <v>15014</v>
      </c>
      <c r="I1077" s="498">
        <f>I1078</f>
        <v>37514</v>
      </c>
    </row>
    <row r="1078" spans="1:9" ht="78.75" x14ac:dyDescent="0.25">
      <c r="A1078" s="153" t="str">
        <f>IF(B1078&gt;0,VLOOKUP(B1078,КВСР!A495:B1660,2),IF(C1078&gt;0,VLOOKUP(C1078,КФСР!A495:B2007,2),IF(D1078&gt;0,VLOOKUP(D1078,Программа!A$1:B$5100,2),IF(F1078&gt;0,VLOOKUP(F1078,КВР!A$1:B$5001,2),IF(E1078&gt;0,VLOOKUP(E1078,Направление!A$1:B$4830,2))))))</f>
        <v>Обеспечение мероприятий  по капитальному ремонту лифтов в МКД, в части жилых помещений находящихся в муниципальной собственности</v>
      </c>
      <c r="B1078" s="148"/>
      <c r="C1078" s="149"/>
      <c r="D1078" s="150"/>
      <c r="E1078" s="149">
        <v>29446</v>
      </c>
      <c r="F1078" s="151"/>
      <c r="G1078" s="498">
        <v>22500</v>
      </c>
      <c r="H1078" s="498">
        <f>H1079</f>
        <v>15014</v>
      </c>
      <c r="I1078" s="498">
        <f>I1079</f>
        <v>37514</v>
      </c>
    </row>
    <row r="1079" spans="1:9" ht="63" x14ac:dyDescent="0.25">
      <c r="A1079" s="153" t="str">
        <f>IF(B1079&gt;0,VLOOKUP(B1079,КВСР!A496:B1661,2),IF(C1079&gt;0,VLOOKUP(C1079,КФСР!A496:B2008,2),IF(D1079&gt;0,VLOOKUP(D1079,Программа!A$1:B$5100,2),IF(F1079&gt;0,VLOOKUP(F1079,КВР!A$1:B$5001,2),IF(E1079&gt;0,VLOOKUP(E1079,Направление!A$1:B$4830,2))))))</f>
        <v xml:space="preserve">Закупка товаров, работ и услуг для обеспечения государственных (муниципальных) нужд
</v>
      </c>
      <c r="B1079" s="148"/>
      <c r="C1079" s="149"/>
      <c r="D1079" s="150"/>
      <c r="E1079" s="149"/>
      <c r="F1079" s="151">
        <v>200</v>
      </c>
      <c r="G1079" s="498">
        <v>22500</v>
      </c>
      <c r="H1079" s="156">
        <v>15014</v>
      </c>
      <c r="I1079" s="157">
        <f>SUM(G1079:H1079)</f>
        <v>37514</v>
      </c>
    </row>
    <row r="1080" spans="1:9" x14ac:dyDescent="0.25">
      <c r="A1080" s="153" t="str">
        <f>IF(B1080&gt;0,VLOOKUP(B1080,КВСР!A472:B1637,2),IF(C1080&gt;0,VLOOKUP(C1080,КФСР!A472:B1984,2),IF(D1080&gt;0,VLOOKUP(D1080,Программа!A$1:B$5100,2),IF(F1080&gt;0,VLOOKUP(F1080,КВР!A$1:B$5001,2),IF(E1080&gt;0,VLOOKUP(E1080,Направление!A$1:B$4830,2))))))</f>
        <v>Коммунальное хозяйство</v>
      </c>
      <c r="B1080" s="148"/>
      <c r="C1080" s="149">
        <v>502</v>
      </c>
      <c r="D1080" s="150"/>
      <c r="E1080" s="149"/>
      <c r="F1080" s="151"/>
      <c r="G1080" s="500">
        <v>34950952.530000001</v>
      </c>
      <c r="H1080" s="155">
        <f>H1081+H1128+H1132</f>
        <v>34549480</v>
      </c>
      <c r="I1080" s="157">
        <f t="shared" si="22"/>
        <v>69500432.530000001</v>
      </c>
    </row>
    <row r="1081" spans="1:9" ht="63" x14ac:dyDescent="0.25">
      <c r="A1081" s="153" t="str">
        <f>IF(B1081&gt;0,VLOOKUP(B1081,КВСР!A473:B1638,2),IF(C1081&gt;0,VLOOKUP(C1081,КФСР!A473:B1985,2),IF(D1081&gt;0,VLOOKUP(D1081,Программа!A$1:B$5100,2),IF(F1081&gt;0,VLOOKUP(F1081,КВР!A$1:B$5001,2),IF(E1081&gt;0,VLOOKUP(E1081,Направление!A$1:B$4830,2))))))</f>
        <v>Муниципальная программа "Обеспечение качественными коммунальными услугами населения Тутаевского муниципального района"</v>
      </c>
      <c r="B1081" s="148"/>
      <c r="C1081" s="149"/>
      <c r="D1081" s="150" t="s">
        <v>849</v>
      </c>
      <c r="E1081" s="149"/>
      <c r="F1081" s="151"/>
      <c r="G1081" s="500">
        <v>26393098.530000001</v>
      </c>
      <c r="H1081" s="155">
        <f>H1082+H1088+H1099+H1106</f>
        <v>25864095</v>
      </c>
      <c r="I1081" s="157">
        <f t="shared" si="22"/>
        <v>52257193.530000001</v>
      </c>
    </row>
    <row r="1082" spans="1:9" ht="94.5" x14ac:dyDescent="0.25">
      <c r="A1082" s="153" t="str">
        <f>IF(B1082&gt;0,VLOOKUP(B1082,КВСР!A474:B1639,2),IF(C1082&gt;0,VLOOKUP(C1082,КФСР!A474:B1986,2),IF(D1082&gt;0,VLOOKUP(D1082,Программа!A$1:B$5100,2),IF(F1082&gt;0,VLOOKUP(F1082,КВР!A$1:B$5001,2),IF(E1082&gt;0,VLOOKUP(E1082,Направление!A$1:B$4830,2))))))</f>
        <v>Муниципальная целевая программа "Обеспечение надежного теплоснабжения жилищного фонда и учреждений  бюджетной сферы" на территории Тутаевского муниципального района</v>
      </c>
      <c r="B1082" s="148"/>
      <c r="C1082" s="149"/>
      <c r="D1082" s="150" t="s">
        <v>851</v>
      </c>
      <c r="E1082" s="149"/>
      <c r="F1082" s="151"/>
      <c r="G1082" s="500">
        <v>11331753</v>
      </c>
      <c r="H1082" s="155">
        <f>H1083</f>
        <v>11331479</v>
      </c>
      <c r="I1082" s="157">
        <f t="shared" si="22"/>
        <v>22663232</v>
      </c>
    </row>
    <row r="1083" spans="1:9" ht="94.5" x14ac:dyDescent="0.25">
      <c r="A1083" s="153" t="str">
        <f>IF(B1083&gt;0,VLOOKUP(B1083,КВСР!A475:B1640,2),IF(C1083&gt;0,VLOOKUP(C1083,КФСР!A475:B1987,2),IF(D1083&gt;0,VLOOKUP(D1083,Программа!A$1:B$5100,2),IF(F1083&gt;0,VLOOKUP(F1083,КВР!A$1:B$5001,2),IF(E1083&gt;0,VLOOKUP(E1083,Направление!A$1:B$4830,2))))))</f>
        <v>Создание финансовых механизмом, обеспечивающих надежную, качественную и бесперебойную работу  теплоснабжающих предприятий, созданных с участием Администрации Тутаевского мунимципального района</v>
      </c>
      <c r="B1083" s="148"/>
      <c r="C1083" s="149"/>
      <c r="D1083" s="150" t="s">
        <v>878</v>
      </c>
      <c r="E1083" s="149"/>
      <c r="F1083" s="151"/>
      <c r="G1083" s="500">
        <v>11331753</v>
      </c>
      <c r="H1083" s="155">
        <f>H1084+H1086</f>
        <v>11331479</v>
      </c>
      <c r="I1083" s="157">
        <f t="shared" si="22"/>
        <v>22663232</v>
      </c>
    </row>
    <row r="1084" spans="1:9" ht="47.25" x14ac:dyDescent="0.25">
      <c r="A1084" s="153" t="str">
        <f>IF(B1084&gt;0,VLOOKUP(B1084,КВСР!A475:B1640,2),IF(C1084&gt;0,VLOOKUP(C1084,КФСР!A475:B1987,2),IF(D1084&gt;0,VLOOKUP(D1084,Программа!A$1:B$5100,2),IF(F1084&gt;0,VLOOKUP(F1084,КВР!A$1:B$5001,2),IF(E1084&gt;0,VLOOKUP(E1084,Направление!A$1:B$4830,2))))))</f>
        <v>Субсидия на выполнение ОМС Тутаевского МР полномочий по организации теплоснабжения</v>
      </c>
      <c r="B1084" s="148"/>
      <c r="C1084" s="149"/>
      <c r="D1084" s="150"/>
      <c r="E1084" s="149">
        <v>10880</v>
      </c>
      <c r="F1084" s="151"/>
      <c r="G1084" s="500">
        <v>7487000</v>
      </c>
      <c r="H1084" s="155">
        <f>H1085</f>
        <v>7486726</v>
      </c>
      <c r="I1084" s="157">
        <f t="shared" si="22"/>
        <v>14973726</v>
      </c>
    </row>
    <row r="1085" spans="1:9" x14ac:dyDescent="0.25">
      <c r="A1085" s="153" t="str">
        <f>IF(B1085&gt;0,VLOOKUP(B1085,КВСР!A476:B1641,2),IF(C1085&gt;0,VLOOKUP(C1085,КФСР!A476:B1988,2),IF(D1085&gt;0,VLOOKUP(D1085,Программа!A$1:B$5100,2),IF(F1085&gt;0,VLOOKUP(F1085,КВР!A$1:B$5001,2),IF(E1085&gt;0,VLOOKUP(E1085,Направление!A$1:B$4830,2))))))</f>
        <v>Иные бюджетные ассигнования</v>
      </c>
      <c r="B1085" s="148"/>
      <c r="C1085" s="149"/>
      <c r="D1085" s="151"/>
      <c r="E1085" s="149"/>
      <c r="F1085" s="151">
        <v>800</v>
      </c>
      <c r="G1085" s="498">
        <v>7487000</v>
      </c>
      <c r="H1085" s="156">
        <v>7486726</v>
      </c>
      <c r="I1085" s="157">
        <f t="shared" si="22"/>
        <v>14973726</v>
      </c>
    </row>
    <row r="1086" spans="1:9" ht="47.25" x14ac:dyDescent="0.25">
      <c r="A1086" s="153" t="str">
        <f>IF(B1086&gt;0,VLOOKUP(B1086,КВСР!A477:B1642,2),IF(C1086&gt;0,VLOOKUP(C1086,КФСР!A477:B1989,2),IF(D1086&gt;0,VLOOKUP(D1086,Программа!A$1:B$5100,2),IF(F1086&gt;0,VLOOKUP(F1086,КВР!A$1:B$5001,2),IF(E1086&gt;0,VLOOKUP(E1086,Направление!A$1:B$4830,2))))))</f>
        <v>Обеспечение надежного теплоснабжения жилищного фонда городского поселения Тутаев</v>
      </c>
      <c r="B1086" s="148"/>
      <c r="C1086" s="149"/>
      <c r="D1086" s="151"/>
      <c r="E1086" s="149">
        <v>29706</v>
      </c>
      <c r="F1086" s="151"/>
      <c r="G1086" s="498">
        <v>3844753</v>
      </c>
      <c r="H1086" s="498">
        <f>H1087</f>
        <v>3844753</v>
      </c>
      <c r="I1086" s="157">
        <f>SUM(G1086:H1086)</f>
        <v>7689506</v>
      </c>
    </row>
    <row r="1087" spans="1:9" x14ac:dyDescent="0.25">
      <c r="A1087" s="153" t="str">
        <f>IF(B1087&gt;0,VLOOKUP(B1087,КВСР!A478:B1643,2),IF(C1087&gt;0,VLOOKUP(C1087,КФСР!A478:B1990,2),IF(D1087&gt;0,VLOOKUP(D1087,Программа!A$1:B$5100,2),IF(F1087&gt;0,VLOOKUP(F1087,КВР!A$1:B$5001,2),IF(E1087&gt;0,VLOOKUP(E1087,Направление!A$1:B$4830,2))))))</f>
        <v>Иные бюджетные ассигнования</v>
      </c>
      <c r="B1087" s="148"/>
      <c r="C1087" s="149"/>
      <c r="D1087" s="151"/>
      <c r="E1087" s="149"/>
      <c r="F1087" s="151">
        <v>800</v>
      </c>
      <c r="G1087" s="498">
        <v>3844753</v>
      </c>
      <c r="H1087" s="156">
        <v>3844753</v>
      </c>
      <c r="I1087" s="157">
        <f>SUM(G1087:H1087)</f>
        <v>7689506</v>
      </c>
    </row>
    <row r="1088" spans="1:9" ht="78.75" x14ac:dyDescent="0.25">
      <c r="A1088" s="153" t="str">
        <f>IF(B1088&gt;0,VLOOKUP(B1088,КВСР!A479:B1644,2),IF(C1088&gt;0,VLOOKUP(C1088,КФСР!A479:B1991,2),IF(D1088&gt;0,VLOOKUP(D1088,Программа!A$1:B$5100,2),IF(F1088&gt;0,VLOOKUP(F1088,КВР!A$1:B$5001,2),IF(E1088&gt;0,VLOOKUP(E1088,Направление!A$1:B$4830,2))))))</f>
        <v xml:space="preserve">Муниципальная целевая   программа «Комплексная программа модернизации и реформирования жилищно-коммунального хозяйства Тутаевского муниципального района» </v>
      </c>
      <c r="B1088" s="148"/>
      <c r="C1088" s="149"/>
      <c r="D1088" s="150" t="s">
        <v>881</v>
      </c>
      <c r="E1088" s="149"/>
      <c r="F1088" s="151"/>
      <c r="G1088" s="164">
        <v>7972099</v>
      </c>
      <c r="H1088" s="164">
        <f>H1089</f>
        <v>7899072</v>
      </c>
      <c r="I1088" s="157">
        <f t="shared" si="22"/>
        <v>15871171</v>
      </c>
    </row>
    <row r="1089" spans="1:9" ht="78.75" x14ac:dyDescent="0.25">
      <c r="A1089" s="153" t="str">
        <f>IF(B1089&gt;0,VLOOKUP(B1089,КВСР!A480:B1645,2),IF(C1089&gt;0,VLOOKUP(C1089,КФСР!A480:B1992,2),IF(D1089&gt;0,VLOOKUP(D1089,Программа!A$1:B$5100,2),IF(F1089&gt;0,VLOOKUP(F1089,КВР!A$1:B$5001,2),IF(E1089&gt;0,VLOOKUP(E1089,Направление!A$1:B$4830,2))))))</f>
        <v>Повышение уровня газификации жилищного фонда населенных пунктов, путем строительства  межпоселковых газопроводов и распределительных газовых сетей</v>
      </c>
      <c r="B1089" s="148"/>
      <c r="C1089" s="149"/>
      <c r="D1089" s="150" t="s">
        <v>925</v>
      </c>
      <c r="E1089" s="149"/>
      <c r="F1089" s="151"/>
      <c r="G1089" s="164">
        <v>7972099</v>
      </c>
      <c r="H1089" s="164">
        <f>H1090+H1093+H1095+H1097</f>
        <v>7899072</v>
      </c>
      <c r="I1089" s="157">
        <f t="shared" si="22"/>
        <v>15871171</v>
      </c>
    </row>
    <row r="1090" spans="1:9" ht="47.25" x14ac:dyDescent="0.25">
      <c r="A1090" s="153" t="str">
        <f>IF(B1090&gt;0,VLOOKUP(B1090,КВСР!A480:B1645,2),IF(C1090&gt;0,VLOOKUP(C1090,КФСР!A480:B1992,2),IF(D1090&gt;0,VLOOKUP(D1090,Программа!A$1:B$5100,2),IF(F1090&gt;0,VLOOKUP(F1090,КВР!A$1:B$5001,2),IF(E1090&gt;0,VLOOKUP(E1090,Направление!A$1:B$4830,2))))))</f>
        <v>Бюджетные инвестиции в объекты капитального строительства муниципальной собственности</v>
      </c>
      <c r="B1090" s="148"/>
      <c r="C1090" s="149"/>
      <c r="D1090" s="151"/>
      <c r="E1090" s="149">
        <v>10010</v>
      </c>
      <c r="F1090" s="151"/>
      <c r="G1090" s="164">
        <v>2401500</v>
      </c>
      <c r="H1090" s="164">
        <f>SUM(H1091:H1092)</f>
        <v>2331550</v>
      </c>
      <c r="I1090" s="157">
        <f t="shared" si="22"/>
        <v>4733050</v>
      </c>
    </row>
    <row r="1091" spans="1:9" ht="63" x14ac:dyDescent="0.25">
      <c r="A1091" s="153" t="str">
        <f>IF(B1091&gt;0,VLOOKUP(B1091,КВСР!A481:B1646,2),IF(C1091&gt;0,VLOOKUP(C1091,КФСР!A481:B1993,2),IF(D1091&gt;0,VLOOKUP(D1091,Программа!A$1:B$5100,2),IF(F1091&gt;0,VLOOKUP(F1091,КВР!A$1:B$5001,2),IF(E1091&gt;0,VLOOKUP(E1091,Направление!A$1:B$4830,2))))))</f>
        <v xml:space="preserve">Закупка товаров, работ и услуг для обеспечения государственных (муниципальных) нужд
</v>
      </c>
      <c r="B1091" s="148"/>
      <c r="C1091" s="149"/>
      <c r="D1091" s="151"/>
      <c r="E1091" s="149"/>
      <c r="F1091" s="151">
        <v>200</v>
      </c>
      <c r="G1091" s="164">
        <v>78500</v>
      </c>
      <c r="H1091" s="499">
        <v>78460</v>
      </c>
      <c r="I1091" s="157">
        <f>SUM(G1091:H1091)</f>
        <v>156960</v>
      </c>
    </row>
    <row r="1092" spans="1:9" ht="47.25" x14ac:dyDescent="0.25">
      <c r="A1092" s="153" t="str">
        <f>IF(B1092&gt;0,VLOOKUP(B1092,КВСР!A481:B1646,2),IF(C1092&gt;0,VLOOKUP(C1092,КФСР!A481:B1993,2),IF(D1092&gt;0,VLOOKUP(D1092,Программа!A$1:B$5100,2),IF(F1092&gt;0,VLOOKUP(F1092,КВР!A$1:B$5001,2),IF(E1092&gt;0,VLOOKUP(E1092,Направление!A$1:B$4830,2))))))</f>
        <v>Капитальные вложения в объекты государственной (муниципальной) собственности</v>
      </c>
      <c r="B1092" s="148"/>
      <c r="C1092" s="149"/>
      <c r="D1092" s="151"/>
      <c r="E1092" s="149"/>
      <c r="F1092" s="151">
        <v>400</v>
      </c>
      <c r="G1092" s="498">
        <v>2323000</v>
      </c>
      <c r="H1092" s="156">
        <v>2253090</v>
      </c>
      <c r="I1092" s="157">
        <f t="shared" si="22"/>
        <v>4576090</v>
      </c>
    </row>
    <row r="1093" spans="1:9" ht="31.5" x14ac:dyDescent="0.25">
      <c r="A1093" s="153" t="str">
        <f>IF(B1093&gt;0,VLOOKUP(B1093,КВСР!A482:B1647,2),IF(C1093&gt;0,VLOOKUP(C1093,КФСР!A482:B1994,2),IF(D1093&gt;0,VLOOKUP(D1093,Программа!A$1:B$5100,2),IF(F1093&gt;0,VLOOKUP(F1093,КВР!A$1:B$5001,2),IF(E1093&gt;0,VLOOKUP(E1093,Направление!A$1:B$4830,2))))))</f>
        <v xml:space="preserve">Строительство и реконструкция  объектов  газификации </v>
      </c>
      <c r="B1093" s="148"/>
      <c r="C1093" s="149"/>
      <c r="D1093" s="151"/>
      <c r="E1093" s="149">
        <v>29066</v>
      </c>
      <c r="F1093" s="151"/>
      <c r="G1093" s="498">
        <v>1117700</v>
      </c>
      <c r="H1093" s="498">
        <f>H1094</f>
        <v>1114623</v>
      </c>
      <c r="I1093" s="157">
        <f t="shared" si="22"/>
        <v>2232323</v>
      </c>
    </row>
    <row r="1094" spans="1:9" ht="63" x14ac:dyDescent="0.25">
      <c r="A1094" s="153" t="str">
        <f>IF(B1094&gt;0,VLOOKUP(B1094,КВСР!A483:B1648,2),IF(C1094&gt;0,VLOOKUP(C1094,КФСР!A483:B1995,2),IF(D1094&gt;0,VLOOKUP(D1094,Программа!A$1:B$5100,2),IF(F1094&gt;0,VLOOKUP(F1094,КВР!A$1:B$5001,2),IF(E1094&gt;0,VLOOKUP(E1094,Направление!A$1:B$4830,2))))))</f>
        <v xml:space="preserve">Закупка товаров, работ и услуг для обеспечения государственных (муниципальных) нужд
</v>
      </c>
      <c r="B1094" s="148"/>
      <c r="C1094" s="149"/>
      <c r="D1094" s="151"/>
      <c r="E1094" s="149"/>
      <c r="F1094" s="151">
        <v>200</v>
      </c>
      <c r="G1094" s="498">
        <v>1117700</v>
      </c>
      <c r="H1094" s="156">
        <v>1114623</v>
      </c>
      <c r="I1094" s="157">
        <f t="shared" ref="I1094:I1167" si="23">SUM(G1094:H1094)</f>
        <v>2232323</v>
      </c>
    </row>
    <row r="1095" spans="1:9" ht="47.25" x14ac:dyDescent="0.25">
      <c r="A1095" s="153" t="str">
        <f>IF(B1095&gt;0,VLOOKUP(B1095,КВСР!A484:B1649,2),IF(C1095&gt;0,VLOOKUP(C1095,КФСР!A484:B1996,2),IF(D1095&gt;0,VLOOKUP(D1095,Программа!A$1:B$5100,2),IF(F1095&gt;0,VLOOKUP(F1095,КВР!A$1:B$5001,2),IF(E1095&gt;0,VLOOKUP(E1095,Направление!A$1:B$4830,2))))))</f>
        <v>Субсидия на мероприятия по строительству межпоселеченских газопроводов</v>
      </c>
      <c r="B1095" s="148"/>
      <c r="C1095" s="149"/>
      <c r="D1095" s="151"/>
      <c r="E1095" s="149">
        <v>75260</v>
      </c>
      <c r="F1095" s="151"/>
      <c r="G1095" s="498">
        <v>4452899</v>
      </c>
      <c r="H1095" s="498">
        <f>H1096</f>
        <v>4452899</v>
      </c>
      <c r="I1095" s="157">
        <f t="shared" si="23"/>
        <v>8905798</v>
      </c>
    </row>
    <row r="1096" spans="1:9" ht="47.25" x14ac:dyDescent="0.25">
      <c r="A1096" s="153" t="str">
        <f>IF(B1096&gt;0,VLOOKUP(B1096,КВСР!A485:B1650,2),IF(C1096&gt;0,VLOOKUP(C1096,КФСР!A485:B1997,2),IF(D1096&gt;0,VLOOKUP(D1096,Программа!A$1:B$5100,2),IF(F1096&gt;0,VLOOKUP(F1096,КВР!A$1:B$5001,2),IF(E1096&gt;0,VLOOKUP(E1096,Направление!A$1:B$4830,2))))))</f>
        <v>Капитальные вложения в объекты государственной (муниципальной) собственности</v>
      </c>
      <c r="B1096" s="148"/>
      <c r="C1096" s="149"/>
      <c r="D1096" s="151"/>
      <c r="E1096" s="149"/>
      <c r="F1096" s="151">
        <v>400</v>
      </c>
      <c r="G1096" s="498">
        <v>4452899</v>
      </c>
      <c r="H1096" s="156">
        <v>4452899</v>
      </c>
      <c r="I1096" s="157">
        <f t="shared" si="23"/>
        <v>8905798</v>
      </c>
    </row>
    <row r="1097" spans="1:9" ht="47.25" hidden="1" x14ac:dyDescent="0.25">
      <c r="A1097" s="153" t="str">
        <f>IF(B1097&gt;0,VLOOKUP(B1097,КВСР!A486:B1651,2),IF(C1097&gt;0,VLOOKUP(C1097,КФСР!A486:B1998,2),IF(D1097&gt;0,VLOOKUP(D1097,Программа!A$1:B$5100,2),IF(F1097&gt;0,VLOOKUP(F1097,КВР!A$1:B$5001,2),IF(E1097&gt;0,VLOOKUP(E1097,Направление!A$1:B$4830,2))))))</f>
        <v>Бюджетные инвестиции на строительство межпоселенческих газопроводов</v>
      </c>
      <c r="B1097" s="148"/>
      <c r="C1097" s="149"/>
      <c r="D1097" s="151"/>
      <c r="E1097" s="149">
        <v>15260</v>
      </c>
      <c r="F1097" s="151"/>
      <c r="G1097" s="498">
        <v>0</v>
      </c>
      <c r="H1097" s="498">
        <f>H1098</f>
        <v>0</v>
      </c>
      <c r="I1097" s="157">
        <f t="shared" si="23"/>
        <v>0</v>
      </c>
    </row>
    <row r="1098" spans="1:9" ht="47.25" hidden="1" x14ac:dyDescent="0.25">
      <c r="A1098" s="153" t="str">
        <f>IF(B1098&gt;0,VLOOKUP(B1098,КВСР!A485:B1650,2),IF(C1098&gt;0,VLOOKUP(C1098,КФСР!A485:B1997,2),IF(D1098&gt;0,VLOOKUP(D1098,Программа!A$1:B$5100,2),IF(F1098&gt;0,VLOOKUP(F1098,КВР!A$1:B$5001,2),IF(E1098&gt;0,VLOOKUP(E1098,Направление!A$1:B$4830,2))))))</f>
        <v>Капитальные вложения в объекты государственной (муниципальной) собственности</v>
      </c>
      <c r="B1098" s="148"/>
      <c r="C1098" s="149"/>
      <c r="D1098" s="151"/>
      <c r="E1098" s="149"/>
      <c r="F1098" s="151">
        <v>400</v>
      </c>
      <c r="G1098" s="498">
        <v>0</v>
      </c>
      <c r="H1098" s="156"/>
      <c r="I1098" s="157">
        <f t="shared" si="23"/>
        <v>0</v>
      </c>
    </row>
    <row r="1099" spans="1:9" ht="78.75" x14ac:dyDescent="0.25">
      <c r="A1099" s="153" t="str">
        <f>IF(B1099&gt;0,VLOOKUP(B1099,КВСР!A482:B1647,2),IF(C1099&gt;0,VLOOKUP(C1099,КФСР!A482:B1994,2),IF(D1099&gt;0,VLOOKUP(D1099,Программа!A$1:B$5100,2),IF(F1099&gt;0,VLOOKUP(F1099,КВР!A$1:B$5001,2),IF(E1099&gt;0,VLOOKUP(E1099,Направление!A$1:B$4830,2))))))</f>
        <v xml:space="preserve">Муниципальная целевая   программа «Развитие водоснабжения, водоотведения и очистки сточных вод» на территории Тутаевского муниципального района </v>
      </c>
      <c r="B1099" s="148"/>
      <c r="C1099" s="149"/>
      <c r="D1099" s="150" t="s">
        <v>885</v>
      </c>
      <c r="E1099" s="149"/>
      <c r="F1099" s="151"/>
      <c r="G1099" s="164">
        <v>3055000</v>
      </c>
      <c r="H1099" s="164">
        <f>H1100</f>
        <v>2615298</v>
      </c>
      <c r="I1099" s="157">
        <f t="shared" si="23"/>
        <v>5670298</v>
      </c>
    </row>
    <row r="1100" spans="1:9" ht="78.75" x14ac:dyDescent="0.25">
      <c r="A1100" s="153" t="str">
        <f>IF(B1100&gt;0,VLOOKUP(B1100,КВСР!A483:B1648,2),IF(C1100&gt;0,VLOOKUP(C1100,КФСР!A483:B1995,2),IF(D1100&gt;0,VLOOKUP(D1100,Программа!A$1:B$5100,2),IF(F1100&gt;0,VLOOKUP(F1100,КВР!A$1:B$5001,2),IF(E1100&gt;0,VLOOKUP(E1100,Направление!A$1:B$4830,2))))))</f>
        <v>Гарантированное обеспечение населения питьевой водой, очистки сточных вод, охраны источников питьевого водоснабжения от загрязнения</v>
      </c>
      <c r="B1100" s="148"/>
      <c r="C1100" s="149"/>
      <c r="D1100" s="150" t="s">
        <v>886</v>
      </c>
      <c r="E1100" s="149"/>
      <c r="F1100" s="151"/>
      <c r="G1100" s="164">
        <v>3055000</v>
      </c>
      <c r="H1100" s="164">
        <f>H1101+H1104</f>
        <v>2615298</v>
      </c>
      <c r="I1100" s="157">
        <f t="shared" si="23"/>
        <v>5670298</v>
      </c>
    </row>
    <row r="1101" spans="1:9" ht="47.25" x14ac:dyDescent="0.25">
      <c r="A1101" s="153" t="str">
        <f>IF(B1101&gt;0,VLOOKUP(B1101,КВСР!A483:B1648,2),IF(C1101&gt;0,VLOOKUP(C1101,КФСР!A483:B1995,2),IF(D1101&gt;0,VLOOKUP(D1101,Программа!A$1:B$5100,2),IF(F1101&gt;0,VLOOKUP(F1101,КВР!A$1:B$5001,2),IF(E1101&gt;0,VLOOKUP(E1101,Направление!A$1:B$4830,2))))))</f>
        <v>Бюджетные инвестиции в объекты капитального строительства муниципальной собственности</v>
      </c>
      <c r="B1101" s="148"/>
      <c r="C1101" s="149"/>
      <c r="D1101" s="150"/>
      <c r="E1101" s="149">
        <v>10010</v>
      </c>
      <c r="F1101" s="151"/>
      <c r="G1101" s="164">
        <v>1555000</v>
      </c>
      <c r="H1101" s="164">
        <f>H1103+H1102</f>
        <v>1523060</v>
      </c>
      <c r="I1101" s="157">
        <f t="shared" si="23"/>
        <v>3078060</v>
      </c>
    </row>
    <row r="1102" spans="1:9" ht="47.25" x14ac:dyDescent="0.25">
      <c r="A1102" s="153" t="str">
        <f>IF(B1102&gt;0,VLOOKUP(B1102,КВСР!A484:B1649,2),IF(C1102&gt;0,VLOOKUP(C1102,КФСР!A484:B1996,2),IF(D1102&gt;0,VLOOKUP(D1102,Программа!A$1:B$5100,2),IF(F1102&gt;0,VLOOKUP(F1102,КВР!A$1:B$5001,2),IF(E1102&gt;0,VLOOKUP(E1102,Направление!A$1:B$4830,2))))))</f>
        <v>Капитальные вложения в объекты государственной (муниципальной) собственности</v>
      </c>
      <c r="B1102" s="148"/>
      <c r="C1102" s="149"/>
      <c r="D1102" s="150"/>
      <c r="E1102" s="149"/>
      <c r="F1102" s="151">
        <v>400</v>
      </c>
      <c r="G1102" s="164">
        <v>355000</v>
      </c>
      <c r="H1102" s="499">
        <v>354949</v>
      </c>
      <c r="I1102" s="157">
        <f t="shared" si="23"/>
        <v>709949</v>
      </c>
    </row>
    <row r="1103" spans="1:9" x14ac:dyDescent="0.25">
      <c r="A1103" s="153" t="str">
        <f>IF(B1103&gt;0,VLOOKUP(B1103,КВСР!A484:B1649,2),IF(C1103&gt;0,VLOOKUP(C1103,КФСР!A484:B1996,2),IF(D1103&gt;0,VLOOKUP(D1103,Программа!A$1:B$5100,2),IF(F1103&gt;0,VLOOKUP(F1103,КВР!A$1:B$5001,2),IF(E1103&gt;0,VLOOKUP(E1103,Направление!A$1:B$4830,2))))))</f>
        <v xml:space="preserve"> Межбюджетные трансферты</v>
      </c>
      <c r="B1103" s="148"/>
      <c r="C1103" s="149"/>
      <c r="D1103" s="150"/>
      <c r="E1103" s="149"/>
      <c r="F1103" s="151">
        <v>500</v>
      </c>
      <c r="G1103" s="498">
        <v>1200000</v>
      </c>
      <c r="H1103" s="156">
        <v>1168111</v>
      </c>
      <c r="I1103" s="157">
        <f t="shared" si="23"/>
        <v>2368111</v>
      </c>
    </row>
    <row r="1104" spans="1:9" ht="63" x14ac:dyDescent="0.25">
      <c r="A1104" s="153" t="str">
        <f>IF(B1104&gt;0,VLOOKUP(B1104,КВСР!A485:B1650,2),IF(C1104&gt;0,VLOOKUP(C1104,КФСР!A485:B1997,2),IF(D1104&gt;0,VLOOKUP(D1104,Программа!A$1:B$5100,2),IF(F1104&gt;0,VLOOKUP(F1104,КВР!A$1:B$5001,2),IF(E1104&gt;0,VLOOKUP(E1104,Направление!A$1:B$4830,2))))))</f>
        <v xml:space="preserve">Обеспечение мероприятий по строительству,  реконструкции и ремонту  объектов водоснабжения и водоотведения </v>
      </c>
      <c r="B1104" s="148"/>
      <c r="C1104" s="149"/>
      <c r="D1104" s="150"/>
      <c r="E1104" s="149">
        <v>29046</v>
      </c>
      <c r="F1104" s="151"/>
      <c r="G1104" s="498">
        <v>1500000</v>
      </c>
      <c r="H1104" s="498">
        <f>H1105</f>
        <v>1092238</v>
      </c>
      <c r="I1104" s="157">
        <f t="shared" si="23"/>
        <v>2592238</v>
      </c>
    </row>
    <row r="1105" spans="1:9" ht="47.25" x14ac:dyDescent="0.25">
      <c r="A1105" s="153" t="str">
        <f>IF(B1105&gt;0,VLOOKUP(B1105,КВСР!A486:B1651,2),IF(C1105&gt;0,VLOOKUP(C1105,КФСР!A486:B1998,2),IF(D1105&gt;0,VLOOKUP(D1105,Программа!A$1:B$5100,2),IF(F1105&gt;0,VLOOKUP(F1105,КВР!A$1:B$5001,2),IF(E1105&gt;0,VLOOKUP(E1105,Направление!A$1:B$4830,2))))))</f>
        <v>Капитальные вложения в объекты государственной (муниципальной) собственности</v>
      </c>
      <c r="B1105" s="148"/>
      <c r="C1105" s="149"/>
      <c r="D1105" s="150"/>
      <c r="E1105" s="149"/>
      <c r="F1105" s="151">
        <v>400</v>
      </c>
      <c r="G1105" s="498">
        <v>1500000</v>
      </c>
      <c r="H1105" s="156">
        <v>1092238</v>
      </c>
      <c r="I1105" s="157">
        <f t="shared" si="23"/>
        <v>2592238</v>
      </c>
    </row>
    <row r="1106" spans="1:9" ht="78.75" x14ac:dyDescent="0.25">
      <c r="A1106" s="153" t="str">
        <f>IF(B1106&gt;0,VLOOKUP(B1106,КВСР!A485:B1650,2),IF(C1106&gt;0,VLOOKUP(C1106,КФСР!A485:B1997,2),IF(D1106&gt;0,VLOOKUP(D1106,Программа!A$1:B$5100,2),IF(F1106&gt;0,VLOOKUP(F1106,КВР!A$1:B$5001,2),IF(E1106&gt;0,VLOOKUP(E1106,Направление!A$1:B$4830,2))))))</f>
        <v>Муниципальная целевая программа "Подготовка объектов коммунального хозяйства Тутаевского муниципального района к работе в осенне-зимних условиях"</v>
      </c>
      <c r="B1106" s="148"/>
      <c r="C1106" s="149"/>
      <c r="D1106" s="150" t="s">
        <v>888</v>
      </c>
      <c r="E1106" s="149"/>
      <c r="F1106" s="151"/>
      <c r="G1106" s="164">
        <v>4034246.5300000003</v>
      </c>
      <c r="H1106" s="164">
        <f>H1107+H1116+H1125</f>
        <v>4018246</v>
      </c>
      <c r="I1106" s="157">
        <f t="shared" si="23"/>
        <v>8052492.5300000003</v>
      </c>
    </row>
    <row r="1107" spans="1:9" ht="47.25" x14ac:dyDescent="0.25">
      <c r="A1107" s="153" t="str">
        <f>IF(B1107&gt;0,VLOOKUP(B1107,КВСР!A486:B1651,2),IF(C1107&gt;0,VLOOKUP(C1107,КФСР!A486:B1998,2),IF(D1107&gt;0,VLOOKUP(D1107,Программа!A$1:B$5100,2),IF(F1107&gt;0,VLOOKUP(F1107,КВР!A$1:B$5001,2),IF(E1107&gt;0,VLOOKUP(E1107,Направление!A$1:B$4830,2))))))</f>
        <v>Проведение комплекса работ по ремонту, замене и реконструкции объектов теплоснабжения</v>
      </c>
      <c r="B1107" s="148"/>
      <c r="C1107" s="149"/>
      <c r="D1107" s="150" t="s">
        <v>890</v>
      </c>
      <c r="E1107" s="149"/>
      <c r="F1107" s="151"/>
      <c r="G1107" s="164">
        <v>4016358.5300000003</v>
      </c>
      <c r="H1107" s="164">
        <f>H1108+H1111+H1114</f>
        <v>4016358</v>
      </c>
      <c r="I1107" s="157">
        <f t="shared" si="23"/>
        <v>8032716.5300000003</v>
      </c>
    </row>
    <row r="1108" spans="1:9" ht="63" x14ac:dyDescent="0.25">
      <c r="A1108" s="153" t="str">
        <f>IF(B1108&gt;0,VLOOKUP(B1108,КВСР!A487:B1652,2),IF(C1108&gt;0,VLOOKUP(C1108,КФСР!A487:B1999,2),IF(D1108&gt;0,VLOOKUP(D1108,Программа!A$1:B$5100,2),IF(F1108&gt;0,VLOOKUP(F1108,КВР!A$1:B$5001,2),IF(E1108&gt;0,VLOOKUP(E1108,Направление!A$1:B$4830,2))))))</f>
        <v>Субсидия на возмещение затрат по содержанию и ремонту  объектов находящихся в муниципальной собственности</v>
      </c>
      <c r="B1108" s="148"/>
      <c r="C1108" s="149"/>
      <c r="D1108" s="150"/>
      <c r="E1108" s="149">
        <v>10030</v>
      </c>
      <c r="F1108" s="151"/>
      <c r="G1108" s="164">
        <v>1777939</v>
      </c>
      <c r="H1108" s="164">
        <f>SUM(H1109:H1110)</f>
        <v>1777939</v>
      </c>
      <c r="I1108" s="157">
        <f t="shared" si="23"/>
        <v>3555878</v>
      </c>
    </row>
    <row r="1109" spans="1:9" ht="63" x14ac:dyDescent="0.25">
      <c r="A1109" s="153" t="str">
        <f>IF(B1109&gt;0,VLOOKUP(B1109,КВСР!A488:B1653,2),IF(C1109&gt;0,VLOOKUP(C1109,КФСР!A488:B2000,2),IF(D1109&gt;0,VLOOKUP(D1109,Программа!A$1:B$5100,2),IF(F1109&gt;0,VLOOKUP(F1109,КВР!A$1:B$5001,2),IF(E1109&gt;0,VLOOKUP(E1109,Направление!A$1:B$4830,2))))))</f>
        <v xml:space="preserve">Закупка товаров, работ и услуг для обеспечения государственных (муниципальных) нужд
</v>
      </c>
      <c r="B1109" s="148"/>
      <c r="C1109" s="149"/>
      <c r="D1109" s="150"/>
      <c r="E1109" s="149"/>
      <c r="F1109" s="151">
        <v>200</v>
      </c>
      <c r="G1109" s="498">
        <v>83626</v>
      </c>
      <c r="H1109" s="156">
        <v>83626</v>
      </c>
      <c r="I1109" s="157">
        <f t="shared" si="23"/>
        <v>167252</v>
      </c>
    </row>
    <row r="1110" spans="1:9" x14ac:dyDescent="0.25">
      <c r="A1110" s="153" t="str">
        <f>IF(B1110&gt;0,VLOOKUP(B1110,КВСР!A489:B1654,2),IF(C1110&gt;0,VLOOKUP(C1110,КФСР!A489:B2001,2),IF(D1110&gt;0,VLOOKUP(D1110,Программа!A$1:B$5100,2),IF(F1110&gt;0,VLOOKUP(F1110,КВР!A$1:B$5001,2),IF(E1110&gt;0,VLOOKUP(E1110,Направление!A$1:B$4830,2))))))</f>
        <v>Иные бюджетные ассигнования</v>
      </c>
      <c r="B1110" s="148"/>
      <c r="C1110" s="149"/>
      <c r="D1110" s="150"/>
      <c r="E1110" s="149"/>
      <c r="F1110" s="151">
        <v>800</v>
      </c>
      <c r="G1110" s="498">
        <v>1694313</v>
      </c>
      <c r="H1110" s="156">
        <v>1694313</v>
      </c>
      <c r="I1110" s="157">
        <f>SUM(G1110:H1110)</f>
        <v>3388626</v>
      </c>
    </row>
    <row r="1111" spans="1:9" ht="47.25" x14ac:dyDescent="0.25">
      <c r="A1111" s="153" t="str">
        <f>IF(B1111&gt;0,VLOOKUP(B1111,КВСР!A485:B1650,2),IF(C1111&gt;0,VLOOKUP(C1111,КФСР!A485:B1997,2),IF(D1111&gt;0,VLOOKUP(D1111,Программа!A$1:B$5100,2),IF(F1111&gt;0,VLOOKUP(F1111,КВР!A$1:B$5001,2),IF(E1111&gt;0,VLOOKUP(E1111,Направление!A$1:B$4830,2))))))</f>
        <v>Субсидия на возмещение затрат по содержанию и  ремонту муниципальных коммунальных сетей</v>
      </c>
      <c r="B1111" s="148"/>
      <c r="C1111" s="149"/>
      <c r="D1111" s="150"/>
      <c r="E1111" s="149">
        <v>10040</v>
      </c>
      <c r="F1111" s="151"/>
      <c r="G1111" s="164">
        <v>1376025.53</v>
      </c>
      <c r="H1111" s="164">
        <f>SUM(H1112:H1113)</f>
        <v>1376025</v>
      </c>
      <c r="I1111" s="157">
        <f t="shared" si="23"/>
        <v>2752050.5300000003</v>
      </c>
    </row>
    <row r="1112" spans="1:9" ht="63" hidden="1" x14ac:dyDescent="0.25">
      <c r="A1112" s="153" t="str">
        <f>IF(B1112&gt;0,VLOOKUP(B1112,КВСР!A486:B1651,2),IF(C1112&gt;0,VLOOKUP(C1112,КФСР!A486:B1998,2),IF(D1112&gt;0,VLOOKUP(D1112,Программа!A$1:B$5100,2),IF(F1112&gt;0,VLOOKUP(F1112,КВР!A$1:B$5001,2),IF(E1112&gt;0,VLOOKUP(E1112,Направление!A$1:B$4830,2))))))</f>
        <v xml:space="preserve">Закупка товаров, работ и услуг для обеспечения государственных (муниципальных) нужд
</v>
      </c>
      <c r="B1112" s="148"/>
      <c r="C1112" s="149"/>
      <c r="D1112" s="150"/>
      <c r="E1112" s="149"/>
      <c r="F1112" s="151">
        <v>200</v>
      </c>
      <c r="G1112" s="498">
        <v>0</v>
      </c>
      <c r="H1112" s="156"/>
      <c r="I1112" s="157">
        <f t="shared" si="23"/>
        <v>0</v>
      </c>
    </row>
    <row r="1113" spans="1:9" x14ac:dyDescent="0.25">
      <c r="A1113" s="153" t="str">
        <f>IF(B1113&gt;0,VLOOKUP(B1113,КВСР!A487:B1652,2),IF(C1113&gt;0,VLOOKUP(C1113,КФСР!A487:B1999,2),IF(D1113&gt;0,VLOOKUP(D1113,Программа!A$1:B$5100,2),IF(F1113&gt;0,VLOOKUP(F1113,КВР!A$1:B$5001,2),IF(E1113&gt;0,VLOOKUP(E1113,Направление!A$1:B$4830,2))))))</f>
        <v>Иные бюджетные ассигнования</v>
      </c>
      <c r="B1113" s="148"/>
      <c r="C1113" s="149"/>
      <c r="D1113" s="150"/>
      <c r="E1113" s="149"/>
      <c r="F1113" s="151">
        <v>800</v>
      </c>
      <c r="G1113" s="498">
        <v>1376025.53</v>
      </c>
      <c r="H1113" s="156">
        <v>1376025</v>
      </c>
      <c r="I1113" s="157">
        <f t="shared" si="23"/>
        <v>2752050.5300000003</v>
      </c>
    </row>
    <row r="1114" spans="1:9" ht="47.25" x14ac:dyDescent="0.25">
      <c r="A1114" s="153" t="str">
        <f>IF(B1114&gt;0,VLOOKUP(B1114,КВСР!A488:B1653,2),IF(C1114&gt;0,VLOOKUP(C1114,КФСР!A488:B2000,2),IF(D1114&gt;0,VLOOKUP(D1114,Программа!A$1:B$5100,2),IF(F1114&gt;0,VLOOKUP(F1114,КВР!A$1:B$5001,2),IF(E1114&gt;0,VLOOKUP(E1114,Направление!A$1:B$4830,2))))))</f>
        <v xml:space="preserve">Обеспечение мероприятий по строительству и реконструкции объектов теплоснабжения </v>
      </c>
      <c r="B1114" s="148"/>
      <c r="C1114" s="149"/>
      <c r="D1114" s="150"/>
      <c r="E1114" s="149">
        <v>29056</v>
      </c>
      <c r="F1114" s="151"/>
      <c r="G1114" s="498">
        <v>862394</v>
      </c>
      <c r="H1114" s="498">
        <f>H1115</f>
        <v>862394</v>
      </c>
      <c r="I1114" s="157">
        <f>SUM(G1114:H1114)</f>
        <v>1724788</v>
      </c>
    </row>
    <row r="1115" spans="1:9" x14ac:dyDescent="0.25">
      <c r="A1115" s="153" t="str">
        <f>IF(B1115&gt;0,VLOOKUP(B1115,КВСР!A489:B1654,2),IF(C1115&gt;0,VLOOKUP(C1115,КФСР!A489:B2001,2),IF(D1115&gt;0,VLOOKUP(D1115,Программа!A$1:B$5100,2),IF(F1115&gt;0,VLOOKUP(F1115,КВР!A$1:B$5001,2),IF(E1115&gt;0,VLOOKUP(E1115,Направление!A$1:B$4830,2))))))</f>
        <v>Иные бюджетные ассигнования</v>
      </c>
      <c r="B1115" s="148"/>
      <c r="C1115" s="149"/>
      <c r="D1115" s="150"/>
      <c r="E1115" s="149"/>
      <c r="F1115" s="151">
        <v>800</v>
      </c>
      <c r="G1115" s="498">
        <v>862394</v>
      </c>
      <c r="H1115" s="156">
        <v>862394</v>
      </c>
      <c r="I1115" s="157">
        <f>SUM(G1115:H1115)</f>
        <v>1724788</v>
      </c>
    </row>
    <row r="1116" spans="1:9" ht="63" hidden="1" x14ac:dyDescent="0.25">
      <c r="A1116" s="153" t="str">
        <f>IF(B1116&gt;0,VLOOKUP(B1116,КВСР!A477:B1642,2),IF(C1116&gt;0,VLOOKUP(C1116,КФСР!A477:B1989,2),IF(D1116&gt;0,VLOOKUP(D1116,Программа!A$1:B$5100,2),IF(F1116&gt;0,VLOOKUP(F1116,КВР!A$1:B$5001,2),IF(E1116&gt;0,VLOOKUP(E1116,Направление!A$1:B$4830,2))))))</f>
        <v>Проведение комплекса работ по ремонту, замене и реконструкции объектов водоснабжения, водоотведения и очистки сточных вод</v>
      </c>
      <c r="B1116" s="148"/>
      <c r="C1116" s="149"/>
      <c r="D1116" s="150" t="s">
        <v>893</v>
      </c>
      <c r="E1116" s="149"/>
      <c r="F1116" s="151"/>
      <c r="G1116" s="164">
        <v>16000</v>
      </c>
      <c r="H1116" s="164">
        <f>H1117+H1119+H1122</f>
        <v>0</v>
      </c>
      <c r="I1116" s="157">
        <f t="shared" si="23"/>
        <v>16000</v>
      </c>
    </row>
    <row r="1117" spans="1:9" ht="63" hidden="1" x14ac:dyDescent="0.25">
      <c r="A1117" s="153" t="str">
        <f>IF(B1117&gt;0,VLOOKUP(B1117,КВСР!A478:B1643,2),IF(C1117&gt;0,VLOOKUP(C1117,КФСР!A478:B1990,2),IF(D1117&gt;0,VLOOKUP(D1117,Программа!A$1:B$5100,2),IF(F1117&gt;0,VLOOKUP(F1117,КВР!A$1:B$5001,2),IF(E1117&gt;0,VLOOKUP(E1117,Направление!A$1:B$4830,2))))))</f>
        <v>Субсидия на возмещение затрат по содержанию и ремонту  объектов находящихся в муниципальной собственности</v>
      </c>
      <c r="B1117" s="148"/>
      <c r="C1117" s="149"/>
      <c r="D1117" s="150"/>
      <c r="E1117" s="149">
        <v>10030</v>
      </c>
      <c r="F1117" s="151"/>
      <c r="G1117" s="164">
        <v>0</v>
      </c>
      <c r="H1117" s="164">
        <f>H1118</f>
        <v>0</v>
      </c>
      <c r="I1117" s="157">
        <f t="shared" si="23"/>
        <v>0</v>
      </c>
    </row>
    <row r="1118" spans="1:9" ht="63" hidden="1" x14ac:dyDescent="0.25">
      <c r="A1118" s="153" t="str">
        <f>IF(B1118&gt;0,VLOOKUP(B1118,КВСР!A479:B1644,2),IF(C1118&gt;0,VLOOKUP(C1118,КФСР!A479:B1991,2),IF(D1118&gt;0,VLOOKUP(D1118,Программа!A$1:B$5100,2),IF(F1118&gt;0,VLOOKUP(F1118,КВР!A$1:B$5001,2),IF(E1118&gt;0,VLOOKUP(E1118,Направление!A$1:B$4830,2))))))</f>
        <v xml:space="preserve">Закупка товаров, работ и услуг для обеспечения государственных (муниципальных) нужд
</v>
      </c>
      <c r="B1118" s="148"/>
      <c r="C1118" s="149"/>
      <c r="D1118" s="150"/>
      <c r="E1118" s="149"/>
      <c r="F1118" s="151">
        <v>200</v>
      </c>
      <c r="G1118" s="498">
        <v>0</v>
      </c>
      <c r="H1118" s="156"/>
      <c r="I1118" s="157">
        <f t="shared" si="23"/>
        <v>0</v>
      </c>
    </row>
    <row r="1119" spans="1:9" ht="47.25" hidden="1" x14ac:dyDescent="0.25">
      <c r="A1119" s="153" t="str">
        <f>IF(B1119&gt;0,VLOOKUP(B1119,КВСР!A480:B1645,2),IF(C1119&gt;0,VLOOKUP(C1119,КФСР!A480:B1992,2),IF(D1119&gt;0,VLOOKUP(D1119,Программа!A$1:B$5100,2),IF(F1119&gt;0,VLOOKUP(F1119,КВР!A$1:B$5001,2),IF(E1119&gt;0,VLOOKUP(E1119,Направление!A$1:B$4830,2))))))</f>
        <v>Субсидия на возмещение затрат по содержанию и  ремонту муниципальных коммунальных сетей</v>
      </c>
      <c r="B1119" s="148"/>
      <c r="C1119" s="149"/>
      <c r="D1119" s="150"/>
      <c r="E1119" s="149">
        <v>10040</v>
      </c>
      <c r="F1119" s="151"/>
      <c r="G1119" s="164">
        <v>0</v>
      </c>
      <c r="H1119" s="164">
        <f>SUM(H1120:H1121)</f>
        <v>0</v>
      </c>
      <c r="I1119" s="157">
        <f t="shared" si="23"/>
        <v>0</v>
      </c>
    </row>
    <row r="1120" spans="1:9" ht="63" hidden="1" x14ac:dyDescent="0.25">
      <c r="A1120" s="153" t="str">
        <f>IF(B1120&gt;0,VLOOKUP(B1120,КВСР!A481:B1646,2),IF(C1120&gt;0,VLOOKUP(C1120,КФСР!A481:B1993,2),IF(D1120&gt;0,VLOOKUP(D1120,Программа!A$1:B$5100,2),IF(F1120&gt;0,VLOOKUP(F1120,КВР!A$1:B$5001,2),IF(E1120&gt;0,VLOOKUP(E1120,Направление!A$1:B$4830,2))))))</f>
        <v xml:space="preserve">Закупка товаров, работ и услуг для обеспечения государственных (муниципальных) нужд
</v>
      </c>
      <c r="B1120" s="148"/>
      <c r="C1120" s="149"/>
      <c r="D1120" s="150"/>
      <c r="E1120" s="149"/>
      <c r="F1120" s="151">
        <v>200</v>
      </c>
      <c r="G1120" s="498">
        <v>0</v>
      </c>
      <c r="H1120" s="156"/>
      <c r="I1120" s="157">
        <f t="shared" si="23"/>
        <v>0</v>
      </c>
    </row>
    <row r="1121" spans="1:9" hidden="1" x14ac:dyDescent="0.25">
      <c r="A1121" s="153" t="str">
        <f>IF(B1121&gt;0,VLOOKUP(B1121,КВСР!A482:B1647,2),IF(C1121&gt;0,VLOOKUP(C1121,КФСР!A482:B1994,2),IF(D1121&gt;0,VLOOKUP(D1121,Программа!A$1:B$5100,2),IF(F1121&gt;0,VLOOKUP(F1121,КВР!A$1:B$5001,2),IF(E1121&gt;0,VLOOKUP(E1121,Направление!A$1:B$4830,2))))))</f>
        <v>Иные бюджетные ассигнования</v>
      </c>
      <c r="B1121" s="148"/>
      <c r="C1121" s="149"/>
      <c r="D1121" s="150"/>
      <c r="E1121" s="149"/>
      <c r="F1121" s="151">
        <v>800</v>
      </c>
      <c r="G1121" s="498">
        <v>0</v>
      </c>
      <c r="H1121" s="156"/>
      <c r="I1121" s="157">
        <f>SUM(G1121:H1121)</f>
        <v>0</v>
      </c>
    </row>
    <row r="1122" spans="1:9" ht="31.5" hidden="1" x14ac:dyDescent="0.25">
      <c r="A1122" s="153" t="str">
        <f>IF(B1122&gt;0,VLOOKUP(B1122,КВСР!A478:B1643,2),IF(C1122&gt;0,VLOOKUP(C1122,КФСР!A478:B1990,2),IF(D1122&gt;0,VLOOKUP(D1122,Программа!A$1:B$5100,2),IF(F1122&gt;0,VLOOKUP(F1122,КВР!A$1:B$5001,2),IF(E1122&gt;0,VLOOKUP(E1122,Направление!A$1:B$4830,2))))))</f>
        <v>Содержание и ремонт бесхозяйных стационарных объектов и сетей</v>
      </c>
      <c r="B1122" s="148"/>
      <c r="C1122" s="149"/>
      <c r="D1122" s="150"/>
      <c r="E1122" s="149">
        <v>10080</v>
      </c>
      <c r="F1122" s="151"/>
      <c r="G1122" s="164">
        <v>16000</v>
      </c>
      <c r="H1122" s="164">
        <f>SUM(H1123:H1124)</f>
        <v>0</v>
      </c>
      <c r="I1122" s="157">
        <f t="shared" si="23"/>
        <v>16000</v>
      </c>
    </row>
    <row r="1123" spans="1:9" ht="63" hidden="1" x14ac:dyDescent="0.25">
      <c r="A1123" s="153" t="str">
        <f>IF(B1123&gt;0,VLOOKUP(B1123,КВСР!A479:B1644,2),IF(C1123&gt;0,VLOOKUP(C1123,КФСР!A479:B1991,2),IF(D1123&gt;0,VLOOKUP(D1123,Программа!A$1:B$5100,2),IF(F1123&gt;0,VLOOKUP(F1123,КВР!A$1:B$5001,2),IF(E1123&gt;0,VLOOKUP(E1123,Направление!A$1:B$4830,2))))))</f>
        <v xml:space="preserve">Закупка товаров, работ и услуг для обеспечения государственных (муниципальных) нужд
</v>
      </c>
      <c r="B1123" s="148"/>
      <c r="C1123" s="149"/>
      <c r="D1123" s="150"/>
      <c r="E1123" s="149"/>
      <c r="F1123" s="151">
        <v>200</v>
      </c>
      <c r="G1123" s="498">
        <v>0</v>
      </c>
      <c r="H1123" s="156"/>
      <c r="I1123" s="157">
        <f t="shared" si="23"/>
        <v>0</v>
      </c>
    </row>
    <row r="1124" spans="1:9" hidden="1" x14ac:dyDescent="0.25">
      <c r="A1124" s="153" t="str">
        <f>IF(B1124&gt;0,VLOOKUP(B1124,КВСР!A480:B1645,2),IF(C1124&gt;0,VLOOKUP(C1124,КФСР!A480:B1992,2),IF(D1124&gt;0,VLOOKUP(D1124,Программа!A$1:B$5100,2),IF(F1124&gt;0,VLOOKUP(F1124,КВР!A$1:B$5001,2),IF(E1124&gt;0,VLOOKUP(E1124,Направление!A$1:B$4830,2))))))</f>
        <v>Иные бюджетные ассигнования</v>
      </c>
      <c r="B1124" s="148"/>
      <c r="C1124" s="149"/>
      <c r="D1124" s="150"/>
      <c r="E1124" s="149"/>
      <c r="F1124" s="151">
        <v>800</v>
      </c>
      <c r="G1124" s="498">
        <v>16000</v>
      </c>
      <c r="H1124" s="156"/>
      <c r="I1124" s="157">
        <f>SUM(G1124:H1124)</f>
        <v>16000</v>
      </c>
    </row>
    <row r="1125" spans="1:9" ht="47.25" x14ac:dyDescent="0.25">
      <c r="A1125" s="153" t="str">
        <f>IF(B1125&gt;0,VLOOKUP(B1125,КВСР!A477:B1642,2),IF(C1125&gt;0,VLOOKUP(C1125,КФСР!A477:B1989,2),IF(D1125&gt;0,VLOOKUP(D1125,Программа!A$1:B$5100,2),IF(F1125&gt;0,VLOOKUP(F1125,КВР!A$1:B$5001,2),IF(E1125&gt;0,VLOOKUP(E1125,Направление!A$1:B$4830,2))))))</f>
        <v>Проведение комплекса работ по ремонту, замене и реконструкции объектов газоснабжения</v>
      </c>
      <c r="B1125" s="148"/>
      <c r="C1125" s="149"/>
      <c r="D1125" s="150" t="s">
        <v>895</v>
      </c>
      <c r="E1125" s="149"/>
      <c r="F1125" s="151"/>
      <c r="G1125" s="164">
        <v>1888</v>
      </c>
      <c r="H1125" s="164">
        <f>H1126</f>
        <v>1888</v>
      </c>
      <c r="I1125" s="157">
        <f t="shared" si="23"/>
        <v>3776</v>
      </c>
    </row>
    <row r="1126" spans="1:9" ht="63" x14ac:dyDescent="0.25">
      <c r="A1126" s="153" t="str">
        <f>IF(B1126&gt;0,VLOOKUP(B1126,КВСР!A478:B1643,2),IF(C1126&gt;0,VLOOKUP(C1126,КФСР!A478:B1990,2),IF(D1126&gt;0,VLOOKUP(D1126,Программа!A$1:B$5100,2),IF(F1126&gt;0,VLOOKUP(F1126,КВР!A$1:B$5001,2),IF(E1126&gt;0,VLOOKUP(E1126,Направление!A$1:B$4830,2))))))</f>
        <v>Субсидия на возмещение затрат по содержанию и ремонту  объектов находящихся в муниципальной собственности</v>
      </c>
      <c r="B1126" s="148"/>
      <c r="C1126" s="149"/>
      <c r="D1126" s="150"/>
      <c r="E1126" s="149">
        <v>10030</v>
      </c>
      <c r="F1126" s="151"/>
      <c r="G1126" s="164">
        <v>1888</v>
      </c>
      <c r="H1126" s="164">
        <f>H1127</f>
        <v>1888</v>
      </c>
      <c r="I1126" s="157">
        <f t="shared" si="23"/>
        <v>3776</v>
      </c>
    </row>
    <row r="1127" spans="1:9" ht="63" x14ac:dyDescent="0.25">
      <c r="A1127" s="153" t="str">
        <f>IF(B1127&gt;0,VLOOKUP(B1127,КВСР!A479:B1644,2),IF(C1127&gt;0,VLOOKUP(C1127,КФСР!A479:B1991,2),IF(D1127&gt;0,VLOOKUP(D1127,Программа!A$1:B$5100,2),IF(F1127&gt;0,VLOOKUP(F1127,КВР!A$1:B$5001,2),IF(E1127&gt;0,VLOOKUP(E1127,Направление!A$1:B$4830,2))))))</f>
        <v xml:space="preserve">Закупка товаров, работ и услуг для обеспечения государственных (муниципальных) нужд
</v>
      </c>
      <c r="B1127" s="148"/>
      <c r="C1127" s="149"/>
      <c r="D1127" s="150"/>
      <c r="E1127" s="149"/>
      <c r="F1127" s="151">
        <v>200</v>
      </c>
      <c r="G1127" s="498">
        <v>1888</v>
      </c>
      <c r="H1127" s="156">
        <v>1888</v>
      </c>
      <c r="I1127" s="157">
        <f t="shared" si="23"/>
        <v>3776</v>
      </c>
    </row>
    <row r="1128" spans="1:9" ht="63" x14ac:dyDescent="0.25">
      <c r="A1128" s="153" t="str">
        <f>IF(B1128&gt;0,VLOOKUP(B1128,КВСР!A480:B1645,2),IF(C1128&gt;0,VLOOKUP(C1128,КФСР!A480:B1992,2),IF(D1128&gt;0,VLOOKUP(D1128,Программа!A$1:B$5100,2),IF(F1128&gt;0,VLOOKUP(F1128,КВР!A$1:B$5001,2),IF(E1128&gt;0,VLOOKUP(E1128,Направление!A$1:B$4830,2))))))</f>
        <v>Муниципальная программа "Обеспечение населения Тутаевского муниципального района банными услугами"</v>
      </c>
      <c r="B1128" s="148"/>
      <c r="C1128" s="149"/>
      <c r="D1128" s="150" t="s">
        <v>986</v>
      </c>
      <c r="E1128" s="149"/>
      <c r="F1128" s="151"/>
      <c r="G1128" s="498">
        <v>5350000</v>
      </c>
      <c r="H1128" s="498">
        <f>H1129</f>
        <v>5232088</v>
      </c>
      <c r="I1128" s="157">
        <f t="shared" si="23"/>
        <v>10582088</v>
      </c>
    </row>
    <row r="1129" spans="1:9" ht="47.25" x14ac:dyDescent="0.25">
      <c r="A1129" s="153" t="str">
        <f>IF(B1129&gt;0,VLOOKUP(B1129,КВСР!A481:B1646,2),IF(C1129&gt;0,VLOOKUP(C1129,КФСР!A481:B1993,2),IF(D1129&gt;0,VLOOKUP(D1129,Программа!A$1:B$5100,2),IF(F1129&gt;0,VLOOKUP(F1129,КВР!A$1:B$5001,2),IF(E1129&gt;0,VLOOKUP(E1129,Направление!A$1:B$4830,2))))))</f>
        <v>Обеспечение населения Тутаевского муниципального района банными услугами</v>
      </c>
      <c r="B1129" s="148"/>
      <c r="C1129" s="149"/>
      <c r="D1129" s="150" t="s">
        <v>988</v>
      </c>
      <c r="E1129" s="149"/>
      <c r="F1129" s="151"/>
      <c r="G1129" s="498">
        <v>5350000</v>
      </c>
      <c r="H1129" s="498">
        <f>H1130</f>
        <v>5232088</v>
      </c>
      <c r="I1129" s="157">
        <f t="shared" si="23"/>
        <v>10582088</v>
      </c>
    </row>
    <row r="1130" spans="1:9" ht="63" x14ac:dyDescent="0.25">
      <c r="A1130" s="153" t="str">
        <f>IF(B1130&gt;0,VLOOKUP(B1130,КВСР!A482:B1647,2),IF(C1130&gt;0,VLOOKUP(C1130,КФСР!A482:B1994,2),IF(D1130&gt;0,VLOOKUP(D1130,Программа!A$1:B$5100,2),IF(F1130&gt;0,VLOOKUP(F1130,КВР!A$1:B$5001,2),IF(E1130&gt;0,VLOOKUP(E1130,Направление!A$1:B$4830,2))))))</f>
        <v>Субсидия на обеспечение мероприятий по организации населению услуг бань  в общих отделениях</v>
      </c>
      <c r="B1130" s="148"/>
      <c r="C1130" s="149"/>
      <c r="D1130" s="150"/>
      <c r="E1130" s="149">
        <v>29206</v>
      </c>
      <c r="F1130" s="151"/>
      <c r="G1130" s="498">
        <v>5350000</v>
      </c>
      <c r="H1130" s="498">
        <f>H1131</f>
        <v>5232088</v>
      </c>
      <c r="I1130" s="157">
        <f t="shared" si="23"/>
        <v>10582088</v>
      </c>
    </row>
    <row r="1131" spans="1:9" x14ac:dyDescent="0.25">
      <c r="A1131" s="153" t="str">
        <f>IF(B1131&gt;0,VLOOKUP(B1131,КВСР!A483:B1648,2),IF(C1131&gt;0,VLOOKUP(C1131,КФСР!A483:B1995,2),IF(D1131&gt;0,VLOOKUP(D1131,Программа!A$1:B$5100,2),IF(F1131&gt;0,VLOOKUP(F1131,КВР!A$1:B$5001,2),IF(E1131&gt;0,VLOOKUP(E1131,Направление!A$1:B$4830,2))))))</f>
        <v>Иные бюджетные ассигнования</v>
      </c>
      <c r="B1131" s="148"/>
      <c r="C1131" s="149"/>
      <c r="D1131" s="150"/>
      <c r="E1131" s="149"/>
      <c r="F1131" s="151">
        <v>800</v>
      </c>
      <c r="G1131" s="498">
        <v>5350000</v>
      </c>
      <c r="H1131" s="156">
        <v>5232088</v>
      </c>
      <c r="I1131" s="157">
        <f t="shared" si="23"/>
        <v>10582088</v>
      </c>
    </row>
    <row r="1132" spans="1:9" x14ac:dyDescent="0.25">
      <c r="A1132" s="153" t="str">
        <f>IF(B1132&gt;0,VLOOKUP(B1132,КВСР!A484:B1649,2),IF(C1132&gt;0,VLOOKUP(C1132,КФСР!A484:B1996,2),IF(D1132&gt;0,VLOOKUP(D1132,Программа!A$1:B$5100,2),IF(F1132&gt;0,VLOOKUP(F1132,КВР!A$1:B$5001,2),IF(E1132&gt;0,VLOOKUP(E1132,Направление!A$1:B$4830,2))))))</f>
        <v>Непрограммные расходы бюджета</v>
      </c>
      <c r="B1132" s="148"/>
      <c r="C1132" s="149"/>
      <c r="D1132" s="150" t="s">
        <v>624</v>
      </c>
      <c r="E1132" s="149"/>
      <c r="F1132" s="151"/>
      <c r="G1132" s="498">
        <v>3207854</v>
      </c>
      <c r="H1132" s="498">
        <f>H1135+H1133</f>
        <v>3453297</v>
      </c>
      <c r="I1132" s="157">
        <f t="shared" si="23"/>
        <v>6661151</v>
      </c>
    </row>
    <row r="1133" spans="1:9" ht="31.5" x14ac:dyDescent="0.25">
      <c r="A1133" s="153" t="str">
        <f>IF(B1133&gt;0,VLOOKUP(B1133,КВСР!A485:B1650,2),IF(C1133&gt;0,VLOOKUP(C1133,КФСР!A485:B1997,2),IF(D1133&gt;0,VLOOKUP(D1133,Программа!A$1:B$5100,2),IF(F1133&gt;0,VLOOKUP(F1133,КВР!A$1:B$5001,2),IF(E1133&gt;0,VLOOKUP(E1133,Направление!A$1:B$4830,2))))))</f>
        <v>Резервные фонды местных администраций</v>
      </c>
      <c r="B1133" s="148"/>
      <c r="C1133" s="149"/>
      <c r="D1133" s="150"/>
      <c r="E1133" s="149">
        <v>12900</v>
      </c>
      <c r="F1133" s="151"/>
      <c r="G1133" s="498">
        <v>153531</v>
      </c>
      <c r="H1133" s="498">
        <f>H1134</f>
        <v>258975</v>
      </c>
      <c r="I1133" s="498">
        <f>I1134</f>
        <v>412506</v>
      </c>
    </row>
    <row r="1134" spans="1:9" ht="63" x14ac:dyDescent="0.25">
      <c r="A1134" s="153" t="str">
        <f>IF(B1134&gt;0,VLOOKUP(B1134,КВСР!A486:B1651,2),IF(C1134&gt;0,VLOOKUP(C1134,КФСР!A486:B1998,2),IF(D1134&gt;0,VLOOKUP(D1134,Программа!A$1:B$5100,2),IF(F1134&gt;0,VLOOKUP(F1134,КВР!A$1:B$5001,2),IF(E1134&gt;0,VLOOKUP(E1134,Направление!A$1:B$4830,2))))))</f>
        <v xml:space="preserve">Закупка товаров, работ и услуг для обеспечения государственных (муниципальных) нужд
</v>
      </c>
      <c r="B1134" s="148"/>
      <c r="C1134" s="149"/>
      <c r="D1134" s="150"/>
      <c r="E1134" s="149"/>
      <c r="F1134" s="151">
        <v>200</v>
      </c>
      <c r="G1134" s="498">
        <v>153531</v>
      </c>
      <c r="H1134" s="156">
        <v>258975</v>
      </c>
      <c r="I1134" s="157">
        <f>SUM(G1134:H1134)</f>
        <v>412506</v>
      </c>
    </row>
    <row r="1135" spans="1:9" ht="47.25" x14ac:dyDescent="0.25">
      <c r="A1135" s="153" t="str">
        <f>IF(B1135&gt;0,VLOOKUP(B1135,КВСР!A485:B1650,2),IF(C1135&gt;0,VLOOKUP(C1135,КФСР!A485:B1997,2),IF(D1135&gt;0,VLOOKUP(D1135,Программа!A$1:B$5100,2),IF(F1135&gt;0,VLOOKUP(F1135,КВР!A$1:B$5001,2),IF(E1135&gt;0,VLOOKUP(E1135,Направление!A$1:B$4830,2))))))</f>
        <v>Обеспечение мероприятий  по переработке и утилизации ливневых стоков</v>
      </c>
      <c r="B1135" s="148"/>
      <c r="C1135" s="149"/>
      <c r="D1135" s="150"/>
      <c r="E1135" s="149">
        <v>29616</v>
      </c>
      <c r="F1135" s="151"/>
      <c r="G1135" s="498">
        <v>3054323</v>
      </c>
      <c r="H1135" s="498">
        <f>H1136</f>
        <v>3194322</v>
      </c>
      <c r="I1135" s="157">
        <f t="shared" si="23"/>
        <v>6248645</v>
      </c>
    </row>
    <row r="1136" spans="1:9" ht="63" x14ac:dyDescent="0.25">
      <c r="A1136" s="153" t="str">
        <f>IF(B1136&gt;0,VLOOKUP(B1136,КВСР!A486:B1651,2),IF(C1136&gt;0,VLOOKUP(C1136,КФСР!A486:B1998,2),IF(D1136&gt;0,VLOOKUP(D1136,Программа!A$1:B$5100,2),IF(F1136&gt;0,VLOOKUP(F1136,КВР!A$1:B$5001,2),IF(E1136&gt;0,VLOOKUP(E1136,Направление!A$1:B$4830,2))))))</f>
        <v xml:space="preserve">Закупка товаров, работ и услуг для обеспечения государственных (муниципальных) нужд
</v>
      </c>
      <c r="B1136" s="148"/>
      <c r="C1136" s="149"/>
      <c r="D1136" s="150"/>
      <c r="E1136" s="149"/>
      <c r="F1136" s="151">
        <v>200</v>
      </c>
      <c r="G1136" s="498">
        <v>3054323</v>
      </c>
      <c r="H1136" s="156">
        <v>3194322</v>
      </c>
      <c r="I1136" s="157">
        <f t="shared" si="23"/>
        <v>6248645</v>
      </c>
    </row>
    <row r="1137" spans="1:9" ht="31.5" x14ac:dyDescent="0.25">
      <c r="A1137" s="153" t="str">
        <f>IF(B1137&gt;0,VLOOKUP(B1137,КВСР!A481:B1646,2),IF(C1137&gt;0,VLOOKUP(C1137,КФСР!A481:B1993,2),IF(D1137&gt;0,VLOOKUP(D1137,Программа!A$1:B$5100,2),IF(F1137&gt;0,VLOOKUP(F1137,КВР!A$1:B$5001,2),IF(E1137&gt;0,VLOOKUP(E1137,Направление!A$1:B$4830,2))))))</f>
        <v>Другие вопросы в области жилищно-коммунального хозяйства</v>
      </c>
      <c r="B1137" s="150"/>
      <c r="C1137" s="149">
        <v>505</v>
      </c>
      <c r="D1137" s="150"/>
      <c r="E1137" s="149"/>
      <c r="F1137" s="151"/>
      <c r="G1137" s="500">
        <v>10501834</v>
      </c>
      <c r="H1137" s="155">
        <f>H1146+H1142+H1138</f>
        <v>11195656</v>
      </c>
      <c r="I1137" s="157">
        <f t="shared" si="23"/>
        <v>21697490</v>
      </c>
    </row>
    <row r="1138" spans="1:9" ht="78.75" hidden="1" x14ac:dyDescent="0.25">
      <c r="A1138" s="153" t="str">
        <f>IF(B1138&gt;0,VLOOKUP(B1138,КВСР!A482:B1647,2),IF(C1138&gt;0,VLOOKUP(C1138,КФСР!A482:B1994,2),IF(D1138&gt;0,VLOOKUP(D1138,Программа!A$1:B$5100,2),IF(F1138&gt;0,VLOOKUP(F1138,КВР!A$1:B$5001,2),IF(E1138&gt;0,VLOOKUP(E1138,Направление!A$1:B$4830,2))))))</f>
        <v>Муниципальная программа "Развитие муниципальной службы и повышение квалификации руководителей муниципальных учреждений в  Тутаевском муниципальном районе"</v>
      </c>
      <c r="B1138" s="150"/>
      <c r="C1138" s="149"/>
      <c r="D1138" s="150" t="s">
        <v>636</v>
      </c>
      <c r="E1138" s="149"/>
      <c r="F1138" s="151"/>
      <c r="G1138" s="500">
        <v>0</v>
      </c>
      <c r="H1138" s="155">
        <f>H1139</f>
        <v>0</v>
      </c>
      <c r="I1138" s="157">
        <f t="shared" si="23"/>
        <v>0</v>
      </c>
    </row>
    <row r="1139" spans="1:9" ht="78.75" hidden="1" x14ac:dyDescent="0.25">
      <c r="A1139" s="153" t="str">
        <f>IF(B1139&gt;0,VLOOKUP(B1139,КВСР!A483:B1648,2),IF(C1139&gt;0,VLOOKUP(C1139,КФСР!A483:B1995,2),IF(D1139&gt;0,VLOOKUP(D1139,Программа!A$1:B$5100,2),IF(F1139&gt;0,VLOOKUP(F1139,КВР!A$1:B$5001,2),IF(E1139&gt;0,VLOOKUP(E1139,Направление!A$1:B$4830,2))))))</f>
        <v xml:space="preserve">Профессиональное развитие  муниципальных служащих и повышение квалификации руководителей муниципальных учреждений </v>
      </c>
      <c r="B1139" s="150"/>
      <c r="C1139" s="149"/>
      <c r="D1139" s="150" t="s">
        <v>637</v>
      </c>
      <c r="E1139" s="149"/>
      <c r="F1139" s="151"/>
      <c r="G1139" s="500">
        <v>0</v>
      </c>
      <c r="H1139" s="155">
        <f>H1140</f>
        <v>0</v>
      </c>
      <c r="I1139" s="157">
        <f t="shared" si="23"/>
        <v>0</v>
      </c>
    </row>
    <row r="1140" spans="1:9" ht="31.5" hidden="1" x14ac:dyDescent="0.25">
      <c r="A1140" s="153" t="str">
        <f>IF(B1140&gt;0,VLOOKUP(B1140,КВСР!A484:B1649,2),IF(C1140&gt;0,VLOOKUP(C1140,КФСР!A484:B1996,2),IF(D1140&gt;0,VLOOKUP(D1140,Программа!A$1:B$5100,2),IF(F1140&gt;0,VLOOKUP(F1140,КВР!A$1:B$5001,2),IF(E1140&gt;0,VLOOKUP(E1140,Направление!A$1:B$4830,2))))))</f>
        <v>Расходы на развитие муниципальной службы</v>
      </c>
      <c r="B1140" s="150"/>
      <c r="C1140" s="149"/>
      <c r="D1140" s="150"/>
      <c r="E1140" s="149">
        <v>12200</v>
      </c>
      <c r="F1140" s="151"/>
      <c r="G1140" s="500">
        <v>0</v>
      </c>
      <c r="H1140" s="155">
        <f>H1141</f>
        <v>0</v>
      </c>
      <c r="I1140" s="157">
        <f t="shared" si="23"/>
        <v>0</v>
      </c>
    </row>
    <row r="1141" spans="1:9" ht="63" hidden="1" x14ac:dyDescent="0.25">
      <c r="A1141" s="153" t="str">
        <f>IF(B1141&gt;0,VLOOKUP(B1141,КВСР!A485:B1650,2),IF(C1141&gt;0,VLOOKUP(C1141,КФСР!A485:B1997,2),IF(D1141&gt;0,VLOOKUP(D1141,Программа!A$1:B$5100,2),IF(F1141&gt;0,VLOOKUP(F1141,КВР!A$1:B$5001,2),IF(E1141&gt;0,VLOOKUP(E1141,Направление!A$1:B$4830,2))))))</f>
        <v xml:space="preserve">Закупка товаров, работ и услуг для обеспечения государственных (муниципальных) нужд
</v>
      </c>
      <c r="B1141" s="150"/>
      <c r="C1141" s="149"/>
      <c r="D1141" s="150"/>
      <c r="E1141" s="149"/>
      <c r="F1141" s="151">
        <v>200</v>
      </c>
      <c r="G1141" s="500">
        <v>0</v>
      </c>
      <c r="H1141" s="486"/>
      <c r="I1141" s="157">
        <f t="shared" si="23"/>
        <v>0</v>
      </c>
    </row>
    <row r="1142" spans="1:9" ht="63" x14ac:dyDescent="0.25">
      <c r="A1142" s="153" t="str">
        <f>IF(B1142&gt;0,VLOOKUP(B1142,КВСР!A482:B1647,2),IF(C1142&gt;0,VLOOKUP(C1142,КФСР!A482:B1994,2),IF(D1142&gt;0,VLOOKUP(D1142,Программа!A$1:B$5100,2),IF(F1142&gt;0,VLOOKUP(F1142,КВР!A$1:B$5001,2),IF(E1142&gt;0,VLOOKUP(E1142,Направление!A$1:B$4830,2))))))</f>
        <v>Муниципальная программа "Информатизация управленческой деятельности Администрации Тутаевского муниципального района"</v>
      </c>
      <c r="B1142" s="150"/>
      <c r="C1142" s="149"/>
      <c r="D1142" s="150" t="s">
        <v>640</v>
      </c>
      <c r="E1142" s="149"/>
      <c r="F1142" s="151"/>
      <c r="G1142" s="500">
        <v>50000</v>
      </c>
      <c r="H1142" s="155">
        <f>H1143</f>
        <v>50000</v>
      </c>
      <c r="I1142" s="157">
        <f t="shared" si="23"/>
        <v>100000</v>
      </c>
    </row>
    <row r="1143" spans="1:9" ht="63" x14ac:dyDescent="0.25">
      <c r="A1143" s="153" t="str">
        <f>IF(B1143&gt;0,VLOOKUP(B1143,КВСР!A483:B1648,2),IF(C1143&gt;0,VLOOKUP(C1143,КФСР!A483:B1995,2),IF(D1143&gt;0,VLOOKUP(D1143,Программа!A$1:B$5100,2),IF(F1143&gt;0,VLOOKUP(F1143,КВР!A$1:B$5001,2),IF(E1143&gt;0,VLOOKUP(E1143,Направление!A$1:B$4830,2))))))</f>
        <v>Закупка компьютерного оборудования  и оргтехники для бесперебойного обеспечения деятельности органов местного самоуправления</v>
      </c>
      <c r="B1143" s="150"/>
      <c r="C1143" s="149"/>
      <c r="D1143" s="150" t="s">
        <v>642</v>
      </c>
      <c r="E1143" s="149"/>
      <c r="F1143" s="151"/>
      <c r="G1143" s="500">
        <v>50000</v>
      </c>
      <c r="H1143" s="155">
        <f>H1144</f>
        <v>50000</v>
      </c>
      <c r="I1143" s="157">
        <f t="shared" si="23"/>
        <v>100000</v>
      </c>
    </row>
    <row r="1144" spans="1:9" ht="31.5" x14ac:dyDescent="0.25">
      <c r="A1144" s="153" t="str">
        <f>IF(B1144&gt;0,VLOOKUP(B1144,КВСР!A484:B1649,2),IF(C1144&gt;0,VLOOKUP(C1144,КФСР!A484:B1996,2),IF(D1144&gt;0,VLOOKUP(D1144,Программа!A$1:B$5100,2),IF(F1144&gt;0,VLOOKUP(F1144,КВР!A$1:B$5001,2),IF(E1144&gt;0,VLOOKUP(E1144,Направление!A$1:B$4830,2))))))</f>
        <v>Расходы на проведение мероприятий по информатизации</v>
      </c>
      <c r="B1144" s="150"/>
      <c r="C1144" s="149"/>
      <c r="D1144" s="150"/>
      <c r="E1144" s="149">
        <v>12210</v>
      </c>
      <c r="F1144" s="151"/>
      <c r="G1144" s="500">
        <v>50000</v>
      </c>
      <c r="H1144" s="155">
        <f>H1145</f>
        <v>50000</v>
      </c>
      <c r="I1144" s="157">
        <f t="shared" si="23"/>
        <v>100000</v>
      </c>
    </row>
    <row r="1145" spans="1:9" ht="63" x14ac:dyDescent="0.25">
      <c r="A1145" s="153" t="str">
        <f>IF(B1145&gt;0,VLOOKUP(B1145,КВСР!A485:B1650,2),IF(C1145&gt;0,VLOOKUP(C1145,КФСР!A485:B1997,2),IF(D1145&gt;0,VLOOKUP(D1145,Программа!A$1:B$5100,2),IF(F1145&gt;0,VLOOKUP(F1145,КВР!A$1:B$5001,2),IF(E1145&gt;0,VLOOKUP(E1145,Направление!A$1:B$4830,2))))))</f>
        <v xml:space="preserve">Закупка товаров, работ и услуг для обеспечения государственных (муниципальных) нужд
</v>
      </c>
      <c r="B1145" s="150"/>
      <c r="C1145" s="149"/>
      <c r="D1145" s="150"/>
      <c r="E1145" s="149"/>
      <c r="F1145" s="151">
        <v>200</v>
      </c>
      <c r="G1145" s="498">
        <v>50000</v>
      </c>
      <c r="H1145" s="156">
        <v>50000</v>
      </c>
      <c r="I1145" s="157">
        <f t="shared" si="23"/>
        <v>100000</v>
      </c>
    </row>
    <row r="1146" spans="1:9" x14ac:dyDescent="0.25">
      <c r="A1146" s="153" t="str">
        <f>IF(B1146&gt;0,VLOOKUP(B1146,КВСР!A482:B1647,2),IF(C1146&gt;0,VLOOKUP(C1146,КФСР!A482:B1994,2),IF(D1146&gt;0,VLOOKUP(D1146,Программа!A$1:B$5100,2),IF(F1146&gt;0,VLOOKUP(F1146,КВР!A$1:B$5001,2),IF(E1146&gt;0,VLOOKUP(E1146,Направление!A$1:B$4830,2))))))</f>
        <v>Непрограммные расходы бюджета</v>
      </c>
      <c r="B1146" s="154"/>
      <c r="C1146" s="149"/>
      <c r="D1146" s="150" t="s">
        <v>624</v>
      </c>
      <c r="E1146" s="149"/>
      <c r="F1146" s="151"/>
      <c r="G1146" s="500">
        <v>10451834</v>
      </c>
      <c r="H1146" s="155">
        <f>H1147+H1154+H1158+H1151</f>
        <v>11145656</v>
      </c>
      <c r="I1146" s="157">
        <f t="shared" si="23"/>
        <v>21597490</v>
      </c>
    </row>
    <row r="1147" spans="1:9" x14ac:dyDescent="0.25">
      <c r="A1147" s="153" t="str">
        <f>IF(B1147&gt;0,VLOOKUP(B1147,КВСР!A483:B1648,2),IF(C1147&gt;0,VLOOKUP(C1147,КФСР!A483:B1995,2),IF(D1147&gt;0,VLOOKUP(D1147,Программа!A$1:B$5100,2),IF(F1147&gt;0,VLOOKUP(F1147,КВР!A$1:B$5001,2),IF(E1147&gt;0,VLOOKUP(E1147,Направление!A$1:B$4830,2))))))</f>
        <v>Содержание центрального аппарата</v>
      </c>
      <c r="B1147" s="154"/>
      <c r="C1147" s="149"/>
      <c r="D1147" s="150"/>
      <c r="E1147" s="149">
        <v>12010</v>
      </c>
      <c r="F1147" s="151"/>
      <c r="G1147" s="500">
        <v>5845337</v>
      </c>
      <c r="H1147" s="500">
        <f>H1148+H1149+H1150</f>
        <v>6486056</v>
      </c>
      <c r="I1147" s="157">
        <f t="shared" si="23"/>
        <v>12331393</v>
      </c>
    </row>
    <row r="1148" spans="1:9" ht="126" x14ac:dyDescent="0.25">
      <c r="A1148" s="153" t="str">
        <f>IF(B1148&gt;0,VLOOKUP(B1148,КВСР!A484:B1649,2),IF(C1148&gt;0,VLOOKUP(C1148,КФСР!A484:B1996,2),IF(D1148&gt;0,VLOOKUP(D1148,Программа!A$1:B$5100,2),IF(F1148&gt;0,VLOOKUP(F1148,КВР!A$1:B$5001,2),IF(E1148&gt;0,VLOOKUP(E1148,Направление!A$1:B$4830,2))))))</f>
        <v xml:space="preserve">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
</v>
      </c>
      <c r="B1148" s="154"/>
      <c r="C1148" s="149"/>
      <c r="D1148" s="151"/>
      <c r="E1148" s="149"/>
      <c r="F1148" s="151">
        <v>100</v>
      </c>
      <c r="G1148" s="498">
        <v>5248640</v>
      </c>
      <c r="H1148" s="156">
        <v>6017833</v>
      </c>
      <c r="I1148" s="157">
        <f t="shared" si="23"/>
        <v>11266473</v>
      </c>
    </row>
    <row r="1149" spans="1:9" ht="63" x14ac:dyDescent="0.25">
      <c r="A1149" s="153" t="str">
        <f>IF(B1149&gt;0,VLOOKUP(B1149,КВСР!A485:B1650,2),IF(C1149&gt;0,VLOOKUP(C1149,КФСР!A485:B1997,2),IF(D1149&gt;0,VLOOKUP(D1149,Программа!A$1:B$5100,2),IF(F1149&gt;0,VLOOKUP(F1149,КВР!A$1:B$5001,2),IF(E1149&gt;0,VLOOKUP(E1149,Направление!A$1:B$4830,2))))))</f>
        <v xml:space="preserve">Закупка товаров, работ и услуг для обеспечения государственных (муниципальных) нужд
</v>
      </c>
      <c r="B1149" s="154"/>
      <c r="C1149" s="149"/>
      <c r="D1149" s="151"/>
      <c r="E1149" s="149"/>
      <c r="F1149" s="151">
        <v>200</v>
      </c>
      <c r="G1149" s="498">
        <v>546697</v>
      </c>
      <c r="H1149" s="156">
        <v>432607</v>
      </c>
      <c r="I1149" s="157">
        <f t="shared" si="23"/>
        <v>979304</v>
      </c>
    </row>
    <row r="1150" spans="1:9" x14ac:dyDescent="0.25">
      <c r="A1150" s="153" t="str">
        <f>IF(B1150&gt;0,VLOOKUP(B1150,КВСР!A486:B1651,2),IF(C1150&gt;0,VLOOKUP(C1150,КФСР!A486:B1998,2),IF(D1150&gt;0,VLOOKUP(D1150,Программа!A$1:B$5100,2),IF(F1150&gt;0,VLOOKUP(F1150,КВР!A$1:B$5001,2),IF(E1150&gt;0,VLOOKUP(E1150,Направление!A$1:B$4830,2))))))</f>
        <v>Иные бюджетные ассигнования</v>
      </c>
      <c r="B1150" s="154"/>
      <c r="C1150" s="149"/>
      <c r="D1150" s="151"/>
      <c r="E1150" s="149"/>
      <c r="F1150" s="151">
        <v>800</v>
      </c>
      <c r="G1150" s="498">
        <v>50000</v>
      </c>
      <c r="H1150" s="156">
        <v>35616</v>
      </c>
      <c r="I1150" s="157">
        <f t="shared" si="23"/>
        <v>85616</v>
      </c>
    </row>
    <row r="1151" spans="1:9" ht="47.25" x14ac:dyDescent="0.25">
      <c r="A1151" s="153" t="str">
        <f>IF(B1151&gt;0,VLOOKUP(B1151,КВСР!A487:B1652,2),IF(C1151&gt;0,VLOOKUP(C1151,КФСР!A487:B1999,2),IF(D1151&gt;0,VLOOKUP(D1151,Программа!A$1:B$5100,2),IF(F1151&gt;0,VLOOKUP(F1151,КВР!A$1:B$5001,2),IF(E1151&gt;0,VLOOKUP(E1151,Направление!A$1:B$4830,2))))))</f>
        <v>Исполнение судебных актов, актов других органов и должностных лиц, иных документов</v>
      </c>
      <c r="B1151" s="154"/>
      <c r="C1151" s="149"/>
      <c r="D1151" s="151"/>
      <c r="E1151" s="149">
        <v>12130</v>
      </c>
      <c r="F1151" s="151"/>
      <c r="G1151" s="498">
        <v>16181</v>
      </c>
      <c r="H1151" s="498">
        <f>H1153+H1152</f>
        <v>69284</v>
      </c>
      <c r="I1151" s="498">
        <f>I1153+I1152</f>
        <v>85465</v>
      </c>
    </row>
    <row r="1152" spans="1:9" ht="63" x14ac:dyDescent="0.25">
      <c r="A1152" s="153" t="str">
        <f>IF(B1152&gt;0,VLOOKUP(B1152,КВСР!A488:B1653,2),IF(C1152&gt;0,VLOOKUP(C1152,КФСР!A488:B2000,2),IF(D1152&gt;0,VLOOKUP(D1152,Программа!A$1:B$5100,2),IF(F1152&gt;0,VLOOKUP(F1152,КВР!A$1:B$5001,2),IF(E1152&gt;0,VLOOKUP(E1152,Направление!A$1:B$4830,2))))))</f>
        <v xml:space="preserve">Закупка товаров, работ и услуг для обеспечения государственных (муниципальных) нужд
</v>
      </c>
      <c r="B1152" s="154"/>
      <c r="C1152" s="149"/>
      <c r="D1152" s="151"/>
      <c r="E1152" s="149"/>
      <c r="F1152" s="151">
        <v>200</v>
      </c>
      <c r="G1152" s="498"/>
      <c r="H1152" s="498">
        <v>2909</v>
      </c>
      <c r="I1152" s="157">
        <f t="shared" si="23"/>
        <v>2909</v>
      </c>
    </row>
    <row r="1153" spans="1:9" x14ac:dyDescent="0.25">
      <c r="A1153" s="153" t="str">
        <f>IF(B1153&gt;0,VLOOKUP(B1153,КВСР!A488:B1653,2),IF(C1153&gt;0,VLOOKUP(C1153,КФСР!A488:B2000,2),IF(D1153&gt;0,VLOOKUP(D1153,Программа!A$1:B$5100,2),IF(F1153&gt;0,VLOOKUP(F1153,КВР!A$1:B$5001,2),IF(E1153&gt;0,VLOOKUP(E1153,Направление!A$1:B$4830,2))))))</f>
        <v>Иные бюджетные ассигнования</v>
      </c>
      <c r="B1153" s="154"/>
      <c r="C1153" s="149"/>
      <c r="D1153" s="151"/>
      <c r="E1153" s="149"/>
      <c r="F1153" s="151">
        <v>800</v>
      </c>
      <c r="G1153" s="498">
        <v>16181</v>
      </c>
      <c r="H1153" s="156">
        <v>66375</v>
      </c>
      <c r="I1153" s="157">
        <f t="shared" si="23"/>
        <v>82556</v>
      </c>
    </row>
    <row r="1154" spans="1:9" ht="47.25" x14ac:dyDescent="0.25">
      <c r="A1154" s="153" t="str">
        <f>IF(B1154&gt;0,VLOOKUP(B1154,КВСР!A486:B1651,2),IF(C1154&gt;0,VLOOKUP(C1154,КФСР!A486:B1998,2),IF(D1154&gt;0,VLOOKUP(D1154,Программа!A$1:B$5100,2),IF(F1154&gt;0,VLOOKUP(F1154,КВР!A$1:B$5001,2),IF(E1154&gt;0,VLOOKUP(E1154,Направление!A$1:B$4830,2))))))</f>
        <v>Содержание органов местного самоуправления за счет средств поселений</v>
      </c>
      <c r="B1154" s="154"/>
      <c r="C1154" s="149"/>
      <c r="D1154" s="151"/>
      <c r="E1154" s="149">
        <v>29016</v>
      </c>
      <c r="F1154" s="151"/>
      <c r="G1154" s="164">
        <v>4590316</v>
      </c>
      <c r="H1154" s="164">
        <f>SUM(H1155:H1157)</f>
        <v>4590316</v>
      </c>
      <c r="I1154" s="157">
        <f t="shared" si="23"/>
        <v>9180632</v>
      </c>
    </row>
    <row r="1155" spans="1:9" ht="126" x14ac:dyDescent="0.25">
      <c r="A1155" s="153" t="str">
        <f>IF(B1155&gt;0,VLOOKUP(B1155,КВСР!A487:B1652,2),IF(C1155&gt;0,VLOOKUP(C1155,КФСР!A487:B1999,2),IF(D1155&gt;0,VLOOKUP(D1155,Программа!A$1:B$5100,2),IF(F1155&gt;0,VLOOKUP(F1155,КВР!A$1:B$5001,2),IF(E1155&gt;0,VLOOKUP(E1155,Направление!A$1:B$4830,2))))))</f>
        <v xml:space="preserve">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
</v>
      </c>
      <c r="B1155" s="154"/>
      <c r="C1155" s="149"/>
      <c r="D1155" s="151"/>
      <c r="E1155" s="149"/>
      <c r="F1155" s="151">
        <v>100</v>
      </c>
      <c r="G1155" s="498">
        <v>4173015</v>
      </c>
      <c r="H1155" s="156">
        <v>4173015</v>
      </c>
      <c r="I1155" s="157">
        <f t="shared" si="23"/>
        <v>8346030</v>
      </c>
    </row>
    <row r="1156" spans="1:9" ht="63" x14ac:dyDescent="0.25">
      <c r="A1156" s="153" t="str">
        <f>IF(B1156&gt;0,VLOOKUP(B1156,КВСР!A488:B1653,2),IF(C1156&gt;0,VLOOKUP(C1156,КФСР!A488:B2000,2),IF(D1156&gt;0,VLOOKUP(D1156,Программа!A$1:B$5100,2),IF(F1156&gt;0,VLOOKUP(F1156,КВР!A$1:B$5001,2),IF(E1156&gt;0,VLOOKUP(E1156,Направление!A$1:B$4830,2))))))</f>
        <v xml:space="preserve">Закупка товаров, работ и услуг для обеспечения государственных (муниципальных) нужд
</v>
      </c>
      <c r="B1156" s="154"/>
      <c r="C1156" s="149"/>
      <c r="D1156" s="151"/>
      <c r="E1156" s="149"/>
      <c r="F1156" s="151">
        <v>200</v>
      </c>
      <c r="G1156" s="498">
        <v>417301</v>
      </c>
      <c r="H1156" s="156">
        <v>417301</v>
      </c>
      <c r="I1156" s="157">
        <f t="shared" si="23"/>
        <v>834602</v>
      </c>
    </row>
    <row r="1157" spans="1:9" hidden="1" x14ac:dyDescent="0.25">
      <c r="A1157" s="153" t="str">
        <f>IF(B1157&gt;0,VLOOKUP(B1157,КВСР!A489:B1654,2),IF(C1157&gt;0,VLOOKUP(C1157,КФСР!A489:B2001,2),IF(D1157&gt;0,VLOOKUP(D1157,Программа!A$1:B$5100,2),IF(F1157&gt;0,VLOOKUP(F1157,КВР!A$1:B$5001,2),IF(E1157&gt;0,VLOOKUP(E1157,Направление!A$1:B$4830,2))))))</f>
        <v>Иные бюджетные ассигнования</v>
      </c>
      <c r="B1157" s="154"/>
      <c r="C1157" s="149"/>
      <c r="D1157" s="151"/>
      <c r="E1157" s="149"/>
      <c r="F1157" s="151">
        <v>800</v>
      </c>
      <c r="G1157" s="498">
        <v>0</v>
      </c>
      <c r="H1157" s="156"/>
      <c r="I1157" s="157">
        <f t="shared" si="23"/>
        <v>0</v>
      </c>
    </row>
    <row r="1158" spans="1:9" ht="31.5" hidden="1" customHeight="1" x14ac:dyDescent="0.25">
      <c r="A1158" s="153" t="str">
        <f>IF(B1158&gt;0,VLOOKUP(B1158,КВСР!A490:B1655,2),IF(C1158&gt;0,VLOOKUP(C1158,КФСР!A490:B2002,2),IF(D1158&gt;0,VLOOKUP(D1158,Программа!A$1:B$5100,2),IF(F1158&gt;0,VLOOKUP(F1158,КВР!A$1:B$5001,2),IF(E1158&gt;0,VLOOKUP(E1158,Направление!A$1:B$4830,2))))))</f>
        <v>Выполнение других обязательств органов местного самоуправления</v>
      </c>
      <c r="B1158" s="154"/>
      <c r="C1158" s="149"/>
      <c r="D1158" s="151"/>
      <c r="E1158" s="149">
        <v>12080</v>
      </c>
      <c r="F1158" s="151"/>
      <c r="G1158" s="164">
        <v>0</v>
      </c>
      <c r="H1158" s="164">
        <f>H1159</f>
        <v>0</v>
      </c>
      <c r="I1158" s="157">
        <f t="shared" si="23"/>
        <v>0</v>
      </c>
    </row>
    <row r="1159" spans="1:9" ht="63" hidden="1" customHeight="1" x14ac:dyDescent="0.25">
      <c r="A1159" s="153" t="str">
        <f>IF(B1159&gt;0,VLOOKUP(B1159,КВСР!A491:B1656,2),IF(C1159&gt;0,VLOOKUP(C1159,КФСР!A491:B2003,2),IF(D1159&gt;0,VLOOKUP(D1159,Программа!A$1:B$5100,2),IF(F1159&gt;0,VLOOKUP(F1159,КВР!A$1:B$5001,2),IF(E1159&gt;0,VLOOKUP(E1159,Направление!A$1:B$4830,2))))))</f>
        <v xml:space="preserve">Закупка товаров, работ и услуг для обеспечения государственных (муниципальных) нужд
</v>
      </c>
      <c r="B1159" s="154"/>
      <c r="C1159" s="149"/>
      <c r="D1159" s="151"/>
      <c r="E1159" s="149"/>
      <c r="F1159" s="151">
        <v>200</v>
      </c>
      <c r="G1159" s="498">
        <v>0</v>
      </c>
      <c r="H1159" s="156"/>
      <c r="I1159" s="157">
        <f t="shared" si="23"/>
        <v>0</v>
      </c>
    </row>
    <row r="1160" spans="1:9" x14ac:dyDescent="0.25">
      <c r="A1160" s="153" t="str">
        <f>IF(B1160&gt;0,VLOOKUP(B1160,КВСР!A492:B1657,2),IF(C1160&gt;0,VLOOKUP(C1160,КФСР!A492:B2004,2),IF(D1160&gt;0,VLOOKUP(D1160,Программа!A$1:B$5100,2),IF(F1160&gt;0,VLOOKUP(F1160,КВР!A$1:B$5001,2),IF(E1160&gt;0,VLOOKUP(E1160,Направление!A$1:B$4830,2))))))</f>
        <v>Дошкольное образование</v>
      </c>
      <c r="B1160" s="154"/>
      <c r="C1160" s="149">
        <v>701</v>
      </c>
      <c r="D1160" s="151"/>
      <c r="E1160" s="149"/>
      <c r="F1160" s="151"/>
      <c r="G1160" s="500">
        <v>346518</v>
      </c>
      <c r="H1160" s="533">
        <f>H1161</f>
        <v>316522</v>
      </c>
      <c r="I1160" s="157">
        <f t="shared" si="23"/>
        <v>663040</v>
      </c>
    </row>
    <row r="1161" spans="1:9" ht="63" x14ac:dyDescent="0.25">
      <c r="A1161" s="153" t="str">
        <f>IF(B1161&gt;0,VLOOKUP(B1161,КВСР!A493:B1658,2),IF(C1161&gt;0,VLOOKUP(C1161,КФСР!A493:B2005,2),IF(D1161&gt;0,VLOOKUP(D1161,Программа!A$1:B$5100,2),IF(F1161&gt;0,VLOOKUP(F1161,КВР!A$1:B$5001,2),IF(E1161&gt;0,VLOOKUP(E1161,Направление!A$1:B$4830,2))))))</f>
        <v>Муниципальная программа "Обеспечение качественными коммунальными услугами населения Тутаевского муниципального района"</v>
      </c>
      <c r="B1161" s="154"/>
      <c r="C1161" s="149"/>
      <c r="D1161" s="151" t="s">
        <v>849</v>
      </c>
      <c r="E1161" s="149"/>
      <c r="F1161" s="151"/>
      <c r="G1161" s="500">
        <v>346518</v>
      </c>
      <c r="H1161" s="533">
        <f>H1162+H1166</f>
        <v>316522</v>
      </c>
      <c r="I1161" s="157">
        <f t="shared" si="23"/>
        <v>663040</v>
      </c>
    </row>
    <row r="1162" spans="1:9" ht="78.75" x14ac:dyDescent="0.25">
      <c r="A1162" s="153" t="str">
        <f>IF(B1162&gt;0,VLOOKUP(B1162,КВСР!A494:B1659,2),IF(C1162&gt;0,VLOOKUP(C1162,КФСР!A494:B2006,2),IF(D1162&gt;0,VLOOKUP(D1162,Программа!A$1:B$5100,2),IF(F1162&gt;0,VLOOKUP(F1162,КВР!A$1:B$5001,2),IF(E1162&gt;0,VLOOKUP(E1162,Направление!A$1:B$4830,2))))))</f>
        <v xml:space="preserve">Муниципальная целевая   программа «Комплексная программа модернизации и реформирования жилищно-коммунального хозяйства Тутаевского муниципального района» </v>
      </c>
      <c r="B1162" s="154"/>
      <c r="C1162" s="149"/>
      <c r="D1162" s="150" t="s">
        <v>881</v>
      </c>
      <c r="E1162" s="149"/>
      <c r="F1162" s="151"/>
      <c r="G1162" s="500">
        <v>346518</v>
      </c>
      <c r="H1162" s="533">
        <f>H1163</f>
        <v>316522</v>
      </c>
      <c r="I1162" s="157">
        <f t="shared" si="23"/>
        <v>663040</v>
      </c>
    </row>
    <row r="1163" spans="1:9" ht="47.25" x14ac:dyDescent="0.25">
      <c r="A1163" s="153" t="str">
        <f>IF(B1163&gt;0,VLOOKUP(B1163,КВСР!A495:B1660,2),IF(C1163&gt;0,VLOOKUP(C1163,КФСР!A495:B2007,2),IF(D1163&gt;0,VLOOKUP(D1163,Программа!A$1:B$5100,2),IF(F1163&gt;0,VLOOKUP(F1163,КВР!A$1:B$5001,2),IF(E1163&gt;0,VLOOKUP(E1163,Направление!A$1:B$4830,2))))))</f>
        <v>Повышение уровня газификации и модернизации объектов социальной сферы</v>
      </c>
      <c r="B1163" s="154"/>
      <c r="C1163" s="149"/>
      <c r="D1163" s="150" t="s">
        <v>882</v>
      </c>
      <c r="E1163" s="149"/>
      <c r="F1163" s="151"/>
      <c r="G1163" s="500">
        <v>346518</v>
      </c>
      <c r="H1163" s="533">
        <f>H1164</f>
        <v>316522</v>
      </c>
      <c r="I1163" s="157">
        <f t="shared" si="23"/>
        <v>663040</v>
      </c>
    </row>
    <row r="1164" spans="1:9" ht="31.5" x14ac:dyDescent="0.25">
      <c r="A1164" s="153" t="str">
        <f>IF(B1164&gt;0,VLOOKUP(B1164,КВСР!A496:B1661,2),IF(C1164&gt;0,VLOOKUP(C1164,КФСР!A496:B2008,2),IF(D1164&gt;0,VLOOKUP(D1164,Программа!A$1:B$5100,2),IF(F1164&gt;0,VLOOKUP(F1164,КВР!A$1:B$5001,2),IF(E1164&gt;0,VLOOKUP(E1164,Направление!A$1:B$4830,2))))))</f>
        <v>Обеспечение деятельности дошкольных учреждений</v>
      </c>
      <c r="B1164" s="154"/>
      <c r="C1164" s="149"/>
      <c r="D1164" s="151"/>
      <c r="E1164" s="149">
        <v>13010</v>
      </c>
      <c r="F1164" s="151"/>
      <c r="G1164" s="500">
        <v>346518</v>
      </c>
      <c r="H1164" s="533">
        <f>H1165</f>
        <v>316522</v>
      </c>
      <c r="I1164" s="157">
        <f t="shared" si="23"/>
        <v>663040</v>
      </c>
    </row>
    <row r="1165" spans="1:9" ht="47.25" x14ac:dyDescent="0.25">
      <c r="A1165" s="153" t="str">
        <f>IF(B1165&gt;0,VLOOKUP(B1165,КВСР!A497:B1662,2),IF(C1165&gt;0,VLOOKUP(C1165,КФСР!A497:B2009,2),IF(D1165&gt;0,VLOOKUP(D1165,Программа!A$1:B$5100,2),IF(F1165&gt;0,VLOOKUP(F1165,КВР!A$1:B$5001,2),IF(E1165&gt;0,VLOOKUP(E1165,Направление!A$1:B$4830,2))))))</f>
        <v>Капитальные вложения в объекты государственной (муниципальной) собственности</v>
      </c>
      <c r="B1165" s="154"/>
      <c r="C1165" s="149"/>
      <c r="D1165" s="151"/>
      <c r="E1165" s="149"/>
      <c r="F1165" s="151">
        <v>400</v>
      </c>
      <c r="G1165" s="498">
        <v>346518</v>
      </c>
      <c r="H1165" s="156">
        <v>316522</v>
      </c>
      <c r="I1165" s="157">
        <f t="shared" si="23"/>
        <v>663040</v>
      </c>
    </row>
    <row r="1166" spans="1:9" ht="78.75" hidden="1" x14ac:dyDescent="0.25">
      <c r="A1166" s="153" t="str">
        <f>IF(B1166&gt;0,VLOOKUP(B1166,КВСР!A498:B1663,2),IF(C1166&gt;0,VLOOKUP(C1166,КФСР!A498:B2010,2),IF(D1166&gt;0,VLOOKUP(D1166,Программа!A$1:B$5100,2),IF(F1166&gt;0,VLOOKUP(F1166,КВР!A$1:B$5001,2),IF(E1166&gt;0,VLOOKUP(E1166,Направление!A$1:B$4830,2))))))</f>
        <v xml:space="preserve">Муниципальная целевая   программа «Развитие водоснабжения, водоотведения и очистки сточных вод» на территории Тутаевского муниципального района </v>
      </c>
      <c r="B1166" s="154"/>
      <c r="C1166" s="149"/>
      <c r="D1166" s="150" t="s">
        <v>885</v>
      </c>
      <c r="E1166" s="149"/>
      <c r="F1166" s="151"/>
      <c r="G1166" s="500">
        <v>0</v>
      </c>
      <c r="H1166" s="533">
        <f>H1167</f>
        <v>0</v>
      </c>
      <c r="I1166" s="157">
        <f t="shared" si="23"/>
        <v>0</v>
      </c>
    </row>
    <row r="1167" spans="1:9" ht="78.75" hidden="1" x14ac:dyDescent="0.25">
      <c r="A1167" s="153" t="str">
        <f>IF(B1167&gt;0,VLOOKUP(B1167,КВСР!A499:B1664,2),IF(C1167&gt;0,VLOOKUP(C1167,КФСР!A499:B2011,2),IF(D1167&gt;0,VLOOKUP(D1167,Программа!A$1:B$5100,2),IF(F1167&gt;0,VLOOKUP(F1167,КВР!A$1:B$5001,2),IF(E1167&gt;0,VLOOKUP(E1167,Направление!A$1:B$4830,2))))))</f>
        <v>Гарантированное обеспечение населения питьевой водой, очистки сточных вод, охраны источников питьевого водоснабжения от загрязнения</v>
      </c>
      <c r="B1167" s="154"/>
      <c r="C1167" s="149"/>
      <c r="D1167" s="150" t="s">
        <v>886</v>
      </c>
      <c r="E1167" s="149"/>
      <c r="F1167" s="151"/>
      <c r="G1167" s="500">
        <v>0</v>
      </c>
      <c r="H1167" s="533">
        <f>H1168</f>
        <v>0</v>
      </c>
      <c r="I1167" s="157">
        <f t="shared" si="23"/>
        <v>0</v>
      </c>
    </row>
    <row r="1168" spans="1:9" ht="31.5" hidden="1" x14ac:dyDescent="0.25">
      <c r="A1168" s="153" t="str">
        <f>IF(B1168&gt;0,VLOOKUP(B1168,КВСР!A500:B1665,2),IF(C1168&gt;0,VLOOKUP(C1168,КФСР!A500:B2012,2),IF(D1168&gt;0,VLOOKUP(D1168,Программа!A$1:B$5100,2),IF(F1168&gt;0,VLOOKUP(F1168,КВР!A$1:B$5001,2),IF(E1168&gt;0,VLOOKUP(E1168,Направление!A$1:B$4830,2))))))</f>
        <v>Обеспечение деятельности дошкольных учреждений</v>
      </c>
      <c r="B1168" s="154"/>
      <c r="C1168" s="149"/>
      <c r="D1168" s="151"/>
      <c r="E1168" s="149">
        <v>13010</v>
      </c>
      <c r="F1168" s="151"/>
      <c r="G1168" s="500">
        <v>0</v>
      </c>
      <c r="H1168" s="533">
        <f>H1169</f>
        <v>0</v>
      </c>
      <c r="I1168" s="157">
        <f t="shared" ref="I1168:I1220" si="24">SUM(G1168:H1168)</f>
        <v>0</v>
      </c>
    </row>
    <row r="1169" spans="1:9" ht="47.25" hidden="1" x14ac:dyDescent="0.25">
      <c r="A1169" s="153" t="str">
        <f>IF(B1169&gt;0,VLOOKUP(B1169,КВСР!A501:B1666,2),IF(C1169&gt;0,VLOOKUP(C1169,КФСР!A501:B2013,2),IF(D1169&gt;0,VLOOKUP(D1169,Программа!A$1:B$5100,2),IF(F1169&gt;0,VLOOKUP(F1169,КВР!A$1:B$5001,2),IF(E1169&gt;0,VLOOKUP(E1169,Направление!A$1:B$4830,2))))))</f>
        <v>Капитальные вложения в объекты государственной (муниципальной) собственности</v>
      </c>
      <c r="B1169" s="154"/>
      <c r="C1169" s="149"/>
      <c r="D1169" s="151"/>
      <c r="E1169" s="149"/>
      <c r="F1169" s="151">
        <v>400</v>
      </c>
      <c r="G1169" s="498">
        <v>0</v>
      </c>
      <c r="H1169" s="156"/>
      <c r="I1169" s="157">
        <f t="shared" si="24"/>
        <v>0</v>
      </c>
    </row>
    <row r="1170" spans="1:9" x14ac:dyDescent="0.25">
      <c r="A1170" s="153" t="str">
        <f>IF(B1170&gt;0,VLOOKUP(B1170,КВСР!A490:B1655,2),IF(C1170&gt;0,VLOOKUP(C1170,КФСР!A490:B2002,2),IF(D1170&gt;0,VLOOKUP(D1170,Программа!A$1:B$5100,2),IF(F1170&gt;0,VLOOKUP(F1170,КВР!A$1:B$5001,2),IF(E1170&gt;0,VLOOKUP(E1170,Направление!A$1:B$4830,2))))))</f>
        <v>Общее образование</v>
      </c>
      <c r="B1170" s="154"/>
      <c r="C1170" s="149">
        <v>702</v>
      </c>
      <c r="D1170" s="150"/>
      <c r="E1170" s="149"/>
      <c r="F1170" s="151"/>
      <c r="G1170" s="606">
        <v>248750</v>
      </c>
      <c r="H1170" s="157">
        <f>H1173</f>
        <v>248750</v>
      </c>
      <c r="I1170" s="157">
        <f t="shared" si="24"/>
        <v>497500</v>
      </c>
    </row>
    <row r="1171" spans="1:9" ht="63" x14ac:dyDescent="0.25">
      <c r="A1171" s="153" t="str">
        <f>IF(B1171&gt;0,VLOOKUP(B1171,КВСР!A491:B1656,2),IF(C1171&gt;0,VLOOKUP(C1171,КФСР!A491:B2003,2),IF(D1171&gt;0,VLOOKUP(D1171,Программа!A$1:B$5100,2),IF(F1171&gt;0,VLOOKUP(F1171,КВР!A$1:B$5001,2),IF(E1171&gt;0,VLOOKUP(E1171,Направление!A$1:B$4830,2))))))</f>
        <v>Муниципальная программа "Обеспечение качественными коммунальными услугами населения Тутаевского муниципального района"</v>
      </c>
      <c r="B1171" s="154"/>
      <c r="C1171" s="149"/>
      <c r="D1171" s="150" t="s">
        <v>849</v>
      </c>
      <c r="E1171" s="149"/>
      <c r="F1171" s="151"/>
      <c r="G1171" s="606">
        <v>248750</v>
      </c>
      <c r="H1171" s="157">
        <f>H1173</f>
        <v>248750</v>
      </c>
      <c r="I1171" s="157">
        <f t="shared" si="24"/>
        <v>497500</v>
      </c>
    </row>
    <row r="1172" spans="1:9" ht="78.75" x14ac:dyDescent="0.25">
      <c r="A1172" s="153" t="str">
        <f>IF(B1172&gt;0,VLOOKUP(B1172,КВСР!A492:B1657,2),IF(C1172&gt;0,VLOOKUP(C1172,КФСР!A492:B2004,2),IF(D1172&gt;0,VLOOKUP(D1172,Программа!A$1:B$5100,2),IF(F1172&gt;0,VLOOKUP(F1172,КВР!A$1:B$5001,2),IF(E1172&gt;0,VLOOKUP(E1172,Направление!A$1:B$4830,2))))))</f>
        <v xml:space="preserve">Муниципальная целевая   программа «Комплексная программа модернизации и реформирования жилищно-коммунального хозяйства Тутаевского муниципального района» </v>
      </c>
      <c r="B1172" s="154"/>
      <c r="C1172" s="149"/>
      <c r="D1172" s="150" t="s">
        <v>881</v>
      </c>
      <c r="E1172" s="149"/>
      <c r="F1172" s="151"/>
      <c r="G1172" s="606">
        <v>248750</v>
      </c>
      <c r="H1172" s="157">
        <f>H1173</f>
        <v>248750</v>
      </c>
      <c r="I1172" s="157">
        <f t="shared" si="24"/>
        <v>497500</v>
      </c>
    </row>
    <row r="1173" spans="1:9" ht="47.25" x14ac:dyDescent="0.25">
      <c r="A1173" s="153" t="str">
        <f>IF(B1173&gt;0,VLOOKUP(B1173,КВСР!A493:B1658,2),IF(C1173&gt;0,VLOOKUP(C1173,КФСР!A493:B2005,2),IF(D1173&gt;0,VLOOKUP(D1173,Программа!A$1:B$5100,2),IF(F1173&gt;0,VLOOKUP(F1173,КВР!A$1:B$5001,2),IF(E1173&gt;0,VLOOKUP(E1173,Направление!A$1:B$4830,2))))))</f>
        <v>Повышение уровня газификации и модернизации объектов социальной сферы</v>
      </c>
      <c r="B1173" s="154"/>
      <c r="C1173" s="149"/>
      <c r="D1173" s="150" t="s">
        <v>882</v>
      </c>
      <c r="E1173" s="149"/>
      <c r="F1173" s="151"/>
      <c r="G1173" s="606">
        <v>248750</v>
      </c>
      <c r="H1173" s="157">
        <f>H1174</f>
        <v>248750</v>
      </c>
      <c r="I1173" s="157">
        <f t="shared" si="24"/>
        <v>497500</v>
      </c>
    </row>
    <row r="1174" spans="1:9" ht="31.5" x14ac:dyDescent="0.25">
      <c r="A1174" s="153" t="str">
        <f>IF(B1174&gt;0,VLOOKUP(B1174,КВСР!A496:B1661,2),IF(C1174&gt;0,VLOOKUP(C1174,КФСР!A496:B2008,2),IF(D1174&gt;0,VLOOKUP(D1174,Программа!A$1:B$5100,2),IF(F1174&gt;0,VLOOKUP(F1174,КВР!A$1:B$5001,2),IF(E1174&gt;0,VLOOKUP(E1174,Направление!A$1:B$4830,2))))))</f>
        <v>Обеспечение деятельности общеобразовательных учреждений</v>
      </c>
      <c r="B1174" s="154"/>
      <c r="C1174" s="149"/>
      <c r="D1174" s="150"/>
      <c r="E1174" s="149">
        <v>13110</v>
      </c>
      <c r="F1174" s="151"/>
      <c r="G1174" s="606">
        <v>248750</v>
      </c>
      <c r="H1174" s="157">
        <f>H1175</f>
        <v>248750</v>
      </c>
      <c r="I1174" s="157">
        <f t="shared" si="24"/>
        <v>497500</v>
      </c>
    </row>
    <row r="1175" spans="1:9" ht="47.25" x14ac:dyDescent="0.25">
      <c r="A1175" s="153" t="str">
        <f>IF(B1175&gt;0,VLOOKUP(B1175,КВСР!A497:B1662,2),IF(C1175&gt;0,VLOOKUP(C1175,КФСР!A497:B2009,2),IF(D1175&gt;0,VLOOKUP(D1175,Программа!A$1:B$5100,2),IF(F1175&gt;0,VLOOKUP(F1175,КВР!A$1:B$5001,2),IF(E1175&gt;0,VLOOKUP(E1175,Направление!A$1:B$4830,2))))))</f>
        <v>Капитальные вложения в объекты государственной (муниципальной) собственности</v>
      </c>
      <c r="B1175" s="154"/>
      <c r="C1175" s="149"/>
      <c r="D1175" s="151"/>
      <c r="E1175" s="149"/>
      <c r="F1175" s="151">
        <v>400</v>
      </c>
      <c r="G1175" s="516">
        <v>248750</v>
      </c>
      <c r="H1175" s="158">
        <v>248750</v>
      </c>
      <c r="I1175" s="157">
        <f t="shared" si="24"/>
        <v>497500</v>
      </c>
    </row>
    <row r="1176" spans="1:9" hidden="1" x14ac:dyDescent="0.25">
      <c r="A1176" s="153" t="str">
        <f>IF(B1176&gt;0,VLOOKUP(B1176,КВСР!A498:B1663,2),IF(C1176&gt;0,VLOOKUP(C1176,КФСР!A498:B2010,2),IF(D1176&gt;0,VLOOKUP(D1176,Программа!A$1:B$5100,2),IF(F1176&gt;0,VLOOKUP(F1176,КВР!A$1:B$5001,2),IF(E1176&gt;0,VLOOKUP(E1176,Направление!A$1:B$4830,2))))))</f>
        <v>Дополнительное образование детей</v>
      </c>
      <c r="B1176" s="154"/>
      <c r="C1176" s="149">
        <v>703</v>
      </c>
      <c r="D1176" s="151"/>
      <c r="E1176" s="149"/>
      <c r="F1176" s="151"/>
      <c r="G1176" s="606">
        <v>0</v>
      </c>
      <c r="H1176" s="487">
        <f>H1177</f>
        <v>0</v>
      </c>
      <c r="I1176" s="157">
        <f t="shared" si="24"/>
        <v>0</v>
      </c>
    </row>
    <row r="1177" spans="1:9" ht="63" hidden="1" x14ac:dyDescent="0.25">
      <c r="A1177" s="153" t="str">
        <f>IF(B1177&gt;0,VLOOKUP(B1177,КВСР!A499:B1664,2),IF(C1177&gt;0,VLOOKUP(C1177,КФСР!A499:B2011,2),IF(D1177&gt;0,VLOOKUP(D1177,Программа!A$1:B$5100,2),IF(F1177&gt;0,VLOOKUP(F1177,КВР!A$1:B$5001,2),IF(E1177&gt;0,VLOOKUP(E1177,Направление!A$1:B$4830,2))))))</f>
        <v>Муниципальная программа "Обеспечение качественными коммунальными услугами населения Тутаевского муниципального района"</v>
      </c>
      <c r="B1177" s="154"/>
      <c r="C1177" s="149"/>
      <c r="D1177" s="150" t="s">
        <v>849</v>
      </c>
      <c r="E1177" s="149"/>
      <c r="F1177" s="151"/>
      <c r="G1177" s="606">
        <v>0</v>
      </c>
      <c r="H1177" s="487">
        <f>H1178</f>
        <v>0</v>
      </c>
      <c r="I1177" s="157">
        <f t="shared" si="24"/>
        <v>0</v>
      </c>
    </row>
    <row r="1178" spans="1:9" ht="78.75" hidden="1" x14ac:dyDescent="0.25">
      <c r="A1178" s="153" t="str">
        <f>IF(B1178&gt;0,VLOOKUP(B1178,КВСР!A500:B1665,2),IF(C1178&gt;0,VLOOKUP(C1178,КФСР!A500:B2012,2),IF(D1178&gt;0,VLOOKUP(D1178,Программа!A$1:B$5100,2),IF(F1178&gt;0,VLOOKUP(F1178,КВР!A$1:B$5001,2),IF(E1178&gt;0,VLOOKUP(E1178,Направление!A$1:B$4830,2))))))</f>
        <v xml:space="preserve">Муниципальная целевая   программа «Комплексная программа модернизации и реформирования жилищно-коммунального хозяйства Тутаевского муниципального района» </v>
      </c>
      <c r="B1178" s="154"/>
      <c r="C1178" s="149"/>
      <c r="D1178" s="150" t="s">
        <v>881</v>
      </c>
      <c r="E1178" s="149"/>
      <c r="F1178" s="151"/>
      <c r="G1178" s="606">
        <v>0</v>
      </c>
      <c r="H1178" s="487">
        <f>H1179</f>
        <v>0</v>
      </c>
      <c r="I1178" s="157">
        <f t="shared" si="24"/>
        <v>0</v>
      </c>
    </row>
    <row r="1179" spans="1:9" ht="47.25" hidden="1" x14ac:dyDescent="0.25">
      <c r="A1179" s="153" t="str">
        <f>IF(B1179&gt;0,VLOOKUP(B1179,КВСР!A501:B1666,2),IF(C1179&gt;0,VLOOKUP(C1179,КФСР!A501:B2013,2),IF(D1179&gt;0,VLOOKUP(D1179,Программа!A$1:B$5100,2),IF(F1179&gt;0,VLOOKUP(F1179,КВР!A$1:B$5001,2),IF(E1179&gt;0,VLOOKUP(E1179,Направление!A$1:B$4830,2))))))</f>
        <v>Повышение уровня газификации и модернизации объектов социальной сферы</v>
      </c>
      <c r="B1179" s="154"/>
      <c r="C1179" s="149"/>
      <c r="D1179" s="150" t="s">
        <v>882</v>
      </c>
      <c r="E1179" s="149"/>
      <c r="F1179" s="151"/>
      <c r="G1179" s="606">
        <v>0</v>
      </c>
      <c r="H1179" s="487">
        <f>H1180</f>
        <v>0</v>
      </c>
      <c r="I1179" s="157">
        <f t="shared" si="24"/>
        <v>0</v>
      </c>
    </row>
    <row r="1180" spans="1:9" ht="47.25" hidden="1" x14ac:dyDescent="0.25">
      <c r="A1180" s="153" t="str">
        <f>IF(B1180&gt;0,VLOOKUP(B1180,КВСР!A498:B1663,2),IF(C1180&gt;0,VLOOKUP(C1180,КФСР!A498:B2010,2),IF(D1180&gt;0,VLOOKUP(D1180,Программа!A$1:B$5100,2),IF(F1180&gt;0,VLOOKUP(F1180,КВР!A$1:B$5001,2),IF(E1180&gt;0,VLOOKUP(E1180,Направление!A$1:B$4830,2))))))</f>
        <v>Обеспечение деятельности учреждений дополнительного образования</v>
      </c>
      <c r="B1180" s="154"/>
      <c r="C1180" s="149"/>
      <c r="D1180" s="151"/>
      <c r="E1180" s="149">
        <v>13210</v>
      </c>
      <c r="F1180" s="151"/>
      <c r="G1180" s="606">
        <v>0</v>
      </c>
      <c r="H1180" s="487">
        <f>H1181</f>
        <v>0</v>
      </c>
      <c r="I1180" s="157">
        <f t="shared" si="24"/>
        <v>0</v>
      </c>
    </row>
    <row r="1181" spans="1:9" ht="47.25" hidden="1" x14ac:dyDescent="0.25">
      <c r="A1181" s="153" t="str">
        <f>IF(B1181&gt;0,VLOOKUP(B1181,КВСР!A499:B1664,2),IF(C1181&gt;0,VLOOKUP(C1181,КФСР!A499:B2011,2),IF(D1181&gt;0,VLOOKUP(D1181,Программа!A$1:B$5100,2),IF(F1181&gt;0,VLOOKUP(F1181,КВР!A$1:B$5001,2),IF(E1181&gt;0,VLOOKUP(E1181,Направление!A$1:B$4830,2))))))</f>
        <v>Капитальные вложения в объекты государственной (муниципальной) собственности</v>
      </c>
      <c r="B1181" s="154"/>
      <c r="C1181" s="149"/>
      <c r="D1181" s="151"/>
      <c r="E1181" s="149"/>
      <c r="F1181" s="151">
        <v>400</v>
      </c>
      <c r="G1181" s="516">
        <v>0</v>
      </c>
      <c r="H1181" s="158"/>
      <c r="I1181" s="157">
        <f t="shared" si="24"/>
        <v>0</v>
      </c>
    </row>
    <row r="1182" spans="1:9" x14ac:dyDescent="0.25">
      <c r="A1182" s="153" t="str">
        <f>IF(B1182&gt;0,VLOOKUP(B1182,КВСР!A498:B1663,2),IF(C1182&gt;0,VLOOKUP(C1182,КФСР!A498:B2010,2),IF(D1182&gt;0,VLOOKUP(D1182,Программа!A$1:B$5100,2),IF(F1182&gt;0,VLOOKUP(F1182,КВР!A$1:B$5001,2),IF(E1182&gt;0,VLOOKUP(E1182,Направление!A$1:B$4830,2))))))</f>
        <v>Культура</v>
      </c>
      <c r="B1182" s="154"/>
      <c r="C1182" s="149">
        <v>801</v>
      </c>
      <c r="D1182" s="150"/>
      <c r="E1182" s="149"/>
      <c r="F1182" s="151"/>
      <c r="G1182" s="606">
        <v>2843186</v>
      </c>
      <c r="H1182" s="157">
        <f>H1183+H1190</f>
        <v>2843185</v>
      </c>
      <c r="I1182" s="157">
        <f t="shared" si="24"/>
        <v>5686371</v>
      </c>
    </row>
    <row r="1183" spans="1:9" ht="63" x14ac:dyDescent="0.25">
      <c r="A1183" s="153" t="str">
        <f>IF(B1183&gt;0,VLOOKUP(B1183,КВСР!A499:B1664,2),IF(C1183&gt;0,VLOOKUP(C1183,КФСР!A499:B2011,2),IF(D1183&gt;0,VLOOKUP(D1183,Программа!A$1:B$5100,2),IF(F1183&gt;0,VLOOKUP(F1183,КВР!A$1:B$5001,2),IF(E1183&gt;0,VLOOKUP(E1183,Направление!A$1:B$4830,2))))))</f>
        <v>Муниципальная программа "Обеспечение качественными коммунальными услугами населения Тутаевского муниципального района"</v>
      </c>
      <c r="B1183" s="154"/>
      <c r="C1183" s="149"/>
      <c r="D1183" s="150" t="s">
        <v>849</v>
      </c>
      <c r="E1183" s="149"/>
      <c r="F1183" s="151"/>
      <c r="G1183" s="606">
        <v>2843186</v>
      </c>
      <c r="H1183" s="157">
        <f>H1184</f>
        <v>2843185</v>
      </c>
      <c r="I1183" s="157">
        <f t="shared" si="24"/>
        <v>5686371</v>
      </c>
    </row>
    <row r="1184" spans="1:9" ht="78.75" x14ac:dyDescent="0.25">
      <c r="A1184" s="153" t="str">
        <f>IF(B1184&gt;0,VLOOKUP(B1184,КВСР!A500:B1665,2),IF(C1184&gt;0,VLOOKUP(C1184,КФСР!A500:B2012,2),IF(D1184&gt;0,VLOOKUP(D1184,Программа!A$1:B$5100,2),IF(F1184&gt;0,VLOOKUP(F1184,КВР!A$1:B$5001,2),IF(E1184&gt;0,VLOOKUP(E1184,Направление!A$1:B$4830,2))))))</f>
        <v xml:space="preserve">Муниципальная целевая   программа «Комплексная программа модернизации и реформирования жилищно-коммунального хозяйства Тутаевского муниципального района» </v>
      </c>
      <c r="B1184" s="154"/>
      <c r="C1184" s="149"/>
      <c r="D1184" s="150" t="s">
        <v>881</v>
      </c>
      <c r="E1184" s="149"/>
      <c r="F1184" s="151"/>
      <c r="G1184" s="606">
        <v>2843186</v>
      </c>
      <c r="H1184" s="157">
        <f>H1185</f>
        <v>2843185</v>
      </c>
      <c r="I1184" s="157">
        <f t="shared" si="24"/>
        <v>5686371</v>
      </c>
    </row>
    <row r="1185" spans="1:9" ht="47.25" x14ac:dyDescent="0.25">
      <c r="A1185" s="153" t="str">
        <f>IF(B1185&gt;0,VLOOKUP(B1185,КВСР!A501:B1666,2),IF(C1185&gt;0,VLOOKUP(C1185,КФСР!A501:B2013,2),IF(D1185&gt;0,VLOOKUP(D1185,Программа!A$1:B$5100,2),IF(F1185&gt;0,VLOOKUP(F1185,КВР!A$1:B$5001,2),IF(E1185&gt;0,VLOOKUP(E1185,Направление!A$1:B$4830,2))))))</f>
        <v>Повышение уровня газификации и модернизации объектов социальной сферы</v>
      </c>
      <c r="B1185" s="154"/>
      <c r="C1185" s="149"/>
      <c r="D1185" s="150" t="s">
        <v>882</v>
      </c>
      <c r="E1185" s="149"/>
      <c r="F1185" s="151"/>
      <c r="G1185" s="606">
        <v>2843186</v>
      </c>
      <c r="H1185" s="157">
        <f>H1186+H1188</f>
        <v>2843185</v>
      </c>
      <c r="I1185" s="157">
        <f t="shared" si="24"/>
        <v>5686371</v>
      </c>
    </row>
    <row r="1186" spans="1:9" ht="47.25" x14ac:dyDescent="0.25">
      <c r="A1186" s="153" t="str">
        <f>IF(B1186&gt;0,VLOOKUP(B1186,КВСР!A500:B1665,2),IF(C1186&gt;0,VLOOKUP(C1186,КФСР!A500:B2012,2),IF(D1186&gt;0,VLOOKUP(D1186,Программа!A$1:B$5100,2),IF(F1186&gt;0,VLOOKUP(F1186,КВР!A$1:B$5001,2),IF(E1186&gt;0,VLOOKUP(E1186,Направление!A$1:B$4830,2))))))</f>
        <v>Обеспечение деятельности учреждений по организации досуга в сфере культуры</v>
      </c>
      <c r="B1186" s="154"/>
      <c r="C1186" s="149"/>
      <c r="D1186" s="150"/>
      <c r="E1186" s="149">
        <v>15010</v>
      </c>
      <c r="F1186" s="151"/>
      <c r="G1186" s="606">
        <v>2843186</v>
      </c>
      <c r="H1186" s="157">
        <f>H1187</f>
        <v>2843185</v>
      </c>
      <c r="I1186" s="157">
        <f t="shared" si="24"/>
        <v>5686371</v>
      </c>
    </row>
    <row r="1187" spans="1:9" ht="47.25" x14ac:dyDescent="0.25">
      <c r="A1187" s="153" t="str">
        <f>IF(B1187&gt;0,VLOOKUP(B1187,КВСР!A501:B1666,2),IF(C1187&gt;0,VLOOKUP(C1187,КФСР!A501:B2013,2),IF(D1187&gt;0,VLOOKUP(D1187,Программа!A$1:B$5100,2),IF(F1187&gt;0,VLOOKUP(F1187,КВР!A$1:B$5001,2),IF(E1187&gt;0,VLOOKUP(E1187,Направление!A$1:B$4830,2))))))</f>
        <v>Капитальные вложения в объекты государственной (муниципальной) собственности</v>
      </c>
      <c r="B1187" s="154"/>
      <c r="C1187" s="149"/>
      <c r="D1187" s="151"/>
      <c r="E1187" s="149"/>
      <c r="F1187" s="151">
        <v>400</v>
      </c>
      <c r="G1187" s="516">
        <v>2843186</v>
      </c>
      <c r="H1187" s="158">
        <v>2843185</v>
      </c>
      <c r="I1187" s="157">
        <f t="shared" si="24"/>
        <v>5686371</v>
      </c>
    </row>
    <row r="1188" spans="1:9" ht="47.25" hidden="1" x14ac:dyDescent="0.25">
      <c r="A1188" s="153" t="str">
        <f>IF(B1188&gt;0,VLOOKUP(B1188,КВСР!A502:B1667,2),IF(C1188&gt;0,VLOOKUP(C1188,КФСР!A502:B2014,2),IF(D1188&gt;0,VLOOKUP(D1188,Программа!A$1:B$5100,2),IF(F1188&gt;0,VLOOKUP(F1188,КВР!A$1:B$5001,2),IF(E1188&gt;0,VLOOKUP(E1188,Направление!A$1:B$4830,2))))))</f>
        <v>Расходы на проведение капитального ремонта муниципальных учреждений культуры</v>
      </c>
      <c r="B1188" s="154"/>
      <c r="C1188" s="149"/>
      <c r="D1188" s="151"/>
      <c r="E1188" s="149">
        <v>71690</v>
      </c>
      <c r="F1188" s="151"/>
      <c r="G1188" s="606">
        <v>0</v>
      </c>
      <c r="H1188" s="157">
        <f>H1189</f>
        <v>0</v>
      </c>
      <c r="I1188" s="157">
        <f t="shared" si="24"/>
        <v>0</v>
      </c>
    </row>
    <row r="1189" spans="1:9" ht="63" hidden="1" x14ac:dyDescent="0.25">
      <c r="A1189" s="153" t="str">
        <f>IF(B1189&gt;0,VLOOKUP(B1189,КВСР!A503:B1668,2),IF(C1189&gt;0,VLOOKUP(C1189,КФСР!A503:B2015,2),IF(D1189&gt;0,VLOOKUP(D1189,Программа!A$1:B$5100,2),IF(F1189&gt;0,VLOOKUP(F1189,КВР!A$1:B$5001,2),IF(E1189&gt;0,VLOOKUP(E1189,Направление!A$1:B$4830,2))))))</f>
        <v>Предоставление субсидий бюджетным, автономным учреждениям и иным некоммерческим организациям</v>
      </c>
      <c r="B1189" s="154"/>
      <c r="C1189" s="149"/>
      <c r="D1189" s="151"/>
      <c r="E1189" s="149"/>
      <c r="F1189" s="151">
        <v>600</v>
      </c>
      <c r="G1189" s="516">
        <v>0</v>
      </c>
      <c r="H1189" s="158"/>
      <c r="I1189" s="157">
        <f t="shared" si="24"/>
        <v>0</v>
      </c>
    </row>
    <row r="1190" spans="1:9" ht="63" hidden="1" x14ac:dyDescent="0.25">
      <c r="A1190" s="153" t="str">
        <f>IF(B1190&gt;0,VLOOKUP(B1190,КВСР!A504:B1669,2),IF(C1190&gt;0,VLOOKUP(C1190,КФСР!A504:B2016,2),IF(D1190&gt;0,VLOOKUP(D1190,Программа!A$1:B$5100,2),IF(F1190&gt;0,VLOOKUP(F1190,КВР!A$1:B$5001,2),IF(E1190&gt;0,VLOOKUP(E1190,Направление!A$1:B$4830,2))))))</f>
        <v>Муниципальная программа "Обеспечение качественными коммунальными услугами населения Тутаевского муниципального района"</v>
      </c>
      <c r="B1190" s="154"/>
      <c r="C1190" s="149"/>
      <c r="D1190" s="150" t="s">
        <v>849</v>
      </c>
      <c r="E1190" s="149"/>
      <c r="F1190" s="151"/>
      <c r="G1190" s="516">
        <v>0</v>
      </c>
      <c r="H1190" s="516">
        <f>H1191</f>
        <v>0</v>
      </c>
      <c r="I1190" s="157">
        <f t="shared" si="24"/>
        <v>0</v>
      </c>
    </row>
    <row r="1191" spans="1:9" ht="78.75" hidden="1" x14ac:dyDescent="0.25">
      <c r="A1191" s="153" t="str">
        <f>IF(B1191&gt;0,VLOOKUP(B1191,КВСР!A505:B1670,2),IF(C1191&gt;0,VLOOKUP(C1191,КФСР!A505:B2017,2),IF(D1191&gt;0,VLOOKUP(D1191,Программа!A$1:B$5100,2),IF(F1191&gt;0,VLOOKUP(F1191,КВР!A$1:B$5001,2),IF(E1191&gt;0,VLOOKUP(E1191,Направление!A$1:B$4830,2))))))</f>
        <v xml:space="preserve">Муниципальная целевая   программа «Комплексная программа модернизации и реформирования жилищно-коммунального хозяйства Тутаевского муниципального района» </v>
      </c>
      <c r="B1191" s="154"/>
      <c r="C1191" s="149"/>
      <c r="D1191" s="150" t="s">
        <v>881</v>
      </c>
      <c r="E1191" s="149"/>
      <c r="F1191" s="151"/>
      <c r="G1191" s="516">
        <v>0</v>
      </c>
      <c r="H1191" s="516">
        <f>H1192</f>
        <v>0</v>
      </c>
      <c r="I1191" s="157">
        <f t="shared" si="24"/>
        <v>0</v>
      </c>
    </row>
    <row r="1192" spans="1:9" ht="47.25" hidden="1" x14ac:dyDescent="0.25">
      <c r="A1192" s="153" t="str">
        <f>IF(B1192&gt;0,VLOOKUP(B1192,КВСР!A506:B1671,2),IF(C1192&gt;0,VLOOKUP(C1192,КФСР!A506:B2018,2),IF(D1192&gt;0,VLOOKUP(D1192,Программа!A$1:B$5100,2),IF(F1192&gt;0,VLOOKUP(F1192,КВР!A$1:B$5001,2),IF(E1192&gt;0,VLOOKUP(E1192,Направление!A$1:B$4830,2))))))</f>
        <v>Повышение уровня газификации и модернизации объектов социальной сферы</v>
      </c>
      <c r="B1192" s="154"/>
      <c r="C1192" s="149"/>
      <c r="D1192" s="150" t="s">
        <v>882</v>
      </c>
      <c r="E1192" s="149"/>
      <c r="F1192" s="151"/>
      <c r="G1192" s="516">
        <v>0</v>
      </c>
      <c r="H1192" s="516">
        <f>H1193</f>
        <v>0</v>
      </c>
      <c r="I1192" s="157">
        <f t="shared" si="24"/>
        <v>0</v>
      </c>
    </row>
    <row r="1193" spans="1:9" ht="47.25" hidden="1" x14ac:dyDescent="0.25">
      <c r="A1193" s="153" t="str">
        <f>IF(B1193&gt;0,VLOOKUP(B1193,КВСР!A507:B1672,2),IF(C1193&gt;0,VLOOKUP(C1193,КФСР!A507:B2019,2),IF(D1193&gt;0,VLOOKUP(D1193,Программа!A$1:B$5100,2),IF(F1193&gt;0,VLOOKUP(F1193,КВР!A$1:B$5001,2),IF(E1193&gt;0,VLOOKUP(E1193,Направление!A$1:B$4830,2))))))</f>
        <v>Обеспечение деятельности учреждений по организации досуга в сфере культуры</v>
      </c>
      <c r="B1193" s="154"/>
      <c r="C1193" s="149"/>
      <c r="D1193" s="151"/>
      <c r="E1193" s="149">
        <v>15010</v>
      </c>
      <c r="F1193" s="151"/>
      <c r="G1193" s="516">
        <v>0</v>
      </c>
      <c r="H1193" s="516">
        <f>H1194</f>
        <v>0</v>
      </c>
      <c r="I1193" s="157">
        <f t="shared" si="24"/>
        <v>0</v>
      </c>
    </row>
    <row r="1194" spans="1:9" ht="63" hidden="1" x14ac:dyDescent="0.25">
      <c r="A1194" s="153" t="str">
        <f>IF(B1194&gt;0,VLOOKUP(B1194,КВСР!A508:B1673,2),IF(C1194&gt;0,VLOOKUP(C1194,КФСР!A508:B2020,2),IF(D1194&gt;0,VLOOKUP(D1194,Программа!A$1:B$5100,2),IF(F1194&gt;0,VLOOKUP(F1194,КВР!A$1:B$5001,2),IF(E1194&gt;0,VLOOKUP(E1194,Направление!A$1:B$4830,2))))))</f>
        <v>Предоставление субсидий бюджетным, автономным учреждениям и иным некоммерческим организациям</v>
      </c>
      <c r="B1194" s="154"/>
      <c r="C1194" s="149"/>
      <c r="D1194" s="151"/>
      <c r="E1194" s="149"/>
      <c r="F1194" s="151">
        <v>600</v>
      </c>
      <c r="G1194" s="516">
        <v>0</v>
      </c>
      <c r="H1194" s="158"/>
      <c r="I1194" s="157">
        <f t="shared" si="24"/>
        <v>0</v>
      </c>
    </row>
    <row r="1195" spans="1:9" x14ac:dyDescent="0.25">
      <c r="A1195" s="153" t="str">
        <f>IF(B1195&gt;0,VLOOKUP(B1195,КВСР!A504:B1669,2),IF(C1195&gt;0,VLOOKUP(C1195,КФСР!A504:B2016,2),IF(D1195&gt;0,VLOOKUP(D1195,Программа!A$1:B$5100,2),IF(F1195&gt;0,VLOOKUP(F1195,КВР!A$1:B$5001,2),IF(E1195&gt;0,VLOOKUP(E1195,Направление!A$1:B$4830,2))))))</f>
        <v>Социальное обеспечение населения</v>
      </c>
      <c r="B1195" s="154"/>
      <c r="C1195" s="149">
        <v>1003</v>
      </c>
      <c r="D1195" s="151"/>
      <c r="E1195" s="149"/>
      <c r="F1195" s="151"/>
      <c r="G1195" s="516">
        <v>676007</v>
      </c>
      <c r="H1195" s="516">
        <f>H1196</f>
        <v>619565</v>
      </c>
      <c r="I1195" s="157">
        <f t="shared" si="24"/>
        <v>1295572</v>
      </c>
    </row>
    <row r="1196" spans="1:9" ht="78.75" x14ac:dyDescent="0.25">
      <c r="A1196" s="153" t="str">
        <f>IF(B1196&gt;0,VLOOKUP(B1196,КВСР!A505:B1670,2),IF(C1196&gt;0,VLOOKUP(C1196,КФСР!A505:B2017,2),IF(D1196&gt;0,VLOOKUP(D1196,Программа!A$1:B$5100,2),IF(F1196&gt;0,VLOOKUP(F1196,КВР!A$1:B$5001,2),IF(E1196&gt;0,VLOOKUP(E1196,Направление!A$1:B$4830,2))))))</f>
        <v>Муниципальная программа  "Организация перевозок автомобильным и речным транспортом на территории Тутаевского муниципального района"</v>
      </c>
      <c r="B1196" s="154"/>
      <c r="C1196" s="149"/>
      <c r="D1196" s="151" t="s">
        <v>859</v>
      </c>
      <c r="E1196" s="149"/>
      <c r="F1196" s="151"/>
      <c r="G1196" s="516">
        <v>676007</v>
      </c>
      <c r="H1196" s="516">
        <f>H1197+H1200</f>
        <v>619565</v>
      </c>
      <c r="I1196" s="157">
        <f t="shared" si="24"/>
        <v>1295572</v>
      </c>
    </row>
    <row r="1197" spans="1:9" ht="94.5" x14ac:dyDescent="0.25">
      <c r="A1197" s="153" t="str">
        <f>IF(B1197&gt;0,VLOOKUP(B1197,КВСР!A506:B1671,2),IF(C1197&gt;0,VLOOKUP(C1197,КФСР!A506:B2018,2),IF(D1197&gt;0,VLOOKUP(D1197,Программа!A$1:B$5100,2),IF(F1197&gt;0,VLOOKUP(F1197,КВР!A$1:B$5001,2),IF(E1197&gt;0,VLOOKUP(E1197,Направление!A$1:B$4830,2))))))</f>
        <v>Предоставление социальных услуг лицам, находящимся под диспансерным наблюдением в связи с туберкулезом, и больных туберкулезом  при проезде в транспорте общего пользования</v>
      </c>
      <c r="B1197" s="154"/>
      <c r="C1197" s="149"/>
      <c r="D1197" s="150" t="s">
        <v>861</v>
      </c>
      <c r="E1197" s="149"/>
      <c r="F1197" s="151"/>
      <c r="G1197" s="500">
        <v>15000</v>
      </c>
      <c r="H1197" s="155">
        <f>H1198</f>
        <v>10279</v>
      </c>
      <c r="I1197" s="157">
        <f t="shared" si="24"/>
        <v>25279</v>
      </c>
    </row>
    <row r="1198" spans="1:9" ht="94.5" x14ac:dyDescent="0.25">
      <c r="A1198" s="153" t="str">
        <f>IF(B1198&gt;0,VLOOKUP(B1198,КВСР!A507:B1672,2),IF(C1198&gt;0,VLOOKUP(C1198,КФСР!A507:B2019,2),IF(D1198&gt;0,VLOOKUP(D1198,Программа!A$1:B$5100,2),IF(F1198&gt;0,VLOOKUP(F1198,КВР!A$1:B$5001,2),IF(E1198&gt;0,VLOOKUP(E1198,Направление!A$1:B$4830,2))))))</f>
        <v>Субсидия на предоставление бесплатного проезда лицам, находящимся под диспансерным наблюдением в связи с туберкулезом, и больным туберкулезом за счет средств областного бюджета</v>
      </c>
      <c r="B1198" s="154"/>
      <c r="C1198" s="149"/>
      <c r="D1198" s="150"/>
      <c r="E1198" s="149">
        <v>72550</v>
      </c>
      <c r="F1198" s="151"/>
      <c r="G1198" s="500">
        <v>15000</v>
      </c>
      <c r="H1198" s="155">
        <f>H1199</f>
        <v>10279</v>
      </c>
      <c r="I1198" s="157">
        <f t="shared" si="24"/>
        <v>25279</v>
      </c>
    </row>
    <row r="1199" spans="1:9" x14ac:dyDescent="0.25">
      <c r="A1199" s="153" t="str">
        <f>IF(B1199&gt;0,VLOOKUP(B1199,КВСР!A508:B1673,2),IF(C1199&gt;0,VLOOKUP(C1199,КФСР!A508:B2020,2),IF(D1199&gt;0,VLOOKUP(D1199,Программа!A$1:B$5100,2),IF(F1199&gt;0,VLOOKUP(F1199,КВР!A$1:B$5001,2),IF(E1199&gt;0,VLOOKUP(E1199,Направление!A$1:B$4830,2))))))</f>
        <v>Иные бюджетные ассигнования</v>
      </c>
      <c r="B1199" s="154"/>
      <c r="C1199" s="149"/>
      <c r="D1199" s="151"/>
      <c r="E1199" s="149"/>
      <c r="F1199" s="151">
        <v>800</v>
      </c>
      <c r="G1199" s="498">
        <v>15000</v>
      </c>
      <c r="H1199" s="156">
        <v>10279</v>
      </c>
      <c r="I1199" s="157">
        <f t="shared" si="24"/>
        <v>25279</v>
      </c>
    </row>
    <row r="1200" spans="1:9" ht="78.75" x14ac:dyDescent="0.25">
      <c r="A1200" s="153" t="str">
        <f>IF(B1200&gt;0,VLOOKUP(B1200,КВСР!A509:B1674,2),IF(C1200&gt;0,VLOOKUP(C1200,КФСР!A509:B2021,2),IF(D1200&gt;0,VLOOKUP(D1200,Программа!A$1:B$5100,2),IF(F1200&gt;0,VLOOKUP(F1200,КВР!A$1:B$5001,2),IF(E1200&gt;0,VLOOKUP(E1200,Направление!A$1:B$4830,2))))))</f>
        <v>Предоставление социальных услуг детям из многодетных семей, обучающихся в общеобразовательных организациях  при проезде в транспорте общего пользования</v>
      </c>
      <c r="B1200" s="154"/>
      <c r="C1200" s="149"/>
      <c r="D1200" s="150" t="s">
        <v>863</v>
      </c>
      <c r="E1200" s="149"/>
      <c r="F1200" s="151"/>
      <c r="G1200" s="164">
        <v>661007</v>
      </c>
      <c r="H1200" s="164">
        <f>H1201</f>
        <v>609286</v>
      </c>
      <c r="I1200" s="157">
        <f t="shared" si="24"/>
        <v>1270293</v>
      </c>
    </row>
    <row r="1201" spans="1:9" ht="78.75" x14ac:dyDescent="0.25">
      <c r="A1201" s="153" t="str">
        <f>IF(B1201&gt;0,VLOOKUP(B1201,КВСР!A510:B1675,2),IF(C1201&gt;0,VLOOKUP(C1201,КФСР!A510:B2022,2),IF(D1201&gt;0,VLOOKUP(D1201,Программа!A$1:B$5100,2),IF(F1201&gt;0,VLOOKUP(F1201,КВР!A$1:B$5001,2),IF(E1201&gt;0,VLOOKUP(E1201,Направление!A$1:B$4830,2))))))</f>
        <v>Субсидия на предоставление бесплатного проезда детям из многодетных семей, обучающимся в общеобразовательных учреждениях, за счет средств областного бюджета</v>
      </c>
      <c r="B1201" s="154"/>
      <c r="C1201" s="149"/>
      <c r="D1201" s="151"/>
      <c r="E1201" s="149">
        <v>72560</v>
      </c>
      <c r="F1201" s="151"/>
      <c r="G1201" s="164">
        <v>661007</v>
      </c>
      <c r="H1201" s="164">
        <f>H1202</f>
        <v>609286</v>
      </c>
      <c r="I1201" s="157">
        <f t="shared" si="24"/>
        <v>1270293</v>
      </c>
    </row>
    <row r="1202" spans="1:9" x14ac:dyDescent="0.25">
      <c r="A1202" s="153" t="str">
        <f>IF(B1202&gt;0,VLOOKUP(B1202,КВСР!A511:B1676,2),IF(C1202&gt;0,VLOOKUP(C1202,КФСР!A511:B2023,2),IF(D1202&gt;0,VLOOKUP(D1202,Программа!A$1:B$5100,2),IF(F1202&gt;0,VLOOKUP(F1202,КВР!A$1:B$5001,2),IF(E1202&gt;0,VLOOKUP(E1202,Направление!A$1:B$4830,2))))))</f>
        <v>Иные бюджетные ассигнования</v>
      </c>
      <c r="B1202" s="154"/>
      <c r="C1202" s="149"/>
      <c r="D1202" s="151"/>
      <c r="E1202" s="149"/>
      <c r="F1202" s="151">
        <v>800</v>
      </c>
      <c r="G1202" s="498">
        <v>661007</v>
      </c>
      <c r="H1202" s="156">
        <v>609286</v>
      </c>
      <c r="I1202" s="157">
        <f t="shared" si="24"/>
        <v>1270293</v>
      </c>
    </row>
    <row r="1203" spans="1:9" hidden="1" x14ac:dyDescent="0.25">
      <c r="A1203" s="153" t="str">
        <f>IF(B1203&gt;0,VLOOKUP(B1203,КВСР!A501:B1666,2),IF(C1203&gt;0,VLOOKUP(C1203,КФСР!A501:B2013,2),IF(D1203&gt;0,VLOOKUP(D1203,Программа!A$1:B$5100,2),IF(F1203&gt;0,VLOOKUP(F1203,КВР!A$1:B$5001,2),IF(E1203&gt;0,VLOOKUP(E1203,Направление!A$1:B$4830,2))))))</f>
        <v>Массовый спорт</v>
      </c>
      <c r="B1203" s="154"/>
      <c r="C1203" s="149">
        <v>1102</v>
      </c>
      <c r="D1203" s="150"/>
      <c r="E1203" s="149"/>
      <c r="F1203" s="151"/>
      <c r="G1203" s="500">
        <v>0</v>
      </c>
      <c r="H1203" s="155">
        <f>H1206</f>
        <v>0</v>
      </c>
      <c r="I1203" s="157">
        <f t="shared" si="24"/>
        <v>0</v>
      </c>
    </row>
    <row r="1204" spans="1:9" ht="63" hidden="1" x14ac:dyDescent="0.25">
      <c r="A1204" s="153" t="str">
        <f>IF(B1204&gt;0,VLOOKUP(B1204,КВСР!A502:B1667,2),IF(C1204&gt;0,VLOOKUP(C1204,КФСР!A502:B2016,2),IF(D1204&gt;0,VLOOKUP(D1204,Программа!A$1:B$5100,2),IF(F1204&gt;0,VLOOKUP(F1204,КВР!A$1:B$5001,2),IF(E1204&gt;0,VLOOKUP(E1204,Направление!A$1:B$4830,2))))))</f>
        <v>Муниципальная программа "Развитие образования, физической культуры и спорта в Тутаевском муниципальном районе"</v>
      </c>
      <c r="B1204" s="154"/>
      <c r="C1204" s="149"/>
      <c r="D1204" s="150" t="s">
        <v>684</v>
      </c>
      <c r="E1204" s="149"/>
      <c r="F1204" s="151"/>
      <c r="G1204" s="500">
        <v>0</v>
      </c>
      <c r="H1204" s="155">
        <f>H1206</f>
        <v>0</v>
      </c>
      <c r="I1204" s="157">
        <f t="shared" si="24"/>
        <v>0</v>
      </c>
    </row>
    <row r="1205" spans="1:9" ht="63" hidden="1" x14ac:dyDescent="0.25">
      <c r="A1205" s="153" t="str">
        <f>IF(B1205&gt;0,VLOOKUP(B1205,КВСР!A503:B1668,2),IF(C1205&gt;0,VLOOKUP(C1205,КФСР!A503:B2017,2),IF(D1205&gt;0,VLOOKUP(D1205,Программа!A$1:B$5100,2),IF(F1205&gt;0,VLOOKUP(F1205,КВР!A$1:B$5001,2),IF(E1205&gt;0,VLOOKUP(E1205,Направление!A$1:B$4830,2))))))</f>
        <v>Муниципальная целевая программа "Развитие физической культуры и спорта в Тутаевском муниципальном районе"</v>
      </c>
      <c r="B1205" s="154"/>
      <c r="C1205" s="149"/>
      <c r="D1205" s="150" t="s">
        <v>704</v>
      </c>
      <c r="E1205" s="149"/>
      <c r="F1205" s="151"/>
      <c r="G1205" s="500">
        <v>0</v>
      </c>
      <c r="H1205" s="155">
        <f>H1206</f>
        <v>0</v>
      </c>
      <c r="I1205" s="157">
        <f t="shared" si="24"/>
        <v>0</v>
      </c>
    </row>
    <row r="1206" spans="1:9" ht="31.5" hidden="1" x14ac:dyDescent="0.25">
      <c r="A1206" s="153" t="str">
        <f>IF(B1206&gt;0,VLOOKUP(B1206,КВСР!A504:B1669,2),IF(C1206&gt;0,VLOOKUP(C1206,КФСР!A504:B2018,2),IF(D1206&gt;0,VLOOKUP(D1206,Программа!A$1:B$5100,2),IF(F1206&gt;0,VLOOKUP(F1206,КВР!A$1:B$5001,2),IF(E1206&gt;0,VLOOKUP(E1206,Направление!A$1:B$4830,2))))))</f>
        <v>Развитие сети плоскостных спортивных сооружений</v>
      </c>
      <c r="B1206" s="154"/>
      <c r="C1206" s="149"/>
      <c r="D1206" s="150" t="s">
        <v>742</v>
      </c>
      <c r="E1206" s="149"/>
      <c r="F1206" s="151"/>
      <c r="G1206" s="500">
        <v>0</v>
      </c>
      <c r="H1206" s="155">
        <f>H1207</f>
        <v>0</v>
      </c>
      <c r="I1206" s="157">
        <f t="shared" si="24"/>
        <v>0</v>
      </c>
    </row>
    <row r="1207" spans="1:9" ht="47.25" hidden="1" x14ac:dyDescent="0.25">
      <c r="A1207" s="153" t="str">
        <f>IF(B1207&gt;0,VLOOKUP(B1207,КВСР!A503:B1668,2),IF(C1207&gt;0,VLOOKUP(C1207,КФСР!A503:B2016,2),IF(D1207&gt;0,VLOOKUP(D1207,Программа!A$1:B$5100,2),IF(F1207&gt;0,VLOOKUP(F1207,КВР!A$1:B$5001,2),IF(E1207&gt;0,VLOOKUP(E1207,Направление!A$1:B$4830,2))))))</f>
        <v xml:space="preserve">Развитие сети плоскостных спортивных сооружений в муниципальных образованиях </v>
      </c>
      <c r="B1207" s="154"/>
      <c r="C1207" s="149"/>
      <c r="D1207" s="150"/>
      <c r="E1207" s="168" t="s">
        <v>763</v>
      </c>
      <c r="F1207" s="169"/>
      <c r="G1207" s="500">
        <v>0</v>
      </c>
      <c r="H1207" s="155">
        <f>H1208</f>
        <v>0</v>
      </c>
      <c r="I1207" s="157">
        <f t="shared" si="24"/>
        <v>0</v>
      </c>
    </row>
    <row r="1208" spans="1:9" ht="63" hidden="1" x14ac:dyDescent="0.25">
      <c r="A1208" s="153" t="str">
        <f>IF(B1208&gt;0,VLOOKUP(B1208,КВСР!A504:B1669,2),IF(C1208&gt;0,VLOOKUP(C1208,КФСР!A504:B2016,2),IF(D1208&gt;0,VLOOKUP(D1208,Программа!A$1:B$5100,2),IF(F1208&gt;0,VLOOKUP(F1208,КВР!A$1:B$5001,2),IF(E1208&gt;0,VLOOKUP(E1208,Направление!A$1:B$4830,2))))))</f>
        <v>Предоставление субсидий бюджетным, автономным учреждениям и иным некоммерческим организациям</v>
      </c>
      <c r="B1208" s="154"/>
      <c r="C1208" s="149"/>
      <c r="D1208" s="150"/>
      <c r="E1208" s="168"/>
      <c r="F1208" s="169">
        <v>600</v>
      </c>
      <c r="G1208" s="498">
        <v>0</v>
      </c>
      <c r="H1208" s="156"/>
      <c r="I1208" s="157">
        <f t="shared" si="24"/>
        <v>0</v>
      </c>
    </row>
    <row r="1209" spans="1:9" ht="31.5" x14ac:dyDescent="0.25">
      <c r="A1209" s="147" t="str">
        <f>IF(B1209&gt;0,VLOOKUP(B1209,КВСР!A527:B1692,2),IF(C1209&gt;0,VLOOKUP(C1209,КФСР!A527:B2039,2),IF(D1209&gt;0,VLOOKUP(D1209,Программа!A$1:B$5100,2),IF(F1209&gt;0,VLOOKUP(F1209,КВР!A$1:B$5001,2),IF(E1209&gt;0,VLOOKUP(E1209,Направление!A$1:B$4830,2))))))</f>
        <v>МУ Контрольно-счетная палата ТМР</v>
      </c>
      <c r="B1209" s="148">
        <v>982</v>
      </c>
      <c r="C1209" s="183"/>
      <c r="D1209" s="184"/>
      <c r="E1209" s="183"/>
      <c r="F1209" s="185"/>
      <c r="G1209" s="605">
        <v>1966995</v>
      </c>
      <c r="H1209" s="152">
        <f>H1210</f>
        <v>1985905</v>
      </c>
      <c r="I1209" s="620">
        <f t="shared" si="24"/>
        <v>3952900</v>
      </c>
    </row>
    <row r="1210" spans="1:9" ht="63" x14ac:dyDescent="0.25">
      <c r="A1210" s="153" t="str">
        <f>IF(B1210&gt;0,VLOOKUP(B1210,КВСР!A528:B1693,2),IF(C1210&gt;0,VLOOKUP(C1210,КФСР!A528:B2040,2),IF(D1210&gt;0,VLOOKUP(D1210,Программа!A$1:B$5100,2),IF(F1210&gt;0,VLOOKUP(F1210,КВР!A$1:B$5001,2),IF(E1210&gt;0,VLOOKUP(E1210,Направление!A$1:B$4830,2))))))</f>
        <v>Обеспечение деятельности финансовых, налоговых и таможенных органов и органов финансового (финансово-бюджетного) надзора</v>
      </c>
      <c r="B1210" s="180"/>
      <c r="C1210" s="149">
        <v>106</v>
      </c>
      <c r="D1210" s="174"/>
      <c r="E1210" s="175"/>
      <c r="F1210" s="177"/>
      <c r="G1210" s="500">
        <v>1966995</v>
      </c>
      <c r="H1210" s="155">
        <f>H1211</f>
        <v>1985905</v>
      </c>
      <c r="I1210" s="157">
        <f t="shared" si="24"/>
        <v>3952900</v>
      </c>
    </row>
    <row r="1211" spans="1:9" x14ac:dyDescent="0.25">
      <c r="A1211" s="153" t="str">
        <f>IF(B1211&gt;0,VLOOKUP(B1211,КВСР!A529:B1694,2),IF(C1211&gt;0,VLOOKUP(C1211,КФСР!A529:B2041,2),IF(D1211&gt;0,VLOOKUP(D1211,Программа!A$1:B$5100,2),IF(F1211&gt;0,VLOOKUP(F1211,КВР!A$1:B$5001,2),IF(E1211&gt;0,VLOOKUP(E1211,Направление!A$1:B$4830,2))))))</f>
        <v>Непрограммные расходы бюджета</v>
      </c>
      <c r="B1211" s="180"/>
      <c r="C1211" s="149"/>
      <c r="D1211" s="174" t="s">
        <v>624</v>
      </c>
      <c r="E1211" s="175"/>
      <c r="F1211" s="177"/>
      <c r="G1211" s="500">
        <v>1966995</v>
      </c>
      <c r="H1211" s="155">
        <f>H1212+H1217+H1219</f>
        <v>1985905</v>
      </c>
      <c r="I1211" s="157">
        <f t="shared" si="24"/>
        <v>3952900</v>
      </c>
    </row>
    <row r="1212" spans="1:9" x14ac:dyDescent="0.25">
      <c r="A1212" s="153" t="str">
        <f>IF(B1212&gt;0,VLOOKUP(B1212,КВСР!A530:B1695,2),IF(C1212&gt;0,VLOOKUP(C1212,КФСР!A530:B2042,2),IF(D1212&gt;0,VLOOKUP(D1212,Программа!A$1:B$5100,2),IF(F1212&gt;0,VLOOKUP(F1212,КВР!A$1:B$5001,2),IF(E1212&gt;0,VLOOKUP(E1212,Направление!A$1:B$4830,2))))))</f>
        <v>Содержание центрального аппарата</v>
      </c>
      <c r="B1212" s="180"/>
      <c r="C1212" s="175"/>
      <c r="D1212" s="150"/>
      <c r="E1212" s="149">
        <v>12010</v>
      </c>
      <c r="F1212" s="177"/>
      <c r="G1212" s="500">
        <v>978916</v>
      </c>
      <c r="H1212" s="155">
        <f>H1213+H1214+H1216+H1215</f>
        <v>994576</v>
      </c>
      <c r="I1212" s="157">
        <f t="shared" si="24"/>
        <v>1973492</v>
      </c>
    </row>
    <row r="1213" spans="1:9" ht="126" x14ac:dyDescent="0.25">
      <c r="A1213" s="153" t="str">
        <f>IF(B1213&gt;0,VLOOKUP(B1213,КВСР!A531:B1696,2),IF(C1213&gt;0,VLOOKUP(C1213,КФСР!A531:B2043,2),IF(D1213&gt;0,VLOOKUP(D1213,Программа!A$1:B$5100,2),IF(F1213&gt;0,VLOOKUP(F1213,КВР!A$1:B$5001,2),IF(E1213&gt;0,VLOOKUP(E1213,Направление!A$1:B$4830,2))))))</f>
        <v xml:space="preserve">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
</v>
      </c>
      <c r="B1213" s="180"/>
      <c r="C1213" s="175"/>
      <c r="D1213" s="177"/>
      <c r="E1213" s="175"/>
      <c r="F1213" s="177">
        <v>100</v>
      </c>
      <c r="G1213" s="498">
        <v>883579</v>
      </c>
      <c r="H1213" s="156">
        <v>918855</v>
      </c>
      <c r="I1213" s="157">
        <f t="shared" si="24"/>
        <v>1802434</v>
      </c>
    </row>
    <row r="1214" spans="1:9" ht="63" x14ac:dyDescent="0.25">
      <c r="A1214" s="153" t="str">
        <f>IF(B1214&gt;0,VLOOKUP(B1214,КВСР!A532:B1697,2),IF(C1214&gt;0,VLOOKUP(C1214,КФСР!A532:B2044,2),IF(D1214&gt;0,VLOOKUP(D1214,Программа!A$1:B$5100,2),IF(F1214&gt;0,VLOOKUP(F1214,КВР!A$1:B$5001,2),IF(E1214&gt;0,VLOOKUP(E1214,Направление!A$1:B$4830,2))))))</f>
        <v xml:space="preserve">Закупка товаров, работ и услуг для обеспечения государственных (муниципальных) нужд
</v>
      </c>
      <c r="B1214" s="180"/>
      <c r="C1214" s="175"/>
      <c r="D1214" s="177"/>
      <c r="E1214" s="175"/>
      <c r="F1214" s="177">
        <v>200</v>
      </c>
      <c r="G1214" s="498">
        <v>62574</v>
      </c>
      <c r="H1214" s="156">
        <v>43059</v>
      </c>
      <c r="I1214" s="157">
        <f t="shared" si="24"/>
        <v>105633</v>
      </c>
    </row>
    <row r="1215" spans="1:9" ht="31.5" x14ac:dyDescent="0.25">
      <c r="A1215" s="153" t="str">
        <f>IF(B1215&gt;0,VLOOKUP(B1215,КВСР!A533:B1698,2),IF(C1215&gt;0,VLOOKUP(C1215,КФСР!A533:B2045,2),IF(D1215&gt;0,VLOOKUP(D1215,Программа!A$1:B$5100,2),IF(F1215&gt;0,VLOOKUP(F1215,КВР!A$1:B$5001,2),IF(E1215&gt;0,VLOOKUP(E1215,Направление!A$1:B$4830,2))))))</f>
        <v>Социальное обеспечение и иные выплаты населению</v>
      </c>
      <c r="B1215" s="180"/>
      <c r="C1215" s="175"/>
      <c r="D1215" s="177"/>
      <c r="E1215" s="175"/>
      <c r="F1215" s="177">
        <v>300</v>
      </c>
      <c r="G1215" s="498">
        <v>32163</v>
      </c>
      <c r="H1215" s="156">
        <v>32162</v>
      </c>
      <c r="I1215" s="157">
        <f t="shared" si="24"/>
        <v>64325</v>
      </c>
    </row>
    <row r="1216" spans="1:9" x14ac:dyDescent="0.25">
      <c r="A1216" s="153" t="str">
        <f>IF(B1216&gt;0,VLOOKUP(B1216,КВСР!A533:B1698,2),IF(C1216&gt;0,VLOOKUP(C1216,КФСР!A533:B2045,2),IF(D1216&gt;0,VLOOKUP(D1216,Программа!A$1:B$5100,2),IF(F1216&gt;0,VLOOKUP(F1216,КВР!A$1:B$5001,2),IF(E1216&gt;0,VLOOKUP(E1216,Направление!A$1:B$4830,2))))))</f>
        <v>Иные бюджетные ассигнования</v>
      </c>
      <c r="B1216" s="180"/>
      <c r="C1216" s="175"/>
      <c r="D1216" s="177"/>
      <c r="E1216" s="175"/>
      <c r="F1216" s="177">
        <v>800</v>
      </c>
      <c r="G1216" s="498">
        <v>600</v>
      </c>
      <c r="H1216" s="156">
        <v>500</v>
      </c>
      <c r="I1216" s="157">
        <f t="shared" si="24"/>
        <v>1100</v>
      </c>
    </row>
    <row r="1217" spans="1:9" ht="47.25" x14ac:dyDescent="0.25">
      <c r="A1217" s="153" t="str">
        <f>IF(B1217&gt;0,VLOOKUP(B1217,КВСР!A534:B1699,2),IF(C1217&gt;0,VLOOKUP(C1217,КФСР!A534:B2046,2),IF(D1217&gt;0,VLOOKUP(D1217,Программа!A$1:B$5100,2),IF(F1217&gt;0,VLOOKUP(F1217,КВР!A$1:B$5001,2),IF(E1217&gt;0,VLOOKUP(E1217,Направление!A$1:B$4830,2))))))</f>
        <v>Содержание руководителя контрольно-счетной палаты муниципального образования и его заместителей</v>
      </c>
      <c r="B1217" s="180"/>
      <c r="C1217" s="175"/>
      <c r="D1217" s="174"/>
      <c r="E1217" s="175">
        <v>12030</v>
      </c>
      <c r="F1217" s="177"/>
      <c r="G1217" s="500">
        <v>934984</v>
      </c>
      <c r="H1217" s="155">
        <f>H1218</f>
        <v>938234</v>
      </c>
      <c r="I1217" s="157">
        <f t="shared" si="24"/>
        <v>1873218</v>
      </c>
    </row>
    <row r="1218" spans="1:9" ht="126" x14ac:dyDescent="0.25">
      <c r="A1218" s="153" t="str">
        <f>IF(B1218&gt;0,VLOOKUP(B1218,КВСР!A535:B1700,2),IF(C1218&gt;0,VLOOKUP(C1218,КФСР!A535:B2047,2),IF(D1218&gt;0,VLOOKUP(D1218,Программа!A$1:B$5100,2),IF(F1218&gt;0,VLOOKUP(F1218,КВР!A$1:B$5001,2),IF(E1218&gt;0,VLOOKUP(E1218,Направление!A$1:B$4830,2))))))</f>
        <v xml:space="preserve">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
</v>
      </c>
      <c r="B1218" s="180"/>
      <c r="C1218" s="175"/>
      <c r="D1218" s="177"/>
      <c r="E1218" s="175"/>
      <c r="F1218" s="177">
        <v>100</v>
      </c>
      <c r="G1218" s="498">
        <v>934984</v>
      </c>
      <c r="H1218" s="156">
        <v>938234</v>
      </c>
      <c r="I1218" s="157">
        <f t="shared" si="24"/>
        <v>1873218</v>
      </c>
    </row>
    <row r="1219" spans="1:9" ht="47.25" x14ac:dyDescent="0.25">
      <c r="A1219" s="153" t="str">
        <f>IF(B1219&gt;0,VLOOKUP(B1219,КВСР!A536:B1701,2),IF(C1219&gt;0,VLOOKUP(C1219,КФСР!A536:B2048,2),IF(D1219&gt;0,VLOOKUP(D1219,Программа!A$1:B$5100,2),IF(F1219&gt;0,VLOOKUP(F1219,КВР!A$1:B$5001,2),IF(E1219&gt;0,VLOOKUP(E1219,Направление!A$1:B$4830,2))))))</f>
        <v>Содержание органов местного самоуправления за счет средств поселений</v>
      </c>
      <c r="B1219" s="180"/>
      <c r="C1219" s="175"/>
      <c r="D1219" s="177"/>
      <c r="E1219" s="175">
        <v>29016</v>
      </c>
      <c r="F1219" s="177"/>
      <c r="G1219" s="500">
        <v>53095</v>
      </c>
      <c r="H1219" s="155">
        <f>H1221+H1220</f>
        <v>53095</v>
      </c>
      <c r="I1219" s="157">
        <f t="shared" si="24"/>
        <v>106190</v>
      </c>
    </row>
    <row r="1220" spans="1:9" ht="126" x14ac:dyDescent="0.25">
      <c r="A1220" s="153" t="str">
        <f>IF(B1220&gt;0,VLOOKUP(B1220,КВСР!A537:B1702,2),IF(C1220&gt;0,VLOOKUP(C1220,КФСР!A537:B2049,2),IF(D1220&gt;0,VLOOKUP(D1220,Программа!A$1:B$5100,2),IF(F1220&gt;0,VLOOKUP(F1220,КВР!A$1:B$5001,2),IF(E1220&gt;0,VLOOKUP(E1220,Направление!A$1:B$4830,2))))))</f>
        <v xml:space="preserve">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
</v>
      </c>
      <c r="B1220" s="180"/>
      <c r="C1220" s="175"/>
      <c r="D1220" s="177"/>
      <c r="E1220" s="175"/>
      <c r="F1220" s="177">
        <v>100</v>
      </c>
      <c r="G1220" s="612">
        <v>48268</v>
      </c>
      <c r="H1220" s="171">
        <v>48268</v>
      </c>
      <c r="I1220" s="157">
        <f t="shared" si="24"/>
        <v>96536</v>
      </c>
    </row>
    <row r="1221" spans="1:9" ht="63" x14ac:dyDescent="0.25">
      <c r="A1221" s="153" t="str">
        <f>IF(B1221&gt;0,VLOOKUP(B1221,КВСР!A537:B1702,2),IF(C1221&gt;0,VLOOKUP(C1221,КФСР!A537:B2049,2),IF(D1221&gt;0,VLOOKUP(D1221,Программа!A$1:B$5100,2),IF(F1221&gt;0,VLOOKUP(F1221,КВР!A$1:B$5001,2),IF(E1221&gt;0,VLOOKUP(E1221,Направление!A$1:B$4830,2))))))</f>
        <v xml:space="preserve">Закупка товаров, работ и услуг для обеспечения государственных (муниципальных) нужд
</v>
      </c>
      <c r="B1221" s="180"/>
      <c r="C1221" s="175"/>
      <c r="D1221" s="177"/>
      <c r="E1221" s="175"/>
      <c r="F1221" s="177">
        <v>200</v>
      </c>
      <c r="G1221" s="498">
        <v>4827</v>
      </c>
      <c r="H1221" s="156">
        <v>4827</v>
      </c>
      <c r="I1221" s="157">
        <f>SUM(G1221:H1221)</f>
        <v>9654</v>
      </c>
    </row>
    <row r="1222" spans="1:9" x14ac:dyDescent="0.25">
      <c r="A1222" s="186" t="s">
        <v>177</v>
      </c>
      <c r="B1222" s="150"/>
      <c r="C1222" s="150"/>
      <c r="D1222" s="151"/>
      <c r="E1222" s="149"/>
      <c r="F1222" s="150"/>
      <c r="G1222" s="605">
        <v>2267157687.8400002</v>
      </c>
      <c r="H1222" s="152">
        <f>SUM(H10+H336+H377+H637+H781+H833+H1014+H1209)</f>
        <v>2201221791</v>
      </c>
      <c r="I1222" s="620">
        <f>SUM(G1222:H1222)-1</f>
        <v>4468379477.8400002</v>
      </c>
    </row>
    <row r="1226" spans="1:9" x14ac:dyDescent="0.25">
      <c r="G1226" s="187"/>
    </row>
  </sheetData>
  <autoFilter ref="A8:I1222">
    <filterColumn colId="3" showButton="0"/>
  </autoFilter>
  <mergeCells count="13">
    <mergeCell ref="H8:H9"/>
    <mergeCell ref="I8:I9"/>
    <mergeCell ref="A1:I1"/>
    <mergeCell ref="A2:I2"/>
    <mergeCell ref="A3:I3"/>
    <mergeCell ref="A4:I4"/>
    <mergeCell ref="A6:I6"/>
    <mergeCell ref="G8:G9"/>
    <mergeCell ref="A8:A9"/>
    <mergeCell ref="B8:B9"/>
    <mergeCell ref="C8:C9"/>
    <mergeCell ref="F8:F9"/>
    <mergeCell ref="D8:E8"/>
  </mergeCells>
  <printOptions gridLinesSet="0"/>
  <pageMargins left="0.70866141732283472" right="0.70866141732283472" top="0.74803149606299213" bottom="0.74803149606299213" header="0.51181102362204722" footer="0.51181102362204722"/>
  <pageSetup paperSize="9" scale="81" fitToHeight="0" orientation="portrait" r:id="rId1"/>
  <headerFooter>
    <oddFooter>&amp;C&amp;P</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474"/>
  <sheetViews>
    <sheetView showGridLines="0" view="pageBreakPreview" zoomScaleSheetLayoutView="100" workbookViewId="0">
      <selection activeCell="K62" sqref="K62"/>
    </sheetView>
  </sheetViews>
  <sheetFormatPr defaultColWidth="9.140625" defaultRowHeight="12.75" x14ac:dyDescent="0.2"/>
  <cols>
    <col min="1" max="1" width="32.85546875" style="38" customWidth="1"/>
    <col min="2" max="2" width="7.5703125" style="38" customWidth="1"/>
    <col min="3" max="3" width="6.28515625" style="38" customWidth="1"/>
    <col min="4" max="4" width="12" style="188" customWidth="1"/>
    <col min="5" max="5" width="7.5703125" style="189" bestFit="1" customWidth="1"/>
    <col min="6" max="6" width="7.28515625" style="38" customWidth="1"/>
    <col min="7" max="7" width="14" style="577" customWidth="1"/>
    <col min="8" max="8" width="15.85546875" style="38" customWidth="1"/>
    <col min="9" max="9" width="14.140625" style="38" customWidth="1"/>
    <col min="10" max="10" width="14.140625" style="577" customWidth="1"/>
    <col min="11" max="12" width="14.140625" style="38" customWidth="1"/>
    <col min="13" max="16384" width="9.140625" style="38"/>
  </cols>
  <sheetData>
    <row r="1" spans="1:12" ht="15.75" x14ac:dyDescent="0.25">
      <c r="A1" s="890" t="s">
        <v>340</v>
      </c>
      <c r="B1" s="890"/>
      <c r="C1" s="890"/>
      <c r="D1" s="890"/>
      <c r="E1" s="890"/>
      <c r="F1" s="890"/>
      <c r="G1" s="890"/>
      <c r="H1" s="890"/>
      <c r="I1" s="890"/>
      <c r="J1" s="890"/>
      <c r="K1" s="890"/>
      <c r="L1" s="890"/>
    </row>
    <row r="2" spans="1:12" ht="15.75" x14ac:dyDescent="0.25">
      <c r="A2" s="890" t="s">
        <v>1</v>
      </c>
      <c r="B2" s="890"/>
      <c r="C2" s="890"/>
      <c r="D2" s="890"/>
      <c r="E2" s="890"/>
      <c r="F2" s="890"/>
      <c r="G2" s="890"/>
      <c r="H2" s="890"/>
      <c r="I2" s="890"/>
      <c r="J2" s="890"/>
      <c r="K2" s="890"/>
      <c r="L2" s="890"/>
    </row>
    <row r="3" spans="1:12" ht="15.75" x14ac:dyDescent="0.25">
      <c r="A3" s="890" t="s">
        <v>2</v>
      </c>
      <c r="B3" s="890"/>
      <c r="C3" s="890"/>
      <c r="D3" s="890"/>
      <c r="E3" s="890"/>
      <c r="F3" s="890"/>
      <c r="G3" s="890"/>
      <c r="H3" s="890"/>
      <c r="I3" s="890"/>
      <c r="J3" s="890"/>
      <c r="K3" s="890"/>
      <c r="L3" s="890"/>
    </row>
    <row r="4" spans="1:12" ht="15.75" x14ac:dyDescent="0.25">
      <c r="A4" s="890" t="s">
        <v>3329</v>
      </c>
      <c r="B4" s="890"/>
      <c r="C4" s="890"/>
      <c r="D4" s="890"/>
      <c r="E4" s="890"/>
      <c r="F4" s="890"/>
      <c r="G4" s="890"/>
      <c r="H4" s="890"/>
      <c r="I4" s="890"/>
      <c r="J4" s="890"/>
      <c r="K4" s="890"/>
      <c r="L4" s="890"/>
    </row>
    <row r="5" spans="1:12" ht="15.75" x14ac:dyDescent="0.25">
      <c r="A5" s="136"/>
      <c r="B5" s="137"/>
      <c r="C5" s="137"/>
      <c r="D5" s="138"/>
      <c r="E5" s="139"/>
      <c r="F5" s="137"/>
      <c r="G5" s="905"/>
      <c r="H5" s="905"/>
      <c r="I5" s="905"/>
      <c r="J5" s="905"/>
      <c r="K5" s="905"/>
      <c r="L5" s="905"/>
    </row>
    <row r="6" spans="1:12" ht="39" customHeight="1" x14ac:dyDescent="0.3">
      <c r="A6" s="1008" t="s">
        <v>3143</v>
      </c>
      <c r="B6" s="1008"/>
      <c r="C6" s="1008"/>
      <c r="D6" s="1008"/>
      <c r="E6" s="1008"/>
      <c r="F6" s="1008"/>
      <c r="G6" s="1008"/>
      <c r="H6" s="1008"/>
      <c r="I6" s="1008"/>
      <c r="J6" s="1008"/>
      <c r="K6" s="1008"/>
      <c r="L6" s="1008"/>
    </row>
    <row r="7" spans="1:12" ht="15.75" x14ac:dyDescent="0.25">
      <c r="A7" s="132"/>
      <c r="B7" s="133"/>
      <c r="C7" s="133"/>
      <c r="D7" s="134"/>
      <c r="E7" s="135"/>
      <c r="F7" s="133"/>
      <c r="G7" s="1002"/>
      <c r="H7" s="1002"/>
      <c r="I7" s="1002"/>
      <c r="J7" s="1002"/>
      <c r="K7" s="1002"/>
      <c r="L7" s="1002"/>
    </row>
    <row r="8" spans="1:12" ht="12.75" customHeight="1" x14ac:dyDescent="0.2">
      <c r="A8" s="1005" t="s">
        <v>191</v>
      </c>
      <c r="B8" s="1006" t="s">
        <v>616</v>
      </c>
      <c r="C8" s="1006" t="s">
        <v>617</v>
      </c>
      <c r="D8" s="1007" t="s">
        <v>618</v>
      </c>
      <c r="E8" s="1007"/>
      <c r="F8" s="1006" t="s">
        <v>619</v>
      </c>
      <c r="G8" s="1003" t="s">
        <v>341</v>
      </c>
      <c r="H8" s="1005" t="s">
        <v>995</v>
      </c>
      <c r="I8" s="1005" t="s">
        <v>341</v>
      </c>
      <c r="J8" s="1003" t="s">
        <v>3131</v>
      </c>
      <c r="K8" s="1005" t="s">
        <v>995</v>
      </c>
      <c r="L8" s="1005" t="s">
        <v>3131</v>
      </c>
    </row>
    <row r="9" spans="1:12" ht="36" customHeight="1" x14ac:dyDescent="0.2">
      <c r="A9" s="1005"/>
      <c r="B9" s="1006"/>
      <c r="C9" s="1006"/>
      <c r="D9" s="144" t="s">
        <v>620</v>
      </c>
      <c r="E9" s="145" t="s">
        <v>621</v>
      </c>
      <c r="F9" s="1006"/>
      <c r="G9" s="1004"/>
      <c r="H9" s="998"/>
      <c r="I9" s="998"/>
      <c r="J9" s="1004"/>
      <c r="K9" s="998"/>
      <c r="L9" s="998"/>
    </row>
    <row r="10" spans="1:12" ht="47.25" x14ac:dyDescent="0.2">
      <c r="A10" s="147" t="str">
        <f>IF(B10&gt;0,VLOOKUP(B10,КВСР!A1:B1166,2),IF(C10&gt;0,VLOOKUP(C10,КФСР!A1:B1513,2),IF(D10&gt;0,VLOOKUP(D10,Программа!A$1:B$5100,2),IF(F10&gt;0,VLOOKUP(F10,КВР!A$1:B$5001,2),IF(E10&gt;0,VLOOKUP(E10,Направление!A$1:B$4830,2))))))</f>
        <v>Администрация Тутаевского муниципального района</v>
      </c>
      <c r="B10" s="148">
        <v>950</v>
      </c>
      <c r="C10" s="149"/>
      <c r="D10" s="150"/>
      <c r="E10" s="149"/>
      <c r="F10" s="151"/>
      <c r="G10" s="605">
        <v>89732194</v>
      </c>
      <c r="H10" s="605">
        <f>H11+H15+H21+H25+H43+H51+H72</f>
        <v>0</v>
      </c>
      <c r="I10" s="620">
        <f t="shared" ref="I10:I15" si="0">SUM(G10:H10)</f>
        <v>89732194</v>
      </c>
      <c r="J10" s="605">
        <v>82090099</v>
      </c>
      <c r="K10" s="605">
        <f>K11+K15+K21+K25+K43+K51+K72</f>
        <v>0</v>
      </c>
      <c r="L10" s="620">
        <f t="shared" ref="L10:L15" si="1">SUM(J10:K10)</f>
        <v>82090099</v>
      </c>
    </row>
    <row r="11" spans="1:12" ht="94.5" x14ac:dyDescent="0.2">
      <c r="A11" s="153" t="str">
        <f>IF(B11&gt;0,VLOOKUP(B11,КВСР!A2:B1167,2),IF(C11&gt;0,VLOOKUP(C11,КФСР!A2:B1514,2),IF(D11&gt;0,VLOOKUP(D11,Программа!A$1:B$5100,2),IF(F11&gt;0,VLOOKUP(F11,КВР!A$1:B$5001,2),IF(E11&gt;0,VLOOKUP(E11,Направление!A$1:B$4830,2))))))</f>
        <v>Функционирование высшего должностного лица субъекта Российской Федерации и муниципального образования</v>
      </c>
      <c r="B11" s="154"/>
      <c r="C11" s="149">
        <v>102</v>
      </c>
      <c r="D11" s="150"/>
      <c r="E11" s="149"/>
      <c r="F11" s="151"/>
      <c r="G11" s="500">
        <v>1511279</v>
      </c>
      <c r="H11" s="155">
        <f>H12</f>
        <v>0</v>
      </c>
      <c r="I11" s="155">
        <f t="shared" si="0"/>
        <v>1511279</v>
      </c>
      <c r="J11" s="500">
        <v>1511279</v>
      </c>
      <c r="K11" s="155">
        <f>K12</f>
        <v>0</v>
      </c>
      <c r="L11" s="155">
        <f t="shared" si="1"/>
        <v>1511279</v>
      </c>
    </row>
    <row r="12" spans="1:12" ht="31.5" x14ac:dyDescent="0.2">
      <c r="A12" s="153" t="str">
        <f>IF(B12&gt;0,VLOOKUP(B12,КВСР!A3:B1168,2),IF(C12&gt;0,VLOOKUP(C12,КФСР!A3:B1515,2),IF(D12&gt;0,VLOOKUP(D12,Программа!A$1:B$5100,2),IF(F12&gt;0,VLOOKUP(F12,КВР!A$1:B$5001,2),IF(E12&gt;0,VLOOKUP(E12,Направление!A$1:B$4830,2))))))</f>
        <v>Непрограммные расходы бюджета</v>
      </c>
      <c r="B12" s="154"/>
      <c r="C12" s="149"/>
      <c r="D12" s="150" t="s">
        <v>624</v>
      </c>
      <c r="E12" s="149"/>
      <c r="F12" s="151"/>
      <c r="G12" s="500">
        <v>1511279</v>
      </c>
      <c r="H12" s="155">
        <f>H13</f>
        <v>0</v>
      </c>
      <c r="I12" s="155">
        <f t="shared" si="0"/>
        <v>1511279</v>
      </c>
      <c r="J12" s="500">
        <v>1511279</v>
      </c>
      <c r="K12" s="155">
        <f>K13</f>
        <v>0</v>
      </c>
      <c r="L12" s="155">
        <f t="shared" si="1"/>
        <v>1511279</v>
      </c>
    </row>
    <row r="13" spans="1:12" ht="47.25" x14ac:dyDescent="0.2">
      <c r="A13" s="153" t="str">
        <f>IF(B13&gt;0,VLOOKUP(B13,КВСР!A4:B1169,2),IF(C13&gt;0,VLOOKUP(C13,КФСР!A4:B1516,2),IF(D13&gt;0,VLOOKUP(D13,Программа!A$1:B$5100,2),IF(F13&gt;0,VLOOKUP(F13,КВР!A$1:B$5001,2),IF(E13&gt;0,VLOOKUP(E13,Направление!A$1:B$4830,2))))))</f>
        <v>Содержание главы муниципального образования</v>
      </c>
      <c r="B13" s="154"/>
      <c r="C13" s="149"/>
      <c r="D13" s="150"/>
      <c r="E13" s="149">
        <v>12020</v>
      </c>
      <c r="F13" s="151"/>
      <c r="G13" s="500">
        <v>1511279</v>
      </c>
      <c r="H13" s="155">
        <f>H14</f>
        <v>0</v>
      </c>
      <c r="I13" s="155">
        <f t="shared" si="0"/>
        <v>1511279</v>
      </c>
      <c r="J13" s="500">
        <v>1511279</v>
      </c>
      <c r="K13" s="155">
        <f>K14</f>
        <v>0</v>
      </c>
      <c r="L13" s="155">
        <f t="shared" si="1"/>
        <v>1511279</v>
      </c>
    </row>
    <row r="14" spans="1:12" ht="173.25" x14ac:dyDescent="0.2">
      <c r="A14" s="153" t="str">
        <f>IF(B14&gt;0,VLOOKUP(B14,КВСР!A5:B1170,2),IF(C14&gt;0,VLOOKUP(C14,КФСР!A5:B1517,2),IF(D14&gt;0,VLOOKUP(D14,Программа!A$1:B$5100,2),IF(F14&gt;0,VLOOKUP(F14,КВР!A$1:B$5001,2),IF(E14&gt;0,VLOOKUP(E14,Направление!A$1:B$4830,2))))))</f>
        <v xml:space="preserve">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
</v>
      </c>
      <c r="B14" s="154"/>
      <c r="C14" s="149"/>
      <c r="D14" s="150"/>
      <c r="E14" s="149"/>
      <c r="F14" s="151">
        <v>100</v>
      </c>
      <c r="G14" s="491">
        <v>1511279</v>
      </c>
      <c r="H14" s="190"/>
      <c r="I14" s="155">
        <f t="shared" si="0"/>
        <v>1511279</v>
      </c>
      <c r="J14" s="491">
        <v>1511279</v>
      </c>
      <c r="K14" s="190"/>
      <c r="L14" s="155">
        <f t="shared" si="1"/>
        <v>1511279</v>
      </c>
    </row>
    <row r="15" spans="1:12" ht="126" x14ac:dyDescent="0.2">
      <c r="A15" s="153" t="str">
        <f>IF(B15&gt;0,VLOOKUP(B15,КВСР!A7:B1172,2),IF(C15&gt;0,VLOOKUP(C15,КФСР!A7:B1519,2),IF(D15&gt;0,VLOOKUP(D15,Программа!A$1:B$5100,2),IF(F15&gt;0,VLOOKUP(F15,КВР!A$1:B$5001,2),IF(E15&gt;0,VLOOKUP(E15,Направление!A$1:B$4830,2))))))</f>
        <v>Функционирование Правительства Российской Федерации, высших исполнительных органов государственной власти субъектов Российской Федерации, местных администраций</v>
      </c>
      <c r="B15" s="154"/>
      <c r="C15" s="149">
        <v>104</v>
      </c>
      <c r="D15" s="150"/>
      <c r="E15" s="149"/>
      <c r="F15" s="151"/>
      <c r="G15" s="500">
        <v>25979850</v>
      </c>
      <c r="H15" s="155">
        <f>H16</f>
        <v>0</v>
      </c>
      <c r="I15" s="155">
        <f t="shared" si="0"/>
        <v>25979850</v>
      </c>
      <c r="J15" s="500">
        <v>25979850</v>
      </c>
      <c r="K15" s="155">
        <f>K16</f>
        <v>0</v>
      </c>
      <c r="L15" s="155">
        <f t="shared" si="1"/>
        <v>25979850</v>
      </c>
    </row>
    <row r="16" spans="1:12" ht="31.5" x14ac:dyDescent="0.2">
      <c r="A16" s="153" t="str">
        <f>IF(B16&gt;0,VLOOKUP(B16,КВСР!A8:B1173,2),IF(C16&gt;0,VLOOKUP(C16,КФСР!A8:B1520,2),IF(D16&gt;0,VLOOKUP(D16,Программа!A$1:B$5100,2),IF(F16&gt;0,VLOOKUP(F16,КВР!A$1:B$5001,2),IF(E16&gt;0,VLOOKUP(E16,Направление!A$1:B$4830,2))))))</f>
        <v>Непрограммные расходы бюджета</v>
      </c>
      <c r="B16" s="154"/>
      <c r="C16" s="149"/>
      <c r="D16" s="150" t="s">
        <v>624</v>
      </c>
      <c r="E16" s="149"/>
      <c r="F16" s="151"/>
      <c r="G16" s="500">
        <v>25979850</v>
      </c>
      <c r="H16" s="500">
        <f>H17</f>
        <v>0</v>
      </c>
      <c r="I16" s="500">
        <f>I17</f>
        <v>25979850</v>
      </c>
      <c r="J16" s="500">
        <v>25979850</v>
      </c>
      <c r="K16" s="500">
        <f>K17</f>
        <v>0</v>
      </c>
      <c r="L16" s="500">
        <f>L17</f>
        <v>25979850</v>
      </c>
    </row>
    <row r="17" spans="1:12" ht="31.5" x14ac:dyDescent="0.2">
      <c r="A17" s="153" t="str">
        <f>IF(B17&gt;0,VLOOKUP(B17,КВСР!A9:B1174,2),IF(C17&gt;0,VLOOKUP(C17,КФСР!A9:B1521,2),IF(D17&gt;0,VLOOKUP(D17,Программа!A$1:B$5100,2),IF(F17&gt;0,VLOOKUP(F17,КВР!A$1:B$5001,2),IF(E17&gt;0,VLOOKUP(E17,Направление!A$1:B$4830,2))))))</f>
        <v>Содержание центрального аппарата</v>
      </c>
      <c r="B17" s="154"/>
      <c r="C17" s="149"/>
      <c r="D17" s="150"/>
      <c r="E17" s="149">
        <v>12010</v>
      </c>
      <c r="F17" s="151"/>
      <c r="G17" s="500">
        <v>25979850</v>
      </c>
      <c r="H17" s="500">
        <f>H18+H19+H20</f>
        <v>0</v>
      </c>
      <c r="I17" s="500">
        <f>I18+I19+I20</f>
        <v>25979850</v>
      </c>
      <c r="J17" s="500">
        <v>25979850</v>
      </c>
      <c r="K17" s="500">
        <f>K18+K19+K20</f>
        <v>0</v>
      </c>
      <c r="L17" s="500">
        <f>L18+L19+L20</f>
        <v>25979850</v>
      </c>
    </row>
    <row r="18" spans="1:12" ht="173.25" x14ac:dyDescent="0.2">
      <c r="A18" s="153" t="str">
        <f>IF(B18&gt;0,VLOOKUP(B18,КВСР!A10:B1175,2),IF(C18&gt;0,VLOOKUP(C18,КФСР!A10:B1522,2),IF(D18&gt;0,VLOOKUP(D18,Программа!A$1:B$5100,2),IF(F18&gt;0,VLOOKUP(F18,КВР!A$1:B$5001,2),IF(E18&gt;0,VLOOKUP(E18,Направление!A$1:B$4830,2))))))</f>
        <v xml:space="preserve">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
</v>
      </c>
      <c r="B18" s="154"/>
      <c r="C18" s="149"/>
      <c r="D18" s="150"/>
      <c r="E18" s="149"/>
      <c r="F18" s="151">
        <v>100</v>
      </c>
      <c r="G18" s="491">
        <v>22927115</v>
      </c>
      <c r="H18" s="190"/>
      <c r="I18" s="155">
        <f t="shared" ref="I18:I130" si="2">SUM(G18:H18)</f>
        <v>22927115</v>
      </c>
      <c r="J18" s="491">
        <v>22927115</v>
      </c>
      <c r="K18" s="190"/>
      <c r="L18" s="155">
        <f t="shared" ref="L18:L130" si="3">SUM(J18:K18)</f>
        <v>22927115</v>
      </c>
    </row>
    <row r="19" spans="1:12" ht="78.75" x14ac:dyDescent="0.2">
      <c r="A19" s="153" t="str">
        <f>IF(B19&gt;0,VLOOKUP(B19,КВСР!A13:B1178,2),IF(C19&gt;0,VLOOKUP(C19,КФСР!A13:B1525,2),IF(D19&gt;0,VLOOKUP(D19,Программа!A$1:B$5100,2),IF(F19&gt;0,VLOOKUP(F19,КВР!A$1:B$5001,2),IF(E19&gt;0,VLOOKUP(E19,Направление!A$1:B$4830,2))))))</f>
        <v xml:space="preserve">Закупка товаров, работ и услуг для обеспечения государственных (муниципальных) нужд
</v>
      </c>
      <c r="B19" s="154"/>
      <c r="C19" s="149"/>
      <c r="D19" s="150"/>
      <c r="E19" s="149"/>
      <c r="F19" s="151">
        <v>200</v>
      </c>
      <c r="G19" s="491">
        <v>2545679</v>
      </c>
      <c r="H19" s="190"/>
      <c r="I19" s="155">
        <f t="shared" si="2"/>
        <v>2545679</v>
      </c>
      <c r="J19" s="491">
        <v>2545679</v>
      </c>
      <c r="K19" s="190"/>
      <c r="L19" s="155">
        <f t="shared" si="3"/>
        <v>2545679</v>
      </c>
    </row>
    <row r="20" spans="1:12" ht="31.5" x14ac:dyDescent="0.2">
      <c r="A20" s="153" t="str">
        <f>IF(B20&gt;0,VLOOKUP(B20,КВСР!A14:B1179,2),IF(C20&gt;0,VLOOKUP(C20,КФСР!A14:B1526,2),IF(D20&gt;0,VLOOKUP(D20,Программа!A$1:B$5100,2),IF(F20&gt;0,VLOOKUP(F20,КВР!A$1:B$5001,2),IF(E20&gt;0,VLOOKUP(E20,Направление!A$1:B$4830,2))))))</f>
        <v>Иные бюджетные ассигнования</v>
      </c>
      <c r="B20" s="154"/>
      <c r="C20" s="149"/>
      <c r="D20" s="150"/>
      <c r="E20" s="149"/>
      <c r="F20" s="151">
        <v>800</v>
      </c>
      <c r="G20" s="491">
        <v>507056</v>
      </c>
      <c r="H20" s="190"/>
      <c r="I20" s="155">
        <f t="shared" si="2"/>
        <v>507056</v>
      </c>
      <c r="J20" s="491">
        <v>507056</v>
      </c>
      <c r="K20" s="190"/>
      <c r="L20" s="155">
        <f t="shared" si="3"/>
        <v>507056</v>
      </c>
    </row>
    <row r="21" spans="1:12" ht="15.75" x14ac:dyDescent="0.2">
      <c r="A21" s="153" t="str">
        <f>IF(B21&gt;0,VLOOKUP(B21,КВСР!A14:B1179,2),IF(C21&gt;0,VLOOKUP(C21,КФСР!A14:B1526,2),IF(D21&gt;0,VLOOKUP(D21,Программа!A$1:B$5100,2),IF(F21&gt;0,VLOOKUP(F21,КВР!A$1:B$5001,2),IF(E21&gt;0,VLOOKUP(E21,Направление!A$1:B$4830,2))))))</f>
        <v>Резервные фонды</v>
      </c>
      <c r="B21" s="154"/>
      <c r="C21" s="149">
        <v>111</v>
      </c>
      <c r="D21" s="150"/>
      <c r="E21" s="149"/>
      <c r="F21" s="151"/>
      <c r="G21" s="500">
        <v>3000000</v>
      </c>
      <c r="H21" s="155">
        <f>H22</f>
        <v>0</v>
      </c>
      <c r="I21" s="155">
        <f t="shared" si="2"/>
        <v>3000000</v>
      </c>
      <c r="J21" s="500">
        <v>3000000</v>
      </c>
      <c r="K21" s="155">
        <f>K22</f>
        <v>0</v>
      </c>
      <c r="L21" s="155">
        <f t="shared" si="3"/>
        <v>3000000</v>
      </c>
    </row>
    <row r="22" spans="1:12" ht="31.5" x14ac:dyDescent="0.2">
      <c r="A22" s="153" t="str">
        <f>IF(B22&gt;0,VLOOKUP(B22,КВСР!A22:B1187,2),IF(C22&gt;0,VLOOKUP(C22,КФСР!A22:B1534,2),IF(D22&gt;0,VLOOKUP(D22,Программа!A$1:B$5100,2),IF(F22&gt;0,VLOOKUP(F22,КВР!A$1:B$5001,2),IF(E22&gt;0,VLOOKUP(E22,Направление!A$1:B$4830,2))))))</f>
        <v>Непрограммные расходы бюджета</v>
      </c>
      <c r="B22" s="154"/>
      <c r="C22" s="149"/>
      <c r="D22" s="150" t="s">
        <v>624</v>
      </c>
      <c r="E22" s="149"/>
      <c r="F22" s="151"/>
      <c r="G22" s="500">
        <v>3000000</v>
      </c>
      <c r="H22" s="155">
        <f>H23</f>
        <v>0</v>
      </c>
      <c r="I22" s="155">
        <f t="shared" si="2"/>
        <v>3000000</v>
      </c>
      <c r="J22" s="500">
        <v>3000000</v>
      </c>
      <c r="K22" s="155">
        <f>K23</f>
        <v>0</v>
      </c>
      <c r="L22" s="155">
        <f t="shared" si="3"/>
        <v>3000000</v>
      </c>
    </row>
    <row r="23" spans="1:12" ht="31.5" x14ac:dyDescent="0.2">
      <c r="A23" s="153" t="str">
        <f>IF(B23&gt;0,VLOOKUP(B23,КВСР!A23:B1188,2),IF(C23&gt;0,VLOOKUP(C23,КФСР!A23:B1535,2),IF(D23&gt;0,VLOOKUP(D23,Программа!A$1:B$5100,2),IF(F23&gt;0,VLOOKUP(F23,КВР!A$1:B$5001,2),IF(E23&gt;0,VLOOKUP(E23,Направление!A$1:B$4830,2))))))</f>
        <v>Резервные фонды местных администраций</v>
      </c>
      <c r="B23" s="154"/>
      <c r="C23" s="149"/>
      <c r="D23" s="150"/>
      <c r="E23" s="149">
        <v>12900</v>
      </c>
      <c r="F23" s="151"/>
      <c r="G23" s="500">
        <v>3000000</v>
      </c>
      <c r="H23" s="155">
        <f>H24</f>
        <v>0</v>
      </c>
      <c r="I23" s="155">
        <f t="shared" si="2"/>
        <v>3000000</v>
      </c>
      <c r="J23" s="500">
        <v>3000000</v>
      </c>
      <c r="K23" s="155">
        <f>K24</f>
        <v>0</v>
      </c>
      <c r="L23" s="155">
        <f t="shared" si="3"/>
        <v>3000000</v>
      </c>
    </row>
    <row r="24" spans="1:12" ht="31.5" x14ac:dyDescent="0.2">
      <c r="A24" s="153" t="str">
        <f>IF(B24&gt;0,VLOOKUP(B24,КВСР!A24:B1189,2),IF(C24&gt;0,VLOOKUP(C24,КФСР!A24:B1536,2),IF(D24&gt;0,VLOOKUP(D24,Программа!A$1:B$5100,2),IF(F24&gt;0,VLOOKUP(F24,КВР!A$1:B$5001,2),IF(E24&gt;0,VLOOKUP(E24,Направление!A$1:B$4830,2))))))</f>
        <v>Иные бюджетные ассигнования</v>
      </c>
      <c r="B24" s="154"/>
      <c r="C24" s="149"/>
      <c r="D24" s="150"/>
      <c r="E24" s="149"/>
      <c r="F24" s="151">
        <v>800</v>
      </c>
      <c r="G24" s="491">
        <v>3000000</v>
      </c>
      <c r="H24" s="190"/>
      <c r="I24" s="155">
        <f t="shared" si="2"/>
        <v>3000000</v>
      </c>
      <c r="J24" s="491">
        <v>3000000</v>
      </c>
      <c r="K24" s="190"/>
      <c r="L24" s="155">
        <f t="shared" si="3"/>
        <v>3000000</v>
      </c>
    </row>
    <row r="25" spans="1:12" ht="47.25" x14ac:dyDescent="0.2">
      <c r="A25" s="153" t="str">
        <f>IF(B25&gt;0,VLOOKUP(B25,КВСР!A25:B1190,2),IF(C25&gt;0,VLOOKUP(C25,КФСР!A25:B1537,2),IF(D25&gt;0,VLOOKUP(D25,Программа!A$1:B$5100,2),IF(F25&gt;0,VLOOKUP(F25,КВР!A$1:B$5001,2),IF(E25&gt;0,VLOOKUP(E25,Направление!A$1:B$4830,2))))))</f>
        <v>Другие общегосударственные вопросы</v>
      </c>
      <c r="B25" s="154"/>
      <c r="C25" s="149">
        <v>113</v>
      </c>
      <c r="D25" s="150"/>
      <c r="E25" s="149"/>
      <c r="F25" s="151"/>
      <c r="G25" s="500">
        <v>38900875</v>
      </c>
      <c r="H25" s="155">
        <f>H26</f>
        <v>0</v>
      </c>
      <c r="I25" s="155">
        <f t="shared" si="2"/>
        <v>38900875</v>
      </c>
      <c r="J25" s="500">
        <v>27121630</v>
      </c>
      <c r="K25" s="155">
        <f>K26</f>
        <v>0</v>
      </c>
      <c r="L25" s="155">
        <f t="shared" si="3"/>
        <v>27121630</v>
      </c>
    </row>
    <row r="26" spans="1:12" ht="31.5" x14ac:dyDescent="0.2">
      <c r="A26" s="153" t="str">
        <f>IF(B26&gt;0,VLOOKUP(B26,КВСР!A38:B1203,2),IF(C26&gt;0,VLOOKUP(C26,КФСР!A38:B1550,2),IF(D26&gt;0,VLOOKUP(D26,Программа!A$1:B$5100,2),IF(F26&gt;0,VLOOKUP(F26,КВР!A$1:B$5001,2),IF(E26&gt;0,VLOOKUP(E26,Направление!A$1:B$4830,2))))))</f>
        <v>Непрограммные расходы бюджета</v>
      </c>
      <c r="B26" s="154"/>
      <c r="C26" s="149"/>
      <c r="D26" s="150" t="s">
        <v>624</v>
      </c>
      <c r="E26" s="149"/>
      <c r="F26" s="151"/>
      <c r="G26" s="500">
        <v>38900875</v>
      </c>
      <c r="H26" s="500">
        <f>H37+H40+H27+H32+H34</f>
        <v>0</v>
      </c>
      <c r="I26" s="500">
        <f>I37+I40+I27+I32+I34</f>
        <v>38900875</v>
      </c>
      <c r="J26" s="500">
        <v>27121630</v>
      </c>
      <c r="K26" s="500">
        <f>K37+K40+K27+K32+K34</f>
        <v>0</v>
      </c>
      <c r="L26" s="500">
        <f>L37+L40+L27+L32+L34</f>
        <v>27121630</v>
      </c>
    </row>
    <row r="27" spans="1:12" ht="63" x14ac:dyDescent="0.2">
      <c r="A27" s="153" t="str">
        <f>IF(B27&gt;0,VLOOKUP(B27,КВСР!A39:B1204,2),IF(C27&gt;0,VLOOKUP(C27,КФСР!A39:B1551,2),IF(D27&gt;0,VLOOKUP(D27,Программа!A$1:B$5100,2),IF(F27&gt;0,VLOOKUP(F27,КВР!A$1:B$5001,2),IF(E27&gt;0,VLOOKUP(E27,Направление!A$1:B$4830,2))))))</f>
        <v>Обеспечение деятельности подведомственных учреждений органов местного самоуправления</v>
      </c>
      <c r="B27" s="154"/>
      <c r="C27" s="149"/>
      <c r="D27" s="150"/>
      <c r="E27" s="149">
        <v>12100</v>
      </c>
      <c r="F27" s="151"/>
      <c r="G27" s="500">
        <v>32546437</v>
      </c>
      <c r="H27" s="500">
        <f>H28+H29+H30+H31</f>
        <v>0</v>
      </c>
      <c r="I27" s="500">
        <f>I28+I29+I30+I31</f>
        <v>32546437</v>
      </c>
      <c r="J27" s="500">
        <v>22000000</v>
      </c>
      <c r="K27" s="500">
        <f>K28+K29+K30+K31</f>
        <v>0</v>
      </c>
      <c r="L27" s="500">
        <f>L28+L29+L30+L31</f>
        <v>22000000</v>
      </c>
    </row>
    <row r="28" spans="1:12" ht="173.25" x14ac:dyDescent="0.2">
      <c r="A28" s="153" t="str">
        <f>IF(B28&gt;0,VLOOKUP(B28,КВСР!A40:B1205,2),IF(C28&gt;0,VLOOKUP(C28,КФСР!A40:B1552,2),IF(D28&gt;0,VLOOKUP(D28,Программа!A$1:B$5100,2),IF(F28&gt;0,VLOOKUP(F28,КВР!A$1:B$5001,2),IF(E28&gt;0,VLOOKUP(E28,Направление!A$1:B$4830,2))))))</f>
        <v xml:space="preserve">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
</v>
      </c>
      <c r="B28" s="154"/>
      <c r="C28" s="149"/>
      <c r="D28" s="150"/>
      <c r="E28" s="149"/>
      <c r="F28" s="151">
        <v>100</v>
      </c>
      <c r="G28" s="542">
        <v>10362453</v>
      </c>
      <c r="H28" s="191"/>
      <c r="I28" s="155">
        <f t="shared" si="2"/>
        <v>10362453</v>
      </c>
      <c r="J28" s="542">
        <v>10000000</v>
      </c>
      <c r="K28" s="191"/>
      <c r="L28" s="155">
        <f t="shared" si="3"/>
        <v>10000000</v>
      </c>
    </row>
    <row r="29" spans="1:12" ht="78.75" x14ac:dyDescent="0.2">
      <c r="A29" s="153" t="str">
        <f>IF(B29&gt;0,VLOOKUP(B29,КВСР!A41:B1206,2),IF(C29&gt;0,VLOOKUP(C29,КФСР!A41:B1553,2),IF(D29&gt;0,VLOOKUP(D29,Программа!A$1:B$5100,2),IF(F29&gt;0,VLOOKUP(F29,КВР!A$1:B$5001,2),IF(E29&gt;0,VLOOKUP(E29,Направление!A$1:B$4830,2))))))</f>
        <v xml:space="preserve">Закупка товаров, работ и услуг для обеспечения государственных (муниципальных) нужд
</v>
      </c>
      <c r="B29" s="154"/>
      <c r="C29" s="149"/>
      <c r="D29" s="150"/>
      <c r="E29" s="149"/>
      <c r="F29" s="151">
        <v>200</v>
      </c>
      <c r="G29" s="542">
        <v>3357688</v>
      </c>
      <c r="H29" s="191"/>
      <c r="I29" s="155">
        <f t="shared" si="2"/>
        <v>3357688</v>
      </c>
      <c r="J29" s="542">
        <v>0</v>
      </c>
      <c r="K29" s="191"/>
      <c r="L29" s="155">
        <f t="shared" si="3"/>
        <v>0</v>
      </c>
    </row>
    <row r="30" spans="1:12" ht="78.75" x14ac:dyDescent="0.2">
      <c r="A30" s="153" t="str">
        <f>IF(B30&gt;0,VLOOKUP(B30,КВСР!A42:B1207,2),IF(C30&gt;0,VLOOKUP(C30,КФСР!A42:B1554,2),IF(D30&gt;0,VLOOKUP(D30,Программа!A$1:B$5100,2),IF(F30&gt;0,VLOOKUP(F30,КВР!A$1:B$5001,2),IF(E30&gt;0,VLOOKUP(E30,Направление!A$1:B$4830,2))))))</f>
        <v>Предоставление субсидий бюджетным, автономным учреждениям и иным некоммерческим организациям</v>
      </c>
      <c r="B30" s="154"/>
      <c r="C30" s="149"/>
      <c r="D30" s="150"/>
      <c r="E30" s="149"/>
      <c r="F30" s="151">
        <v>600</v>
      </c>
      <c r="G30" s="542">
        <v>18755296</v>
      </c>
      <c r="H30" s="191">
        <v>0</v>
      </c>
      <c r="I30" s="155">
        <f t="shared" si="2"/>
        <v>18755296</v>
      </c>
      <c r="J30" s="542">
        <v>12000000</v>
      </c>
      <c r="K30" s="191"/>
      <c r="L30" s="155">
        <f t="shared" si="3"/>
        <v>12000000</v>
      </c>
    </row>
    <row r="31" spans="1:12" ht="31.5" x14ac:dyDescent="0.2">
      <c r="A31" s="153" t="str">
        <f>IF(B31&gt;0,VLOOKUP(B31,КВСР!A43:B1208,2),IF(C31&gt;0,VLOOKUP(C31,КФСР!A43:B1555,2),IF(D31&gt;0,VLOOKUP(D31,Программа!A$1:B$5100,2),IF(F31&gt;0,VLOOKUP(F31,КВР!A$1:B$5001,2),IF(E31&gt;0,VLOOKUP(E31,Направление!A$1:B$4830,2))))))</f>
        <v>Иные бюджетные ассигнования</v>
      </c>
      <c r="B31" s="154"/>
      <c r="C31" s="149"/>
      <c r="D31" s="150"/>
      <c r="E31" s="149"/>
      <c r="F31" s="151">
        <v>800</v>
      </c>
      <c r="G31" s="542">
        <v>71000</v>
      </c>
      <c r="H31" s="191"/>
      <c r="I31" s="155">
        <f t="shared" si="2"/>
        <v>71000</v>
      </c>
      <c r="J31" s="542">
        <v>0</v>
      </c>
      <c r="K31" s="191"/>
      <c r="L31" s="155">
        <f t="shared" si="3"/>
        <v>0</v>
      </c>
    </row>
    <row r="32" spans="1:12" ht="47.25" x14ac:dyDescent="0.2">
      <c r="A32" s="153" t="str">
        <f>IF(B32&gt;0,VLOOKUP(B32,КВСР!A44:B1209,2),IF(C32&gt;0,VLOOKUP(C32,КФСР!A44:B1556,2),IF(D32&gt;0,VLOOKUP(D32,Программа!A$1:B$5100,2),IF(F32&gt;0,VLOOKUP(F32,КВР!A$1:B$5001,2),IF(E32&gt;0,VLOOKUP(E32,Направление!A$1:B$4830,2))))))</f>
        <v>Представительские расходы орагнов местного самоуправления</v>
      </c>
      <c r="B32" s="154"/>
      <c r="C32" s="149"/>
      <c r="D32" s="150"/>
      <c r="E32" s="149">
        <v>12600</v>
      </c>
      <c r="F32" s="151"/>
      <c r="G32" s="542">
        <v>400000</v>
      </c>
      <c r="H32" s="542">
        <f>H33</f>
        <v>0</v>
      </c>
      <c r="I32" s="542">
        <f>I33</f>
        <v>400000</v>
      </c>
      <c r="J32" s="542">
        <v>0</v>
      </c>
      <c r="K32" s="191"/>
      <c r="L32" s="155">
        <f t="shared" si="3"/>
        <v>0</v>
      </c>
    </row>
    <row r="33" spans="1:12" ht="78.75" x14ac:dyDescent="0.2">
      <c r="A33" s="153" t="str">
        <f>IF(B33&gt;0,VLOOKUP(B33,КВСР!A45:B1210,2),IF(C33&gt;0,VLOOKUP(C33,КФСР!A45:B1557,2),IF(D33&gt;0,VLOOKUP(D33,Программа!A$1:B$5100,2),IF(F33&gt;0,VLOOKUP(F33,КВР!A$1:B$5001,2),IF(E33&gt;0,VLOOKUP(E33,Направление!A$1:B$4830,2))))))</f>
        <v xml:space="preserve">Закупка товаров, работ и услуг для обеспечения государственных (муниципальных) нужд
</v>
      </c>
      <c r="B33" s="154"/>
      <c r="C33" s="149"/>
      <c r="D33" s="150"/>
      <c r="E33" s="149"/>
      <c r="F33" s="151">
        <v>200</v>
      </c>
      <c r="G33" s="542">
        <v>400000</v>
      </c>
      <c r="H33" s="191"/>
      <c r="I33" s="155">
        <f>G33+H33</f>
        <v>400000</v>
      </c>
      <c r="J33" s="542">
        <v>0</v>
      </c>
      <c r="K33" s="191"/>
      <c r="L33" s="155">
        <f t="shared" si="3"/>
        <v>0</v>
      </c>
    </row>
    <row r="34" spans="1:12" ht="78.75" x14ac:dyDescent="0.2">
      <c r="A34" s="153" t="str">
        <f>IF(B34&gt;0,VLOOKUP(B34,КВСР!A46:B1211,2),IF(C34&gt;0,VLOOKUP(C34,КФСР!A46:B1558,2),IF(D34&gt;0,VLOOKUP(D34,Программа!A$1:B$5100,2),IF(F34&gt;0,VLOOKUP(F34,КВР!A$1:B$5001,2),IF(E34&gt;0,VLOOKUP(E34,Направление!A$1:B$4830,2))))))</f>
        <v>Расходы на осуществление полномочий на государственную регистрацию актов гражданского состояния</v>
      </c>
      <c r="B34" s="154"/>
      <c r="C34" s="149"/>
      <c r="D34" s="150"/>
      <c r="E34" s="149">
        <v>59300</v>
      </c>
      <c r="F34" s="151"/>
      <c r="G34" s="542">
        <v>3429212</v>
      </c>
      <c r="H34" s="542">
        <f>H35+H36</f>
        <v>0</v>
      </c>
      <c r="I34" s="542">
        <f>I35+I36</f>
        <v>3429212</v>
      </c>
      <c r="J34" s="542">
        <v>2596404</v>
      </c>
      <c r="K34" s="542">
        <f>K35+K36</f>
        <v>0</v>
      </c>
      <c r="L34" s="542">
        <f>L35+L36</f>
        <v>2596404</v>
      </c>
    </row>
    <row r="35" spans="1:12" ht="173.25" x14ac:dyDescent="0.2">
      <c r="A35" s="153" t="str">
        <f>IF(B35&gt;0,VLOOKUP(B35,КВСР!A47:B1212,2),IF(C35&gt;0,VLOOKUP(C35,КФСР!A47:B1559,2),IF(D35&gt;0,VLOOKUP(D35,Программа!A$1:B$5100,2),IF(F35&gt;0,VLOOKUP(F35,КВР!A$1:B$5001,2),IF(E35&gt;0,VLOOKUP(E35,Направление!A$1:B$4830,2))))))</f>
        <v xml:space="preserve">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
</v>
      </c>
      <c r="B35" s="154"/>
      <c r="C35" s="149"/>
      <c r="D35" s="150"/>
      <c r="E35" s="149"/>
      <c r="F35" s="151">
        <v>100</v>
      </c>
      <c r="G35" s="542">
        <v>2100722</v>
      </c>
      <c r="H35" s="191"/>
      <c r="I35" s="155">
        <f>G35+H35</f>
        <v>2100722</v>
      </c>
      <c r="J35" s="542">
        <v>2100722</v>
      </c>
      <c r="K35" s="191"/>
      <c r="L35" s="155">
        <f t="shared" si="3"/>
        <v>2100722</v>
      </c>
    </row>
    <row r="36" spans="1:12" ht="78.75" x14ac:dyDescent="0.2">
      <c r="A36" s="153" t="str">
        <f>IF(B36&gt;0,VLOOKUP(B36,КВСР!A48:B1213,2),IF(C36&gt;0,VLOOKUP(C36,КФСР!A48:B1560,2),IF(D36&gt;0,VLOOKUP(D36,Программа!A$1:B$5100,2),IF(F36&gt;0,VLOOKUP(F36,КВР!A$1:B$5001,2),IF(E36&gt;0,VLOOKUP(E36,Направление!A$1:B$4830,2))))))</f>
        <v xml:space="preserve">Закупка товаров, работ и услуг для обеспечения государственных (муниципальных) нужд
</v>
      </c>
      <c r="B36" s="154"/>
      <c r="C36" s="149"/>
      <c r="D36" s="150"/>
      <c r="E36" s="149"/>
      <c r="F36" s="151">
        <v>200</v>
      </c>
      <c r="G36" s="542">
        <v>1328490</v>
      </c>
      <c r="H36" s="191"/>
      <c r="I36" s="155">
        <f>G36+H36</f>
        <v>1328490</v>
      </c>
      <c r="J36" s="542">
        <v>495682</v>
      </c>
      <c r="K36" s="191"/>
      <c r="L36" s="155">
        <f t="shared" si="3"/>
        <v>495682</v>
      </c>
    </row>
    <row r="37" spans="1:12" ht="126" x14ac:dyDescent="0.2">
      <c r="A37" s="153" t="str">
        <f>IF(B37&gt;0,VLOOKUP(B37,КВСР!A39:B1204,2),IF(C37&gt;0,VLOOKUP(C37,КФСР!A39:B1551,2),IF(D37&gt;0,VLOOKUP(D37,Программа!A$1:B$5100,2),IF(F37&gt;0,VLOOKUP(F37,КВР!A$1:B$5001,2),IF(E37&gt;0,VLOOKUP(E37,Направление!A$1:B$4830,2))))))</f>
        <v>Расходы на обеспечение профилактики безнадзорности, правонарушений несовершеннолетних и защиты их прав за счет средств областного бюджета</v>
      </c>
      <c r="B37" s="154"/>
      <c r="C37" s="149"/>
      <c r="D37" s="150"/>
      <c r="E37" s="149">
        <v>80190</v>
      </c>
      <c r="F37" s="151"/>
      <c r="G37" s="500">
        <v>2286641</v>
      </c>
      <c r="H37" s="155">
        <f>H38+H39</f>
        <v>0</v>
      </c>
      <c r="I37" s="155">
        <f t="shared" si="2"/>
        <v>2286641</v>
      </c>
      <c r="J37" s="500">
        <v>2286641</v>
      </c>
      <c r="K37" s="155">
        <f>K38+K39</f>
        <v>0</v>
      </c>
      <c r="L37" s="155">
        <f t="shared" si="3"/>
        <v>2286641</v>
      </c>
    </row>
    <row r="38" spans="1:12" ht="173.25" x14ac:dyDescent="0.2">
      <c r="A38" s="153" t="str">
        <f>IF(B38&gt;0,VLOOKUP(B38,КВСР!A40:B1205,2),IF(C38&gt;0,VLOOKUP(C38,КФСР!A40:B1552,2),IF(D38&gt;0,VLOOKUP(D38,Программа!A$1:B$5100,2),IF(F38&gt;0,VLOOKUP(F38,КВР!A$1:B$5001,2),IF(E38&gt;0,VLOOKUP(E38,Направление!A$1:B$4830,2))))))</f>
        <v xml:space="preserve">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
</v>
      </c>
      <c r="B38" s="154"/>
      <c r="C38" s="149"/>
      <c r="D38" s="150"/>
      <c r="E38" s="149"/>
      <c r="F38" s="151">
        <v>100</v>
      </c>
      <c r="G38" s="491">
        <v>2131345</v>
      </c>
      <c r="H38" s="190"/>
      <c r="I38" s="155">
        <f t="shared" si="2"/>
        <v>2131345</v>
      </c>
      <c r="J38" s="491">
        <v>2131345</v>
      </c>
      <c r="K38" s="190"/>
      <c r="L38" s="155">
        <f t="shared" si="3"/>
        <v>2131345</v>
      </c>
    </row>
    <row r="39" spans="1:12" ht="78.75" x14ac:dyDescent="0.2">
      <c r="A39" s="153" t="str">
        <f>IF(B39&gt;0,VLOOKUP(B39,КВСР!A41:B1206,2),IF(C39&gt;0,VLOOKUP(C39,КФСР!A41:B1553,2),IF(D39&gt;0,VLOOKUP(D39,Программа!A$1:B$5100,2),IF(F39&gt;0,VLOOKUP(F39,КВР!A$1:B$5001,2),IF(E39&gt;0,VLOOKUP(E39,Направление!A$1:B$4830,2))))))</f>
        <v xml:space="preserve">Закупка товаров, работ и услуг для обеспечения государственных (муниципальных) нужд
</v>
      </c>
      <c r="B39" s="154"/>
      <c r="C39" s="149"/>
      <c r="D39" s="150"/>
      <c r="E39" s="149"/>
      <c r="F39" s="151">
        <v>200</v>
      </c>
      <c r="G39" s="491">
        <v>155296</v>
      </c>
      <c r="H39" s="190"/>
      <c r="I39" s="155">
        <f t="shared" si="2"/>
        <v>155296</v>
      </c>
      <c r="J39" s="491">
        <v>155296</v>
      </c>
      <c r="K39" s="190"/>
      <c r="L39" s="155">
        <f t="shared" si="3"/>
        <v>155296</v>
      </c>
    </row>
    <row r="40" spans="1:12" ht="110.25" x14ac:dyDescent="0.2">
      <c r="A40" s="153" t="str">
        <f>IF(B40&gt;0,VLOOKUP(B40,КВСР!A42:B1207,2),IF(C40&gt;0,VLOOKUP(C40,КФСР!A42:B1554,2),IF(D40&gt;0,VLOOKUP(D40,Программа!A$1:B$5100,2),IF(F40&gt;0,VLOOKUP(F40,КВР!A$1:B$5001,2),IF(E40&gt;0,VLOOKUP(E40,Направление!A$1:B$4830,2))))))</f>
        <v>Расходы на реализацию отдельных полномочий в сфере законодательства об административных правонарушениях за счет средств областного бюджета</v>
      </c>
      <c r="B40" s="154"/>
      <c r="C40" s="149"/>
      <c r="D40" s="150"/>
      <c r="E40" s="149">
        <v>80200</v>
      </c>
      <c r="F40" s="151"/>
      <c r="G40" s="500">
        <v>238585</v>
      </c>
      <c r="H40" s="155">
        <f>H41+H42</f>
        <v>0</v>
      </c>
      <c r="I40" s="155">
        <f t="shared" si="2"/>
        <v>238585</v>
      </c>
      <c r="J40" s="500">
        <v>238585</v>
      </c>
      <c r="K40" s="155">
        <f>K41+K42</f>
        <v>0</v>
      </c>
      <c r="L40" s="155">
        <f t="shared" si="3"/>
        <v>238585</v>
      </c>
    </row>
    <row r="41" spans="1:12" ht="173.25" x14ac:dyDescent="0.2">
      <c r="A41" s="153" t="str">
        <f>IF(B41&gt;0,VLOOKUP(B41,КВСР!A43:B1208,2),IF(C41&gt;0,VLOOKUP(C41,КФСР!A43:B1555,2),IF(D41&gt;0,VLOOKUP(D41,Программа!A$1:B$5100,2),IF(F41&gt;0,VLOOKUP(F41,КВР!A$1:B$5001,2),IF(E41&gt;0,VLOOKUP(E41,Направление!A$1:B$4830,2))))))</f>
        <v xml:space="preserve">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
</v>
      </c>
      <c r="B41" s="154"/>
      <c r="C41" s="149"/>
      <c r="D41" s="150"/>
      <c r="E41" s="149"/>
      <c r="F41" s="151">
        <v>100</v>
      </c>
      <c r="G41" s="491">
        <v>188790</v>
      </c>
      <c r="H41" s="190"/>
      <c r="I41" s="155">
        <f t="shared" si="2"/>
        <v>188790</v>
      </c>
      <c r="J41" s="491">
        <v>188790</v>
      </c>
      <c r="K41" s="190"/>
      <c r="L41" s="155">
        <f t="shared" si="3"/>
        <v>188790</v>
      </c>
    </row>
    <row r="42" spans="1:12" ht="78.75" x14ac:dyDescent="0.2">
      <c r="A42" s="153" t="str">
        <f>IF(B42&gt;0,VLOOKUP(B42,КВСР!A44:B1209,2),IF(C42&gt;0,VLOOKUP(C42,КФСР!A44:B1556,2),IF(D42&gt;0,VLOOKUP(D42,Программа!A$1:B$5100,2),IF(F42&gt;0,VLOOKUP(F42,КВР!A$1:B$5001,2),IF(E42&gt;0,VLOOKUP(E42,Направление!A$1:B$4830,2))))))</f>
        <v xml:space="preserve">Закупка товаров, работ и услуг для обеспечения государственных (муниципальных) нужд
</v>
      </c>
      <c r="B42" s="154"/>
      <c r="C42" s="149"/>
      <c r="D42" s="150"/>
      <c r="E42" s="149"/>
      <c r="F42" s="151">
        <v>200</v>
      </c>
      <c r="G42" s="491">
        <v>49795</v>
      </c>
      <c r="H42" s="190"/>
      <c r="I42" s="155">
        <f t="shared" si="2"/>
        <v>49795</v>
      </c>
      <c r="J42" s="491">
        <v>49795</v>
      </c>
      <c r="K42" s="190"/>
      <c r="L42" s="155">
        <f t="shared" si="3"/>
        <v>49795</v>
      </c>
    </row>
    <row r="43" spans="1:12" ht="36" customHeight="1" x14ac:dyDescent="0.2">
      <c r="A43" s="153" t="str">
        <f>IF(B43&gt;0,VLOOKUP(B43,КВСР!A45:B1210,2),IF(C43&gt;0,VLOOKUP(C43,КФСР!A45:B1557,2),IF(D43&gt;0,VLOOKUP(D43,Программа!A$1:B$5100,2),IF(F43&gt;0,VLOOKUP(F43,КВР!A$1:B$5001,2),IF(E43&gt;0,VLOOKUP(E43,Направление!A$1:B$4830,2))))))</f>
        <v>Сельское хозяйство и рыболовство</v>
      </c>
      <c r="B43" s="154"/>
      <c r="C43" s="149">
        <v>405</v>
      </c>
      <c r="D43" s="150"/>
      <c r="E43" s="149"/>
      <c r="F43" s="151"/>
      <c r="G43" s="164">
        <v>5100</v>
      </c>
      <c r="H43" s="164">
        <f>H44</f>
        <v>0</v>
      </c>
      <c r="I43" s="155">
        <f t="shared" si="2"/>
        <v>5100</v>
      </c>
      <c r="J43" s="164">
        <v>5100</v>
      </c>
      <c r="K43" s="164">
        <f>K44</f>
        <v>0</v>
      </c>
      <c r="L43" s="155">
        <f t="shared" si="3"/>
        <v>5100</v>
      </c>
    </row>
    <row r="44" spans="1:12" ht="126" x14ac:dyDescent="0.2">
      <c r="A44" s="153" t="str">
        <f>IF(B44&gt;0,VLOOKUP(B44,КВСР!A46:B1211,2),IF(C44&gt;0,VLOOKUP(C44,КФСР!A46:B1558,2),IF(D44&gt;0,VLOOKUP(D44,Программа!A$1:B$5100,2),IF(F44&gt;0,VLOOKUP(F44,КВР!A$1:B$5001,2),IF(E44&gt;0,VLOOKUP(E44,Направление!A$1:B$4830,2))))))</f>
        <v>Муниципальная программа "Экономическое развитие и инновационная экономика, развитие предпринимательства и сельского хозяйства в Тутаевском муниципальном районе"</v>
      </c>
      <c r="B44" s="154"/>
      <c r="C44" s="149"/>
      <c r="D44" s="150" t="s">
        <v>653</v>
      </c>
      <c r="E44" s="149"/>
      <c r="F44" s="151"/>
      <c r="G44" s="164">
        <v>5100</v>
      </c>
      <c r="H44" s="164">
        <f>H45</f>
        <v>0</v>
      </c>
      <c r="I44" s="155">
        <f t="shared" si="2"/>
        <v>5100</v>
      </c>
      <c r="J44" s="164">
        <v>5100</v>
      </c>
      <c r="K44" s="164">
        <f>K45</f>
        <v>0</v>
      </c>
      <c r="L44" s="155">
        <f t="shared" si="3"/>
        <v>5100</v>
      </c>
    </row>
    <row r="45" spans="1:12" ht="94.5" x14ac:dyDescent="0.2">
      <c r="A45" s="153" t="str">
        <f>IF(B45&gt;0,VLOOKUP(B45,КВСР!A47:B1212,2),IF(C45&gt;0,VLOOKUP(C45,КФСР!A47:B1559,2),IF(D45&gt;0,VLOOKUP(D45,Программа!A$1:B$5100,2),IF(F45&gt;0,VLOOKUP(F45,КВР!A$1:B$5001,2),IF(E45&gt;0,VLOOKUP(E45,Направление!A$1:B$4830,2))))))</f>
        <v>Муниципальная целевая программа "Развитие агропромышленного комплекса и сельских территорий Тутаевского муниципального района"</v>
      </c>
      <c r="B45" s="154"/>
      <c r="C45" s="149"/>
      <c r="D45" s="150" t="s">
        <v>655</v>
      </c>
      <c r="E45" s="149"/>
      <c r="F45" s="151"/>
      <c r="G45" s="164">
        <v>5100</v>
      </c>
      <c r="H45" s="164">
        <f>H46</f>
        <v>0</v>
      </c>
      <c r="I45" s="155">
        <f t="shared" si="2"/>
        <v>5100</v>
      </c>
      <c r="J45" s="164">
        <v>5100</v>
      </c>
      <c r="K45" s="164">
        <f>K46</f>
        <v>0</v>
      </c>
      <c r="L45" s="155">
        <f t="shared" si="3"/>
        <v>5100</v>
      </c>
    </row>
    <row r="46" spans="1:12" ht="110.25" x14ac:dyDescent="0.2">
      <c r="A46" s="153" t="str">
        <f>IF(B46&gt;0,VLOOKUP(B46,КВСР!A48:B1213,2),IF(C46&gt;0,VLOOKUP(C46,КФСР!A48:B1560,2),IF(D46&gt;0,VLOOKUP(D46,Программа!A$1:B$5100,2),IF(F46&gt;0,VLOOKUP(F46,КВР!A$1:B$5001,2),IF(E46&gt;0,VLOOKUP(E46,Направление!A$1:B$4830,2))))))</f>
        <v>Поддержка сельскохозяйственного производства в рамках субсидирования  (молоко, овцеводство) сельскохозяйственных товаропроизводителей</v>
      </c>
      <c r="B46" s="154"/>
      <c r="C46" s="149"/>
      <c r="D46" s="150" t="s">
        <v>657</v>
      </c>
      <c r="E46" s="149"/>
      <c r="F46" s="151"/>
      <c r="G46" s="164">
        <v>5100</v>
      </c>
      <c r="H46" s="164">
        <f>H47+H49</f>
        <v>0</v>
      </c>
      <c r="I46" s="155">
        <f t="shared" si="2"/>
        <v>5100</v>
      </c>
      <c r="J46" s="164">
        <v>5100</v>
      </c>
      <c r="K46" s="164">
        <f>K47+K49</f>
        <v>0</v>
      </c>
      <c r="L46" s="155">
        <f t="shared" si="3"/>
        <v>5100</v>
      </c>
    </row>
    <row r="47" spans="1:12" ht="128.25" hidden="1" customHeight="1" x14ac:dyDescent="0.2">
      <c r="A47" s="153" t="str">
        <f>IF(B47&gt;0,VLOOKUP(B47,КВСР!A49:B1214,2),IF(C47&gt;0,VLOOKUP(C47,КФСР!A49:B1561,2),IF(D47&gt;0,VLOOKUP(D47,Программа!A$1:B$5100,2),IF(F47&gt;0,VLOOKUP(F47,КВР!A$1:B$5001,2),IF(E47&gt;0,VLOOKUP(E47,Направление!A$1:B$4830,2))))))</f>
        <v>Субвенция на поддержку сельскохозяйственного производства в части организационных мероприятий в рамках предоставления субсидий сельскохозяйственным производителям</v>
      </c>
      <c r="B47" s="154"/>
      <c r="C47" s="149"/>
      <c r="D47" s="150"/>
      <c r="E47" s="149">
        <v>74450</v>
      </c>
      <c r="F47" s="151"/>
      <c r="G47" s="164">
        <v>0</v>
      </c>
      <c r="H47" s="164">
        <f>H48</f>
        <v>0</v>
      </c>
      <c r="I47" s="155">
        <f>SUM(G47:H47)</f>
        <v>0</v>
      </c>
      <c r="J47" s="164">
        <v>0</v>
      </c>
      <c r="K47" s="164">
        <f>K48</f>
        <v>0</v>
      </c>
      <c r="L47" s="155">
        <f t="shared" si="3"/>
        <v>0</v>
      </c>
    </row>
    <row r="48" spans="1:12" ht="78.75" hidden="1" x14ac:dyDescent="0.2">
      <c r="A48" s="153" t="str">
        <f>IF(B48&gt;0,VLOOKUP(B48,КВСР!A50:B1215,2),IF(C48&gt;0,VLOOKUP(C48,КФСР!A50:B1562,2),IF(D48&gt;0,VLOOKUP(D48,Программа!A$1:B$5100,2),IF(F48&gt;0,VLOOKUP(F48,КВР!A$1:B$5001,2),IF(E48&gt;0,VLOOKUP(E48,Направление!A$1:B$4830,2))))))</f>
        <v xml:space="preserve">Закупка товаров, работ и услуг для обеспечения государственных (муниципальных) нужд
</v>
      </c>
      <c r="B48" s="154"/>
      <c r="C48" s="149"/>
      <c r="D48" s="150"/>
      <c r="E48" s="149"/>
      <c r="F48" s="151">
        <v>200</v>
      </c>
      <c r="G48" s="491">
        <v>0</v>
      </c>
      <c r="H48" s="190"/>
      <c r="I48" s="155">
        <f>SUM(G48:H48)</f>
        <v>0</v>
      </c>
      <c r="J48" s="491">
        <v>0</v>
      </c>
      <c r="K48" s="190"/>
      <c r="L48" s="155">
        <f t="shared" si="3"/>
        <v>0</v>
      </c>
    </row>
    <row r="49" spans="1:12" ht="126" x14ac:dyDescent="0.2">
      <c r="A49" s="153" t="str">
        <f>IF(B49&gt;0,VLOOKUP(B49,КВСР!A51:B1216,2),IF(C49&gt;0,VLOOKUP(C49,КФСР!A51:B1563,2),IF(D49&gt;0,VLOOKUP(D49,Программа!A$1:B$5100,2),IF(F49&gt;0,VLOOKUP(F49,КВР!A$1:B$5001,2),IF(E49&gt;0,VLOOKUP(E49,Направление!A$1:B$4830,2))))))</f>
        <v>Субвенция на поддержку сельскохозяйственного производства в части организационных мероприятий в рамках предоставления субсидий сельскохозяйственным производителям</v>
      </c>
      <c r="B49" s="154"/>
      <c r="C49" s="149"/>
      <c r="D49" s="150"/>
      <c r="E49" s="149" t="s">
        <v>3264</v>
      </c>
      <c r="F49" s="151"/>
      <c r="G49" s="491">
        <v>5100</v>
      </c>
      <c r="H49" s="491">
        <f>H50</f>
        <v>0</v>
      </c>
      <c r="I49" s="155">
        <f>SUM(G49:H49)</f>
        <v>5100</v>
      </c>
      <c r="J49" s="491">
        <v>5100</v>
      </c>
      <c r="K49" s="491">
        <f>K50</f>
        <v>0</v>
      </c>
      <c r="L49" s="155">
        <f>SUM(J49:K49)</f>
        <v>5100</v>
      </c>
    </row>
    <row r="50" spans="1:12" ht="78.75" x14ac:dyDescent="0.2">
      <c r="A50" s="153" t="str">
        <f>IF(B50&gt;0,VLOOKUP(B50,КВСР!A52:B1217,2),IF(C50&gt;0,VLOOKUP(C50,КФСР!A52:B1564,2),IF(D50&gt;0,VLOOKUP(D50,Программа!A$1:B$5100,2),IF(F50&gt;0,VLOOKUP(F50,КВР!A$1:B$5001,2),IF(E50&gt;0,VLOOKUP(E50,Направление!A$1:B$4830,2))))))</f>
        <v xml:space="preserve">Закупка товаров, работ и услуг для обеспечения государственных (муниципальных) нужд
</v>
      </c>
      <c r="B50" s="154"/>
      <c r="C50" s="149"/>
      <c r="D50" s="150"/>
      <c r="E50" s="149"/>
      <c r="F50" s="151">
        <v>200</v>
      </c>
      <c r="G50" s="491">
        <v>5100</v>
      </c>
      <c r="H50" s="190"/>
      <c r="I50" s="155">
        <f>SUM(G50:H50)</f>
        <v>5100</v>
      </c>
      <c r="J50" s="491">
        <v>5100</v>
      </c>
      <c r="K50" s="190"/>
      <c r="L50" s="155">
        <f>SUM(J50:K50)</f>
        <v>5100</v>
      </c>
    </row>
    <row r="51" spans="1:12" ht="24" customHeight="1" x14ac:dyDescent="0.2">
      <c r="A51" s="153" t="str">
        <f>IF(B51&gt;0,VLOOKUP(B51,КВСР!A51:B1216,2),IF(C51&gt;0,VLOOKUP(C51,КФСР!A51:B1563,2),IF(D51&gt;0,VLOOKUP(D51,Программа!A$1:B$5100,2),IF(F51&gt;0,VLOOKUP(F51,КВР!A$1:B$5001,2),IF(E51&gt;0,VLOOKUP(E51,Направление!A$1:B$4830,2))))))</f>
        <v>Дорожное хозяйство</v>
      </c>
      <c r="B51" s="154"/>
      <c r="C51" s="149">
        <v>409</v>
      </c>
      <c r="D51" s="150"/>
      <c r="E51" s="149"/>
      <c r="F51" s="151"/>
      <c r="G51" s="491">
        <v>20335090</v>
      </c>
      <c r="H51" s="491">
        <f>H69+H52+H65</f>
        <v>0</v>
      </c>
      <c r="I51" s="155">
        <f t="shared" si="2"/>
        <v>20335090</v>
      </c>
      <c r="J51" s="491">
        <v>24472240</v>
      </c>
      <c r="K51" s="491">
        <f>K69+K52+K65</f>
        <v>0</v>
      </c>
      <c r="L51" s="155">
        <f>L52</f>
        <v>24472240</v>
      </c>
    </row>
    <row r="52" spans="1:12" ht="78.75" x14ac:dyDescent="0.2">
      <c r="A52" s="153" t="str">
        <f>IF(B52&gt;0,VLOOKUP(B52,КВСР!A52:B1217,2),IF(C52&gt;0,VLOOKUP(C52,КФСР!A52:B1564,2),IF(D52&gt;0,VLOOKUP(D52,Программа!A$1:B$5100,2),IF(F52&gt;0,VLOOKUP(F52,КВР!A$1:B$5001,2),IF(E52&gt;0,VLOOKUP(E52,Направление!A$1:B$4830,2))))))</f>
        <v>Муниципальная программа "Развитие дорожного хозяйства и транспорта в Тутаевском муниципальном районе"</v>
      </c>
      <c r="B52" s="154"/>
      <c r="C52" s="149"/>
      <c r="D52" s="150" t="s">
        <v>867</v>
      </c>
      <c r="E52" s="149"/>
      <c r="F52" s="151"/>
      <c r="G52" s="491">
        <v>11835090</v>
      </c>
      <c r="H52" s="491">
        <f>H53+H59</f>
        <v>0</v>
      </c>
      <c r="I52" s="155">
        <f t="shared" si="2"/>
        <v>11835090</v>
      </c>
      <c r="J52" s="491">
        <v>24472240</v>
      </c>
      <c r="K52" s="491">
        <f>K53+K59</f>
        <v>0</v>
      </c>
      <c r="L52" s="155">
        <f>L53+L59</f>
        <v>24472240</v>
      </c>
    </row>
    <row r="53" spans="1:12" ht="97.15" customHeight="1" x14ac:dyDescent="0.2">
      <c r="A53" s="153" t="str">
        <f>IF(B53&gt;0,VLOOKUP(B53,КВСР!A53:B1218,2),IF(C53&gt;0,VLOOKUP(C53,КФСР!A53:B1565,2),IF(D53&gt;0,VLOOKUP(D53,Программа!A$1:B$5100,2),IF(F53&gt;0,VLOOKUP(F53,КВР!A$1:B$5001,2),IF(E53&gt;0,VLOOKUP(E53,Направление!A$1:B$4830,2))))))</f>
        <v>Муниципальная целевая программа «Повышение безопасности дорожного движения на территории Тутаевского муниципального района»</v>
      </c>
      <c r="B53" s="154"/>
      <c r="C53" s="149"/>
      <c r="D53" s="150" t="s">
        <v>869</v>
      </c>
      <c r="E53" s="149"/>
      <c r="F53" s="151"/>
      <c r="G53" s="491">
        <v>300000</v>
      </c>
      <c r="H53" s="491">
        <f>H54</f>
        <v>0</v>
      </c>
      <c r="I53" s="155">
        <f t="shared" si="2"/>
        <v>300000</v>
      </c>
      <c r="J53" s="491">
        <v>300000</v>
      </c>
      <c r="K53" s="491">
        <f>K54</f>
        <v>0</v>
      </c>
      <c r="L53" s="155">
        <f>SUM(J53:K53)</f>
        <v>300000</v>
      </c>
    </row>
    <row r="54" spans="1:12" ht="56.45" customHeight="1" x14ac:dyDescent="0.2">
      <c r="A54" s="153" t="str">
        <f>IF(B54&gt;0,VLOOKUP(B54,КВСР!A54:B1219,2),IF(C54&gt;0,VLOOKUP(C54,КФСР!A54:B1566,2),IF(D54&gt;0,VLOOKUP(D54,Программа!A$1:B$5100,2),IF(F54&gt;0,VLOOKUP(F54,КВР!A$1:B$5001,2),IF(E54&gt;0,VLOOKUP(E54,Направление!A$1:B$4830,2))))))</f>
        <v>Повышение безопасности дорожного движения на автомобильных дорогах</v>
      </c>
      <c r="B54" s="154"/>
      <c r="C54" s="149"/>
      <c r="D54" s="150" t="s">
        <v>871</v>
      </c>
      <c r="E54" s="149"/>
      <c r="F54" s="151"/>
      <c r="G54" s="491">
        <v>300000</v>
      </c>
      <c r="H54" s="491">
        <f>H55+H57</f>
        <v>0</v>
      </c>
      <c r="I54" s="155">
        <f t="shared" si="2"/>
        <v>300000</v>
      </c>
      <c r="J54" s="491">
        <v>300000</v>
      </c>
      <c r="K54" s="491">
        <f>K55+K57</f>
        <v>0</v>
      </c>
      <c r="L54" s="155">
        <f>SUM(J54:K54)</f>
        <v>300000</v>
      </c>
    </row>
    <row r="55" spans="1:12" ht="51" customHeight="1" x14ac:dyDescent="0.2">
      <c r="A55" s="153" t="str">
        <f>IF(B55&gt;0,VLOOKUP(B55,КВСР!A55:B1220,2),IF(C55&gt;0,VLOOKUP(C55,КФСР!A55:B1567,2),IF(D55&gt;0,VLOOKUP(D55,Программа!A$1:B$5100,2),IF(F55&gt;0,VLOOKUP(F55,КВР!A$1:B$5001,2),IF(E55&gt;0,VLOOKUP(E55,Направление!A$1:B$4830,2))))))</f>
        <v>Содержание и ремонт  автомобильных дорог общего пользования</v>
      </c>
      <c r="B55" s="154"/>
      <c r="C55" s="149"/>
      <c r="D55" s="150"/>
      <c r="E55" s="149">
        <v>10200</v>
      </c>
      <c r="F55" s="151"/>
      <c r="G55" s="491">
        <v>300000</v>
      </c>
      <c r="H55" s="491"/>
      <c r="I55" s="155">
        <f t="shared" si="2"/>
        <v>300000</v>
      </c>
      <c r="J55" s="491">
        <v>300000</v>
      </c>
      <c r="K55" s="491"/>
      <c r="L55" s="155">
        <f>SUM(J55:K55)</f>
        <v>300000</v>
      </c>
    </row>
    <row r="56" spans="1:12" ht="83.45" customHeight="1" x14ac:dyDescent="0.2">
      <c r="A56" s="153" t="str">
        <f>IF(B56&gt;0,VLOOKUP(B56,КВСР!A56:B1221,2),IF(C56&gt;0,VLOOKUP(C56,КФСР!A56:B1568,2),IF(D56&gt;0,VLOOKUP(D56,Программа!A$1:B$5100,2),IF(F56&gt;0,VLOOKUP(F56,КВР!A$1:B$5001,2),IF(E56&gt;0,VLOOKUP(E56,Направление!A$1:B$4830,2))))))</f>
        <v>Предоставление субсидий бюджетным, автономным учреждениям и иным некоммерческим организациям</v>
      </c>
      <c r="B56" s="154"/>
      <c r="C56" s="149"/>
      <c r="D56" s="150"/>
      <c r="E56" s="149"/>
      <c r="F56" s="151">
        <v>600</v>
      </c>
      <c r="G56" s="491">
        <v>300000</v>
      </c>
      <c r="H56" s="190"/>
      <c r="I56" s="155">
        <f t="shared" si="2"/>
        <v>300000</v>
      </c>
      <c r="J56" s="491">
        <v>300000</v>
      </c>
      <c r="K56" s="190"/>
      <c r="L56" s="155">
        <f>SUM(J56:K56)</f>
        <v>300000</v>
      </c>
    </row>
    <row r="57" spans="1:12" ht="83.45" customHeight="1" x14ac:dyDescent="0.2">
      <c r="A57" s="153" t="str">
        <f>IF(B57&gt;0,VLOOKUP(B57,КВСР!A57:B1222,2),IF(C57&gt;0,VLOOKUP(C57,КФСР!A57:B1569,2),IF(D57&gt;0,VLOOKUP(D57,Программа!A$1:B$5100,2),IF(F57&gt;0,VLOOKUP(F57,КВР!A$1:B$5001,2),IF(E57&gt;0,VLOOKUP(E57,Направление!A$1:B$4830,2))))))</f>
        <v>Обеспечение   мероприятий в области  дорожного хозяйства  по повышению безопасности дорожного движения</v>
      </c>
      <c r="B57" s="154"/>
      <c r="C57" s="149"/>
      <c r="D57" s="150"/>
      <c r="E57" s="149">
        <v>29096</v>
      </c>
      <c r="F57" s="151"/>
      <c r="G57" s="491"/>
      <c r="H57" s="491">
        <f>H58</f>
        <v>0</v>
      </c>
      <c r="I57" s="491">
        <f>I58</f>
        <v>0</v>
      </c>
      <c r="J57" s="491">
        <f>J58</f>
        <v>0</v>
      </c>
      <c r="K57" s="491">
        <f>K58</f>
        <v>0</v>
      </c>
      <c r="L57" s="491">
        <f>L58</f>
        <v>0</v>
      </c>
    </row>
    <row r="58" spans="1:12" ht="83.45" customHeight="1" x14ac:dyDescent="0.2">
      <c r="A58" s="153" t="str">
        <f>IF(B58&gt;0,VLOOKUP(B58,КВСР!A58:B1223,2),IF(C58&gt;0,VLOOKUP(C58,КФСР!A58:B1570,2),IF(D58&gt;0,VLOOKUP(D58,Программа!A$1:B$5100,2),IF(F58&gt;0,VLOOKUP(F58,КВР!A$1:B$5001,2),IF(E58&gt;0,VLOOKUP(E58,Направление!A$1:B$4830,2))))))</f>
        <v>Предоставление субсидий бюджетным, автономным учреждениям и иным некоммерческим организациям</v>
      </c>
      <c r="B58" s="154"/>
      <c r="C58" s="149"/>
      <c r="D58" s="150"/>
      <c r="E58" s="149"/>
      <c r="F58" s="151">
        <v>600</v>
      </c>
      <c r="G58" s="491"/>
      <c r="H58" s="190"/>
      <c r="I58" s="155">
        <f>SUM(G58:H58)</f>
        <v>0</v>
      </c>
      <c r="J58" s="491"/>
      <c r="K58" s="190"/>
      <c r="L58" s="155">
        <f>SUM(J58:K58)</f>
        <v>0</v>
      </c>
    </row>
    <row r="59" spans="1:12" ht="83.45" customHeight="1" x14ac:dyDescent="0.2">
      <c r="A59" s="153" t="str">
        <f>IF(B59&gt;0,VLOOKUP(B59,КВСР!A57:B1222,2),IF(C59&gt;0,VLOOKUP(C59,КФСР!A57:B1569,2),IF(D59&gt;0,VLOOKUP(D59,Программа!A$1:B$5100,2),IF(F59&gt;0,VLOOKUP(F59,КВР!A$1:B$5001,2),IF(E59&gt;0,VLOOKUP(E59,Направление!A$1:B$4830,2))))))</f>
        <v>Муниципальная целевая программа «Сохранность автомобильных дорог общего пользования Тутаевского муниципального района»</v>
      </c>
      <c r="B59" s="154"/>
      <c r="C59" s="149"/>
      <c r="D59" s="150" t="s">
        <v>874</v>
      </c>
      <c r="E59" s="149"/>
      <c r="F59" s="151"/>
      <c r="G59" s="491">
        <v>11535090</v>
      </c>
      <c r="H59" s="491">
        <f>H60</f>
        <v>0</v>
      </c>
      <c r="I59" s="155">
        <f t="shared" si="2"/>
        <v>11535090</v>
      </c>
      <c r="J59" s="491">
        <v>24172240</v>
      </c>
      <c r="K59" s="491">
        <f>K60</f>
        <v>0</v>
      </c>
      <c r="L59" s="155">
        <f>SUM(J59:K59)</f>
        <v>24172240</v>
      </c>
    </row>
    <row r="60" spans="1:12" ht="55.15" customHeight="1" x14ac:dyDescent="0.2">
      <c r="A60" s="153" t="str">
        <f>IF(B60&gt;0,VLOOKUP(B60,КВСР!A58:B1223,2),IF(C60&gt;0,VLOOKUP(C60,КФСР!A58:B1570,2),IF(D60&gt;0,VLOOKUP(D60,Программа!A$1:B$5100,2),IF(F60&gt;0,VLOOKUP(F60,КВР!A$1:B$5001,2),IF(E60&gt;0,VLOOKUP(E60,Направление!A$1:B$4830,2))))))</f>
        <v>Приведение  в нормативное состояние автомобильных дорог общего пользования</v>
      </c>
      <c r="B60" s="154"/>
      <c r="C60" s="149"/>
      <c r="D60" s="150" t="s">
        <v>876</v>
      </c>
      <c r="E60" s="149"/>
      <c r="F60" s="151"/>
      <c r="G60" s="491">
        <v>11535090</v>
      </c>
      <c r="H60" s="804">
        <f>H63+H61</f>
        <v>0</v>
      </c>
      <c r="I60" s="155">
        <f t="shared" si="2"/>
        <v>11535090</v>
      </c>
      <c r="J60" s="491">
        <v>24172240</v>
      </c>
      <c r="K60" s="491">
        <f>K61+K63</f>
        <v>0</v>
      </c>
      <c r="L60" s="155">
        <f>SUM(J60:K60)</f>
        <v>24172240</v>
      </c>
    </row>
    <row r="61" spans="1:12" ht="55.15" customHeight="1" x14ac:dyDescent="0.2">
      <c r="A61" s="153" t="str">
        <f>IF(B61&gt;0,VLOOKUP(B61,КВСР!A59:B1224,2),IF(C61&gt;0,VLOOKUP(C61,КФСР!A59:B1571,2),IF(D61&gt;0,VLOOKUP(D61,Программа!A$1:B$5100,2),IF(F61&gt;0,VLOOKUP(F61,КВР!A$1:B$5001,2),IF(E61&gt;0,VLOOKUP(E61,Направление!A$1:B$4830,2))))))</f>
        <v>Обеспечение   мероприятий в области  дорожного хозяйства  на  ремонт и содержание автомобильных дорог</v>
      </c>
      <c r="B61" s="154"/>
      <c r="C61" s="149"/>
      <c r="D61" s="150"/>
      <c r="E61" s="149">
        <v>29086</v>
      </c>
      <c r="F61" s="151"/>
      <c r="G61" s="491"/>
      <c r="H61" s="804">
        <f>H62</f>
        <v>0</v>
      </c>
      <c r="I61" s="804">
        <f>I62</f>
        <v>0</v>
      </c>
      <c r="J61" s="804">
        <f>J62</f>
        <v>0</v>
      </c>
      <c r="K61" s="804">
        <f>K62</f>
        <v>0</v>
      </c>
      <c r="L61" s="804">
        <f>L62</f>
        <v>0</v>
      </c>
    </row>
    <row r="62" spans="1:12" ht="55.15" customHeight="1" x14ac:dyDescent="0.2">
      <c r="A62" s="153" t="str">
        <f>IF(B62&gt;0,VLOOKUP(B62,КВСР!A60:B1225,2),IF(C62&gt;0,VLOOKUP(C62,КФСР!A60:B1572,2),IF(D62&gt;0,VLOOKUP(D62,Программа!A$1:B$5100,2),IF(F62&gt;0,VLOOKUP(F62,КВР!A$1:B$5001,2),IF(E62&gt;0,VLOOKUP(E62,Направление!A$1:B$4830,2))))))</f>
        <v>Предоставление субсидий бюджетным, автономным учреждениям и иным некоммерческим организациям</v>
      </c>
      <c r="B62" s="154"/>
      <c r="C62" s="149"/>
      <c r="D62" s="150"/>
      <c r="E62" s="149"/>
      <c r="F62" s="151">
        <v>600</v>
      </c>
      <c r="G62" s="491"/>
      <c r="H62" s="806"/>
      <c r="I62" s="155">
        <f>SUM(G62:H62)</f>
        <v>0</v>
      </c>
      <c r="J62" s="491"/>
      <c r="K62" s="807"/>
      <c r="L62" s="155">
        <f>SUM(J62:K62)</f>
        <v>0</v>
      </c>
    </row>
    <row r="63" spans="1:12" ht="52.9" customHeight="1" x14ac:dyDescent="0.2">
      <c r="A63" s="153" t="str">
        <f>IF(B63&gt;0,VLOOKUP(B63,КВСР!A59:B1224,2),IF(C63&gt;0,VLOOKUP(C63,КФСР!A59:B1571,2),IF(D63&gt;0,VLOOKUP(D63,Программа!A$1:B$5100,2),IF(F63&gt;0,VLOOKUP(F63,КВР!A$1:B$5001,2),IF(E63&gt;0,VLOOKUP(E63,Направление!A$1:B$4830,2))))))</f>
        <v>Содержание и ремонт  автомобильных дорог общего пользования</v>
      </c>
      <c r="B63" s="154"/>
      <c r="C63" s="149"/>
      <c r="D63" s="150"/>
      <c r="E63" s="149">
        <v>10200</v>
      </c>
      <c r="F63" s="151"/>
      <c r="G63" s="491">
        <v>11535090</v>
      </c>
      <c r="H63" s="491">
        <f>H64</f>
        <v>0</v>
      </c>
      <c r="I63" s="155">
        <f t="shared" si="2"/>
        <v>11535090</v>
      </c>
      <c r="J63" s="491">
        <v>24172240</v>
      </c>
      <c r="K63" s="491"/>
      <c r="L63" s="155">
        <f>SUM(J63:K63)</f>
        <v>24172240</v>
      </c>
    </row>
    <row r="64" spans="1:12" ht="78.75" x14ac:dyDescent="0.2">
      <c r="A64" s="153" t="str">
        <f>IF(B64&gt;0,VLOOKUP(B64,КВСР!A60:B1225,2),IF(C64&gt;0,VLOOKUP(C64,КФСР!A60:B1572,2),IF(D64&gt;0,VLOOKUP(D64,Программа!A$1:B$5100,2),IF(F64&gt;0,VLOOKUP(F64,КВР!A$1:B$5001,2),IF(E64&gt;0,VLOOKUP(E64,Направление!A$1:B$4830,2))))))</f>
        <v>Предоставление субсидий бюджетным, автономным учреждениям и иным некоммерческим организациям</v>
      </c>
      <c r="B64" s="154"/>
      <c r="C64" s="149"/>
      <c r="D64" s="150"/>
      <c r="E64" s="149"/>
      <c r="F64" s="151">
        <v>600</v>
      </c>
      <c r="G64" s="491">
        <v>11535090</v>
      </c>
      <c r="H64" s="190"/>
      <c r="I64" s="155">
        <f t="shared" si="2"/>
        <v>11535090</v>
      </c>
      <c r="J64" s="491">
        <v>24172240</v>
      </c>
      <c r="K64" s="190"/>
      <c r="L64" s="155">
        <f>SUM(J64:K64)</f>
        <v>24172240</v>
      </c>
    </row>
    <row r="65" spans="1:12" ht="78.75" x14ac:dyDescent="0.2">
      <c r="A65" s="153" t="str">
        <f>IF(B65&gt;0,VLOOKUP(B65,КВСР!A61:B1226,2),IF(C65&gt;0,VLOOKUP(C65,КФСР!A61:B1573,2),IF(D65&gt;0,VLOOKUP(D65,Программа!A$1:B$5100,2),IF(F65&gt;0,VLOOKUP(F65,КВР!A$1:B$5001,2),IF(E65&gt;0,VLOOKUP(E65,Направление!A$1:B$4830,2))))))</f>
        <v>Муниципальная программа "Формирование  современной городской среды"  Тутаевского муниципального района</v>
      </c>
      <c r="B65" s="154"/>
      <c r="C65" s="149"/>
      <c r="D65" s="150" t="s">
        <v>3155</v>
      </c>
      <c r="E65" s="149"/>
      <c r="F65" s="151"/>
      <c r="G65" s="491"/>
      <c r="H65" s="491">
        <f>H66</f>
        <v>0</v>
      </c>
      <c r="I65" s="491">
        <f t="shared" ref="I65:L66" si="4">I66</f>
        <v>0</v>
      </c>
      <c r="J65" s="491">
        <f t="shared" si="4"/>
        <v>0</v>
      </c>
      <c r="K65" s="491">
        <f t="shared" si="4"/>
        <v>0</v>
      </c>
      <c r="L65" s="491">
        <f t="shared" si="4"/>
        <v>0</v>
      </c>
    </row>
    <row r="66" spans="1:12" ht="94.5" x14ac:dyDescent="0.2">
      <c r="A66" s="153" t="str">
        <f>IF(B66&gt;0,VLOOKUP(B66,КВСР!A62:B1227,2),IF(C66&gt;0,VLOOKUP(C66,КФСР!A62:B1574,2),IF(D66&gt;0,VLOOKUP(D66,Программа!A$1:B$5100,2),IF(F66&gt;0,VLOOKUP(F66,КВР!A$1:B$5001,2),IF(E66&gt;0,VLOOKUP(E66,Направление!A$1:B$4830,2))))))</f>
        <v>Повышение безопасности движения пешеходов и транспортных средств на придомовых территориях и проездах к дворовым территориям МКД</v>
      </c>
      <c r="B66" s="154"/>
      <c r="C66" s="149"/>
      <c r="D66" s="150" t="s">
        <v>3185</v>
      </c>
      <c r="E66" s="149"/>
      <c r="F66" s="151"/>
      <c r="G66" s="491"/>
      <c r="H66" s="491">
        <f>H67</f>
        <v>0</v>
      </c>
      <c r="I66" s="491">
        <f t="shared" si="4"/>
        <v>0</v>
      </c>
      <c r="J66" s="491">
        <f t="shared" si="4"/>
        <v>0</v>
      </c>
      <c r="K66" s="491">
        <f t="shared" si="4"/>
        <v>0</v>
      </c>
      <c r="L66" s="491">
        <f t="shared" si="4"/>
        <v>0</v>
      </c>
    </row>
    <row r="67" spans="1:12" ht="78.75" x14ac:dyDescent="0.2">
      <c r="A67" s="153" t="str">
        <f>IF(B67&gt;0,VLOOKUP(B67,КВСР!A63:B1228,2),IF(C67&gt;0,VLOOKUP(C67,КФСР!A63:B1575,2),IF(D67&gt;0,VLOOKUP(D67,Программа!A$1:B$5100,2),IF(F67&gt;0,VLOOKUP(F67,КВР!A$1:B$5001,2),IF(E67&gt;0,VLOOKUP(E67,Направление!A$1:B$4830,2))))))</f>
        <v>Обеспечение мероприятий по  формированию современной городской среды в области дорожного хозяйства</v>
      </c>
      <c r="B67" s="154"/>
      <c r="C67" s="149"/>
      <c r="D67" s="150"/>
      <c r="E67" s="149">
        <v>29646</v>
      </c>
      <c r="F67" s="151"/>
      <c r="G67" s="491"/>
      <c r="H67" s="491">
        <f>H68</f>
        <v>0</v>
      </c>
      <c r="I67" s="491">
        <f>I68</f>
        <v>0</v>
      </c>
      <c r="J67" s="491">
        <f>J68</f>
        <v>0</v>
      </c>
      <c r="K67" s="491">
        <f>K68</f>
        <v>0</v>
      </c>
      <c r="L67" s="491">
        <f>L68</f>
        <v>0</v>
      </c>
    </row>
    <row r="68" spans="1:12" ht="78.75" x14ac:dyDescent="0.2">
      <c r="A68" s="153" t="str">
        <f>IF(B68&gt;0,VLOOKUP(B68,КВСР!A64:B1229,2),IF(C68&gt;0,VLOOKUP(C68,КФСР!A64:B1576,2),IF(D68&gt;0,VLOOKUP(D68,Программа!A$1:B$5100,2),IF(F68&gt;0,VLOOKUP(F68,КВР!A$1:B$5001,2),IF(E68&gt;0,VLOOKUP(E68,Направление!A$1:B$4830,2))))))</f>
        <v>Предоставление субсидий бюджетным, автономным учреждениям и иным некоммерческим организациям</v>
      </c>
      <c r="B68" s="154"/>
      <c r="C68" s="149"/>
      <c r="D68" s="150"/>
      <c r="E68" s="149"/>
      <c r="F68" s="151">
        <v>600</v>
      </c>
      <c r="G68" s="491"/>
      <c r="H68" s="190"/>
      <c r="I68" s="155">
        <f>SUM(G68:H68)</f>
        <v>0</v>
      </c>
      <c r="J68" s="491"/>
      <c r="K68" s="190"/>
      <c r="L68" s="155">
        <f>SUM(J68:K68)</f>
        <v>0</v>
      </c>
    </row>
    <row r="69" spans="1:12" ht="47.25" x14ac:dyDescent="0.2">
      <c r="A69" s="153" t="str">
        <f>IF(B69&gt;0,VLOOKUP(B69,КВСР!A61:B1226,2),IF(C69&gt;0,VLOOKUP(C69,КФСР!A61:B1573,2),IF(D69&gt;0,VLOOKUP(D69,Программа!A$1:B$5100,2),IF(F69&gt;0,VLOOKUP(F69,КВР!A$1:B$5001,2),IF(E69&gt;0,VLOOKUP(E69,Направление!A$1:B$4830,2))))))</f>
        <v>Межбюджетные трансферты  поселениям района</v>
      </c>
      <c r="B69" s="154"/>
      <c r="C69" s="149"/>
      <c r="D69" s="150" t="s">
        <v>799</v>
      </c>
      <c r="E69" s="149"/>
      <c r="F69" s="151"/>
      <c r="G69" s="804">
        <v>8500000</v>
      </c>
      <c r="H69" s="804">
        <f t="shared" ref="H69:L70" si="5">H70</f>
        <v>0</v>
      </c>
      <c r="I69" s="804">
        <f t="shared" si="5"/>
        <v>8500000</v>
      </c>
      <c r="J69" s="804">
        <f t="shared" si="5"/>
        <v>0</v>
      </c>
      <c r="K69" s="804">
        <f t="shared" si="5"/>
        <v>0</v>
      </c>
      <c r="L69" s="804">
        <f t="shared" si="5"/>
        <v>0</v>
      </c>
    </row>
    <row r="70" spans="1:12" ht="47.25" x14ac:dyDescent="0.2">
      <c r="A70" s="153" t="str">
        <f>IF(B70&gt;0,VLOOKUP(B70,КВСР!A62:B1227,2),IF(C70&gt;0,VLOOKUP(C70,КФСР!A62:B1574,2),IF(D70&gt;0,VLOOKUP(D70,Программа!A$1:B$5100,2),IF(F70&gt;0,VLOOKUP(F70,КВР!A$1:B$5001,2),IF(E70&gt;0,VLOOKUP(E70,Направление!A$1:B$4830,2))))))</f>
        <v>Содержание и ремонт  автомобильных дорог общего пользования</v>
      </c>
      <c r="B70" s="154"/>
      <c r="C70" s="149"/>
      <c r="D70" s="150"/>
      <c r="E70" s="149">
        <v>10200</v>
      </c>
      <c r="F70" s="151"/>
      <c r="G70" s="804">
        <v>8500000</v>
      </c>
      <c r="H70" s="804">
        <f t="shared" si="5"/>
        <v>0</v>
      </c>
      <c r="I70" s="804">
        <f t="shared" si="5"/>
        <v>8500000</v>
      </c>
      <c r="J70" s="804">
        <f t="shared" si="5"/>
        <v>0</v>
      </c>
      <c r="K70" s="804">
        <f t="shared" si="5"/>
        <v>0</v>
      </c>
      <c r="L70" s="804">
        <f t="shared" si="5"/>
        <v>0</v>
      </c>
    </row>
    <row r="71" spans="1:12" ht="31.5" x14ac:dyDescent="0.2">
      <c r="A71" s="153" t="str">
        <f>IF(B71&gt;0,VLOOKUP(B71,КВСР!A63:B1228,2),IF(C71&gt;0,VLOOKUP(C71,КФСР!A63:B1575,2),IF(D71&gt;0,VLOOKUP(D71,Программа!A$1:B$5100,2),IF(F71&gt;0,VLOOKUP(F71,КВР!A$1:B$5001,2),IF(E71&gt;0,VLOOKUP(E71,Направление!A$1:B$4830,2))))))</f>
        <v xml:space="preserve"> Межбюджетные трансферты</v>
      </c>
      <c r="B71" s="154"/>
      <c r="C71" s="149"/>
      <c r="D71" s="150"/>
      <c r="E71" s="149"/>
      <c r="F71" s="151">
        <v>500</v>
      </c>
      <c r="G71" s="804">
        <v>8500000</v>
      </c>
      <c r="H71" s="190"/>
      <c r="I71" s="155">
        <f t="shared" si="2"/>
        <v>8500000</v>
      </c>
      <c r="J71" s="491"/>
      <c r="K71" s="190"/>
      <c r="L71" s="155">
        <f>SUM(J71:K71)</f>
        <v>0</v>
      </c>
    </row>
    <row r="72" spans="1:12" ht="15.75" x14ac:dyDescent="0.2">
      <c r="A72" s="153" t="str">
        <f>IF(B72&gt;0,VLOOKUP(B72,КВСР!A64:B1229,2),IF(C72&gt;0,VLOOKUP(C72,КФСР!A64:B1576,2),IF(D72&gt;0,VLOOKUP(D72,Программа!A$1:B$5100,2),IF(F72&gt;0,VLOOKUP(F72,КВР!A$1:B$5001,2),IF(E72&gt;0,VLOOKUP(E72,Направление!A$1:B$4830,2))))))</f>
        <v>Благоустройство</v>
      </c>
      <c r="B72" s="154"/>
      <c r="C72" s="149">
        <v>503</v>
      </c>
      <c r="D72" s="150"/>
      <c r="E72" s="149"/>
      <c r="F72" s="151"/>
      <c r="G72" s="804"/>
      <c r="H72" s="491">
        <f>H73</f>
        <v>0</v>
      </c>
      <c r="I72" s="491">
        <f t="shared" ref="I72:L74" si="6">I73</f>
        <v>0</v>
      </c>
      <c r="J72" s="491">
        <f t="shared" si="6"/>
        <v>0</v>
      </c>
      <c r="K72" s="491">
        <f t="shared" si="6"/>
        <v>0</v>
      </c>
      <c r="L72" s="491">
        <f t="shared" si="6"/>
        <v>0</v>
      </c>
    </row>
    <row r="73" spans="1:12" ht="94.5" x14ac:dyDescent="0.2">
      <c r="A73" s="153" t="str">
        <f>IF(B73&gt;0,VLOOKUP(B73,КВСР!A65:B1230,2),IF(C73&gt;0,VLOOKUP(C73,КФСР!A65:B1577,2),IF(D73&gt;0,VLOOKUP(D73,Программа!A$1:B$5100,2),IF(F73&gt;0,VLOOKUP(F73,КВР!A$1:B$5001,2),IF(E73&gt;0,VLOOKUP(E73,Направление!A$1:B$4830,2))))))</f>
        <v>Муниципальная программа "Благоустройство  и санитарно-эпидемиологическая безопасность  Тутаевского муниципального района</v>
      </c>
      <c r="B73" s="154"/>
      <c r="C73" s="149"/>
      <c r="D73" s="150" t="s">
        <v>972</v>
      </c>
      <c r="E73" s="149"/>
      <c r="F73" s="151"/>
      <c r="G73" s="804"/>
      <c r="H73" s="491">
        <f>H74</f>
        <v>0</v>
      </c>
      <c r="I73" s="491">
        <f t="shared" si="6"/>
        <v>0</v>
      </c>
      <c r="J73" s="491">
        <f t="shared" si="6"/>
        <v>0</v>
      </c>
      <c r="K73" s="491">
        <f t="shared" si="6"/>
        <v>0</v>
      </c>
      <c r="L73" s="491">
        <f t="shared" si="6"/>
        <v>0</v>
      </c>
    </row>
    <row r="74" spans="1:12" ht="94.5" x14ac:dyDescent="0.2">
      <c r="A74" s="153" t="str">
        <f>IF(B74&gt;0,VLOOKUP(B74,КВСР!A66:B1231,2),IF(C74&gt;0,VLOOKUP(C74,КФСР!A66:B1578,2),IF(D74&gt;0,VLOOKUP(D74,Программа!A$1:B$5100,2),IF(F74&gt;0,VLOOKUP(F74,КВР!A$1:B$5001,2),IF(E74&gt;0,VLOOKUP(E74,Направление!A$1:B$4830,2))))))</f>
        <v>Муниципальная целевая программа "Благоустройство и озеленение территории  в Тутаевского муниципального  района"</v>
      </c>
      <c r="B74" s="154"/>
      <c r="C74" s="149"/>
      <c r="D74" s="150" t="s">
        <v>978</v>
      </c>
      <c r="E74" s="149"/>
      <c r="F74" s="151"/>
      <c r="G74" s="804"/>
      <c r="H74" s="491">
        <f>H75</f>
        <v>0</v>
      </c>
      <c r="I74" s="491">
        <f t="shared" si="6"/>
        <v>0</v>
      </c>
      <c r="J74" s="491">
        <f t="shared" si="6"/>
        <v>0</v>
      </c>
      <c r="K74" s="491">
        <f t="shared" si="6"/>
        <v>0</v>
      </c>
      <c r="L74" s="491">
        <f t="shared" si="6"/>
        <v>0</v>
      </c>
    </row>
    <row r="75" spans="1:12" ht="78.75" x14ac:dyDescent="0.2">
      <c r="A75" s="153" t="str">
        <f>IF(B75&gt;0,VLOOKUP(B75,КВСР!A67:B1232,2),IF(C75&gt;0,VLOOKUP(C75,КФСР!A67:B1579,2),IF(D75&gt;0,VLOOKUP(D75,Программа!A$1:B$5100,2),IF(F75&gt;0,VLOOKUP(F75,КВР!A$1:B$5001,2),IF(E75&gt;0,VLOOKUP(E75,Направление!A$1:B$4830,2))))))</f>
        <v>Улучшение уровня внешнего благоустройства и санитарного  состояния территорий Тутаевского муниципального района</v>
      </c>
      <c r="B75" s="154"/>
      <c r="C75" s="149"/>
      <c r="D75" s="150" t="s">
        <v>980</v>
      </c>
      <c r="E75" s="149"/>
      <c r="F75" s="151"/>
      <c r="G75" s="804"/>
      <c r="H75" s="491">
        <f>H76+H78+H80</f>
        <v>0</v>
      </c>
      <c r="I75" s="491">
        <f>I76+I78+I80</f>
        <v>0</v>
      </c>
      <c r="J75" s="491">
        <f>J76+J78+J80</f>
        <v>0</v>
      </c>
      <c r="K75" s="491">
        <f>K76+K78+K80</f>
        <v>0</v>
      </c>
      <c r="L75" s="491">
        <f>L76+L78+L80</f>
        <v>0</v>
      </c>
    </row>
    <row r="76" spans="1:12" ht="31.5" x14ac:dyDescent="0.2">
      <c r="A76" s="153" t="str">
        <f>IF(B76&gt;0,VLOOKUP(B76,КВСР!A68:B1233,2),IF(C76&gt;0,VLOOKUP(C76,КФСР!A68:B1580,2),IF(D76&gt;0,VLOOKUP(D76,Программа!A$1:B$5100,2),IF(F76&gt;0,VLOOKUP(F76,КВР!A$1:B$5001,2),IF(E76&gt;0,VLOOKUP(E76,Направление!A$1:B$4830,2))))))</f>
        <v>Обеспечение мероприятий по уличному освещению</v>
      </c>
      <c r="B76" s="154"/>
      <c r="C76" s="149"/>
      <c r="D76" s="150"/>
      <c r="E76" s="149">
        <v>29236</v>
      </c>
      <c r="F76" s="151"/>
      <c r="G76" s="804"/>
      <c r="H76" s="491">
        <f>H77</f>
        <v>0</v>
      </c>
      <c r="I76" s="491">
        <f>I77</f>
        <v>0</v>
      </c>
      <c r="J76" s="491">
        <f>J77</f>
        <v>0</v>
      </c>
      <c r="K76" s="491">
        <f>K77</f>
        <v>0</v>
      </c>
      <c r="L76" s="491">
        <f>L77</f>
        <v>0</v>
      </c>
    </row>
    <row r="77" spans="1:12" ht="78.75" x14ac:dyDescent="0.2">
      <c r="A77" s="153" t="str">
        <f>IF(B77&gt;0,VLOOKUP(B77,КВСР!A69:B1234,2),IF(C77&gt;0,VLOOKUP(C77,КФСР!A69:B1581,2),IF(D77&gt;0,VLOOKUP(D77,Программа!A$1:B$5100,2),IF(F77&gt;0,VLOOKUP(F77,КВР!A$1:B$5001,2),IF(E77&gt;0,VLOOKUP(E77,Направление!A$1:B$4830,2))))))</f>
        <v>Предоставление субсидий бюджетным, автономным учреждениям и иным некоммерческим организациям</v>
      </c>
      <c r="B77" s="154"/>
      <c r="C77" s="149"/>
      <c r="D77" s="150"/>
      <c r="E77" s="149"/>
      <c r="F77" s="151">
        <v>600</v>
      </c>
      <c r="G77" s="804"/>
      <c r="H77" s="190"/>
      <c r="I77" s="155">
        <f>SUM(G77:H77)</f>
        <v>0</v>
      </c>
      <c r="J77" s="491"/>
      <c r="K77" s="190"/>
      <c r="L77" s="155">
        <f>SUM(J77:K77)</f>
        <v>0</v>
      </c>
    </row>
    <row r="78" spans="1:12" ht="78.75" x14ac:dyDescent="0.2">
      <c r="A78" s="153" t="str">
        <f>IF(B78&gt;0,VLOOKUP(B78,КВСР!A70:B1235,2),IF(C78&gt;0,VLOOKUP(C78,КФСР!A70:B1582,2),IF(D78&gt;0,VLOOKUP(D78,Программа!A$1:B$5100,2),IF(F78&gt;0,VLOOKUP(F78,КВР!A$1:B$5001,2),IF(E78&gt;0,VLOOKUP(E78,Направление!A$1:B$4830,2))))))</f>
        <v>Обеспечение мероприятий по техническому содержанию, текущему и капитальному ремонту сетей уличного освещения</v>
      </c>
      <c r="B78" s="154"/>
      <c r="C78" s="149"/>
      <c r="D78" s="150"/>
      <c r="E78" s="149">
        <v>29246</v>
      </c>
      <c r="F78" s="151"/>
      <c r="G78" s="804"/>
      <c r="H78" s="491">
        <f>H79</f>
        <v>0</v>
      </c>
      <c r="I78" s="491">
        <f>I79</f>
        <v>0</v>
      </c>
      <c r="J78" s="491">
        <f>J79</f>
        <v>0</v>
      </c>
      <c r="K78" s="491">
        <f>K79</f>
        <v>0</v>
      </c>
      <c r="L78" s="491">
        <f>L79</f>
        <v>0</v>
      </c>
    </row>
    <row r="79" spans="1:12" ht="78.75" x14ac:dyDescent="0.2">
      <c r="A79" s="153" t="str">
        <f>IF(B79&gt;0,VLOOKUP(B79,КВСР!A71:B1236,2),IF(C79&gt;0,VLOOKUP(C79,КФСР!A71:B1583,2),IF(D79&gt;0,VLOOKUP(D79,Программа!A$1:B$5100,2),IF(F79&gt;0,VLOOKUP(F79,КВР!A$1:B$5001,2),IF(E79&gt;0,VLOOKUP(E79,Направление!A$1:B$4830,2))))))</f>
        <v>Предоставление субсидий бюджетным, автономным учреждениям и иным некоммерческим организациям</v>
      </c>
      <c r="B79" s="154"/>
      <c r="C79" s="149"/>
      <c r="D79" s="150"/>
      <c r="E79" s="149"/>
      <c r="F79" s="151">
        <v>600</v>
      </c>
      <c r="G79" s="804"/>
      <c r="H79" s="190"/>
      <c r="I79" s="155">
        <f>SUM(G79:H79)</f>
        <v>0</v>
      </c>
      <c r="J79" s="491"/>
      <c r="K79" s="190"/>
      <c r="L79" s="155">
        <f>SUM(J79:K79)</f>
        <v>0</v>
      </c>
    </row>
    <row r="80" spans="1:12" ht="60" customHeight="1" x14ac:dyDescent="0.2">
      <c r="A80" s="153" t="str">
        <f>IF(B80&gt;0,VLOOKUP(B80,КВСР!A72:B1237,2),IF(C80&gt;0,VLOOKUP(C80,КФСР!A72:B1584,2),IF(D80&gt;0,VLOOKUP(D80,Программа!A$1:B$5100,2),IF(F80&gt;0,VLOOKUP(F80,КВР!A$1:B$5001,2),IF(E80&gt;0,VLOOKUP(E80,Направление!A$1:B$4830,2))))))</f>
        <v>Содержание и организация деятельности по благоустройству на территории поселения</v>
      </c>
      <c r="B80" s="154"/>
      <c r="C80" s="149"/>
      <c r="D80" s="150"/>
      <c r="E80" s="149">
        <v>29256</v>
      </c>
      <c r="F80" s="151"/>
      <c r="G80" s="804"/>
      <c r="H80" s="491">
        <f>H81</f>
        <v>0</v>
      </c>
      <c r="I80" s="491">
        <f>I81</f>
        <v>0</v>
      </c>
      <c r="J80" s="491">
        <f>J81</f>
        <v>0</v>
      </c>
      <c r="K80" s="491">
        <f>K81</f>
        <v>0</v>
      </c>
      <c r="L80" s="491">
        <f>L81</f>
        <v>0</v>
      </c>
    </row>
    <row r="81" spans="1:12" ht="78.75" x14ac:dyDescent="0.2">
      <c r="A81" s="153" t="str">
        <f>IF(B81&gt;0,VLOOKUP(B81,КВСР!A73:B1238,2),IF(C81&gt;0,VLOOKUP(C81,КФСР!A73:B1585,2),IF(D81&gt;0,VLOOKUP(D81,Программа!A$1:B$5100,2),IF(F81&gt;0,VLOOKUP(F81,КВР!A$1:B$5001,2),IF(E81&gt;0,VLOOKUP(E81,Направление!A$1:B$4830,2))))))</f>
        <v>Предоставление субсидий бюджетным, автономным учреждениям и иным некоммерческим организациям</v>
      </c>
      <c r="B81" s="154"/>
      <c r="C81" s="149"/>
      <c r="D81" s="150"/>
      <c r="E81" s="149"/>
      <c r="F81" s="151">
        <v>600</v>
      </c>
      <c r="G81" s="804"/>
      <c r="H81" s="190"/>
      <c r="I81" s="155">
        <f>SUM(G81:H81)</f>
        <v>0</v>
      </c>
      <c r="J81" s="491"/>
      <c r="K81" s="190"/>
      <c r="L81" s="155">
        <f>SUM(J81:K81)</f>
        <v>0</v>
      </c>
    </row>
    <row r="82" spans="1:12" ht="63" x14ac:dyDescent="0.2">
      <c r="A82" s="147" t="str">
        <f>IF(B82&gt;0,VLOOKUP(B82,КВСР!A51:B1216,2),IF(C82&gt;0,VLOOKUP(C82,КФСР!A51:B1563,2),IF(D82&gt;0,VLOOKUP(D82,Программа!A$1:B$5100,2),IF(F82&gt;0,VLOOKUP(F82,КВР!A$1:B$5001,2),IF(E82&gt;0,VLOOKUP(E82,Направление!A$1:B$4830,2))))))</f>
        <v>Департамент муниципального имущества Администрации ТМР</v>
      </c>
      <c r="B82" s="148">
        <v>952</v>
      </c>
      <c r="C82" s="149"/>
      <c r="D82" s="150"/>
      <c r="E82" s="149"/>
      <c r="F82" s="151"/>
      <c r="G82" s="605">
        <v>9544562</v>
      </c>
      <c r="H82" s="152">
        <f>H83</f>
        <v>0</v>
      </c>
      <c r="I82" s="620">
        <f t="shared" si="2"/>
        <v>9544562</v>
      </c>
      <c r="J82" s="621">
        <v>8494562</v>
      </c>
      <c r="K82" s="620">
        <f>K83</f>
        <v>0</v>
      </c>
      <c r="L82" s="620">
        <f t="shared" si="3"/>
        <v>8494562</v>
      </c>
    </row>
    <row r="83" spans="1:12" ht="47.25" x14ac:dyDescent="0.2">
      <c r="A83" s="153" t="str">
        <f>IF(B83&gt;0,VLOOKUP(B83,КВСР!A52:B1217,2),IF(C83&gt;0,VLOOKUP(C83,КФСР!A52:B1564,2),IF(D83&gt;0,VLOOKUP(D83,Программа!A$1:B$5100,2),IF(F83&gt;0,VLOOKUP(F83,КВР!A$1:B$5001,2),IF(E83&gt;0,VLOOKUP(E83,Направление!A$1:B$4830,2))))))</f>
        <v>Другие общегосударственные вопросы</v>
      </c>
      <c r="B83" s="154"/>
      <c r="C83" s="149">
        <v>113</v>
      </c>
      <c r="D83" s="150"/>
      <c r="E83" s="149"/>
      <c r="F83" s="151"/>
      <c r="G83" s="500">
        <v>9544562</v>
      </c>
      <c r="H83" s="500">
        <f>H88+H84</f>
        <v>0</v>
      </c>
      <c r="I83" s="500">
        <f>I88+I84</f>
        <v>9544562</v>
      </c>
      <c r="J83" s="500">
        <v>8494562</v>
      </c>
      <c r="K83" s="500">
        <f>K88+K84</f>
        <v>0</v>
      </c>
      <c r="L83" s="500">
        <f>L88+L84</f>
        <v>8494562</v>
      </c>
    </row>
    <row r="84" spans="1:12" ht="110.25" x14ac:dyDescent="0.2">
      <c r="A84" s="153" t="str">
        <f>IF(B84&gt;0,VLOOKUP(B84,КВСР!A53:B1218,2),IF(C84&gt;0,VLOOKUP(C84,КФСР!A53:B1565,2),IF(D84&gt;0,VLOOKUP(D84,Программа!A$1:B$5100,2),IF(F84&gt;0,VLOOKUP(F84,КВР!A$1:B$5001,2),IF(E84&gt;0,VLOOKUP(E84,Направление!A$1:B$4830,2))))))</f>
        <v>Муниципальная программа "Информатизация управленческой деятельности Администрации Тутаевского муниципального района"</v>
      </c>
      <c r="B84" s="154"/>
      <c r="C84" s="149"/>
      <c r="D84" s="150" t="s">
        <v>640</v>
      </c>
      <c r="E84" s="149"/>
      <c r="F84" s="151"/>
      <c r="G84" s="500">
        <v>318000</v>
      </c>
      <c r="H84" s="500">
        <f t="shared" ref="H84:L85" si="7">H85</f>
        <v>0</v>
      </c>
      <c r="I84" s="500">
        <f t="shared" si="7"/>
        <v>318000</v>
      </c>
      <c r="J84" s="500">
        <v>118000</v>
      </c>
      <c r="K84" s="500">
        <f t="shared" si="7"/>
        <v>0</v>
      </c>
      <c r="L84" s="500">
        <f>L85</f>
        <v>118000</v>
      </c>
    </row>
    <row r="85" spans="1:12" ht="47.25" x14ac:dyDescent="0.2">
      <c r="A85" s="153" t="str">
        <f>IF(B85&gt;0,VLOOKUP(B85,КВСР!A54:B1219,2),IF(C85&gt;0,VLOOKUP(C85,КФСР!A54:B1566,2),IF(D85&gt;0,VLOOKUP(D85,Программа!A$1:B$5100,2),IF(F85&gt;0,VLOOKUP(F85,КВР!A$1:B$5001,2),IF(E85&gt;0,VLOOKUP(E85,Направление!A$1:B$4830,2))))))</f>
        <v>Бесперебойное функционирование информационных систем</v>
      </c>
      <c r="B85" s="154"/>
      <c r="C85" s="149"/>
      <c r="D85" s="150" t="s">
        <v>677</v>
      </c>
      <c r="E85" s="149"/>
      <c r="F85" s="151"/>
      <c r="G85" s="500">
        <v>318000</v>
      </c>
      <c r="H85" s="500">
        <f t="shared" si="7"/>
        <v>0</v>
      </c>
      <c r="I85" s="500">
        <f t="shared" si="7"/>
        <v>318000</v>
      </c>
      <c r="J85" s="500">
        <v>118000</v>
      </c>
      <c r="K85" s="500">
        <f t="shared" si="7"/>
        <v>0</v>
      </c>
      <c r="L85" s="500">
        <f t="shared" si="7"/>
        <v>118000</v>
      </c>
    </row>
    <row r="86" spans="1:12" ht="47.25" x14ac:dyDescent="0.2">
      <c r="A86" s="153" t="str">
        <f>IF(B86&gt;0,VLOOKUP(B86,КВСР!A55:B1220,2),IF(C86&gt;0,VLOOKUP(C86,КФСР!A55:B1567,2),IF(D86&gt;0,VLOOKUP(D86,Программа!A$1:B$5100,2),IF(F86&gt;0,VLOOKUP(F86,КВР!A$1:B$5001,2),IF(E86&gt;0,VLOOKUP(E86,Направление!A$1:B$4830,2))))))</f>
        <v>Расходы на проведение мероприятий по информатизации</v>
      </c>
      <c r="B86" s="154"/>
      <c r="C86" s="149"/>
      <c r="D86" s="150"/>
      <c r="E86" s="149">
        <v>12210</v>
      </c>
      <c r="F86" s="151"/>
      <c r="G86" s="500">
        <v>318000</v>
      </c>
      <c r="H86" s="500">
        <f>H87</f>
        <v>0</v>
      </c>
      <c r="I86" s="500">
        <f>I87</f>
        <v>318000</v>
      </c>
      <c r="J86" s="500">
        <v>118000</v>
      </c>
      <c r="K86" s="500">
        <f>K87</f>
        <v>0</v>
      </c>
      <c r="L86" s="500">
        <f>L87</f>
        <v>118000</v>
      </c>
    </row>
    <row r="87" spans="1:12" ht="78.75" x14ac:dyDescent="0.2">
      <c r="A87" s="153" t="str">
        <f>IF(B87&gt;0,VLOOKUP(B87,КВСР!A56:B1221,2),IF(C87&gt;0,VLOOKUP(C87,КФСР!A56:B1568,2),IF(D87&gt;0,VLOOKUP(D87,Программа!A$1:B$5100,2),IF(F87&gt;0,VLOOKUP(F87,КВР!A$1:B$5001,2),IF(E87&gt;0,VLOOKUP(E87,Направление!A$1:B$4830,2))))))</f>
        <v xml:space="preserve">Закупка товаров, работ и услуг для обеспечения государственных (муниципальных) нужд
</v>
      </c>
      <c r="B87" s="154"/>
      <c r="C87" s="149"/>
      <c r="D87" s="150"/>
      <c r="E87" s="149"/>
      <c r="F87" s="151">
        <v>200</v>
      </c>
      <c r="G87" s="500">
        <v>318000</v>
      </c>
      <c r="H87" s="155"/>
      <c r="I87" s="155">
        <f>G87+H87</f>
        <v>318000</v>
      </c>
      <c r="J87" s="500">
        <v>118000</v>
      </c>
      <c r="K87" s="155"/>
      <c r="L87" s="500">
        <f>J87+K87</f>
        <v>118000</v>
      </c>
    </row>
    <row r="88" spans="1:12" ht="31.5" x14ac:dyDescent="0.2">
      <c r="A88" s="153" t="str">
        <f>IF(B88&gt;0,VLOOKUP(B88,КВСР!A53:B1218,2),IF(C88&gt;0,VLOOKUP(C88,КФСР!A53:B1565,2),IF(D88&gt;0,VLOOKUP(D88,Программа!A$1:B$5100,2),IF(F88&gt;0,VLOOKUP(F88,КВР!A$1:B$5001,2),IF(E88&gt;0,VLOOKUP(E88,Направление!A$1:B$4830,2))))))</f>
        <v>Непрограммные расходы бюджета</v>
      </c>
      <c r="B88" s="154"/>
      <c r="C88" s="149"/>
      <c r="D88" s="150" t="s">
        <v>624</v>
      </c>
      <c r="E88" s="149"/>
      <c r="F88" s="151"/>
      <c r="G88" s="500">
        <v>9226562</v>
      </c>
      <c r="H88" s="500">
        <f>H89+H95+H93</f>
        <v>0</v>
      </c>
      <c r="I88" s="500">
        <f>I89+I95+I93</f>
        <v>9226562</v>
      </c>
      <c r="J88" s="500">
        <v>8376562</v>
      </c>
      <c r="K88" s="500">
        <f>K89+K95+K93</f>
        <v>0</v>
      </c>
      <c r="L88" s="500">
        <f>L89+L95+L93</f>
        <v>8376562</v>
      </c>
    </row>
    <row r="89" spans="1:12" ht="31.5" x14ac:dyDescent="0.2">
      <c r="A89" s="153" t="str">
        <f>IF(B89&gt;0,VLOOKUP(B89,КВСР!A54:B1219,2),IF(C89&gt;0,VLOOKUP(C89,КФСР!A54:B1566,2),IF(D89&gt;0,VLOOKUP(D89,Программа!A$1:B$5100,2),IF(F89&gt;0,VLOOKUP(F89,КВР!A$1:B$5001,2),IF(E89&gt;0,VLOOKUP(E89,Направление!A$1:B$4830,2))))))</f>
        <v>Содержание центрального аппарата</v>
      </c>
      <c r="B89" s="154"/>
      <c r="C89" s="149"/>
      <c r="D89" s="150"/>
      <c r="E89" s="149">
        <v>12010</v>
      </c>
      <c r="F89" s="151"/>
      <c r="G89" s="500">
        <v>8376562</v>
      </c>
      <c r="H89" s="500">
        <f>H90+H91+H92</f>
        <v>0</v>
      </c>
      <c r="I89" s="500">
        <f>I90+I91+I92</f>
        <v>8376562</v>
      </c>
      <c r="J89" s="500">
        <v>8376562</v>
      </c>
      <c r="K89" s="500">
        <f>K90+K91+K92</f>
        <v>0</v>
      </c>
      <c r="L89" s="500">
        <f>L90+L91+L92</f>
        <v>8376562</v>
      </c>
    </row>
    <row r="90" spans="1:12" ht="173.25" x14ac:dyDescent="0.2">
      <c r="A90" s="153" t="str">
        <f>IF(B90&gt;0,VLOOKUP(B90,КВСР!A55:B1220,2),IF(C90&gt;0,VLOOKUP(C90,КФСР!A55:B1567,2),IF(D90&gt;0,VLOOKUP(D90,Программа!A$1:B$5100,2),IF(F90&gt;0,VLOOKUP(F90,КВР!A$1:B$5001,2),IF(E90&gt;0,VLOOKUP(E90,Направление!A$1:B$4830,2))))))</f>
        <v xml:space="preserve">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
</v>
      </c>
      <c r="B90" s="154"/>
      <c r="C90" s="149"/>
      <c r="D90" s="150"/>
      <c r="E90" s="149"/>
      <c r="F90" s="151">
        <v>100</v>
      </c>
      <c r="G90" s="491">
        <v>7541378</v>
      </c>
      <c r="H90" s="190"/>
      <c r="I90" s="155">
        <f>SUM(G90:H90)</f>
        <v>7541378</v>
      </c>
      <c r="J90" s="491">
        <v>7541378</v>
      </c>
      <c r="K90" s="190"/>
      <c r="L90" s="155">
        <f t="shared" si="3"/>
        <v>7541378</v>
      </c>
    </row>
    <row r="91" spans="1:12" ht="78.75" x14ac:dyDescent="0.2">
      <c r="A91" s="153" t="str">
        <f>IF(B91&gt;0,VLOOKUP(B91,КВСР!A56:B1221,2),IF(C91&gt;0,VLOOKUP(C91,КФСР!A56:B1568,2),IF(D91&gt;0,VLOOKUP(D91,Программа!A$1:B$5100,2),IF(F91&gt;0,VLOOKUP(F91,КВР!A$1:B$5001,2),IF(E91&gt;0,VLOOKUP(E91,Направление!A$1:B$4830,2))))))</f>
        <v xml:space="preserve">Закупка товаров, работ и услуг для обеспечения государственных (муниципальных) нужд
</v>
      </c>
      <c r="B91" s="154"/>
      <c r="C91" s="149"/>
      <c r="D91" s="150"/>
      <c r="E91" s="149"/>
      <c r="F91" s="151">
        <v>200</v>
      </c>
      <c r="G91" s="491">
        <v>745184</v>
      </c>
      <c r="H91" s="190"/>
      <c r="I91" s="155">
        <f>SUM(G91:H91)</f>
        <v>745184</v>
      </c>
      <c r="J91" s="491">
        <v>745184</v>
      </c>
      <c r="K91" s="190"/>
      <c r="L91" s="155">
        <f t="shared" si="3"/>
        <v>745184</v>
      </c>
    </row>
    <row r="92" spans="1:12" ht="31.5" x14ac:dyDescent="0.2">
      <c r="A92" s="153" t="str">
        <f>IF(B92&gt;0,VLOOKUP(B92,КВСР!A57:B1222,2),IF(C92&gt;0,VLOOKUP(C92,КФСР!A57:B1569,2),IF(D92&gt;0,VLOOKUP(D92,Программа!A$1:B$5100,2),IF(F92&gt;0,VLOOKUP(F92,КВР!A$1:B$5001,2),IF(E92&gt;0,VLOOKUP(E92,Направление!A$1:B$4830,2))))))</f>
        <v>Иные бюджетные ассигнования</v>
      </c>
      <c r="B92" s="154"/>
      <c r="C92" s="149"/>
      <c r="D92" s="150"/>
      <c r="E92" s="149"/>
      <c r="F92" s="151">
        <v>800</v>
      </c>
      <c r="G92" s="491">
        <v>90000</v>
      </c>
      <c r="H92" s="190"/>
      <c r="I92" s="155">
        <f>SUM(G92:H92)</f>
        <v>90000</v>
      </c>
      <c r="J92" s="491">
        <v>90000</v>
      </c>
      <c r="K92" s="190"/>
      <c r="L92" s="155">
        <f t="shared" si="3"/>
        <v>90000</v>
      </c>
    </row>
    <row r="93" spans="1:12" ht="47.25" x14ac:dyDescent="0.2">
      <c r="A93" s="153" t="str">
        <f>IF(B93&gt;0,VLOOKUP(B93,КВСР!A57:B1222,2),IF(C93&gt;0,VLOOKUP(C93,КФСР!A57:B1569,2),IF(D93&gt;0,VLOOKUP(D93,Программа!A$1:B$5100,2),IF(F93&gt;0,VLOOKUP(F93,КВР!A$1:B$5001,2),IF(E93&gt;0,VLOOKUP(E93,Направление!A$1:B$4830,2))))))</f>
        <v>Выполнение других обязательств органов местного самоуправления</v>
      </c>
      <c r="B93" s="154"/>
      <c r="C93" s="149"/>
      <c r="D93" s="150"/>
      <c r="E93" s="149">
        <v>12080</v>
      </c>
      <c r="F93" s="151"/>
      <c r="G93" s="491">
        <v>850000</v>
      </c>
      <c r="H93" s="491">
        <f>H94</f>
        <v>0</v>
      </c>
      <c r="I93" s="491">
        <f>I94</f>
        <v>850000</v>
      </c>
      <c r="J93" s="491">
        <v>0</v>
      </c>
      <c r="K93" s="491">
        <f>K94</f>
        <v>0</v>
      </c>
      <c r="L93" s="155">
        <f t="shared" si="3"/>
        <v>0</v>
      </c>
    </row>
    <row r="94" spans="1:12" ht="78.75" x14ac:dyDescent="0.2">
      <c r="A94" s="153" t="str">
        <f>IF(B94&gt;0,VLOOKUP(B94,КВСР!A58:B1223,2),IF(C94&gt;0,VLOOKUP(C94,КФСР!A58:B1570,2),IF(D94&gt;0,VLOOKUP(D94,Программа!A$1:B$5100,2),IF(F94&gt;0,VLOOKUP(F94,КВР!A$1:B$5001,2),IF(E94&gt;0,VLOOKUP(E94,Направление!A$1:B$4830,2))))))</f>
        <v xml:space="preserve">Закупка товаров, работ и услуг для обеспечения государственных (муниципальных) нужд
</v>
      </c>
      <c r="B94" s="154"/>
      <c r="C94" s="149"/>
      <c r="D94" s="150"/>
      <c r="E94" s="149"/>
      <c r="F94" s="151">
        <v>200</v>
      </c>
      <c r="G94" s="491">
        <v>850000</v>
      </c>
      <c r="H94" s="190"/>
      <c r="I94" s="155">
        <f>G94+H94</f>
        <v>850000</v>
      </c>
      <c r="J94" s="491">
        <v>0</v>
      </c>
      <c r="K94" s="190"/>
      <c r="L94" s="155">
        <f t="shared" si="3"/>
        <v>0</v>
      </c>
    </row>
    <row r="95" spans="1:12" ht="47.25" hidden="1" x14ac:dyDescent="0.2">
      <c r="A95" s="153" t="str">
        <f>IF(B95&gt;0,VLOOKUP(B95,КВСР!A56:B1221,2),IF(C95&gt;0,VLOOKUP(C95,КФСР!A56:B1568,2),IF(D95&gt;0,VLOOKUP(D95,Программа!A$1:B$5100,2),IF(F95&gt;0,VLOOKUP(F95,КВР!A$1:B$5001,2),IF(E95&gt;0,VLOOKUP(E95,Направление!A$1:B$4830,2))))))</f>
        <v>Содержание органов местного самоуправления за счет средств поселений</v>
      </c>
      <c r="B95" s="154"/>
      <c r="C95" s="149"/>
      <c r="D95" s="150"/>
      <c r="E95" s="149">
        <v>29016</v>
      </c>
      <c r="F95" s="151"/>
      <c r="G95" s="500">
        <v>0</v>
      </c>
      <c r="H95" s="155">
        <f>H96+H97</f>
        <v>0</v>
      </c>
      <c r="I95" s="155">
        <f t="shared" si="2"/>
        <v>0</v>
      </c>
      <c r="J95" s="500">
        <v>0</v>
      </c>
      <c r="K95" s="155">
        <f>K96+K97</f>
        <v>0</v>
      </c>
      <c r="L95" s="155">
        <f t="shared" si="3"/>
        <v>0</v>
      </c>
    </row>
    <row r="96" spans="1:12" ht="173.25" hidden="1" x14ac:dyDescent="0.2">
      <c r="A96" s="153" t="str">
        <f>IF(B96&gt;0,VLOOKUP(B96,КВСР!A57:B1222,2),IF(C96&gt;0,VLOOKUP(C96,КФСР!A57:B1569,2),IF(D96&gt;0,VLOOKUP(D96,Программа!A$1:B$5100,2),IF(F96&gt;0,VLOOKUP(F96,КВР!A$1:B$5001,2),IF(E96&gt;0,VLOOKUP(E96,Направление!A$1:B$4830,2))))))</f>
        <v xml:space="preserve">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
</v>
      </c>
      <c r="B96" s="154"/>
      <c r="C96" s="149"/>
      <c r="D96" s="150"/>
      <c r="E96" s="149"/>
      <c r="F96" s="151">
        <v>100</v>
      </c>
      <c r="G96" s="491">
        <v>0</v>
      </c>
      <c r="H96" s="190"/>
      <c r="I96" s="155">
        <f t="shared" si="2"/>
        <v>0</v>
      </c>
      <c r="J96" s="491">
        <v>0</v>
      </c>
      <c r="K96" s="190"/>
      <c r="L96" s="155">
        <f t="shared" si="3"/>
        <v>0</v>
      </c>
    </row>
    <row r="97" spans="1:12" ht="78.75" hidden="1" x14ac:dyDescent="0.2">
      <c r="A97" s="153" t="str">
        <f>IF(B97&gt;0,VLOOKUP(B97,КВСР!A58:B1223,2),IF(C97&gt;0,VLOOKUP(C97,КФСР!A58:B1570,2),IF(D97&gt;0,VLOOKUP(D97,Программа!A$1:B$5100,2),IF(F97&gt;0,VLOOKUP(F97,КВР!A$1:B$5001,2),IF(E97&gt;0,VLOOKUP(E97,Направление!A$1:B$4830,2))))))</f>
        <v xml:space="preserve">Закупка товаров, работ и услуг для обеспечения государственных (муниципальных) нужд
</v>
      </c>
      <c r="B97" s="154"/>
      <c r="C97" s="149"/>
      <c r="D97" s="150"/>
      <c r="E97" s="149"/>
      <c r="F97" s="151">
        <v>200</v>
      </c>
      <c r="G97" s="491">
        <v>0</v>
      </c>
      <c r="H97" s="190"/>
      <c r="I97" s="155">
        <f t="shared" si="2"/>
        <v>0</v>
      </c>
      <c r="J97" s="491">
        <v>0</v>
      </c>
      <c r="K97" s="190"/>
      <c r="L97" s="155">
        <f t="shared" si="3"/>
        <v>0</v>
      </c>
    </row>
    <row r="98" spans="1:12" s="192" customFormat="1" ht="31.5" x14ac:dyDescent="0.2">
      <c r="A98" s="147" t="str">
        <f>IF(B98&gt;0,VLOOKUP(B98,КВСР!A76:B1241,2),IF(C98&gt;0,VLOOKUP(C98,КФСР!A76:B1588,2),IF(D98&gt;0,VLOOKUP(D98,Программа!A$1:B$5100,2),IF(F98&gt;0,VLOOKUP(F98,КВР!A$1:B$5001,2),IF(E98&gt;0,VLOOKUP(E98,Направление!A$1:B$4830,2))))))</f>
        <v>Департамент образования Администрации ТМР</v>
      </c>
      <c r="B98" s="148">
        <v>953</v>
      </c>
      <c r="C98" s="183"/>
      <c r="D98" s="184"/>
      <c r="E98" s="183"/>
      <c r="F98" s="185"/>
      <c r="G98" s="605">
        <v>912438897</v>
      </c>
      <c r="H98" s="605">
        <f>H99+H113+H127+H139+H153+H187+H207+H181+H133</f>
        <v>0</v>
      </c>
      <c r="I98" s="605">
        <f>I99+I113+I127+I139+I153+I187+I207+I181+I133</f>
        <v>912438897</v>
      </c>
      <c r="J98" s="605">
        <v>776421353</v>
      </c>
      <c r="K98" s="605">
        <f>K99+K113+K127+K139+K153+K187+K207+K181+K133</f>
        <v>0</v>
      </c>
      <c r="L98" s="605">
        <f>L99+L113+L127+L139+L153+L187+L207+L181+L133</f>
        <v>776421353</v>
      </c>
    </row>
    <row r="99" spans="1:12" ht="15.75" x14ac:dyDescent="0.2">
      <c r="A99" s="153" t="str">
        <f>IF(B99&gt;0,VLOOKUP(B99,КВСР!A81:B1246,2),IF(C99&gt;0,VLOOKUP(C99,КФСР!A81:B1593,2),IF(D99&gt;0,VLOOKUP(D99,Программа!A$1:B$5100,2),IF(F99&gt;0,VLOOKUP(F99,КВР!A$1:B$5001,2),IF(E99&gt;0,VLOOKUP(E99,Направление!A$1:B$4830,2))))))</f>
        <v>Дошкольное образование</v>
      </c>
      <c r="B99" s="154"/>
      <c r="C99" s="149">
        <v>701</v>
      </c>
      <c r="D99" s="150"/>
      <c r="E99" s="149"/>
      <c r="F99" s="151"/>
      <c r="G99" s="500">
        <v>365941675</v>
      </c>
      <c r="H99" s="155">
        <f>H100</f>
        <v>0</v>
      </c>
      <c r="I99" s="155">
        <f t="shared" si="2"/>
        <v>365941675</v>
      </c>
      <c r="J99" s="500">
        <v>311620410</v>
      </c>
      <c r="K99" s="155">
        <f>K100</f>
        <v>0</v>
      </c>
      <c r="L99" s="155">
        <f t="shared" si="3"/>
        <v>311620410</v>
      </c>
    </row>
    <row r="100" spans="1:12" ht="78.75" x14ac:dyDescent="0.2">
      <c r="A100" s="153" t="str">
        <f>IF(B100&gt;0,VLOOKUP(B100,КВСР!A82:B1247,2),IF(C100&gt;0,VLOOKUP(C100,КФСР!A82:B1594,2),IF(D100&gt;0,VLOOKUP(D100,Программа!A$1:B$5100,2),IF(F100&gt;0,VLOOKUP(F100,КВР!A$1:B$5001,2),IF(E100&gt;0,VLOOKUP(E100,Направление!A$1:B$4830,2))))))</f>
        <v>Муниципальная программа "Развитие образования, физической культуры и спорта в Тутаевском муниципальном районе"</v>
      </c>
      <c r="B100" s="154"/>
      <c r="C100" s="149"/>
      <c r="D100" s="150" t="s">
        <v>684</v>
      </c>
      <c r="E100" s="149"/>
      <c r="F100" s="151"/>
      <c r="G100" s="500">
        <v>365941675</v>
      </c>
      <c r="H100" s="155">
        <f>H101</f>
        <v>0</v>
      </c>
      <c r="I100" s="155">
        <f t="shared" si="2"/>
        <v>365941675</v>
      </c>
      <c r="J100" s="500">
        <v>311620410</v>
      </c>
      <c r="K100" s="155">
        <f>K101</f>
        <v>0</v>
      </c>
      <c r="L100" s="155">
        <f t="shared" si="3"/>
        <v>311620410</v>
      </c>
    </row>
    <row r="101" spans="1:12" ht="94.5" x14ac:dyDescent="0.2">
      <c r="A101" s="153" t="str">
        <f>IF(B101&gt;0,VLOOKUP(B101,КВСР!A83:B1248,2),IF(C101&gt;0,VLOOKUP(C101,КФСР!A83:B1595,2),IF(D101&gt;0,VLOOKUP(D101,Программа!A$1:B$5100,2),IF(F101&gt;0,VLOOKUP(F101,КВР!A$1:B$5001,2),IF(E101&gt;0,VLOOKUP(E101,Направление!A$1:B$4830,2))))))</f>
        <v xml:space="preserve">Ведомственная целевая программа департамента образования Администрации Тутаевского муниципального района </v>
      </c>
      <c r="B101" s="154"/>
      <c r="C101" s="149"/>
      <c r="D101" s="150" t="s">
        <v>686</v>
      </c>
      <c r="E101" s="149"/>
      <c r="F101" s="151"/>
      <c r="G101" s="500">
        <v>365941675</v>
      </c>
      <c r="H101" s="155">
        <f>H102</f>
        <v>0</v>
      </c>
      <c r="I101" s="155">
        <f t="shared" si="2"/>
        <v>365941675</v>
      </c>
      <c r="J101" s="500">
        <v>311620410</v>
      </c>
      <c r="K101" s="155">
        <f>K102</f>
        <v>0</v>
      </c>
      <c r="L101" s="155">
        <f t="shared" si="3"/>
        <v>311620410</v>
      </c>
    </row>
    <row r="102" spans="1:12" ht="78.75" x14ac:dyDescent="0.2">
      <c r="A102" s="153" t="str">
        <f>IF(B102&gt;0,VLOOKUP(B102,КВСР!A83:B1248,2),IF(C102&gt;0,VLOOKUP(C102,КФСР!A83:B1595,2),IF(D102&gt;0,VLOOKUP(D102,Программа!A$1:B$5100,2),IF(F102&gt;0,VLOOKUP(F102,КВР!A$1:B$5001,2),IF(E102&gt;0,VLOOKUP(E102,Направление!A$1:B$4830,2))))))</f>
        <v>Обеспечение качества и доступности образовательных услуг в сфере дошкольного образования</v>
      </c>
      <c r="B102" s="154"/>
      <c r="C102" s="149"/>
      <c r="D102" s="150" t="s">
        <v>687</v>
      </c>
      <c r="E102" s="149"/>
      <c r="F102" s="151"/>
      <c r="G102" s="500">
        <v>365941675</v>
      </c>
      <c r="H102" s="500">
        <f>H103+H106+H110+H108</f>
        <v>0</v>
      </c>
      <c r="I102" s="500">
        <f>I103+I106+I110+I108</f>
        <v>365941675</v>
      </c>
      <c r="J102" s="500">
        <v>311620410</v>
      </c>
      <c r="K102" s="500">
        <f>K103+K106+K110+K108</f>
        <v>0</v>
      </c>
      <c r="L102" s="500">
        <f>L103+L106+L110+L108</f>
        <v>311620410</v>
      </c>
    </row>
    <row r="103" spans="1:12" ht="31.5" x14ac:dyDescent="0.2">
      <c r="A103" s="153" t="str">
        <f>IF(B103&gt;0,VLOOKUP(B103,КВСР!A84:B1249,2),IF(C103&gt;0,VLOOKUP(C103,КФСР!A84:B1596,2),IF(D103&gt;0,VLOOKUP(D103,Программа!A$1:B$5100,2),IF(F103&gt;0,VLOOKUP(F103,КВР!A$1:B$5001,2),IF(E103&gt;0,VLOOKUP(E103,Направление!A$1:B$4830,2))))))</f>
        <v>Обеспечение деятельности дошкольных учреждений</v>
      </c>
      <c r="B103" s="154"/>
      <c r="C103" s="149"/>
      <c r="D103" s="150"/>
      <c r="E103" s="149">
        <v>13010</v>
      </c>
      <c r="F103" s="151"/>
      <c r="G103" s="500">
        <v>136519975</v>
      </c>
      <c r="H103" s="500">
        <f>H104+H105</f>
        <v>0</v>
      </c>
      <c r="I103" s="500">
        <f>I104+I105</f>
        <v>136519975</v>
      </c>
      <c r="J103" s="500">
        <v>82198710</v>
      </c>
      <c r="K103" s="500">
        <f>K104+K105</f>
        <v>0</v>
      </c>
      <c r="L103" s="500">
        <f>L104+L105</f>
        <v>82198710</v>
      </c>
    </row>
    <row r="104" spans="1:12" ht="173.25" x14ac:dyDescent="0.2">
      <c r="A104" s="153" t="str">
        <f>IF(B104&gt;0,VLOOKUP(B104,КВСР!A85:B1250,2),IF(C104&gt;0,VLOOKUP(C104,КФСР!A85:B1597,2),IF(D104&gt;0,VLOOKUP(D104,Программа!A$1:B$5100,2),IF(F104&gt;0,VLOOKUP(F104,КВР!A$1:B$5001,2),IF(E104&gt;0,VLOOKUP(E104,Направление!A$1:B$4830,2))))))</f>
        <v xml:space="preserve">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
</v>
      </c>
      <c r="B104" s="154"/>
      <c r="C104" s="149"/>
      <c r="D104" s="150"/>
      <c r="E104" s="149"/>
      <c r="F104" s="151">
        <v>100</v>
      </c>
      <c r="G104" s="491">
        <v>58307261</v>
      </c>
      <c r="H104" s="190"/>
      <c r="I104" s="155">
        <f t="shared" si="2"/>
        <v>58307261</v>
      </c>
      <c r="J104" s="491">
        <v>29357710</v>
      </c>
      <c r="K104" s="190"/>
      <c r="L104" s="155">
        <f t="shared" si="3"/>
        <v>29357710</v>
      </c>
    </row>
    <row r="105" spans="1:12" ht="78.75" x14ac:dyDescent="0.2">
      <c r="A105" s="153" t="str">
        <f>IF(B105&gt;0,VLOOKUP(B105,КВСР!A86:B1251,2),IF(C105&gt;0,VLOOKUP(C105,КФСР!A86:B1598,2),IF(D105&gt;0,VLOOKUP(D105,Программа!A$1:B$5100,2),IF(F105&gt;0,VLOOKUP(F105,КВР!A$1:B$5001,2),IF(E105&gt;0,VLOOKUP(E105,Направление!A$1:B$4830,2))))))</f>
        <v xml:space="preserve">Закупка товаров, работ и услуг для обеспечения государственных (муниципальных) нужд
</v>
      </c>
      <c r="B105" s="154"/>
      <c r="C105" s="149"/>
      <c r="D105" s="150"/>
      <c r="E105" s="149"/>
      <c r="F105" s="151">
        <v>200</v>
      </c>
      <c r="G105" s="491">
        <v>78212714</v>
      </c>
      <c r="H105" s="190"/>
      <c r="I105" s="155">
        <f t="shared" si="2"/>
        <v>78212714</v>
      </c>
      <c r="J105" s="491">
        <v>52841000</v>
      </c>
      <c r="K105" s="190"/>
      <c r="L105" s="155">
        <f t="shared" si="3"/>
        <v>52841000</v>
      </c>
    </row>
    <row r="106" spans="1:12" ht="157.5" x14ac:dyDescent="0.2">
      <c r="A106" s="153" t="str">
        <f>IF(B106&gt;0,VLOOKUP(B106,КВСР!A89:B1254,2),IF(C106&gt;0,VLOOKUP(C106,КФСР!A89:B1601,2),IF(D106&gt;0,VLOOKUP(D106,Программа!A$1:B$5100,2),IF(F106&gt;0,VLOOKUP(F106,КВР!A$1:B$5001,2),IF(E106&gt;0,VLOOKUP(E106,Направление!A$1:B$4830,2))))))</f>
        <v>Расходы на выплаты медицинским работникам, осуществляющим медицинское обслуживание обучающихся и воспитанников муниципальных образовательных учреждений, за счет средств областного бюджета</v>
      </c>
      <c r="B106" s="154"/>
      <c r="C106" s="149"/>
      <c r="D106" s="150"/>
      <c r="E106" s="149">
        <v>70510</v>
      </c>
      <c r="F106" s="151"/>
      <c r="G106" s="500">
        <v>1279700</v>
      </c>
      <c r="H106" s="155">
        <f>H107</f>
        <v>0</v>
      </c>
      <c r="I106" s="155">
        <f t="shared" si="2"/>
        <v>1279700</v>
      </c>
      <c r="J106" s="500">
        <v>1279700</v>
      </c>
      <c r="K106" s="155">
        <f>K107</f>
        <v>0</v>
      </c>
      <c r="L106" s="155">
        <f t="shared" si="3"/>
        <v>1279700</v>
      </c>
    </row>
    <row r="107" spans="1:12" ht="78.75" x14ac:dyDescent="0.2">
      <c r="A107" s="153" t="str">
        <f>IF(B107&gt;0,VLOOKUP(B107,КВСР!A90:B1255,2),IF(C107&gt;0,VLOOKUP(C107,КФСР!A90:B1602,2),IF(D107&gt;0,VLOOKUP(D107,Программа!A$1:B$5100,2),IF(F107&gt;0,VLOOKUP(F107,КВР!A$1:B$5001,2),IF(E107&gt;0,VLOOKUP(E107,Направление!A$1:B$4830,2))))))</f>
        <v>Предоставление субсидий бюджетным, автономным учреждениям и иным некоммерческим организациям</v>
      </c>
      <c r="B107" s="154"/>
      <c r="C107" s="149"/>
      <c r="D107" s="150"/>
      <c r="E107" s="149"/>
      <c r="F107" s="151">
        <v>600</v>
      </c>
      <c r="G107" s="491">
        <v>1279700</v>
      </c>
      <c r="H107" s="190"/>
      <c r="I107" s="155">
        <f t="shared" si="2"/>
        <v>1279700</v>
      </c>
      <c r="J107" s="491">
        <v>1279700</v>
      </c>
      <c r="K107" s="190"/>
      <c r="L107" s="155">
        <f t="shared" si="3"/>
        <v>1279700</v>
      </c>
    </row>
    <row r="108" spans="1:12" ht="78.75" x14ac:dyDescent="0.2">
      <c r="A108" s="153" t="str">
        <f>IF(B108&gt;0,VLOOKUP(B108,КВСР!A91:B1256,2),IF(C108&gt;0,VLOOKUP(C108,КФСР!A91:B1603,2),IF(D108&gt;0,VLOOKUP(D108,Программа!A$1:B$5100,2),IF(F108&gt;0,VLOOKUP(F108,КВР!A$1:B$5001,2),IF(E108&gt;0,VLOOKUP(E108,Направление!A$1:B$4830,2))))))</f>
        <v>Организация образовательного процесса в образовательных учреждениях за счет средств областного бюджета</v>
      </c>
      <c r="B108" s="154"/>
      <c r="C108" s="149"/>
      <c r="D108" s="150"/>
      <c r="E108" s="149">
        <v>70520</v>
      </c>
      <c r="F108" s="151"/>
      <c r="G108" s="491">
        <v>22683000</v>
      </c>
      <c r="H108" s="491">
        <f>H109</f>
        <v>0</v>
      </c>
      <c r="I108" s="155">
        <f t="shared" si="2"/>
        <v>22683000</v>
      </c>
      <c r="J108" s="491">
        <v>22683000</v>
      </c>
      <c r="K108" s="491">
        <f>K109</f>
        <v>0</v>
      </c>
      <c r="L108" s="155">
        <f t="shared" si="3"/>
        <v>22683000</v>
      </c>
    </row>
    <row r="109" spans="1:12" ht="78.75" x14ac:dyDescent="0.2">
      <c r="A109" s="153" t="str">
        <f>IF(B109&gt;0,VLOOKUP(B109,КВСР!A92:B1257,2),IF(C109&gt;0,VLOOKUP(C109,КФСР!A92:B1604,2),IF(D109&gt;0,VLOOKUP(D109,Программа!A$1:B$5100,2),IF(F109&gt;0,VLOOKUP(F109,КВР!A$1:B$5001,2),IF(E109&gt;0,VLOOKUP(E109,Направление!A$1:B$4830,2))))))</f>
        <v>Предоставление субсидий бюджетным, автономным учреждениям и иным некоммерческим организациям</v>
      </c>
      <c r="B109" s="154"/>
      <c r="C109" s="149"/>
      <c r="D109" s="150"/>
      <c r="E109" s="149"/>
      <c r="F109" s="151">
        <v>600</v>
      </c>
      <c r="G109" s="491">
        <v>22683000</v>
      </c>
      <c r="H109" s="190"/>
      <c r="I109" s="155">
        <f t="shared" si="2"/>
        <v>22683000</v>
      </c>
      <c r="J109" s="491">
        <v>22683000</v>
      </c>
      <c r="K109" s="190"/>
      <c r="L109" s="155">
        <f t="shared" si="3"/>
        <v>22683000</v>
      </c>
    </row>
    <row r="110" spans="1:12" ht="94.5" x14ac:dyDescent="0.2">
      <c r="A110" s="153" t="str">
        <f>IF(B110&gt;0,VLOOKUP(B110,КВСР!A91:B1256,2),IF(C110&gt;0,VLOOKUP(C110,КФСР!A91:B1603,2),IF(D110&gt;0,VLOOKUP(D110,Программа!A$1:B$5100,2),IF(F110&gt;0,VLOOKUP(F110,КВР!A$1:B$5001,2),IF(E110&gt;0,VLOOKUP(E110,Направление!A$1:B$4830,2))))))</f>
        <v xml:space="preserve">Расходы на обеспечение предоставления услуг по дошкольному образованию детей в дошкольных образовательных организациях </v>
      </c>
      <c r="B110" s="154"/>
      <c r="C110" s="149"/>
      <c r="D110" s="150"/>
      <c r="E110" s="149">
        <v>73110</v>
      </c>
      <c r="F110" s="151"/>
      <c r="G110" s="500">
        <v>205459000</v>
      </c>
      <c r="H110" s="500">
        <f>H111+H112</f>
        <v>0</v>
      </c>
      <c r="I110" s="500">
        <f>I111+I112</f>
        <v>205459000</v>
      </c>
      <c r="J110" s="500">
        <v>205459000</v>
      </c>
      <c r="K110" s="500">
        <f>K111+K112</f>
        <v>0</v>
      </c>
      <c r="L110" s="500">
        <f>L111+L112</f>
        <v>205459000</v>
      </c>
    </row>
    <row r="111" spans="1:12" ht="173.25" x14ac:dyDescent="0.2">
      <c r="A111" s="153" t="str">
        <f>IF(B111&gt;0,VLOOKUP(B111,КВСР!A92:B1257,2),IF(C111&gt;0,VLOOKUP(C111,КФСР!A92:B1604,2),IF(D111&gt;0,VLOOKUP(D111,Программа!A$1:B$5100,2),IF(F111&gt;0,VLOOKUP(F111,КВР!A$1:B$5001,2),IF(E111&gt;0,VLOOKUP(E111,Направление!A$1:B$4830,2))))))</f>
        <v xml:space="preserve">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
</v>
      </c>
      <c r="B111" s="154"/>
      <c r="C111" s="149"/>
      <c r="D111" s="150"/>
      <c r="E111" s="149"/>
      <c r="F111" s="151">
        <v>100</v>
      </c>
      <c r="G111" s="491">
        <v>192573000</v>
      </c>
      <c r="H111" s="190"/>
      <c r="I111" s="155">
        <f t="shared" si="2"/>
        <v>192573000</v>
      </c>
      <c r="J111" s="491">
        <v>192573000</v>
      </c>
      <c r="K111" s="190"/>
      <c r="L111" s="155">
        <f t="shared" si="3"/>
        <v>192573000</v>
      </c>
    </row>
    <row r="112" spans="1:12" ht="78.75" x14ac:dyDescent="0.2">
      <c r="A112" s="153" t="str">
        <f>IF(B112&gt;0,VLOOKUP(B112,КВСР!A93:B1258,2),IF(C112&gt;0,VLOOKUP(C112,КФСР!A93:B1605,2),IF(D112&gt;0,VLOOKUP(D112,Программа!A$1:B$5100,2),IF(F112&gt;0,VLOOKUP(F112,КВР!A$1:B$5001,2),IF(E112&gt;0,VLOOKUP(E112,Направление!A$1:B$4830,2))))))</f>
        <v xml:space="preserve">Закупка товаров, работ и услуг для обеспечения государственных (муниципальных) нужд
</v>
      </c>
      <c r="B112" s="154"/>
      <c r="C112" s="149"/>
      <c r="D112" s="150"/>
      <c r="E112" s="149"/>
      <c r="F112" s="151">
        <v>200</v>
      </c>
      <c r="G112" s="491">
        <v>12886000</v>
      </c>
      <c r="H112" s="190"/>
      <c r="I112" s="155">
        <f t="shared" si="2"/>
        <v>12886000</v>
      </c>
      <c r="J112" s="491">
        <v>12886000</v>
      </c>
      <c r="K112" s="190"/>
      <c r="L112" s="155">
        <f t="shared" si="3"/>
        <v>12886000</v>
      </c>
    </row>
    <row r="113" spans="1:12" ht="15.75" x14ac:dyDescent="0.2">
      <c r="A113" s="153" t="str">
        <f>IF(B113&gt;0,VLOOKUP(B113,КВСР!A90:B1255,2),IF(C113&gt;0,VLOOKUP(C113,КФСР!A90:B1602,2),IF(D113&gt;0,VLOOKUP(D113,Программа!A$1:B$5100,2),IF(F113&gt;0,VLOOKUP(F113,КВР!A$1:B$5001,2),IF(E113&gt;0,VLOOKUP(E113,Направление!A$1:B$4830,2))))))</f>
        <v>Общее образование</v>
      </c>
      <c r="B113" s="154"/>
      <c r="C113" s="149">
        <v>702</v>
      </c>
      <c r="D113" s="150"/>
      <c r="E113" s="149"/>
      <c r="F113" s="151"/>
      <c r="G113" s="500">
        <v>388710089</v>
      </c>
      <c r="H113" s="155">
        <f>H114</f>
        <v>0</v>
      </c>
      <c r="I113" s="155">
        <f t="shared" si="2"/>
        <v>388710089</v>
      </c>
      <c r="J113" s="500">
        <v>352733800</v>
      </c>
      <c r="K113" s="155">
        <f>K114</f>
        <v>0</v>
      </c>
      <c r="L113" s="155">
        <f t="shared" si="3"/>
        <v>352733800</v>
      </c>
    </row>
    <row r="114" spans="1:12" ht="78.75" x14ac:dyDescent="0.2">
      <c r="A114" s="153" t="str">
        <f>IF(B114&gt;0,VLOOKUP(B114,КВСР!A91:B1256,2),IF(C114&gt;0,VLOOKUP(C114,КФСР!A91:B1603,2),IF(D114&gt;0,VLOOKUP(D114,Программа!A$1:B$5100,2),IF(F114&gt;0,VLOOKUP(F114,КВР!A$1:B$5001,2),IF(E114&gt;0,VLOOKUP(E114,Направление!A$1:B$4830,2))))))</f>
        <v>Муниципальная программа "Развитие образования, физической культуры и спорта в Тутаевском муниципальном районе"</v>
      </c>
      <c r="B114" s="154"/>
      <c r="C114" s="149"/>
      <c r="D114" s="150" t="s">
        <v>684</v>
      </c>
      <c r="E114" s="149"/>
      <c r="F114" s="151"/>
      <c r="G114" s="500">
        <v>388710089</v>
      </c>
      <c r="H114" s="155">
        <f>H116</f>
        <v>0</v>
      </c>
      <c r="I114" s="155">
        <f t="shared" si="2"/>
        <v>388710089</v>
      </c>
      <c r="J114" s="500">
        <v>352733800</v>
      </c>
      <c r="K114" s="155">
        <f>K116</f>
        <v>0</v>
      </c>
      <c r="L114" s="155">
        <f t="shared" si="3"/>
        <v>352733800</v>
      </c>
    </row>
    <row r="115" spans="1:12" ht="94.5" x14ac:dyDescent="0.2">
      <c r="A115" s="153" t="str">
        <f>IF(B115&gt;0,VLOOKUP(B115,КВСР!A92:B1257,2),IF(C115&gt;0,VLOOKUP(C115,КФСР!A92:B1604,2),IF(D115&gt;0,VLOOKUP(D115,Программа!A$1:B$5100,2),IF(F115&gt;0,VLOOKUP(F115,КВР!A$1:B$5001,2),IF(E115&gt;0,VLOOKUP(E115,Направление!A$1:B$4830,2))))))</f>
        <v xml:space="preserve">Ведомственная целевая программа департамента образования Администрации Тутаевского муниципального района </v>
      </c>
      <c r="B115" s="154"/>
      <c r="C115" s="149"/>
      <c r="D115" s="150" t="s">
        <v>686</v>
      </c>
      <c r="E115" s="149"/>
      <c r="F115" s="151"/>
      <c r="G115" s="500">
        <v>388710089</v>
      </c>
      <c r="H115" s="155">
        <f>H116</f>
        <v>0</v>
      </c>
      <c r="I115" s="155">
        <f t="shared" si="2"/>
        <v>388710089</v>
      </c>
      <c r="J115" s="500">
        <v>352733800</v>
      </c>
      <c r="K115" s="155">
        <f>K116</f>
        <v>0</v>
      </c>
      <c r="L115" s="155">
        <f t="shared" si="3"/>
        <v>352733800</v>
      </c>
    </row>
    <row r="116" spans="1:12" ht="63" x14ac:dyDescent="0.2">
      <c r="A116" s="153" t="str">
        <f>IF(B116&gt;0,VLOOKUP(B116,КВСР!A93:B1258,2),IF(C116&gt;0,VLOOKUP(C116,КФСР!A93:B1605,2),IF(D116&gt;0,VLOOKUP(D116,Программа!A$1:B$5100,2),IF(F116&gt;0,VLOOKUP(F116,КВР!A$1:B$5001,2),IF(E116&gt;0,VLOOKUP(E116,Направление!A$1:B$4830,2))))))</f>
        <v>Обеспечение качества и доступности образовательных услуг в сфере общего образования</v>
      </c>
      <c r="B116" s="154"/>
      <c r="C116" s="149"/>
      <c r="D116" s="150" t="s">
        <v>727</v>
      </c>
      <c r="E116" s="149"/>
      <c r="F116" s="151"/>
      <c r="G116" s="500">
        <v>388710089</v>
      </c>
      <c r="H116" s="155">
        <f>H117+H119+H121+H123+H125</f>
        <v>0</v>
      </c>
      <c r="I116" s="155">
        <f t="shared" si="2"/>
        <v>388710089</v>
      </c>
      <c r="J116" s="500">
        <v>352733800</v>
      </c>
      <c r="K116" s="155">
        <f>K117+K119+K121+K123+K125</f>
        <v>0</v>
      </c>
      <c r="L116" s="155">
        <f t="shared" si="3"/>
        <v>352733800</v>
      </c>
    </row>
    <row r="117" spans="1:12" ht="47.25" x14ac:dyDescent="0.2">
      <c r="A117" s="153" t="str">
        <f>IF(B117&gt;0,VLOOKUP(B117,КВСР!A94:B1259,2),IF(C117&gt;0,VLOOKUP(C117,КФСР!A94:B1606,2),IF(D117&gt;0,VLOOKUP(D117,Программа!A$1:B$5100,2),IF(F117&gt;0,VLOOKUP(F117,КВР!A$1:B$5001,2),IF(E117&gt;0,VLOOKUP(E117,Направление!A$1:B$4830,2))))))</f>
        <v>Обеспечение деятельности общеобразовательных учреждений</v>
      </c>
      <c r="B117" s="154"/>
      <c r="C117" s="149"/>
      <c r="D117" s="150"/>
      <c r="E117" s="149">
        <v>13110</v>
      </c>
      <c r="F117" s="151"/>
      <c r="G117" s="500">
        <v>57976289</v>
      </c>
      <c r="H117" s="155">
        <f>H118</f>
        <v>0</v>
      </c>
      <c r="I117" s="155">
        <f t="shared" si="2"/>
        <v>57976289</v>
      </c>
      <c r="J117" s="500">
        <v>22000000</v>
      </c>
      <c r="K117" s="155">
        <f>K118</f>
        <v>0</v>
      </c>
      <c r="L117" s="155">
        <f t="shared" si="3"/>
        <v>22000000</v>
      </c>
    </row>
    <row r="118" spans="1:12" ht="78.75" x14ac:dyDescent="0.2">
      <c r="A118" s="153" t="str">
        <f>IF(B118&gt;0,VLOOKUP(B118,КВСР!A96:B1261,2),IF(C118&gt;0,VLOOKUP(C118,КФСР!A96:B1608,2),IF(D118&gt;0,VLOOKUP(D118,Программа!A$1:B$5100,2),IF(F118&gt;0,VLOOKUP(F118,КВР!A$1:B$5001,2),IF(E118&gt;0,VLOOKUP(E118,Направление!A$1:B$4830,2))))))</f>
        <v>Предоставление субсидий бюджетным, автономным учреждениям и иным некоммерческим организациям</v>
      </c>
      <c r="B118" s="167"/>
      <c r="C118" s="168"/>
      <c r="D118" s="170"/>
      <c r="E118" s="168"/>
      <c r="F118" s="169">
        <v>600</v>
      </c>
      <c r="G118" s="491">
        <v>57976289</v>
      </c>
      <c r="H118" s="190"/>
      <c r="I118" s="155">
        <f t="shared" si="2"/>
        <v>57976289</v>
      </c>
      <c r="J118" s="491">
        <v>22000000</v>
      </c>
      <c r="K118" s="190"/>
      <c r="L118" s="155">
        <f t="shared" si="3"/>
        <v>22000000</v>
      </c>
    </row>
    <row r="119" spans="1:12" ht="63" hidden="1" x14ac:dyDescent="0.2">
      <c r="A119" s="153" t="str">
        <f>IF(B119&gt;0,VLOOKUP(B119,КВСР!A98:B1263,2),IF(C119&gt;0,VLOOKUP(C119,КФСР!A98:B1610,2),IF(D119&gt;0,VLOOKUP(D119,Программа!A$1:B$5100,2),IF(F119&gt;0,VLOOKUP(F119,КВР!A$1:B$5001,2),IF(E119&gt;0,VLOOKUP(E119,Направление!A$1:B$4830,2))))))</f>
        <v>Обеспечение деятельности учреждений дополнительного образования</v>
      </c>
      <c r="B119" s="167"/>
      <c r="C119" s="168"/>
      <c r="D119" s="150"/>
      <c r="E119" s="149">
        <v>13210</v>
      </c>
      <c r="F119" s="169"/>
      <c r="G119" s="500">
        <v>0</v>
      </c>
      <c r="H119" s="155">
        <f>H120</f>
        <v>0</v>
      </c>
      <c r="I119" s="155">
        <f t="shared" si="2"/>
        <v>0</v>
      </c>
      <c r="J119" s="500">
        <v>0</v>
      </c>
      <c r="K119" s="155">
        <f>K120</f>
        <v>0</v>
      </c>
      <c r="L119" s="155">
        <f t="shared" si="3"/>
        <v>0</v>
      </c>
    </row>
    <row r="120" spans="1:12" ht="78.75" hidden="1" x14ac:dyDescent="0.2">
      <c r="A120" s="153" t="str">
        <f>IF(B120&gt;0,VLOOKUP(B120,КВСР!A99:B1264,2),IF(C120&gt;0,VLOOKUP(C120,КФСР!A99:B1611,2),IF(D120&gt;0,VLOOKUP(D120,Программа!A$1:B$5100,2),IF(F120&gt;0,VLOOKUP(F120,КВР!A$1:B$5001,2),IF(E120&gt;0,VLOOKUP(E120,Направление!A$1:B$4830,2))))))</f>
        <v>Предоставление субсидий бюджетным, автономным учреждениям и иным некоммерческим организациям</v>
      </c>
      <c r="B120" s="167"/>
      <c r="C120" s="168"/>
      <c r="D120" s="150"/>
      <c r="E120" s="149"/>
      <c r="F120" s="169">
        <v>600</v>
      </c>
      <c r="G120" s="491">
        <v>0</v>
      </c>
      <c r="H120" s="190"/>
      <c r="I120" s="155">
        <f t="shared" si="2"/>
        <v>0</v>
      </c>
      <c r="J120" s="491">
        <v>0</v>
      </c>
      <c r="K120" s="190"/>
      <c r="L120" s="155">
        <f t="shared" si="3"/>
        <v>0</v>
      </c>
    </row>
    <row r="121" spans="1:12" ht="157.5" hidden="1" x14ac:dyDescent="0.2">
      <c r="A121" s="153" t="str">
        <f>IF(B121&gt;0,VLOOKUP(B121,КВСР!A100:B1265,2),IF(C121&gt;0,VLOOKUP(C121,КФСР!A100:B1612,2),IF(D121&gt;0,VLOOKUP(D121,Программа!A$1:B$5100,2),IF(F121&gt;0,VLOOKUP(F121,КВР!A$1:B$5001,2),IF(E121&gt;0,VLOOKUP(E121,Направление!A$1:B$4830,2))))))</f>
        <v>Расходы на выплаты медицинским работникам, осуществляющим медицинское обслуживание обучающихся и воспитанников муниципальных образовательных учреждений, за счет средств областного бюджета</v>
      </c>
      <c r="B121" s="167"/>
      <c r="C121" s="168"/>
      <c r="D121" s="150"/>
      <c r="E121" s="149">
        <v>70510</v>
      </c>
      <c r="F121" s="169"/>
      <c r="G121" s="500">
        <v>0</v>
      </c>
      <c r="H121" s="155">
        <f>H122</f>
        <v>0</v>
      </c>
      <c r="I121" s="155">
        <f t="shared" si="2"/>
        <v>0</v>
      </c>
      <c r="J121" s="500">
        <v>0</v>
      </c>
      <c r="K121" s="155">
        <f>K122</f>
        <v>0</v>
      </c>
      <c r="L121" s="155">
        <f t="shared" si="3"/>
        <v>0</v>
      </c>
    </row>
    <row r="122" spans="1:12" ht="78.75" hidden="1" x14ac:dyDescent="0.2">
      <c r="A122" s="153" t="str">
        <f>IF(B122&gt;0,VLOOKUP(B122,КВСР!A101:B1266,2),IF(C122&gt;0,VLOOKUP(C122,КФСР!A101:B1613,2),IF(D122&gt;0,VLOOKUP(D122,Программа!A$1:B$5100,2),IF(F122&gt;0,VLOOKUP(F122,КВР!A$1:B$5001,2),IF(E122&gt;0,VLOOKUP(E122,Направление!A$1:B$4830,2))))))</f>
        <v>Предоставление субсидий бюджетным, автономным учреждениям и иным некоммерческим организациям</v>
      </c>
      <c r="B122" s="167"/>
      <c r="C122" s="168"/>
      <c r="D122" s="170"/>
      <c r="E122" s="168"/>
      <c r="F122" s="169">
        <v>600</v>
      </c>
      <c r="G122" s="491">
        <v>0</v>
      </c>
      <c r="H122" s="190"/>
      <c r="I122" s="155">
        <f t="shared" si="2"/>
        <v>0</v>
      </c>
      <c r="J122" s="491">
        <v>0</v>
      </c>
      <c r="K122" s="190"/>
      <c r="L122" s="155">
        <f t="shared" si="3"/>
        <v>0</v>
      </c>
    </row>
    <row r="123" spans="1:12" ht="79.5" customHeight="1" x14ac:dyDescent="0.2">
      <c r="A123" s="153" t="str">
        <f>IF(B123&gt;0,VLOOKUP(B123,КВСР!A102:B1267,2),IF(C123&gt;0,VLOOKUP(C123,КФСР!A102:B1614,2),IF(D123&gt;0,VLOOKUP(D123,Программа!A$1:B$5100,2),IF(F123&gt;0,VLOOKUP(F123,КВР!A$1:B$5001,2),IF(E123&gt;0,VLOOKUP(E123,Направление!A$1:B$4830,2))))))</f>
        <v>Организация образовательного процесса в образовательных учреждениях за счет средств областного бюджета</v>
      </c>
      <c r="B123" s="167"/>
      <c r="C123" s="168"/>
      <c r="D123" s="170"/>
      <c r="E123" s="168">
        <v>70520</v>
      </c>
      <c r="F123" s="169"/>
      <c r="G123" s="500">
        <v>307791000</v>
      </c>
      <c r="H123" s="155">
        <f>H124</f>
        <v>0</v>
      </c>
      <c r="I123" s="155">
        <f t="shared" si="2"/>
        <v>307791000</v>
      </c>
      <c r="J123" s="500">
        <v>307791000</v>
      </c>
      <c r="K123" s="155">
        <f>K124</f>
        <v>0</v>
      </c>
      <c r="L123" s="155">
        <f t="shared" si="3"/>
        <v>307791000</v>
      </c>
    </row>
    <row r="124" spans="1:12" ht="78.75" x14ac:dyDescent="0.2">
      <c r="A124" s="153" t="str">
        <f>IF(B124&gt;0,VLOOKUP(B124,КВСР!A103:B1268,2),IF(C124&gt;0,VLOOKUP(C124,КФСР!A103:B1615,2),IF(D124&gt;0,VLOOKUP(D124,Программа!A$1:B$5100,2),IF(F124&gt;0,VLOOKUP(F124,КВР!A$1:B$5001,2),IF(E124&gt;0,VLOOKUP(E124,Направление!A$1:B$4830,2))))))</f>
        <v>Предоставление субсидий бюджетным, автономным учреждениям и иным некоммерческим организациям</v>
      </c>
      <c r="B124" s="167"/>
      <c r="C124" s="168"/>
      <c r="D124" s="170"/>
      <c r="E124" s="168"/>
      <c r="F124" s="169">
        <v>600</v>
      </c>
      <c r="G124" s="491">
        <v>307791000</v>
      </c>
      <c r="H124" s="190"/>
      <c r="I124" s="155">
        <f t="shared" si="2"/>
        <v>307791000</v>
      </c>
      <c r="J124" s="491">
        <v>307791000</v>
      </c>
      <c r="K124" s="190"/>
      <c r="L124" s="155">
        <f t="shared" si="3"/>
        <v>307791000</v>
      </c>
    </row>
    <row r="125" spans="1:12" ht="94.5" x14ac:dyDescent="0.2">
      <c r="A125" s="153" t="str">
        <f>IF(B125&gt;0,VLOOKUP(B125,КВСР!A109:B1274,2),IF(C125&gt;0,VLOOKUP(C125,КФСР!A109:B1621,2),IF(D125&gt;0,VLOOKUP(D125,Программа!A$1:B$5100,2),IF(F125&gt;0,VLOOKUP(F125,КВР!A$1:B$5001,2),IF(E125&gt;0,VLOOKUP(E125,Направление!A$1:B$4830,2))))))</f>
        <v>Обеспечение бесплатным питанием обучающихся муниципальных образовательных учреждений за счет средств областного бюджета</v>
      </c>
      <c r="B125" s="167"/>
      <c r="C125" s="168"/>
      <c r="D125" s="170"/>
      <c r="E125" s="168">
        <v>70530</v>
      </c>
      <c r="F125" s="169"/>
      <c r="G125" s="500">
        <v>22942800</v>
      </c>
      <c r="H125" s="155">
        <f>H126</f>
        <v>0</v>
      </c>
      <c r="I125" s="155">
        <f t="shared" si="2"/>
        <v>22942800</v>
      </c>
      <c r="J125" s="500">
        <v>22942800</v>
      </c>
      <c r="K125" s="155">
        <f>K126</f>
        <v>0</v>
      </c>
      <c r="L125" s="155">
        <f t="shared" si="3"/>
        <v>22942800</v>
      </c>
    </row>
    <row r="126" spans="1:12" ht="78.75" x14ac:dyDescent="0.2">
      <c r="A126" s="153" t="str">
        <f>IF(B126&gt;0,VLOOKUP(B126,КВСР!A110:B1275,2),IF(C126&gt;0,VLOOKUP(C126,КФСР!A110:B1622,2),IF(D126&gt;0,VLOOKUP(D126,Программа!A$1:B$5100,2),IF(F126&gt;0,VLOOKUP(F126,КВР!A$1:B$5001,2),IF(E126&gt;0,VLOOKUP(E126,Направление!A$1:B$4830,2))))))</f>
        <v>Предоставление субсидий бюджетным, автономным учреждениям и иным некоммерческим организациям</v>
      </c>
      <c r="B126" s="167"/>
      <c r="C126" s="168"/>
      <c r="D126" s="170"/>
      <c r="E126" s="168"/>
      <c r="F126" s="169">
        <v>600</v>
      </c>
      <c r="G126" s="491">
        <v>22942800</v>
      </c>
      <c r="H126" s="190"/>
      <c r="I126" s="155">
        <f t="shared" si="2"/>
        <v>22942800</v>
      </c>
      <c r="J126" s="491">
        <v>22942800</v>
      </c>
      <c r="K126" s="190"/>
      <c r="L126" s="155">
        <f t="shared" si="3"/>
        <v>22942800</v>
      </c>
    </row>
    <row r="127" spans="1:12" ht="31.5" x14ac:dyDescent="0.2">
      <c r="A127" s="153" t="str">
        <f>IF(B127&gt;0,VLOOKUP(B127,КВСР!A111:B1276,2),IF(C127&gt;0,VLOOKUP(C127,КФСР!A111:B1623,2),IF(D127&gt;0,VLOOKUP(D127,Программа!A$1:B$5100,2),IF(F127&gt;0,VLOOKUP(F127,КВР!A$1:B$5001,2),IF(E127&gt;0,VLOOKUP(E127,Направление!A$1:B$4830,2))))))</f>
        <v>Дополнительное образование детей</v>
      </c>
      <c r="B127" s="167"/>
      <c r="C127" s="168">
        <v>703</v>
      </c>
      <c r="D127" s="169"/>
      <c r="E127" s="168"/>
      <c r="F127" s="169"/>
      <c r="G127" s="500">
        <v>37000000</v>
      </c>
      <c r="H127" s="533">
        <f>H128</f>
        <v>0</v>
      </c>
      <c r="I127" s="155">
        <f t="shared" si="2"/>
        <v>37000000</v>
      </c>
      <c r="J127" s="500">
        <v>13000000</v>
      </c>
      <c r="K127" s="533">
        <f>K128</f>
        <v>0</v>
      </c>
      <c r="L127" s="155">
        <f t="shared" si="3"/>
        <v>13000000</v>
      </c>
    </row>
    <row r="128" spans="1:12" ht="78.75" x14ac:dyDescent="0.2">
      <c r="A128" s="153" t="str">
        <f>IF(B128&gt;0,VLOOKUP(B128,КВСР!A112:B1277,2),IF(C128&gt;0,VLOOKUP(C128,КФСР!A112:B1624,2),IF(D128&gt;0,VLOOKUP(D128,Программа!A$1:B$5100,2),IF(F128&gt;0,VLOOKUP(F128,КВР!A$1:B$5001,2),IF(E128&gt;0,VLOOKUP(E128,Направление!A$1:B$4830,2))))))</f>
        <v>Муниципальная программа "Развитие образования, физической культуры и спорта в Тутаевском муниципальном районе"</v>
      </c>
      <c r="B128" s="167"/>
      <c r="C128" s="168"/>
      <c r="D128" s="150" t="s">
        <v>684</v>
      </c>
      <c r="E128" s="168"/>
      <c r="F128" s="169"/>
      <c r="G128" s="500">
        <v>37000000</v>
      </c>
      <c r="H128" s="533">
        <f>H129</f>
        <v>0</v>
      </c>
      <c r="I128" s="155">
        <f t="shared" si="2"/>
        <v>37000000</v>
      </c>
      <c r="J128" s="500">
        <v>13000000</v>
      </c>
      <c r="K128" s="533">
        <f>K129</f>
        <v>0</v>
      </c>
      <c r="L128" s="155">
        <f t="shared" si="3"/>
        <v>13000000</v>
      </c>
    </row>
    <row r="129" spans="1:12" ht="94.5" x14ac:dyDescent="0.2">
      <c r="A129" s="153" t="str">
        <f>IF(B129&gt;0,VLOOKUP(B129,КВСР!A113:B1278,2),IF(C129&gt;0,VLOOKUP(C129,КФСР!A113:B1625,2),IF(D129&gt;0,VLOOKUP(D129,Программа!A$1:B$5100,2),IF(F129&gt;0,VLOOKUP(F129,КВР!A$1:B$5001,2),IF(E129&gt;0,VLOOKUP(E129,Направление!A$1:B$4830,2))))))</f>
        <v xml:space="preserve">Ведомственная целевая программа департамента образования Администрации Тутаевского муниципального района </v>
      </c>
      <c r="B129" s="167"/>
      <c r="C129" s="168"/>
      <c r="D129" s="150" t="s">
        <v>686</v>
      </c>
      <c r="E129" s="168"/>
      <c r="F129" s="169"/>
      <c r="G129" s="500">
        <v>37000000</v>
      </c>
      <c r="H129" s="533">
        <f>H130</f>
        <v>0</v>
      </c>
      <c r="I129" s="155">
        <f t="shared" si="2"/>
        <v>37000000</v>
      </c>
      <c r="J129" s="500">
        <v>13000000</v>
      </c>
      <c r="K129" s="533">
        <f>K130</f>
        <v>0</v>
      </c>
      <c r="L129" s="155">
        <f t="shared" si="3"/>
        <v>13000000</v>
      </c>
    </row>
    <row r="130" spans="1:12" ht="78.75" x14ac:dyDescent="0.2">
      <c r="A130" s="153" t="str">
        <f>IF(B130&gt;0,VLOOKUP(B130,КВСР!A114:B1279,2),IF(C130&gt;0,VLOOKUP(C130,КФСР!A114:B1626,2),IF(D130&gt;0,VLOOKUP(D130,Программа!A$1:B$5100,2),IF(F130&gt;0,VLOOKUP(F130,КВР!A$1:B$5001,2),IF(E130&gt;0,VLOOKUP(E130,Направление!A$1:B$4830,2))))))</f>
        <v>Обеспечение качества и доступности образовательных услуг в сфере дополнительного образования</v>
      </c>
      <c r="B130" s="167"/>
      <c r="C130" s="168"/>
      <c r="D130" s="170" t="s">
        <v>751</v>
      </c>
      <c r="E130" s="168"/>
      <c r="F130" s="169"/>
      <c r="G130" s="500">
        <v>37000000</v>
      </c>
      <c r="H130" s="533">
        <f>H131</f>
        <v>0</v>
      </c>
      <c r="I130" s="155">
        <f t="shared" si="2"/>
        <v>37000000</v>
      </c>
      <c r="J130" s="500">
        <v>13000000</v>
      </c>
      <c r="K130" s="533">
        <f>K131</f>
        <v>0</v>
      </c>
      <c r="L130" s="155">
        <f t="shared" si="3"/>
        <v>13000000</v>
      </c>
    </row>
    <row r="131" spans="1:12" ht="63" x14ac:dyDescent="0.2">
      <c r="A131" s="153" t="str">
        <f>IF(B131&gt;0,VLOOKUP(B131,КВСР!A115:B1280,2),IF(C131&gt;0,VLOOKUP(C131,КФСР!A115:B1627,2),IF(D131&gt;0,VLOOKUP(D131,Программа!A$1:B$5100,2),IF(F131&gt;0,VLOOKUP(F131,КВР!A$1:B$5001,2),IF(E131&gt;0,VLOOKUP(E131,Направление!A$1:B$4830,2))))))</f>
        <v>Обеспечение деятельности учреждений дополнительного образования</v>
      </c>
      <c r="B131" s="167"/>
      <c r="C131" s="168"/>
      <c r="D131" s="169"/>
      <c r="E131" s="168">
        <v>13210</v>
      </c>
      <c r="F131" s="169"/>
      <c r="G131" s="500">
        <v>37000000</v>
      </c>
      <c r="H131" s="533">
        <f>H132</f>
        <v>0</v>
      </c>
      <c r="I131" s="155">
        <f t="shared" ref="I131:I205" si="8">SUM(G131:H131)</f>
        <v>37000000</v>
      </c>
      <c r="J131" s="500">
        <v>13000000</v>
      </c>
      <c r="K131" s="533">
        <f>K132</f>
        <v>0</v>
      </c>
      <c r="L131" s="155">
        <f t="shared" ref="L131:L205" si="9">SUM(J131:K131)</f>
        <v>13000000</v>
      </c>
    </row>
    <row r="132" spans="1:12" ht="78.75" x14ac:dyDescent="0.2">
      <c r="A132" s="153" t="str">
        <f>IF(B132&gt;0,VLOOKUP(B132,КВСР!A116:B1281,2),IF(C132&gt;0,VLOOKUP(C132,КФСР!A116:B1628,2),IF(D132&gt;0,VLOOKUP(D132,Программа!A$1:B$5100,2),IF(F132&gt;0,VLOOKUP(F132,КВР!A$1:B$5001,2),IF(E132&gt;0,VLOOKUP(E132,Направление!A$1:B$4830,2))))))</f>
        <v>Предоставление субсидий бюджетным, автономным учреждениям и иным некоммерческим организациям</v>
      </c>
      <c r="B132" s="167"/>
      <c r="C132" s="168"/>
      <c r="D132" s="169"/>
      <c r="E132" s="168"/>
      <c r="F132" s="169">
        <v>600</v>
      </c>
      <c r="G132" s="491">
        <v>37000000</v>
      </c>
      <c r="H132" s="190"/>
      <c r="I132" s="155">
        <f t="shared" si="8"/>
        <v>37000000</v>
      </c>
      <c r="J132" s="491">
        <v>13000000</v>
      </c>
      <c r="K132" s="190"/>
      <c r="L132" s="155">
        <f t="shared" si="9"/>
        <v>13000000</v>
      </c>
    </row>
    <row r="133" spans="1:12" ht="47.25" x14ac:dyDescent="0.2">
      <c r="A133" s="153" t="str">
        <f>IF(B133&gt;0,VLOOKUP(B133,КВСР!A117:B1282,2),IF(C133&gt;0,VLOOKUP(C133,КФСР!A117:B1629,2),IF(D133&gt;0,VLOOKUP(D133,Программа!A$1:B$5100,2),IF(F133&gt;0,VLOOKUP(F133,КВР!A$1:B$5001,2),IF(E133&gt;0,VLOOKUP(E133,Направление!A$1:B$4830,2))))))</f>
        <v>Профессиональная подготовка, переподготовка и повышение квалификации</v>
      </c>
      <c r="B133" s="167"/>
      <c r="C133" s="168">
        <v>705</v>
      </c>
      <c r="D133" s="169"/>
      <c r="E133" s="168"/>
      <c r="F133" s="169"/>
      <c r="G133" s="491">
        <v>1247200</v>
      </c>
      <c r="H133" s="491">
        <f t="shared" ref="H133:L137" si="10">H134</f>
        <v>0</v>
      </c>
      <c r="I133" s="491">
        <f t="shared" si="10"/>
        <v>1247200</v>
      </c>
      <c r="J133" s="491">
        <v>1247200</v>
      </c>
      <c r="K133" s="491">
        <f t="shared" si="10"/>
        <v>0</v>
      </c>
      <c r="L133" s="491">
        <f t="shared" si="10"/>
        <v>1247200</v>
      </c>
    </row>
    <row r="134" spans="1:12" ht="78.75" x14ac:dyDescent="0.2">
      <c r="A134" s="153" t="str">
        <f>IF(B134&gt;0,VLOOKUP(B134,КВСР!A118:B1283,2),IF(C134&gt;0,VLOOKUP(C134,КФСР!A118:B1630,2),IF(D134&gt;0,VLOOKUP(D134,Программа!A$1:B$5100,2),IF(F134&gt;0,VLOOKUP(F134,КВР!A$1:B$5001,2),IF(E134&gt;0,VLOOKUP(E134,Направление!A$1:B$4830,2))))))</f>
        <v>Муниципальная программа "Развитие образования, физической культуры и спорта в Тутаевском муниципальном районе"</v>
      </c>
      <c r="B134" s="167"/>
      <c r="C134" s="168"/>
      <c r="D134" s="170" t="s">
        <v>684</v>
      </c>
      <c r="E134" s="170"/>
      <c r="F134" s="170"/>
      <c r="G134" s="491">
        <v>1247200</v>
      </c>
      <c r="H134" s="491">
        <f t="shared" si="10"/>
        <v>0</v>
      </c>
      <c r="I134" s="491">
        <f t="shared" si="10"/>
        <v>1247200</v>
      </c>
      <c r="J134" s="491">
        <v>1247200</v>
      </c>
      <c r="K134" s="491">
        <f t="shared" si="10"/>
        <v>0</v>
      </c>
      <c r="L134" s="491">
        <f t="shared" si="10"/>
        <v>1247200</v>
      </c>
    </row>
    <row r="135" spans="1:12" ht="94.5" x14ac:dyDescent="0.2">
      <c r="A135" s="153" t="str">
        <f>IF(B135&gt;0,VLOOKUP(B135,КВСР!A119:B1284,2),IF(C135&gt;0,VLOOKUP(C135,КФСР!A119:B1631,2),IF(D135&gt;0,VLOOKUP(D135,Программа!A$1:B$5100,2),IF(F135&gt;0,VLOOKUP(F135,КВР!A$1:B$5001,2),IF(E135&gt;0,VLOOKUP(E135,Направление!A$1:B$4830,2))))))</f>
        <v xml:space="preserve">Ведомственная целевая программа департамента образования Администрации Тутаевского муниципального района </v>
      </c>
      <c r="B135" s="167"/>
      <c r="C135" s="168"/>
      <c r="D135" s="170" t="s">
        <v>686</v>
      </c>
      <c r="E135" s="170"/>
      <c r="F135" s="170"/>
      <c r="G135" s="491">
        <v>1247200</v>
      </c>
      <c r="H135" s="491">
        <f t="shared" si="10"/>
        <v>0</v>
      </c>
      <c r="I135" s="491">
        <f t="shared" si="10"/>
        <v>1247200</v>
      </c>
      <c r="J135" s="491">
        <v>1247200</v>
      </c>
      <c r="K135" s="491">
        <f t="shared" si="10"/>
        <v>0</v>
      </c>
      <c r="L135" s="491">
        <f t="shared" si="10"/>
        <v>1247200</v>
      </c>
    </row>
    <row r="136" spans="1:12" ht="126" x14ac:dyDescent="0.2">
      <c r="A136" s="153" t="str">
        <f>IF(B136&gt;0,VLOOKUP(B136,КВСР!A120:B1285,2),IF(C136&gt;0,VLOOKUP(C136,КФСР!A120:B1632,2),IF(D136&gt;0,VLOOKUP(D136,Программа!A$1:B$5100,2),IF(F136&gt;0,VLOOKUP(F136,КВР!A$1:B$5001,2),IF(E136&gt;0,VLOOKUP(E136,Направление!A$1:B$4830,2))))))</f>
        <v>Обеспечение доступности и качества услуг в сфере психолого и медико- социального сопровождения детей, методической и консультационной помощи педагогическим работникам</v>
      </c>
      <c r="B136" s="167"/>
      <c r="C136" s="168"/>
      <c r="D136" s="170" t="s">
        <v>706</v>
      </c>
      <c r="E136" s="170"/>
      <c r="F136" s="170"/>
      <c r="G136" s="491">
        <v>1247200</v>
      </c>
      <c r="H136" s="491">
        <f t="shared" si="10"/>
        <v>0</v>
      </c>
      <c r="I136" s="491">
        <f t="shared" si="10"/>
        <v>1247200</v>
      </c>
      <c r="J136" s="491">
        <v>1247200</v>
      </c>
      <c r="K136" s="491">
        <f t="shared" si="10"/>
        <v>0</v>
      </c>
      <c r="L136" s="491">
        <f t="shared" si="10"/>
        <v>1247200</v>
      </c>
    </row>
    <row r="137" spans="1:12" ht="110.25" x14ac:dyDescent="0.2">
      <c r="A137" s="153" t="str">
        <f>IF(B137&gt;0,VLOOKUP(B137,КВСР!A121:B1286,2),IF(C137&gt;0,VLOOKUP(C137,КФСР!A121:B1633,2),IF(D137&gt;0,VLOOKUP(D137,Программа!A$1:B$5100,2),IF(F137&gt;0,VLOOKUP(F137,КВР!A$1:B$5001,2),IF(E137&gt;0,VLOOKUP(E137,Направление!A$1:B$4830,2))))))</f>
        <v xml:space="preserve">Субсидия на обеспечение мероприятий по переселению граждан из аварийного жилищного фонда за счет средств областного бюджета местных бюджетов </v>
      </c>
      <c r="B137" s="167"/>
      <c r="C137" s="168"/>
      <c r="D137" s="170"/>
      <c r="E137" s="170" t="s">
        <v>3204</v>
      </c>
      <c r="F137" s="170"/>
      <c r="G137" s="491">
        <v>1247200</v>
      </c>
      <c r="H137" s="491">
        <f t="shared" si="10"/>
        <v>0</v>
      </c>
      <c r="I137" s="491">
        <f t="shared" si="10"/>
        <v>1247200</v>
      </c>
      <c r="J137" s="491">
        <v>1247200</v>
      </c>
      <c r="K137" s="491">
        <f t="shared" si="10"/>
        <v>0</v>
      </c>
      <c r="L137" s="491">
        <f t="shared" si="10"/>
        <v>1247200</v>
      </c>
    </row>
    <row r="138" spans="1:12" ht="78.75" x14ac:dyDescent="0.2">
      <c r="A138" s="153" t="str">
        <f>IF(B138&gt;0,VLOOKUP(B138,КВСР!A122:B1287,2),IF(C138&gt;0,VLOOKUP(C138,КФСР!A122:B1634,2),IF(D138&gt;0,VLOOKUP(D138,Программа!A$1:B$5100,2),IF(F138&gt;0,VLOOKUP(F138,КВР!A$1:B$5001,2),IF(E138&gt;0,VLOOKUP(E138,Направление!A$1:B$4830,2))))))</f>
        <v>Предоставление субсидий бюджетным, автономным учреждениям и иным некоммерческим организациям</v>
      </c>
      <c r="B138" s="167"/>
      <c r="C138" s="168"/>
      <c r="D138" s="170"/>
      <c r="E138" s="170"/>
      <c r="F138" s="169">
        <v>600</v>
      </c>
      <c r="G138" s="491">
        <v>1247200</v>
      </c>
      <c r="H138" s="190"/>
      <c r="I138" s="155">
        <f>G138+H138</f>
        <v>1247200</v>
      </c>
      <c r="J138" s="491">
        <v>1247200</v>
      </c>
      <c r="K138" s="190"/>
      <c r="L138" s="155">
        <f>J138+K138</f>
        <v>1247200</v>
      </c>
    </row>
    <row r="139" spans="1:12" ht="15.75" x14ac:dyDescent="0.2">
      <c r="A139" s="153" t="str">
        <f>IF(B139&gt;0,VLOOKUP(B139,КВСР!A109:B1274,2),IF(C139&gt;0,VLOOKUP(C139,КФСР!A109:B1621,2),IF(D139&gt;0,VLOOKUP(D139,Программа!A$1:B$5100,2),IF(F139&gt;0,VLOOKUP(F139,КВР!A$1:B$5001,2),IF(E139&gt;0,VLOOKUP(E139,Направление!A$1:B$4830,2))))))</f>
        <v>Молодежная политика</v>
      </c>
      <c r="B139" s="167"/>
      <c r="C139" s="168">
        <v>707</v>
      </c>
      <c r="D139" s="170"/>
      <c r="E139" s="168"/>
      <c r="F139" s="169"/>
      <c r="G139" s="500">
        <v>5396850</v>
      </c>
      <c r="H139" s="155">
        <f>H140</f>
        <v>0</v>
      </c>
      <c r="I139" s="155">
        <f t="shared" si="8"/>
        <v>5396850</v>
      </c>
      <c r="J139" s="500">
        <v>5396850</v>
      </c>
      <c r="K139" s="155">
        <f>K140</f>
        <v>0</v>
      </c>
      <c r="L139" s="155">
        <f t="shared" si="9"/>
        <v>5396850</v>
      </c>
    </row>
    <row r="140" spans="1:12" ht="78.75" x14ac:dyDescent="0.2">
      <c r="A140" s="153" t="str">
        <f>IF(B140&gt;0,VLOOKUP(B140,КВСР!A110:B1275,2),IF(C140&gt;0,VLOOKUP(C140,КФСР!A110:B1622,2),IF(D140&gt;0,VLOOKUP(D140,Программа!A$1:B$5100,2),IF(F140&gt;0,VLOOKUP(F140,КВР!A$1:B$5001,2),IF(E140&gt;0,VLOOKUP(E140,Направление!A$1:B$4830,2))))))</f>
        <v>Муниципальная программа "Развитие образования, физической культуры и спорта в Тутаевском муниципальном районе"</v>
      </c>
      <c r="B140" s="167"/>
      <c r="C140" s="168"/>
      <c r="D140" s="170" t="s">
        <v>684</v>
      </c>
      <c r="E140" s="168"/>
      <c r="F140" s="169"/>
      <c r="G140" s="500">
        <v>5396850</v>
      </c>
      <c r="H140" s="155">
        <f>H141</f>
        <v>0</v>
      </c>
      <c r="I140" s="155">
        <f t="shared" si="8"/>
        <v>5396850</v>
      </c>
      <c r="J140" s="500">
        <v>5396850</v>
      </c>
      <c r="K140" s="155">
        <f>K141</f>
        <v>0</v>
      </c>
      <c r="L140" s="155">
        <f t="shared" si="9"/>
        <v>5396850</v>
      </c>
    </row>
    <row r="141" spans="1:12" ht="94.5" x14ac:dyDescent="0.2">
      <c r="A141" s="153" t="str">
        <f>IF(B141&gt;0,VLOOKUP(B141,КВСР!A111:B1276,2),IF(C141&gt;0,VLOOKUP(C141,КФСР!A111:B1623,2),IF(D141&gt;0,VLOOKUP(D141,Программа!A$1:B$5100,2),IF(F141&gt;0,VLOOKUP(F141,КВР!A$1:B$5001,2),IF(E141&gt;0,VLOOKUP(E141,Направление!A$1:B$4830,2))))))</f>
        <v xml:space="preserve">Ведомственная целевая программа департамента образования Администрации Тутаевского муниципального района </v>
      </c>
      <c r="B141" s="167"/>
      <c r="C141" s="168"/>
      <c r="D141" s="170" t="s">
        <v>686</v>
      </c>
      <c r="E141" s="168"/>
      <c r="F141" s="169"/>
      <c r="G141" s="500">
        <v>5396850</v>
      </c>
      <c r="H141" s="155">
        <f>H142+H150</f>
        <v>0</v>
      </c>
      <c r="I141" s="155">
        <f t="shared" si="8"/>
        <v>5396850</v>
      </c>
      <c r="J141" s="500">
        <v>5396850</v>
      </c>
      <c r="K141" s="155">
        <f>K142+K150</f>
        <v>0</v>
      </c>
      <c r="L141" s="155">
        <f t="shared" si="9"/>
        <v>5396850</v>
      </c>
    </row>
    <row r="142" spans="1:12" ht="63" x14ac:dyDescent="0.2">
      <c r="A142" s="153" t="str">
        <f>IF(B142&gt;0,VLOOKUP(B142,КВСР!A112:B1277,2),IF(C142&gt;0,VLOOKUP(C142,КФСР!A112:B1624,2),IF(D142&gt;0,VLOOKUP(D142,Программа!A$1:B$5100,2),IF(F142&gt;0,VLOOKUP(F142,КВР!A$1:B$5001,2),IF(E142&gt;0,VLOOKUP(E142,Направление!A$1:B$4830,2))))))</f>
        <v>Обеспечение реализации мероприятий в рамках областных целевых программ</v>
      </c>
      <c r="B142" s="167"/>
      <c r="C142" s="168"/>
      <c r="D142" s="170" t="s">
        <v>2946</v>
      </c>
      <c r="E142" s="168"/>
      <c r="F142" s="169"/>
      <c r="G142" s="500">
        <v>5396850</v>
      </c>
      <c r="H142" s="155">
        <f>H143+H145+H148</f>
        <v>0</v>
      </c>
      <c r="I142" s="155">
        <f t="shared" si="8"/>
        <v>5396850</v>
      </c>
      <c r="J142" s="500">
        <v>5396850</v>
      </c>
      <c r="K142" s="155">
        <f>K143+K145+K148</f>
        <v>0</v>
      </c>
      <c r="L142" s="155">
        <f t="shared" si="9"/>
        <v>5396850</v>
      </c>
    </row>
    <row r="143" spans="1:12" ht="78.75" x14ac:dyDescent="0.2">
      <c r="A143" s="153" t="str">
        <f>IF(B143&gt;0,VLOOKUP(B143,КВСР!A112:B1277,2),IF(C143&gt;0,VLOOKUP(C143,КФСР!A112:B1624,2),IF(D143&gt;0,VLOOKUP(D143,Программа!A$1:B$5100,2),IF(F143&gt;0,VLOOKUP(F143,КВР!A$1:B$5001,2),IF(E143&gt;0,VLOOKUP(E143,Направление!A$1:B$4830,2))))))</f>
        <v xml:space="preserve">Расходы на оплату стоимости набора продуктов питания в лагерях с дневной формой пребывания детей </v>
      </c>
      <c r="B143" s="167"/>
      <c r="C143" s="168"/>
      <c r="D143" s="170"/>
      <c r="E143" s="168" t="s">
        <v>708</v>
      </c>
      <c r="F143" s="169"/>
      <c r="G143" s="500">
        <v>739850</v>
      </c>
      <c r="H143" s="155">
        <f>H144</f>
        <v>0</v>
      </c>
      <c r="I143" s="155">
        <f t="shared" si="8"/>
        <v>739850</v>
      </c>
      <c r="J143" s="500">
        <v>739850</v>
      </c>
      <c r="K143" s="155">
        <f>K144</f>
        <v>0</v>
      </c>
      <c r="L143" s="155">
        <f t="shared" si="9"/>
        <v>739850</v>
      </c>
    </row>
    <row r="144" spans="1:12" ht="78.75" x14ac:dyDescent="0.2">
      <c r="A144" s="153" t="str">
        <f>IF(B144&gt;0,VLOOKUP(B144,КВСР!A114:B1279,2),IF(C144&gt;0,VLOOKUP(C144,КФСР!A114:B1626,2),IF(D144&gt;0,VLOOKUP(D144,Программа!A$1:B$5100,2),IF(F144&gt;0,VLOOKUP(F144,КВР!A$1:B$5001,2),IF(E144&gt;0,VLOOKUP(E144,Направление!A$1:B$4830,2))))))</f>
        <v>Предоставление субсидий бюджетным, автономным учреждениям и иным некоммерческим организациям</v>
      </c>
      <c r="B144" s="167"/>
      <c r="C144" s="168"/>
      <c r="D144" s="170"/>
      <c r="E144" s="168"/>
      <c r="F144" s="169">
        <v>600</v>
      </c>
      <c r="G144" s="542">
        <v>739850</v>
      </c>
      <c r="H144" s="191"/>
      <c r="I144" s="155">
        <f t="shared" si="8"/>
        <v>739850</v>
      </c>
      <c r="J144" s="542">
        <v>739850</v>
      </c>
      <c r="K144" s="191"/>
      <c r="L144" s="155">
        <f t="shared" si="9"/>
        <v>739850</v>
      </c>
    </row>
    <row r="145" spans="1:12" ht="173.25" x14ac:dyDescent="0.2">
      <c r="A145" s="153" t="str">
        <f>IF(B145&gt;0,VLOOKUP(B145,КВСР!A115:B1280,2),IF(C145&gt;0,VLOOKUP(C145,КФСР!A115:B1627,2),IF(D145&gt;0,VLOOKUP(D145,Программа!A$1:B$5100,2),IF(F145&gt;0,VLOOKUP(F145,КВР!A$1:B$5001,2),IF(E145&gt;0,VLOOKUP(E145,Направление!A$1:B$4830,2))))))</f>
        <v>Расходы на обеспечение отдыха и оздоровления детей, находящихся в трудной жизненной ситуации, детей погибших сотрудников правоохранительных органов и военнослужащих, безнадзорных детей за счет средств областного бюджета</v>
      </c>
      <c r="B145" s="167"/>
      <c r="C145" s="168"/>
      <c r="D145" s="170"/>
      <c r="E145" s="168">
        <v>71060</v>
      </c>
      <c r="F145" s="169"/>
      <c r="G145" s="500">
        <v>4407000</v>
      </c>
      <c r="H145" s="155">
        <f>H147+H146</f>
        <v>0</v>
      </c>
      <c r="I145" s="155">
        <f t="shared" si="8"/>
        <v>4407000</v>
      </c>
      <c r="J145" s="500">
        <v>4407000</v>
      </c>
      <c r="K145" s="155">
        <f>K147+K146</f>
        <v>0</v>
      </c>
      <c r="L145" s="155">
        <f t="shared" si="9"/>
        <v>4407000</v>
      </c>
    </row>
    <row r="146" spans="1:12" ht="31.5" x14ac:dyDescent="0.2">
      <c r="A146" s="153" t="str">
        <f>IF(B146&gt;0,VLOOKUP(B146,КВСР!A116:B1281,2),IF(C146&gt;0,VLOOKUP(C146,КФСР!A116:B1628,2),IF(D146&gt;0,VLOOKUP(D146,Программа!A$1:B$5100,2),IF(F146&gt;0,VLOOKUP(F146,КВР!A$1:B$5001,2),IF(E146&gt;0,VLOOKUP(E146,Направление!A$1:B$4830,2))))))</f>
        <v>Социальное обеспечение и иные выплаты населению</v>
      </c>
      <c r="B146" s="167"/>
      <c r="C146" s="168"/>
      <c r="D146" s="170"/>
      <c r="E146" s="168"/>
      <c r="F146" s="169">
        <v>300</v>
      </c>
      <c r="G146" s="542">
        <v>3819200</v>
      </c>
      <c r="H146" s="191"/>
      <c r="I146" s="155">
        <f t="shared" si="8"/>
        <v>3819200</v>
      </c>
      <c r="J146" s="542">
        <v>3819200</v>
      </c>
      <c r="K146" s="191"/>
      <c r="L146" s="155">
        <f t="shared" si="9"/>
        <v>3819200</v>
      </c>
    </row>
    <row r="147" spans="1:12" ht="78" customHeight="1" x14ac:dyDescent="0.2">
      <c r="A147" s="153" t="str">
        <f>IF(B147&gt;0,VLOOKUP(B147,КВСР!A116:B1281,2),IF(C147&gt;0,VLOOKUP(C147,КФСР!A116:B1628,2),IF(D147&gt;0,VLOOKUP(D147,Программа!A$1:B$5100,2),IF(F147&gt;0,VLOOKUP(F147,КВР!A$1:B$5001,2),IF(E147&gt;0,VLOOKUP(E147,Направление!A$1:B$4830,2))))))</f>
        <v>Предоставление субсидий бюджетным, автономным учреждениям и иным некоммерческим организациям</v>
      </c>
      <c r="B147" s="167"/>
      <c r="C147" s="168"/>
      <c r="D147" s="170"/>
      <c r="E147" s="168"/>
      <c r="F147" s="169">
        <v>600</v>
      </c>
      <c r="G147" s="542">
        <v>587800</v>
      </c>
      <c r="H147" s="191"/>
      <c r="I147" s="155">
        <f t="shared" si="8"/>
        <v>587800</v>
      </c>
      <c r="J147" s="542">
        <v>587800</v>
      </c>
      <c r="K147" s="191"/>
      <c r="L147" s="155">
        <f t="shared" si="9"/>
        <v>587800</v>
      </c>
    </row>
    <row r="148" spans="1:12" ht="63" x14ac:dyDescent="0.2">
      <c r="A148" s="153" t="str">
        <f>IF(B148&gt;0,VLOOKUP(B148,КВСР!A117:B1282,2),IF(C148&gt;0,VLOOKUP(C148,КФСР!A117:B1629,2),IF(D148&gt;0,VLOOKUP(D148,Программа!A$1:B$5100,2),IF(F148&gt;0,VLOOKUP(F148,КВР!A$1:B$5001,2),IF(E148&gt;0,VLOOKUP(E148,Направление!A$1:B$4830,2))))))</f>
        <v>Субвенция на частичную оплату стоимости путевки в организации отдыха детей и их оздоровления</v>
      </c>
      <c r="B148" s="167"/>
      <c r="C148" s="168"/>
      <c r="D148" s="170"/>
      <c r="E148" s="168">
        <v>75160</v>
      </c>
      <c r="F148" s="169"/>
      <c r="G148" s="614">
        <v>250000</v>
      </c>
      <c r="H148" s="543">
        <f>H149</f>
        <v>0</v>
      </c>
      <c r="I148" s="155">
        <f t="shared" si="8"/>
        <v>250000</v>
      </c>
      <c r="J148" s="614">
        <v>250000</v>
      </c>
      <c r="K148" s="543">
        <f>K149</f>
        <v>0</v>
      </c>
      <c r="L148" s="155">
        <f t="shared" si="9"/>
        <v>250000</v>
      </c>
    </row>
    <row r="149" spans="1:12" ht="31.5" x14ac:dyDescent="0.2">
      <c r="A149" s="153" t="str">
        <f>IF(B149&gt;0,VLOOKUP(B149,КВСР!A118:B1283,2),IF(C149&gt;0,VLOOKUP(C149,КФСР!A118:B1630,2),IF(D149&gt;0,VLOOKUP(D149,Программа!A$1:B$5100,2),IF(F149&gt;0,VLOOKUP(F149,КВР!A$1:B$5001,2),IF(E149&gt;0,VLOOKUP(E149,Направление!A$1:B$4830,2))))))</f>
        <v>Социальное обеспечение и иные выплаты населению</v>
      </c>
      <c r="B149" s="167"/>
      <c r="C149" s="168"/>
      <c r="D149" s="170"/>
      <c r="E149" s="168"/>
      <c r="F149" s="169">
        <v>300</v>
      </c>
      <c r="G149" s="542">
        <v>250000</v>
      </c>
      <c r="H149" s="191"/>
      <c r="I149" s="155">
        <f t="shared" si="8"/>
        <v>250000</v>
      </c>
      <c r="J149" s="542">
        <v>250000</v>
      </c>
      <c r="K149" s="191"/>
      <c r="L149" s="155">
        <f t="shared" si="9"/>
        <v>250000</v>
      </c>
    </row>
    <row r="150" spans="1:12" ht="31.5" hidden="1" x14ac:dyDescent="0.2">
      <c r="A150" s="153" t="str">
        <f>IF(B150&gt;0,VLOOKUP(B150,КВСР!A117:B1282,2),IF(C150&gt;0,VLOOKUP(C150,КФСР!A117:B1629,2),IF(D150&gt;0,VLOOKUP(D150,Программа!A$1:B$5100,2),IF(F150&gt;0,VLOOKUP(F150,КВР!A$1:B$5001,2),IF(E150&gt;0,VLOOKUP(E150,Направление!A$1:B$4830,2))))))</f>
        <v>Обеспечение компенсационных выплат</v>
      </c>
      <c r="B150" s="167"/>
      <c r="C150" s="168"/>
      <c r="D150" s="170" t="s">
        <v>2952</v>
      </c>
      <c r="E150" s="168"/>
      <c r="F150" s="169"/>
      <c r="G150" s="542">
        <v>0</v>
      </c>
      <c r="H150" s="542">
        <f>H151</f>
        <v>0</v>
      </c>
      <c r="I150" s="155">
        <f t="shared" si="8"/>
        <v>0</v>
      </c>
      <c r="J150" s="542">
        <v>0</v>
      </c>
      <c r="K150" s="542">
        <f>K151</f>
        <v>0</v>
      </c>
      <c r="L150" s="155">
        <f t="shared" si="9"/>
        <v>0</v>
      </c>
    </row>
    <row r="151" spans="1:12" ht="78.75" hidden="1" x14ac:dyDescent="0.2">
      <c r="A151" s="153" t="str">
        <f>IF(B151&gt;0,VLOOKUP(B151,КВСР!A114:B1279,2),IF(C151&gt;0,VLOOKUP(C151,КФСР!A114:B1626,2),IF(D151&gt;0,VLOOKUP(D151,Программа!A$1:B$5100,2),IF(F151&gt;0,VLOOKUP(F151,КВР!A$1:B$5001,2),IF(E151&gt;0,VLOOKUP(E151,Направление!A$1:B$4830,2))))))</f>
        <v>Компенсация части расходов на приобретение путевки в организации отдыха детей и их оздоровления</v>
      </c>
      <c r="B151" s="167"/>
      <c r="C151" s="168"/>
      <c r="D151" s="170"/>
      <c r="E151" s="168">
        <v>74390</v>
      </c>
      <c r="F151" s="169"/>
      <c r="G151" s="500">
        <v>0</v>
      </c>
      <c r="H151" s="155">
        <f>H152</f>
        <v>0</v>
      </c>
      <c r="I151" s="155">
        <f t="shared" si="8"/>
        <v>0</v>
      </c>
      <c r="J151" s="500">
        <v>0</v>
      </c>
      <c r="K151" s="155">
        <f>K152</f>
        <v>0</v>
      </c>
      <c r="L151" s="155">
        <f t="shared" si="9"/>
        <v>0</v>
      </c>
    </row>
    <row r="152" spans="1:12" ht="31.5" hidden="1" x14ac:dyDescent="0.2">
      <c r="A152" s="153" t="str">
        <f>IF(B152&gt;0,VLOOKUP(B152,КВСР!A116:B1281,2),IF(C152&gt;0,VLOOKUP(C152,КФСР!A116:B1628,2),IF(D152&gt;0,VLOOKUP(D152,Программа!A$1:B$5100,2),IF(F152&gt;0,VLOOKUP(F152,КВР!A$1:B$5001,2),IF(E152&gt;0,VLOOKUP(E152,Направление!A$1:B$4830,2))))))</f>
        <v>Социальное обеспечение и иные выплаты населению</v>
      </c>
      <c r="B152" s="167"/>
      <c r="C152" s="168"/>
      <c r="D152" s="170"/>
      <c r="E152" s="168"/>
      <c r="F152" s="151">
        <v>300</v>
      </c>
      <c r="G152" s="491">
        <v>0</v>
      </c>
      <c r="H152" s="190"/>
      <c r="I152" s="155">
        <f t="shared" si="8"/>
        <v>0</v>
      </c>
      <c r="J152" s="491">
        <v>0</v>
      </c>
      <c r="K152" s="190"/>
      <c r="L152" s="155">
        <f t="shared" si="9"/>
        <v>0</v>
      </c>
    </row>
    <row r="153" spans="1:12" ht="31.5" x14ac:dyDescent="0.2">
      <c r="A153" s="153" t="str">
        <f>IF(B153&gt;0,VLOOKUP(B153,КВСР!A122:B1287,2),IF(C153&gt;0,VLOOKUP(C153,КФСР!A122:B1634,2),IF(D153&gt;0,VLOOKUP(D153,Программа!A$1:B$5100,2),IF(F153&gt;0,VLOOKUP(F153,КВР!A$1:B$5001,2),IF(E153&gt;0,VLOOKUP(E153,Направление!A$1:B$4830,2))))))</f>
        <v>Другие вопросы в области образования</v>
      </c>
      <c r="B153" s="167"/>
      <c r="C153" s="168">
        <v>709</v>
      </c>
      <c r="D153" s="170"/>
      <c r="E153" s="168"/>
      <c r="F153" s="169"/>
      <c r="G153" s="500">
        <v>36353999</v>
      </c>
      <c r="H153" s="155">
        <f>H159+H154</f>
        <v>0</v>
      </c>
      <c r="I153" s="155">
        <f t="shared" si="8"/>
        <v>36353999</v>
      </c>
      <c r="J153" s="500">
        <v>31353999</v>
      </c>
      <c r="K153" s="155">
        <f>K159+K154</f>
        <v>0</v>
      </c>
      <c r="L153" s="155">
        <f t="shared" si="9"/>
        <v>31353999</v>
      </c>
    </row>
    <row r="154" spans="1:12" ht="78.75" x14ac:dyDescent="0.2">
      <c r="A154" s="153" t="str">
        <f>IF(B154&gt;0,VLOOKUP(B154,КВСР!A123:B1288,2),IF(C154&gt;0,VLOOKUP(C154,КФСР!A123:B1635,2),IF(D154&gt;0,VLOOKUP(D154,Программа!A$1:B$5100,2),IF(F154&gt;0,VLOOKUP(F154,КВР!A$1:B$5001,2),IF(E154&gt;0,VLOOKUP(E154,Направление!A$1:B$4830,2))))))</f>
        <v>Муниципальная программа  "Развитие культуры, туризма и молодежной политики в Тутаевском муниципальном районе"</v>
      </c>
      <c r="B154" s="167"/>
      <c r="C154" s="168"/>
      <c r="D154" s="170" t="s">
        <v>714</v>
      </c>
      <c r="E154" s="168"/>
      <c r="F154" s="169"/>
      <c r="G154" s="500">
        <v>151581</v>
      </c>
      <c r="H154" s="155">
        <f>H155</f>
        <v>0</v>
      </c>
      <c r="I154" s="155">
        <f t="shared" si="8"/>
        <v>151581</v>
      </c>
      <c r="J154" s="500">
        <v>151581</v>
      </c>
      <c r="K154" s="155">
        <f>K155</f>
        <v>0</v>
      </c>
      <c r="L154" s="155">
        <f t="shared" si="9"/>
        <v>151581</v>
      </c>
    </row>
    <row r="155" spans="1:12" ht="94.5" x14ac:dyDescent="0.2">
      <c r="A155" s="153" t="str">
        <f>IF(B155&gt;0,VLOOKUP(B155,КВСР!A124:B1289,2),IF(C155&gt;0,VLOOKUP(C155,КФСР!A124:B1636,2),IF(D155&gt;0,VLOOKUP(D155,Программа!A$1:B$5100,2),IF(F155&gt;0,VLOOKUP(F155,КВР!A$1:B$5001,2),IF(E155&gt;0,VLOOKUP(E155,Направление!A$1:B$4830,2))))))</f>
        <v>Муниципальная целевая программа «Комплексные меры противодействия злоупотреблению наркотиками и их незаконному обороту»</v>
      </c>
      <c r="B155" s="167"/>
      <c r="C155" s="168"/>
      <c r="D155" s="170" t="s">
        <v>721</v>
      </c>
      <c r="E155" s="168"/>
      <c r="F155" s="169"/>
      <c r="G155" s="500">
        <v>151581</v>
      </c>
      <c r="H155" s="155">
        <f>H156</f>
        <v>0</v>
      </c>
      <c r="I155" s="155">
        <f t="shared" si="8"/>
        <v>151581</v>
      </c>
      <c r="J155" s="500">
        <v>151581</v>
      </c>
      <c r="K155" s="155">
        <f>K156</f>
        <v>0</v>
      </c>
      <c r="L155" s="155">
        <f t="shared" si="9"/>
        <v>151581</v>
      </c>
    </row>
    <row r="156" spans="1:12" ht="63" x14ac:dyDescent="0.2">
      <c r="A156" s="153" t="str">
        <f>IF(B156&gt;0,VLOOKUP(B156,КВСР!A125:B1290,2),IF(C156&gt;0,VLOOKUP(C156,КФСР!A125:B1637,2),IF(D156&gt;0,VLOOKUP(D156,Программа!A$1:B$5100,2),IF(F156&gt;0,VLOOKUP(F156,КВР!A$1:B$5001,2),IF(E156&gt;0,VLOOKUP(E156,Направление!A$1:B$4830,2))))))</f>
        <v>Развитие системы профилактики немедицинского потребления наркотиков</v>
      </c>
      <c r="B156" s="167"/>
      <c r="C156" s="168"/>
      <c r="D156" s="170" t="s">
        <v>723</v>
      </c>
      <c r="E156" s="168"/>
      <c r="F156" s="169"/>
      <c r="G156" s="500">
        <v>151581</v>
      </c>
      <c r="H156" s="155">
        <f>H157</f>
        <v>0</v>
      </c>
      <c r="I156" s="155">
        <f t="shared" si="8"/>
        <v>151581</v>
      </c>
      <c r="J156" s="500">
        <v>151581</v>
      </c>
      <c r="K156" s="155">
        <f>K157</f>
        <v>0</v>
      </c>
      <c r="L156" s="155">
        <f t="shared" si="9"/>
        <v>151581</v>
      </c>
    </row>
    <row r="157" spans="1:12" ht="94.5" x14ac:dyDescent="0.2">
      <c r="A157" s="153" t="str">
        <f>IF(B157&gt;0,VLOOKUP(B157,КВСР!A126:B1291,2),IF(C157&gt;0,VLOOKUP(C157,КФСР!A126:B1638,2),IF(D157&gt;0,VLOOKUP(D157,Программа!A$1:B$5100,2),IF(F157&gt;0,VLOOKUP(F157,КВР!A$1:B$5001,2),IF(E157&gt;0,VLOOKUP(E157,Направление!A$1:B$4830,2))))))</f>
        <v>Расходы на обеспечение функционирования в вечернее время спортивных залов общеобразовательных школ для занятий в них обучающихся</v>
      </c>
      <c r="B157" s="167"/>
      <c r="C157" s="168"/>
      <c r="D157" s="170"/>
      <c r="E157" s="168" t="s">
        <v>725</v>
      </c>
      <c r="F157" s="169"/>
      <c r="G157" s="500">
        <v>151581</v>
      </c>
      <c r="H157" s="155">
        <f>H158</f>
        <v>0</v>
      </c>
      <c r="I157" s="155">
        <f t="shared" si="8"/>
        <v>151581</v>
      </c>
      <c r="J157" s="500">
        <v>151581</v>
      </c>
      <c r="K157" s="155">
        <f>K158</f>
        <v>0</v>
      </c>
      <c r="L157" s="155">
        <f t="shared" si="9"/>
        <v>151581</v>
      </c>
    </row>
    <row r="158" spans="1:12" ht="78.75" x14ac:dyDescent="0.2">
      <c r="A158" s="153" t="str">
        <f>IF(B158&gt;0,VLOOKUP(B158,КВСР!A127:B1292,2),IF(C158&gt;0,VLOOKUP(C158,КФСР!A127:B1639,2),IF(D158&gt;0,VLOOKUP(D158,Программа!A$1:B$5100,2),IF(F158&gt;0,VLOOKUP(F158,КВР!A$1:B$5001,2),IF(E158&gt;0,VLOOKUP(E158,Направление!A$1:B$4830,2))))))</f>
        <v>Предоставление субсидий бюджетным, автономным учреждениям и иным некоммерческим организациям</v>
      </c>
      <c r="B158" s="167"/>
      <c r="C158" s="168"/>
      <c r="D158" s="170"/>
      <c r="E158" s="168"/>
      <c r="F158" s="169">
        <v>600</v>
      </c>
      <c r="G158" s="615">
        <v>151581</v>
      </c>
      <c r="H158" s="193"/>
      <c r="I158" s="155">
        <f t="shared" si="8"/>
        <v>151581</v>
      </c>
      <c r="J158" s="615">
        <v>151581</v>
      </c>
      <c r="K158" s="193"/>
      <c r="L158" s="155">
        <f t="shared" si="9"/>
        <v>151581</v>
      </c>
    </row>
    <row r="159" spans="1:12" ht="78.75" x14ac:dyDescent="0.2">
      <c r="A159" s="153" t="str">
        <f>IF(B159&gt;0,VLOOKUP(B159,КВСР!A123:B1288,2),IF(C159&gt;0,VLOOKUP(C159,КФСР!A123:B1635,2),IF(D159&gt;0,VLOOKUP(D159,Программа!A$1:B$5100,2),IF(F159&gt;0,VLOOKUP(F159,КВР!A$1:B$5001,2),IF(E159&gt;0,VLOOKUP(E159,Направление!A$1:B$4830,2))))))</f>
        <v>Муниципальная программа "Развитие образования, физической культуры и спорта в Тутаевском муниципальном районе"</v>
      </c>
      <c r="B159" s="167"/>
      <c r="C159" s="168"/>
      <c r="D159" s="170" t="s">
        <v>684</v>
      </c>
      <c r="E159" s="168"/>
      <c r="F159" s="169"/>
      <c r="G159" s="500">
        <v>36202418</v>
      </c>
      <c r="H159" s="155">
        <f>H160</f>
        <v>0</v>
      </c>
      <c r="I159" s="155">
        <f t="shared" si="8"/>
        <v>36202418</v>
      </c>
      <c r="J159" s="500">
        <v>31202418</v>
      </c>
      <c r="K159" s="155">
        <f>K160</f>
        <v>0</v>
      </c>
      <c r="L159" s="155">
        <f t="shared" si="9"/>
        <v>31202418</v>
      </c>
    </row>
    <row r="160" spans="1:12" ht="94.5" x14ac:dyDescent="0.2">
      <c r="A160" s="153" t="str">
        <f>IF(B160&gt;0,VLOOKUP(B160,КВСР!A124:B1289,2),IF(C160&gt;0,VLOOKUP(C160,КФСР!A124:B1636,2),IF(D160&gt;0,VLOOKUP(D160,Программа!A$1:B$5100,2),IF(F160&gt;0,VLOOKUP(F160,КВР!A$1:B$5001,2),IF(E160&gt;0,VLOOKUP(E160,Направление!A$1:B$4830,2))))))</f>
        <v xml:space="preserve">Ведомственная целевая программа департамента образования Администрации Тутаевского муниципального района </v>
      </c>
      <c r="B160" s="167"/>
      <c r="C160" s="168"/>
      <c r="D160" s="170" t="s">
        <v>686</v>
      </c>
      <c r="E160" s="168"/>
      <c r="F160" s="169"/>
      <c r="G160" s="500">
        <v>36202418</v>
      </c>
      <c r="H160" s="500">
        <f>H168+H161+H165</f>
        <v>0</v>
      </c>
      <c r="I160" s="500">
        <f>I168+I161+I165</f>
        <v>36202418</v>
      </c>
      <c r="J160" s="500">
        <v>31202418</v>
      </c>
      <c r="K160" s="500">
        <f>K168+K161+K165</f>
        <v>0</v>
      </c>
      <c r="L160" s="500">
        <f>L168+L161+L165</f>
        <v>31202418</v>
      </c>
    </row>
    <row r="161" spans="1:12" ht="78.75" hidden="1" customHeight="1" x14ac:dyDescent="0.2">
      <c r="A161" s="153" t="str">
        <f>IF(B161&gt;0,VLOOKUP(B161,КВСР!A125:B1290,2),IF(C161&gt;0,VLOOKUP(C161,КФСР!A125:B1637,2),IF(D161&gt;0,VLOOKUP(D161,Программа!A$1:B$5100,2),IF(F161&gt;0,VLOOKUP(F161,КВР!A$1:B$5001,2),IF(E161&gt;0,VLOOKUP(E161,Направление!A$1:B$4830,2))))))</f>
        <v>Обеспечение качества и доступности образовательных услуг в сфере дополнительного образования</v>
      </c>
      <c r="B161" s="167"/>
      <c r="C161" s="168"/>
      <c r="D161" s="170" t="s">
        <v>751</v>
      </c>
      <c r="E161" s="168"/>
      <c r="F161" s="169"/>
      <c r="G161" s="500">
        <v>0</v>
      </c>
      <c r="H161" s="155">
        <f>H162</f>
        <v>0</v>
      </c>
      <c r="I161" s="155">
        <f t="shared" si="8"/>
        <v>0</v>
      </c>
      <c r="J161" s="500">
        <v>0</v>
      </c>
      <c r="K161" s="155">
        <f>K162</f>
        <v>0</v>
      </c>
      <c r="L161" s="155">
        <f t="shared" si="9"/>
        <v>0</v>
      </c>
    </row>
    <row r="162" spans="1:12" ht="31.5" hidden="1" customHeight="1" x14ac:dyDescent="0.2">
      <c r="A162" s="153" t="str">
        <f>IF(B162&gt;0,VLOOKUP(B162,КВСР!A126:B1291,2),IF(C162&gt;0,VLOOKUP(C162,КФСР!A126:B1638,2),IF(D162&gt;0,VLOOKUP(D162,Программа!A$1:B$5100,2),IF(F162&gt;0,VLOOKUP(F162,КВР!A$1:B$5001,2),IF(E162&gt;0,VLOOKUP(E162,Направление!A$1:B$4830,2))))))</f>
        <v>Мероприятия в сфере образования</v>
      </c>
      <c r="B162" s="167"/>
      <c r="C162" s="168"/>
      <c r="D162" s="170"/>
      <c r="E162" s="168">
        <v>13320</v>
      </c>
      <c r="F162" s="169"/>
      <c r="G162" s="500">
        <v>0</v>
      </c>
      <c r="H162" s="155">
        <f>H163+H164</f>
        <v>0</v>
      </c>
      <c r="I162" s="155">
        <f t="shared" si="8"/>
        <v>0</v>
      </c>
      <c r="J162" s="500">
        <v>0</v>
      </c>
      <c r="K162" s="155">
        <f>K163+K164</f>
        <v>0</v>
      </c>
      <c r="L162" s="155">
        <f t="shared" si="9"/>
        <v>0</v>
      </c>
    </row>
    <row r="163" spans="1:12" ht="141.75" hidden="1" customHeight="1" x14ac:dyDescent="0.2">
      <c r="A163" s="153" t="str">
        <f>IF(B163&gt;0,VLOOKUP(B163,КВСР!A127:B1292,2),IF(C163&gt;0,VLOOKUP(C163,КФСР!A127:B1639,2),IF(D163&gt;0,VLOOKUP(D163,Программа!A$1:B$5100,2),IF(F163&gt;0,VLOOKUP(F163,КВР!A$1:B$5001,2),IF(E163&gt;0,VLOOKUP(E163,Направление!A$1:B$4830,2))))))</f>
        <v xml:space="preserve">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
</v>
      </c>
      <c r="B163" s="167"/>
      <c r="C163" s="168"/>
      <c r="D163" s="170"/>
      <c r="E163" s="168"/>
      <c r="F163" s="169">
        <v>100</v>
      </c>
      <c r="G163" s="542">
        <v>0</v>
      </c>
      <c r="H163" s="191"/>
      <c r="I163" s="155">
        <f t="shared" si="8"/>
        <v>0</v>
      </c>
      <c r="J163" s="542">
        <v>0</v>
      </c>
      <c r="K163" s="191"/>
      <c r="L163" s="155">
        <f t="shared" si="9"/>
        <v>0</v>
      </c>
    </row>
    <row r="164" spans="1:12" ht="78.75" hidden="1" customHeight="1" x14ac:dyDescent="0.2">
      <c r="A164" s="153" t="str">
        <f>IF(B164&gt;0,VLOOKUP(B164,КВСР!A128:B1293,2),IF(C164&gt;0,VLOOKUP(C164,КФСР!A128:B1640,2),IF(D164&gt;0,VLOOKUP(D164,Программа!A$1:B$5100,2),IF(F164&gt;0,VLOOKUP(F164,КВР!A$1:B$5001,2),IF(E164&gt;0,VLOOKUP(E164,Направление!A$1:B$4830,2))))))</f>
        <v>Предоставление субсидий бюджетным, автономным учреждениям и иным некоммерческим организациям</v>
      </c>
      <c r="B164" s="167"/>
      <c r="C164" s="168"/>
      <c r="D164" s="170"/>
      <c r="E164" s="168"/>
      <c r="F164" s="169">
        <v>600</v>
      </c>
      <c r="G164" s="542">
        <v>0</v>
      </c>
      <c r="H164" s="191"/>
      <c r="I164" s="155">
        <f t="shared" si="8"/>
        <v>0</v>
      </c>
      <c r="J164" s="542">
        <v>0</v>
      </c>
      <c r="K164" s="191"/>
      <c r="L164" s="155">
        <f t="shared" si="9"/>
        <v>0</v>
      </c>
    </row>
    <row r="165" spans="1:12" ht="78.75" customHeight="1" x14ac:dyDescent="0.2">
      <c r="A165" s="153" t="str">
        <f>IF(B165&gt;0,VLOOKUP(B165,КВСР!A129:B1294,2),IF(C165&gt;0,VLOOKUP(C165,КФСР!A129:B1641,2),IF(D165&gt;0,VLOOKUP(D165,Программа!A$1:B$5100,2),IF(F165&gt;0,VLOOKUP(F165,КВР!A$1:B$5001,2),IF(E165&gt;0,VLOOKUP(E165,Направление!A$1:B$4830,2))))))</f>
        <v>Обеспечение доступности и качества услуг в сфере психолого и медико- социального сопровождения детей, методической и консультационной помощи педагогическим работникам</v>
      </c>
      <c r="B165" s="167"/>
      <c r="C165" s="168"/>
      <c r="D165" s="170" t="s">
        <v>706</v>
      </c>
      <c r="E165" s="168"/>
      <c r="F165" s="169"/>
      <c r="G165" s="542">
        <v>7752800</v>
      </c>
      <c r="H165" s="542">
        <f t="shared" ref="H165:L166" si="11">H166</f>
        <v>0</v>
      </c>
      <c r="I165" s="542">
        <f t="shared" si="11"/>
        <v>7752800</v>
      </c>
      <c r="J165" s="542">
        <v>2752800</v>
      </c>
      <c r="K165" s="542">
        <f t="shared" si="11"/>
        <v>0</v>
      </c>
      <c r="L165" s="542">
        <f t="shared" si="11"/>
        <v>2752800</v>
      </c>
    </row>
    <row r="166" spans="1:12" ht="47.25" x14ac:dyDescent="0.2">
      <c r="A166" s="153" t="str">
        <f>IF(B166&gt;0,VLOOKUP(B166,КВСР!A130:B1295,2),IF(C166&gt;0,VLOOKUP(C166,КФСР!A130:B1642,2),IF(D166&gt;0,VLOOKUP(D166,Программа!A$1:B$5100,2),IF(F166&gt;0,VLOOKUP(F166,КВР!A$1:B$5001,2),IF(E166&gt;0,VLOOKUP(E166,Направление!A$1:B$4830,2))))))</f>
        <v>Обеспечение деятельности прочих учреждений в сфере образования</v>
      </c>
      <c r="B166" s="167"/>
      <c r="C166" s="168"/>
      <c r="D166" s="170"/>
      <c r="E166" s="168">
        <v>13310</v>
      </c>
      <c r="F166" s="169"/>
      <c r="G166" s="542">
        <v>7752800</v>
      </c>
      <c r="H166" s="542">
        <f t="shared" si="11"/>
        <v>0</v>
      </c>
      <c r="I166" s="542">
        <f t="shared" si="11"/>
        <v>7752800</v>
      </c>
      <c r="J166" s="542">
        <v>2752800</v>
      </c>
      <c r="K166" s="542">
        <f t="shared" si="11"/>
        <v>0</v>
      </c>
      <c r="L166" s="542">
        <f t="shared" si="11"/>
        <v>2752800</v>
      </c>
    </row>
    <row r="167" spans="1:12" ht="78.75" customHeight="1" x14ac:dyDescent="0.2">
      <c r="A167" s="153" t="str">
        <f>IF(B167&gt;0,VLOOKUP(B167,КВСР!A131:B1296,2),IF(C167&gt;0,VLOOKUP(C167,КФСР!A131:B1643,2),IF(D167&gt;0,VLOOKUP(D167,Программа!A$1:B$5100,2),IF(F167&gt;0,VLOOKUP(F167,КВР!A$1:B$5001,2),IF(E167&gt;0,VLOOKUP(E167,Направление!A$1:B$4830,2))))))</f>
        <v>Предоставление субсидий бюджетным, автономным учреждениям и иным некоммерческим организациям</v>
      </c>
      <c r="B167" s="167"/>
      <c r="C167" s="168"/>
      <c r="D167" s="170"/>
      <c r="E167" s="168"/>
      <c r="F167" s="169">
        <v>600</v>
      </c>
      <c r="G167" s="542">
        <v>7752800</v>
      </c>
      <c r="H167" s="191"/>
      <c r="I167" s="155">
        <f t="shared" si="8"/>
        <v>7752800</v>
      </c>
      <c r="J167" s="542">
        <v>2752800</v>
      </c>
      <c r="K167" s="191"/>
      <c r="L167" s="155">
        <f t="shared" si="9"/>
        <v>2752800</v>
      </c>
    </row>
    <row r="168" spans="1:12" ht="47.25" x14ac:dyDescent="0.2">
      <c r="A168" s="153" t="str">
        <f>IF(B168&gt;0,VLOOKUP(B168,КВСР!A124:B1289,2),IF(C168&gt;0,VLOOKUP(C168,КФСР!A124:B1636,2),IF(D168&gt;0,VLOOKUP(D168,Программа!A$1:B$5100,2),IF(F168&gt;0,VLOOKUP(F168,КВР!A$1:B$5001,2),IF(E168&gt;0,VLOOKUP(E168,Направление!A$1:B$4830,2))))))</f>
        <v>Обеспечение эффективности управления системой образования</v>
      </c>
      <c r="B168" s="167"/>
      <c r="C168" s="168"/>
      <c r="D168" s="170" t="s">
        <v>2949</v>
      </c>
      <c r="E168" s="168"/>
      <c r="F168" s="169"/>
      <c r="G168" s="500">
        <v>28449618</v>
      </c>
      <c r="H168" s="500">
        <f>H169+H173+H177</f>
        <v>0</v>
      </c>
      <c r="I168" s="500">
        <f>I169+I173+I177</f>
        <v>28449618</v>
      </c>
      <c r="J168" s="500">
        <v>28449618</v>
      </c>
      <c r="K168" s="500">
        <f>K169+K173+K177</f>
        <v>0</v>
      </c>
      <c r="L168" s="500">
        <f>L169+L173+L177</f>
        <v>28449618</v>
      </c>
    </row>
    <row r="169" spans="1:12" ht="31.5" x14ac:dyDescent="0.2">
      <c r="A169" s="153" t="str">
        <f>IF(B169&gt;0,VLOOKUP(B169,КВСР!A125:B1290,2),IF(C169&gt;0,VLOOKUP(C169,КФСР!A125:B1637,2),IF(D169&gt;0,VLOOKUP(D169,Программа!A$1:B$5100,2),IF(F169&gt;0,VLOOKUP(F169,КВР!A$1:B$5001,2),IF(E169&gt;0,VLOOKUP(E169,Направление!A$1:B$4830,2))))))</f>
        <v>Содержание центрального аппарата</v>
      </c>
      <c r="B169" s="167"/>
      <c r="C169" s="168"/>
      <c r="D169" s="170"/>
      <c r="E169" s="168">
        <v>12010</v>
      </c>
      <c r="F169" s="151"/>
      <c r="G169" s="500">
        <v>5605112</v>
      </c>
      <c r="H169" s="500">
        <f>H170+H171+H172</f>
        <v>0</v>
      </c>
      <c r="I169" s="500">
        <f>I170+I171+I172</f>
        <v>5605112</v>
      </c>
      <c r="J169" s="500">
        <v>5605112</v>
      </c>
      <c r="K169" s="500">
        <f>K170+K171+K172</f>
        <v>0</v>
      </c>
      <c r="L169" s="500">
        <f>L170+L171+L172</f>
        <v>5605112</v>
      </c>
    </row>
    <row r="170" spans="1:12" ht="173.25" x14ac:dyDescent="0.2">
      <c r="A170" s="153" t="str">
        <f>IF(B170&gt;0,VLOOKUP(B170,КВСР!A126:B1291,2),IF(C170&gt;0,VLOOKUP(C170,КФСР!A126:B1638,2),IF(D170&gt;0,VLOOKUP(D170,Программа!A$1:B$5100,2),IF(F170&gt;0,VLOOKUP(F170,КВР!A$1:B$5001,2),IF(E170&gt;0,VLOOKUP(E170,Направление!A$1:B$4830,2))))))</f>
        <v xml:space="preserve">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
</v>
      </c>
      <c r="B170" s="167"/>
      <c r="C170" s="168"/>
      <c r="D170" s="170"/>
      <c r="E170" s="168"/>
      <c r="F170" s="151">
        <v>100</v>
      </c>
      <c r="G170" s="491">
        <v>4679017</v>
      </c>
      <c r="H170" s="190"/>
      <c r="I170" s="155">
        <f t="shared" si="8"/>
        <v>4679017</v>
      </c>
      <c r="J170" s="491">
        <v>4679017</v>
      </c>
      <c r="K170" s="190"/>
      <c r="L170" s="155">
        <f t="shared" si="9"/>
        <v>4679017</v>
      </c>
    </row>
    <row r="171" spans="1:12" ht="78.75" x14ac:dyDescent="0.2">
      <c r="A171" s="153" t="str">
        <f>IF(B171&gt;0,VLOOKUP(B171,КВСР!A127:B1292,2),IF(C171&gt;0,VLOOKUP(C171,КФСР!A127:B1639,2),IF(D171&gt;0,VLOOKUP(D171,Программа!A$1:B$5100,2),IF(F171&gt;0,VLOOKUP(F171,КВР!A$1:B$5001,2),IF(E171&gt;0,VLOOKUP(E171,Направление!A$1:B$4830,2))))))</f>
        <v xml:space="preserve">Закупка товаров, работ и услуг для обеспечения государственных (муниципальных) нужд
</v>
      </c>
      <c r="B171" s="167"/>
      <c r="C171" s="168"/>
      <c r="D171" s="170"/>
      <c r="E171" s="168"/>
      <c r="F171" s="151">
        <v>200</v>
      </c>
      <c r="G171" s="491">
        <v>895095</v>
      </c>
      <c r="H171" s="190"/>
      <c r="I171" s="155">
        <f t="shared" si="8"/>
        <v>895095</v>
      </c>
      <c r="J171" s="491">
        <v>895095</v>
      </c>
      <c r="K171" s="190"/>
      <c r="L171" s="155">
        <f t="shared" si="9"/>
        <v>895095</v>
      </c>
    </row>
    <row r="172" spans="1:12" ht="31.5" x14ac:dyDescent="0.2">
      <c r="A172" s="153" t="str">
        <f>IF(B172&gt;0,VLOOKUP(B172,КВСР!A128:B1293,2),IF(C172&gt;0,VLOOKUP(C172,КФСР!A128:B1640,2),IF(D172&gt;0,VLOOKUP(D172,Программа!A$1:B$5100,2),IF(F172&gt;0,VLOOKUP(F172,КВР!A$1:B$5001,2),IF(E172&gt;0,VLOOKUP(E172,Направление!A$1:B$4830,2))))))</f>
        <v>Иные бюджетные ассигнования</v>
      </c>
      <c r="B172" s="167"/>
      <c r="C172" s="168"/>
      <c r="D172" s="170"/>
      <c r="E172" s="168"/>
      <c r="F172" s="151">
        <v>800</v>
      </c>
      <c r="G172" s="491">
        <v>31000</v>
      </c>
      <c r="H172" s="190"/>
      <c r="I172" s="155">
        <f t="shared" si="8"/>
        <v>31000</v>
      </c>
      <c r="J172" s="491">
        <v>31000</v>
      </c>
      <c r="K172" s="190"/>
      <c r="L172" s="155">
        <f t="shared" si="9"/>
        <v>31000</v>
      </c>
    </row>
    <row r="173" spans="1:12" ht="48" customHeight="1" x14ac:dyDescent="0.2">
      <c r="A173" s="153" t="str">
        <f>IF(B173&gt;0,VLOOKUP(B173,КВСР!A135:B1300,2),IF(C173&gt;0,VLOOKUP(C173,КФСР!A135:B1647,2),IF(D173&gt;0,VLOOKUP(D173,Программа!A$1:B$5100,2),IF(F173&gt;0,VLOOKUP(F173,КВР!A$1:B$5001,2),IF(E173&gt;0,VLOOKUP(E173,Направление!A$1:B$4830,2))))))</f>
        <v>Обеспечение деятельности прочих учреждений в сфере образования</v>
      </c>
      <c r="B173" s="167"/>
      <c r="C173" s="168"/>
      <c r="D173" s="170"/>
      <c r="E173" s="168">
        <v>13310</v>
      </c>
      <c r="F173" s="151"/>
      <c r="G173" s="500">
        <v>18846512</v>
      </c>
      <c r="H173" s="500">
        <f>H174+H175+H176</f>
        <v>0</v>
      </c>
      <c r="I173" s="500">
        <f>I174+I175+I176</f>
        <v>18846512</v>
      </c>
      <c r="J173" s="500">
        <v>18846512</v>
      </c>
      <c r="K173" s="500">
        <f>K174+K175+K176</f>
        <v>0</v>
      </c>
      <c r="L173" s="500">
        <f>L174+L175+L176</f>
        <v>18846512</v>
      </c>
    </row>
    <row r="174" spans="1:12" ht="173.25" x14ac:dyDescent="0.2">
      <c r="A174" s="153" t="str">
        <f>IF(B174&gt;0,VLOOKUP(B174,КВСР!A136:B1301,2),IF(C174&gt;0,VLOOKUP(C174,КФСР!A136:B1648,2),IF(D174&gt;0,VLOOKUP(D174,Программа!A$1:B$5100,2),IF(F174&gt;0,VLOOKUP(F174,КВР!A$1:B$5001,2),IF(E174&gt;0,VLOOKUP(E174,Направление!A$1:B$4830,2))))))</f>
        <v xml:space="preserve">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
</v>
      </c>
      <c r="B174" s="167"/>
      <c r="C174" s="168"/>
      <c r="D174" s="170"/>
      <c r="E174" s="168"/>
      <c r="F174" s="151">
        <v>100</v>
      </c>
      <c r="G174" s="500">
        <v>17522537</v>
      </c>
      <c r="H174" s="533"/>
      <c r="I174" s="155">
        <f t="shared" si="8"/>
        <v>17522537</v>
      </c>
      <c r="J174" s="500">
        <v>17522537</v>
      </c>
      <c r="K174" s="533"/>
      <c r="L174" s="155">
        <f t="shared" si="9"/>
        <v>17522537</v>
      </c>
    </row>
    <row r="175" spans="1:12" ht="78.75" x14ac:dyDescent="0.2">
      <c r="A175" s="153" t="str">
        <f>IF(B175&gt;0,VLOOKUP(B175,КВСР!A137:B1302,2),IF(C175&gt;0,VLOOKUP(C175,КФСР!A137:B1649,2),IF(D175&gt;0,VLOOKUP(D175,Программа!A$1:B$5100,2),IF(F175&gt;0,VLOOKUP(F175,КВР!A$1:B$5001,2),IF(E175&gt;0,VLOOKUP(E175,Направление!A$1:B$4830,2))))))</f>
        <v xml:space="preserve">Закупка товаров, работ и услуг для обеспечения государственных (муниципальных) нужд
</v>
      </c>
      <c r="B175" s="167"/>
      <c r="C175" s="168"/>
      <c r="D175" s="170"/>
      <c r="E175" s="168"/>
      <c r="F175" s="151">
        <v>200</v>
      </c>
      <c r="G175" s="500">
        <v>1303275</v>
      </c>
      <c r="H175" s="533"/>
      <c r="I175" s="155">
        <f t="shared" si="8"/>
        <v>1303275</v>
      </c>
      <c r="J175" s="500">
        <v>1303275</v>
      </c>
      <c r="K175" s="533"/>
      <c r="L175" s="155">
        <f t="shared" si="9"/>
        <v>1303275</v>
      </c>
    </row>
    <row r="176" spans="1:12" ht="31.5" x14ac:dyDescent="0.2">
      <c r="A176" s="153" t="str">
        <f>IF(B176&gt;0,VLOOKUP(B176,КВСР!A138:B1303,2),IF(C176&gt;0,VLOOKUP(C176,КФСР!A138:B1650,2),IF(D176&gt;0,VLOOKUP(D176,Программа!A$1:B$5100,2),IF(F176&gt;0,VLOOKUP(F176,КВР!A$1:B$5001,2),IF(E176&gt;0,VLOOKUP(E176,Направление!A$1:B$4830,2))))))</f>
        <v>Иные бюджетные ассигнования</v>
      </c>
      <c r="B176" s="167"/>
      <c r="C176" s="168"/>
      <c r="D176" s="170"/>
      <c r="E176" s="168"/>
      <c r="F176" s="151">
        <v>800</v>
      </c>
      <c r="G176" s="500">
        <v>20700</v>
      </c>
      <c r="H176" s="533"/>
      <c r="I176" s="155">
        <f t="shared" si="8"/>
        <v>20700</v>
      </c>
      <c r="J176" s="500">
        <v>20700</v>
      </c>
      <c r="K176" s="533"/>
      <c r="L176" s="155">
        <f t="shared" si="9"/>
        <v>20700</v>
      </c>
    </row>
    <row r="177" spans="1:12" ht="78.75" x14ac:dyDescent="0.2">
      <c r="A177" s="153" t="str">
        <f>IF(B177&gt;0,VLOOKUP(B177,КВСР!A130:B1295,2),IF(C177&gt;0,VLOOKUP(C177,КФСР!A130:B1642,2),IF(D177&gt;0,VLOOKUP(D177,Программа!A$1:B$5100,2),IF(F177&gt;0,VLOOKUP(F177,КВР!A$1:B$5001,2),IF(E177&gt;0,VLOOKUP(E177,Направление!A$1:B$4830,2))))))</f>
        <v>Расходы на обеспечение деятельности органов опеки и попечительства за счет средств областного бюджета</v>
      </c>
      <c r="B177" s="167"/>
      <c r="C177" s="168"/>
      <c r="D177" s="170"/>
      <c r="E177" s="168">
        <v>70550</v>
      </c>
      <c r="F177" s="169"/>
      <c r="G177" s="500">
        <v>3997994</v>
      </c>
      <c r="H177" s="155">
        <f>H178+H179+H180</f>
        <v>0</v>
      </c>
      <c r="I177" s="155">
        <f t="shared" si="8"/>
        <v>3997994</v>
      </c>
      <c r="J177" s="500">
        <v>3997994</v>
      </c>
      <c r="K177" s="155">
        <f>K178+K179+K180</f>
        <v>0</v>
      </c>
      <c r="L177" s="155">
        <f t="shared" si="9"/>
        <v>3997994</v>
      </c>
    </row>
    <row r="178" spans="1:12" ht="173.25" x14ac:dyDescent="0.2">
      <c r="A178" s="153" t="str">
        <f>IF(B178&gt;0,VLOOKUP(B178,КВСР!A131:B1296,2),IF(C178&gt;0,VLOOKUP(C178,КФСР!A131:B1643,2),IF(D178&gt;0,VLOOKUP(D178,Программа!A$1:B$5100,2),IF(F178&gt;0,VLOOKUP(F178,КВР!A$1:B$5001,2),IF(E178&gt;0,VLOOKUP(E178,Направление!A$1:B$4830,2))))))</f>
        <v xml:space="preserve">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
</v>
      </c>
      <c r="B178" s="167"/>
      <c r="C178" s="168"/>
      <c r="D178" s="170"/>
      <c r="E178" s="168"/>
      <c r="F178" s="169">
        <v>100</v>
      </c>
      <c r="G178" s="491">
        <v>3114423</v>
      </c>
      <c r="H178" s="190"/>
      <c r="I178" s="155">
        <f t="shared" si="8"/>
        <v>3114423</v>
      </c>
      <c r="J178" s="491">
        <v>3114423</v>
      </c>
      <c r="K178" s="190"/>
      <c r="L178" s="155">
        <f t="shared" si="9"/>
        <v>3114423</v>
      </c>
    </row>
    <row r="179" spans="1:12" ht="78.75" x14ac:dyDescent="0.2">
      <c r="A179" s="153" t="str">
        <f>IF(B179&gt;0,VLOOKUP(B179,КВСР!A132:B1297,2),IF(C179&gt;0,VLOOKUP(C179,КФСР!A132:B1644,2),IF(D179&gt;0,VLOOKUP(D179,Программа!A$1:B$5100,2),IF(F179&gt;0,VLOOKUP(F179,КВР!A$1:B$5001,2),IF(E179&gt;0,VLOOKUP(E179,Направление!A$1:B$4830,2))))))</f>
        <v xml:space="preserve">Закупка товаров, работ и услуг для обеспечения государственных (муниципальных) нужд
</v>
      </c>
      <c r="B179" s="154"/>
      <c r="C179" s="168"/>
      <c r="D179" s="170"/>
      <c r="E179" s="168"/>
      <c r="F179" s="169">
        <v>200</v>
      </c>
      <c r="G179" s="491">
        <v>878571</v>
      </c>
      <c r="H179" s="190"/>
      <c r="I179" s="155">
        <f t="shared" si="8"/>
        <v>878571</v>
      </c>
      <c r="J179" s="491">
        <v>878571</v>
      </c>
      <c r="K179" s="190"/>
      <c r="L179" s="155">
        <f t="shared" si="9"/>
        <v>878571</v>
      </c>
    </row>
    <row r="180" spans="1:12" ht="31.5" x14ac:dyDescent="0.2">
      <c r="A180" s="153" t="str">
        <f>IF(B180&gt;0,VLOOKUP(B180,КВСР!A133:B1298,2),IF(C180&gt;0,VLOOKUP(C180,КФСР!A133:B1645,2),IF(D180&gt;0,VLOOKUP(D180,Программа!A$1:B$5100,2),IF(F180&gt;0,VLOOKUP(F180,КВР!A$1:B$5001,2),IF(E180&gt;0,VLOOKUP(E180,Направление!A$1:B$4830,2))))))</f>
        <v>Иные бюджетные ассигнования</v>
      </c>
      <c r="B180" s="154"/>
      <c r="C180" s="168"/>
      <c r="D180" s="170"/>
      <c r="E180" s="168"/>
      <c r="F180" s="169">
        <v>800</v>
      </c>
      <c r="G180" s="491">
        <v>5000</v>
      </c>
      <c r="H180" s="190"/>
      <c r="I180" s="155">
        <f t="shared" si="8"/>
        <v>5000</v>
      </c>
      <c r="J180" s="491">
        <v>5000</v>
      </c>
      <c r="K180" s="190"/>
      <c r="L180" s="155">
        <f t="shared" si="9"/>
        <v>5000</v>
      </c>
    </row>
    <row r="181" spans="1:12" ht="31.5" x14ac:dyDescent="0.2">
      <c r="A181" s="153" t="str">
        <f>IF(B181&gt;0,VLOOKUP(B181,КВСР!A134:B1299,2),IF(C181&gt;0,VLOOKUP(C181,КФСР!A134:B1646,2),IF(D181&gt;0,VLOOKUP(D181,Программа!A$1:B$5100,2),IF(F181&gt;0,VLOOKUP(F181,КВР!A$1:B$5001,2),IF(E181&gt;0,VLOOKUP(E181,Направление!A$1:B$4830,2))))))</f>
        <v>Социальное обеспечение населения</v>
      </c>
      <c r="B181" s="154"/>
      <c r="C181" s="168">
        <v>1003</v>
      </c>
      <c r="D181" s="170"/>
      <c r="E181" s="168"/>
      <c r="F181" s="169"/>
      <c r="G181" s="491">
        <v>1143467</v>
      </c>
      <c r="H181" s="491">
        <f t="shared" ref="H181:L185" si="12">H182</f>
        <v>0</v>
      </c>
      <c r="I181" s="491">
        <f t="shared" si="12"/>
        <v>1143467</v>
      </c>
      <c r="J181" s="491">
        <v>1143467</v>
      </c>
      <c r="K181" s="491">
        <f t="shared" si="12"/>
        <v>0</v>
      </c>
      <c r="L181" s="491">
        <f t="shared" si="12"/>
        <v>1143467</v>
      </c>
    </row>
    <row r="182" spans="1:12" ht="78.75" x14ac:dyDescent="0.2">
      <c r="A182" s="153" t="str">
        <f>IF(B182&gt;0,VLOOKUP(B182,КВСР!A135:B1300,2),IF(C182&gt;0,VLOOKUP(C182,КФСР!A135:B1647,2),IF(D182&gt;0,VLOOKUP(D182,Программа!A$1:B$5100,2),IF(F182&gt;0,VLOOKUP(F182,КВР!A$1:B$5001,2),IF(E182&gt;0,VLOOKUP(E182,Направление!A$1:B$4830,2))))))</f>
        <v>Муниципальная программа "Развитие образования, физической культуры и спорта в Тутаевском муниципальном районе"</v>
      </c>
      <c r="B182" s="154"/>
      <c r="C182" s="168"/>
      <c r="D182" s="170" t="s">
        <v>684</v>
      </c>
      <c r="E182" s="168"/>
      <c r="F182" s="169"/>
      <c r="G182" s="491">
        <v>1143467</v>
      </c>
      <c r="H182" s="491">
        <f t="shared" si="12"/>
        <v>0</v>
      </c>
      <c r="I182" s="491">
        <f t="shared" si="12"/>
        <v>1143467</v>
      </c>
      <c r="J182" s="491">
        <v>1143467</v>
      </c>
      <c r="K182" s="491">
        <f t="shared" si="12"/>
        <v>0</v>
      </c>
      <c r="L182" s="491">
        <f t="shared" si="12"/>
        <v>1143467</v>
      </c>
    </row>
    <row r="183" spans="1:12" ht="94.5" x14ac:dyDescent="0.2">
      <c r="A183" s="153" t="str">
        <f>IF(B183&gt;0,VLOOKUP(B183,КВСР!A136:B1301,2),IF(C183&gt;0,VLOOKUP(C183,КФСР!A136:B1648,2),IF(D183&gt;0,VLOOKUP(D183,Программа!A$1:B$5100,2),IF(F183&gt;0,VLOOKUP(F183,КВР!A$1:B$5001,2),IF(E183&gt;0,VLOOKUP(E183,Направление!A$1:B$4830,2))))))</f>
        <v xml:space="preserve">Ведомственная целевая программа департамента образования Администрации Тутаевского муниципального района </v>
      </c>
      <c r="B183" s="154"/>
      <c r="C183" s="168"/>
      <c r="D183" s="170" t="s">
        <v>686</v>
      </c>
      <c r="E183" s="168"/>
      <c r="F183" s="169"/>
      <c r="G183" s="491">
        <v>1143467</v>
      </c>
      <c r="H183" s="491">
        <f t="shared" si="12"/>
        <v>0</v>
      </c>
      <c r="I183" s="491">
        <f t="shared" si="12"/>
        <v>1143467</v>
      </c>
      <c r="J183" s="491">
        <v>1143467</v>
      </c>
      <c r="K183" s="491">
        <f t="shared" si="12"/>
        <v>0</v>
      </c>
      <c r="L183" s="491">
        <f t="shared" si="12"/>
        <v>1143467</v>
      </c>
    </row>
    <row r="184" spans="1:12" ht="31.5" x14ac:dyDescent="0.2">
      <c r="A184" s="153" t="str">
        <f>IF(B184&gt;0,VLOOKUP(B184,КВСР!A137:B1302,2),IF(C184&gt;0,VLOOKUP(C184,КФСР!A137:B1649,2),IF(D184&gt;0,VLOOKUP(D184,Программа!A$1:B$5100,2),IF(F184&gt;0,VLOOKUP(F184,КВР!A$1:B$5001,2),IF(E184&gt;0,VLOOKUP(E184,Направление!A$1:B$4830,2))))))</f>
        <v>Обеспечение компенсационных выплат</v>
      </c>
      <c r="B184" s="154"/>
      <c r="C184" s="168"/>
      <c r="D184" s="170" t="s">
        <v>2952</v>
      </c>
      <c r="E184" s="168"/>
      <c r="F184" s="169"/>
      <c r="G184" s="491">
        <v>1143467</v>
      </c>
      <c r="H184" s="491">
        <f t="shared" si="12"/>
        <v>0</v>
      </c>
      <c r="I184" s="491">
        <f t="shared" si="12"/>
        <v>1143467</v>
      </c>
      <c r="J184" s="491">
        <v>1143467</v>
      </c>
      <c r="K184" s="491">
        <f t="shared" si="12"/>
        <v>0</v>
      </c>
      <c r="L184" s="491">
        <f t="shared" si="12"/>
        <v>1143467</v>
      </c>
    </row>
    <row r="185" spans="1:12" ht="78.75" x14ac:dyDescent="0.2">
      <c r="A185" s="153" t="str">
        <f>IF(B185&gt;0,VLOOKUP(B185,КВСР!A138:B1303,2),IF(C185&gt;0,VLOOKUP(C185,КФСР!A138:B1650,2),IF(D185&gt;0,VLOOKUP(D185,Программа!A$1:B$5100,2),IF(F185&gt;0,VLOOKUP(F185,КВР!A$1:B$5001,2),IF(E185&gt;0,VLOOKUP(E185,Направление!A$1:B$4830,2))))))</f>
        <v>Компенсация части расходов на приобретение путевки в организации отдыха детей и их оздоровления</v>
      </c>
      <c r="B185" s="154"/>
      <c r="C185" s="168"/>
      <c r="D185" s="170"/>
      <c r="E185" s="168">
        <v>74390</v>
      </c>
      <c r="F185" s="169"/>
      <c r="G185" s="491">
        <v>1143467</v>
      </c>
      <c r="H185" s="491">
        <f t="shared" si="12"/>
        <v>0</v>
      </c>
      <c r="I185" s="491">
        <f t="shared" si="12"/>
        <v>1143467</v>
      </c>
      <c r="J185" s="491">
        <v>1143467</v>
      </c>
      <c r="K185" s="491">
        <f t="shared" si="12"/>
        <v>0</v>
      </c>
      <c r="L185" s="491">
        <f t="shared" si="12"/>
        <v>1143467</v>
      </c>
    </row>
    <row r="186" spans="1:12" ht="31.5" x14ac:dyDescent="0.2">
      <c r="A186" s="153" t="str">
        <f>IF(B186&gt;0,VLOOKUP(B186,КВСР!A139:B1304,2),IF(C186&gt;0,VLOOKUP(C186,КФСР!A139:B1651,2),IF(D186&gt;0,VLOOKUP(D186,Программа!A$1:B$5100,2),IF(F186&gt;0,VLOOKUP(F186,КВР!A$1:B$5001,2),IF(E186&gt;0,VLOOKUP(E186,Направление!A$1:B$4830,2))))))</f>
        <v>Социальное обеспечение и иные выплаты населению</v>
      </c>
      <c r="B186" s="154"/>
      <c r="C186" s="168"/>
      <c r="D186" s="170"/>
      <c r="E186" s="168"/>
      <c r="F186" s="169">
        <v>300</v>
      </c>
      <c r="G186" s="491">
        <v>1143467</v>
      </c>
      <c r="H186" s="190"/>
      <c r="I186" s="155">
        <f>G186+H186</f>
        <v>1143467</v>
      </c>
      <c r="J186" s="491">
        <v>1143467</v>
      </c>
      <c r="K186" s="190"/>
      <c r="L186" s="155">
        <f>J186+K186</f>
        <v>1143467</v>
      </c>
    </row>
    <row r="187" spans="1:12" ht="15.75" x14ac:dyDescent="0.2">
      <c r="A187" s="153" t="str">
        <f>IF(B187&gt;0,VLOOKUP(B187,КВСР!A134:B1299,2),IF(C187&gt;0,VLOOKUP(C187,КФСР!A134:B1646,2),IF(D187&gt;0,VLOOKUP(D187,Программа!A$1:B$5100,2),IF(F187&gt;0,VLOOKUP(F187,КВР!A$1:B$5001,2),IF(E187&gt;0,VLOOKUP(E187,Направление!A$1:B$4830,2))))))</f>
        <v>Охрана семьи и детства</v>
      </c>
      <c r="B187" s="167"/>
      <c r="C187" s="149">
        <v>1004</v>
      </c>
      <c r="D187" s="172"/>
      <c r="E187" s="173"/>
      <c r="F187" s="169"/>
      <c r="G187" s="500">
        <v>46645617</v>
      </c>
      <c r="H187" s="155">
        <f>H188</f>
        <v>0</v>
      </c>
      <c r="I187" s="155">
        <f t="shared" si="8"/>
        <v>46645617</v>
      </c>
      <c r="J187" s="500">
        <v>46646786</v>
      </c>
      <c r="K187" s="155">
        <f>K188</f>
        <v>0</v>
      </c>
      <c r="L187" s="155">
        <f t="shared" si="9"/>
        <v>46646786</v>
      </c>
    </row>
    <row r="188" spans="1:12" ht="78.75" x14ac:dyDescent="0.2">
      <c r="A188" s="153" t="str">
        <f>IF(B188&gt;0,VLOOKUP(B188,КВСР!A152:B1317,2),IF(C188&gt;0,VLOOKUP(C188,КФСР!A152:B1664,2),IF(D188&gt;0,VLOOKUP(D188,Программа!A$1:B$5100,2),IF(F188&gt;0,VLOOKUP(F188,КВР!A$1:B$5001,2),IF(E188&gt;0,VLOOKUP(E188,Направление!A$1:B$4830,2))))))</f>
        <v>Муниципальная программа "Развитие образования, физической культуры и спорта в Тутаевском муниципальном районе"</v>
      </c>
      <c r="B188" s="154"/>
      <c r="C188" s="149"/>
      <c r="D188" s="174" t="s">
        <v>684</v>
      </c>
      <c r="E188" s="175"/>
      <c r="F188" s="169"/>
      <c r="G188" s="500">
        <v>46645617</v>
      </c>
      <c r="H188" s="155">
        <f>H189</f>
        <v>0</v>
      </c>
      <c r="I188" s="155">
        <f t="shared" si="8"/>
        <v>46645617</v>
      </c>
      <c r="J188" s="500">
        <v>46646786</v>
      </c>
      <c r="K188" s="155">
        <f>K189</f>
        <v>0</v>
      </c>
      <c r="L188" s="155">
        <f t="shared" si="9"/>
        <v>46646786</v>
      </c>
    </row>
    <row r="189" spans="1:12" ht="94.5" x14ac:dyDescent="0.2">
      <c r="A189" s="153" t="str">
        <f>IF(B189&gt;0,VLOOKUP(B189,КВСР!A153:B1318,2),IF(C189&gt;0,VLOOKUP(C189,КФСР!A153:B1665,2),IF(D189&gt;0,VLOOKUP(D189,Программа!A$1:B$5100,2),IF(F189&gt;0,VLOOKUP(F189,КВР!A$1:B$5001,2),IF(E189&gt;0,VLOOKUP(E189,Направление!A$1:B$4830,2))))))</f>
        <v xml:space="preserve">Ведомственная целевая программа департамента образования Администрации Тутаевского муниципального района </v>
      </c>
      <c r="B189" s="154"/>
      <c r="C189" s="149"/>
      <c r="D189" s="174" t="s">
        <v>686</v>
      </c>
      <c r="E189" s="175"/>
      <c r="F189" s="169"/>
      <c r="G189" s="500">
        <v>46645617</v>
      </c>
      <c r="H189" s="155">
        <f>H190+H203</f>
        <v>0</v>
      </c>
      <c r="I189" s="155">
        <f t="shared" si="8"/>
        <v>46645617</v>
      </c>
      <c r="J189" s="500">
        <v>46646786</v>
      </c>
      <c r="K189" s="155">
        <f>K190+K203</f>
        <v>0</v>
      </c>
      <c r="L189" s="155">
        <f t="shared" si="9"/>
        <v>46646786</v>
      </c>
    </row>
    <row r="190" spans="1:12" ht="94.5" x14ac:dyDescent="0.2">
      <c r="A190" s="153" t="str">
        <f>IF(B190&gt;0,VLOOKUP(B190,КВСР!A154:B1319,2),IF(C190&gt;0,VLOOKUP(C190,КФСР!A154:B1666,2),IF(D190&gt;0,VLOOKUP(D190,Программа!A$1:B$5100,2),IF(F190&gt;0,VLOOKUP(F190,КВР!A$1:B$5001,2),IF(E190&gt;0,VLOOKUP(E190,Направление!A$1:B$4830,2))))))</f>
        <v>Обеспечение качества реализации мер по социальной поддержке детей-сирот и детей, оставшихся без попечения родителей</v>
      </c>
      <c r="B190" s="154"/>
      <c r="C190" s="149"/>
      <c r="D190" s="150" t="s">
        <v>736</v>
      </c>
      <c r="E190" s="175"/>
      <c r="F190" s="169"/>
      <c r="G190" s="500">
        <v>28667617</v>
      </c>
      <c r="H190" s="155">
        <f>H191+H193+H195+H198</f>
        <v>0</v>
      </c>
      <c r="I190" s="155">
        <f t="shared" si="8"/>
        <v>28667617</v>
      </c>
      <c r="J190" s="500">
        <v>28668786</v>
      </c>
      <c r="K190" s="155">
        <f>K191+K193+K195+K198</f>
        <v>0</v>
      </c>
      <c r="L190" s="155">
        <f t="shared" si="9"/>
        <v>28668786</v>
      </c>
    </row>
    <row r="191" spans="1:12" ht="110.25" x14ac:dyDescent="0.2">
      <c r="A191" s="153" t="str">
        <f>IF(B191&gt;0,VLOOKUP(B191,КВСР!A155:B1320,2),IF(C191&gt;0,VLOOKUP(C191,КФСР!A155:B1667,2),IF(D191&gt;0,VLOOKUP(D191,Программа!A$1:B$5100,2),IF(F191&gt;0,VLOOKUP(F191,КВР!A$1:B$5001,2),IF(E191&gt;0,VLOOKUP(E191,Направление!A$1:B$4830,2))))))</f>
        <v>Расходы на выплату единовременного пособия при всех формах устройства детей, лишенных родительского попечения, в семью за счет средств федерального бюджета</v>
      </c>
      <c r="B191" s="154"/>
      <c r="C191" s="149"/>
      <c r="D191" s="174"/>
      <c r="E191" s="175">
        <v>52600</v>
      </c>
      <c r="F191" s="169"/>
      <c r="G191" s="500">
        <v>546807</v>
      </c>
      <c r="H191" s="155">
        <f>H192</f>
        <v>0</v>
      </c>
      <c r="I191" s="155">
        <f t="shared" si="8"/>
        <v>546807</v>
      </c>
      <c r="J191" s="500">
        <v>547976</v>
      </c>
      <c r="K191" s="155">
        <f>K192</f>
        <v>0</v>
      </c>
      <c r="L191" s="155">
        <f t="shared" si="9"/>
        <v>547976</v>
      </c>
    </row>
    <row r="192" spans="1:12" ht="31.5" x14ac:dyDescent="0.2">
      <c r="A192" s="153" t="str">
        <f>IF(B192&gt;0,VLOOKUP(B192,КВСР!A158:B1323,2),IF(C192&gt;0,VLOOKUP(C192,КФСР!A158:B1670,2),IF(D192&gt;0,VLOOKUP(D192,Программа!A$1:B$5100,2),IF(F192&gt;0,VLOOKUP(F192,КВР!A$1:B$5001,2),IF(E192&gt;0,VLOOKUP(E192,Направление!A$1:B$4830,2))))))</f>
        <v>Социальное обеспечение и иные выплаты населению</v>
      </c>
      <c r="B192" s="154"/>
      <c r="C192" s="149"/>
      <c r="D192" s="174"/>
      <c r="E192" s="175"/>
      <c r="F192" s="169">
        <v>300</v>
      </c>
      <c r="G192" s="491">
        <v>546807</v>
      </c>
      <c r="H192" s="190"/>
      <c r="I192" s="155">
        <f t="shared" si="8"/>
        <v>546807</v>
      </c>
      <c r="J192" s="491">
        <v>547976</v>
      </c>
      <c r="K192" s="190"/>
      <c r="L192" s="155">
        <f t="shared" si="9"/>
        <v>547976</v>
      </c>
    </row>
    <row r="193" spans="1:12" ht="157.5" hidden="1" x14ac:dyDescent="0.2">
      <c r="A193" s="153" t="str">
        <f>IF(B193&gt;0,VLOOKUP(B193,КВСР!A159:B1324,2),IF(C193&gt;0,VLOOKUP(C193,КФСР!A159:B1671,2),IF(D193&gt;0,VLOOKUP(D193,Программа!A$1:B$5100,2),IF(F193&gt;0,VLOOKUP(F193,КВР!A$1:B$5001,2),IF(E193&gt;0,VLOOKUP(E193,Направление!A$1:B$4830,2))))))</f>
        <v>Компенсация расходов за присмотр и уход за детьми, осваивающими образовательные программы дошкольного образования в организациях, осуществляющих образовательную деятельность</v>
      </c>
      <c r="B193" s="154"/>
      <c r="C193" s="149"/>
      <c r="D193" s="174"/>
      <c r="E193" s="175">
        <v>70430</v>
      </c>
      <c r="F193" s="169"/>
      <c r="G193" s="500">
        <v>0</v>
      </c>
      <c r="H193" s="155">
        <f>H194</f>
        <v>0</v>
      </c>
      <c r="I193" s="155">
        <f t="shared" si="8"/>
        <v>0</v>
      </c>
      <c r="J193" s="500">
        <v>0</v>
      </c>
      <c r="K193" s="155">
        <f>K194</f>
        <v>0</v>
      </c>
      <c r="L193" s="155">
        <f t="shared" si="9"/>
        <v>0</v>
      </c>
    </row>
    <row r="194" spans="1:12" ht="31.5" hidden="1" x14ac:dyDescent="0.2">
      <c r="A194" s="153" t="str">
        <f>IF(B194&gt;0,VLOOKUP(B194,КВСР!A160:B1325,2),IF(C194&gt;0,VLOOKUP(C194,КФСР!A160:B1672,2),IF(D194&gt;0,VLOOKUP(D194,Программа!A$1:B$5100,2),IF(F194&gt;0,VLOOKUP(F194,КВР!A$1:B$5001,2),IF(E194&gt;0,VLOOKUP(E194,Направление!A$1:B$4830,2))))))</f>
        <v>Социальное обеспечение и иные выплаты населению</v>
      </c>
      <c r="B194" s="154"/>
      <c r="C194" s="149"/>
      <c r="D194" s="174"/>
      <c r="E194" s="175"/>
      <c r="F194" s="169">
        <v>300</v>
      </c>
      <c r="G194" s="491">
        <v>0</v>
      </c>
      <c r="H194" s="190"/>
      <c r="I194" s="155">
        <f t="shared" si="8"/>
        <v>0</v>
      </c>
      <c r="J194" s="491">
        <v>0</v>
      </c>
      <c r="K194" s="190"/>
      <c r="L194" s="155">
        <f t="shared" si="9"/>
        <v>0</v>
      </c>
    </row>
    <row r="195" spans="1:12" ht="110.25" x14ac:dyDescent="0.2">
      <c r="A195" s="153" t="str">
        <f>IF(B195&gt;0,VLOOKUP(B195,КВСР!A161:B1326,2),IF(C195&gt;0,VLOOKUP(C195,КФСР!A161:B1673,2),IF(D195&gt;0,VLOOKUP(D195,Программа!A$1:B$5100,2),IF(F195&gt;0,VLOOKUP(F195,КВР!A$1:B$5001,2),IF(E195&gt;0,VLOOKUP(E195,Направление!A$1:B$4830,2))))))</f>
        <v>Расходы на содержание ребенка в семье опекуна и приемной семье, а также вознаграждение, причитающееся приемному родителю, за счет средств областного бюджета</v>
      </c>
      <c r="B195" s="154"/>
      <c r="C195" s="149"/>
      <c r="D195" s="174"/>
      <c r="E195" s="175">
        <v>70460</v>
      </c>
      <c r="F195" s="169"/>
      <c r="G195" s="500">
        <v>24927509</v>
      </c>
      <c r="H195" s="155">
        <f>H196+H197</f>
        <v>0</v>
      </c>
      <c r="I195" s="155">
        <f t="shared" si="8"/>
        <v>24927509</v>
      </c>
      <c r="J195" s="500">
        <v>24927509</v>
      </c>
      <c r="K195" s="155">
        <f>K196+K197</f>
        <v>0</v>
      </c>
      <c r="L195" s="155">
        <f t="shared" si="9"/>
        <v>24927509</v>
      </c>
    </row>
    <row r="196" spans="1:12" ht="78.75" x14ac:dyDescent="0.25">
      <c r="A196" s="153" t="str">
        <f>IF(B196&gt;0,VLOOKUP(B196,КВСР!A162:B1327,2),IF(C196&gt;0,VLOOKUP(C196,КФСР!A162:B1674,2),IF(D196&gt;0,VLOOKUP(D196,Программа!A$1:B$5100,2),IF(F196&gt;0,VLOOKUP(F196,КВР!A$1:B$5001,2),IF(E196&gt;0,VLOOKUP(E196,Направление!A$1:B$4830,2))))))</f>
        <v xml:space="preserve">Закупка товаров, работ и услуг для обеспечения государственных (муниципальных) нужд
</v>
      </c>
      <c r="B196" s="154"/>
      <c r="C196" s="149"/>
      <c r="D196" s="194"/>
      <c r="E196" s="195"/>
      <c r="F196" s="169">
        <v>200</v>
      </c>
      <c r="G196" s="491">
        <v>82899</v>
      </c>
      <c r="H196" s="190"/>
      <c r="I196" s="155">
        <f t="shared" si="8"/>
        <v>82899</v>
      </c>
      <c r="J196" s="491">
        <v>82899</v>
      </c>
      <c r="K196" s="190"/>
      <c r="L196" s="155">
        <f t="shared" si="9"/>
        <v>82899</v>
      </c>
    </row>
    <row r="197" spans="1:12" ht="31.5" x14ac:dyDescent="0.25">
      <c r="A197" s="153" t="str">
        <f>IF(B197&gt;0,VLOOKUP(B197,КВСР!A163:B1328,2),IF(C197&gt;0,VLOOKUP(C197,КФСР!A163:B1675,2),IF(D197&gt;0,VLOOKUP(D197,Программа!A$1:B$5100,2),IF(F197&gt;0,VLOOKUP(F197,КВР!A$1:B$5001,2),IF(E197&gt;0,VLOOKUP(E197,Направление!A$1:B$4830,2))))))</f>
        <v>Социальное обеспечение и иные выплаты населению</v>
      </c>
      <c r="B197" s="154"/>
      <c r="C197" s="149"/>
      <c r="D197" s="194"/>
      <c r="E197" s="195"/>
      <c r="F197" s="169">
        <v>300</v>
      </c>
      <c r="G197" s="491">
        <v>24844610</v>
      </c>
      <c r="H197" s="190"/>
      <c r="I197" s="155">
        <f t="shared" si="8"/>
        <v>24844610</v>
      </c>
      <c r="J197" s="491">
        <v>24844610</v>
      </c>
      <c r="K197" s="190"/>
      <c r="L197" s="155">
        <f t="shared" si="9"/>
        <v>24844610</v>
      </c>
    </row>
    <row r="198" spans="1:12" ht="63" x14ac:dyDescent="0.25">
      <c r="A198" s="153" t="str">
        <f>IF(B198&gt;0,VLOOKUP(B198,КВСР!A164:B1329,2),IF(C198&gt;0,VLOOKUP(C198,КФСР!A164:B1676,2),IF(D198&gt;0,VLOOKUP(D198,Программа!A$1:B$5100,2),IF(F198&gt;0,VLOOKUP(F198,КВР!A$1:B$5001,2),IF(E198&gt;0,VLOOKUP(E198,Направление!A$1:B$4830,2))))))</f>
        <v>Государственная поддержка опеки и попечительства за счет средств областного бюджета</v>
      </c>
      <c r="B198" s="167"/>
      <c r="C198" s="149"/>
      <c r="D198" s="194"/>
      <c r="E198" s="149">
        <v>70500</v>
      </c>
      <c r="F198" s="169"/>
      <c r="G198" s="500">
        <v>3193301</v>
      </c>
      <c r="H198" s="155">
        <f>H199+H200+H201+H202</f>
        <v>0</v>
      </c>
      <c r="I198" s="155">
        <f t="shared" si="8"/>
        <v>3193301</v>
      </c>
      <c r="J198" s="500">
        <v>3193301</v>
      </c>
      <c r="K198" s="155">
        <f>K199+K200+K201+K202</f>
        <v>0</v>
      </c>
      <c r="L198" s="155">
        <f t="shared" si="9"/>
        <v>3193301</v>
      </c>
    </row>
    <row r="199" spans="1:12" ht="173.25" hidden="1" x14ac:dyDescent="0.2">
      <c r="A199" s="153" t="str">
        <f>IF(B199&gt;0,VLOOKUP(B199,КВСР!A165:B1330,2),IF(C199&gt;0,VLOOKUP(C199,КФСР!A165:B1677,2),IF(D199&gt;0,VLOOKUP(D199,Программа!A$1:B$5100,2),IF(F199&gt;0,VLOOKUP(F199,КВР!A$1:B$5001,2),IF(E199&gt;0,VLOOKUP(E199,Направление!A$1:B$4830,2))))))</f>
        <v xml:space="preserve">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
</v>
      </c>
      <c r="B199" s="167"/>
      <c r="C199" s="168"/>
      <c r="D199" s="170"/>
      <c r="E199" s="168"/>
      <c r="F199" s="169">
        <v>100</v>
      </c>
      <c r="G199" s="491">
        <v>0</v>
      </c>
      <c r="H199" s="190"/>
      <c r="I199" s="155">
        <f t="shared" si="8"/>
        <v>0</v>
      </c>
      <c r="J199" s="491">
        <v>0</v>
      </c>
      <c r="K199" s="190"/>
      <c r="L199" s="155">
        <f t="shared" si="9"/>
        <v>0</v>
      </c>
    </row>
    <row r="200" spans="1:12" ht="78.75" x14ac:dyDescent="0.2">
      <c r="A200" s="153" t="str">
        <f>IF(B200&gt;0,VLOOKUP(B200,КВСР!A166:B1331,2),IF(C200&gt;0,VLOOKUP(C200,КФСР!A166:B1678,2),IF(D200&gt;0,VLOOKUP(D200,Программа!A$1:B$5100,2),IF(F200&gt;0,VLOOKUP(F200,КВР!A$1:B$5001,2),IF(E200&gt;0,VLOOKUP(E200,Направление!A$1:B$4830,2))))))</f>
        <v xml:space="preserve">Закупка товаров, работ и услуг для обеспечения государственных (муниципальных) нужд
</v>
      </c>
      <c r="B200" s="167"/>
      <c r="C200" s="168"/>
      <c r="D200" s="170"/>
      <c r="E200" s="168"/>
      <c r="F200" s="169">
        <v>200</v>
      </c>
      <c r="G200" s="491">
        <v>52000</v>
      </c>
      <c r="H200" s="190"/>
      <c r="I200" s="155">
        <f t="shared" si="8"/>
        <v>52000</v>
      </c>
      <c r="J200" s="491">
        <v>52000</v>
      </c>
      <c r="K200" s="190"/>
      <c r="L200" s="155">
        <f t="shared" si="9"/>
        <v>52000</v>
      </c>
    </row>
    <row r="201" spans="1:12" ht="31.5" x14ac:dyDescent="0.2">
      <c r="A201" s="153" t="str">
        <f>IF(B201&gt;0,VLOOKUP(B201,КВСР!A167:B1332,2),IF(C201&gt;0,VLOOKUP(C201,КФСР!A167:B1679,2),IF(D201&gt;0,VLOOKUP(D201,Программа!A$1:B$5100,2),IF(F201&gt;0,VLOOKUP(F201,КВР!A$1:B$5001,2),IF(E201&gt;0,VLOOKUP(E201,Направление!A$1:B$4830,2))))))</f>
        <v>Социальное обеспечение и иные выплаты населению</v>
      </c>
      <c r="B201" s="167"/>
      <c r="C201" s="168"/>
      <c r="D201" s="170"/>
      <c r="E201" s="168"/>
      <c r="F201" s="169">
        <v>300</v>
      </c>
      <c r="G201" s="491">
        <v>1791141</v>
      </c>
      <c r="H201" s="190"/>
      <c r="I201" s="155">
        <f t="shared" si="8"/>
        <v>1791141</v>
      </c>
      <c r="J201" s="491">
        <v>1791141</v>
      </c>
      <c r="K201" s="190"/>
      <c r="L201" s="155">
        <f t="shared" si="9"/>
        <v>1791141</v>
      </c>
    </row>
    <row r="202" spans="1:12" ht="78.75" x14ac:dyDescent="0.2">
      <c r="A202" s="153" t="str">
        <f>IF(B202&gt;0,VLOOKUP(B202,КВСР!A168:B1333,2),IF(C202&gt;0,VLOOKUP(C202,КФСР!A168:B1680,2),IF(D202&gt;0,VLOOKUP(D202,Программа!A$1:B$5100,2),IF(F202&gt;0,VLOOKUP(F202,КВР!A$1:B$5001,2),IF(E202&gt;0,VLOOKUP(E202,Направление!A$1:B$4830,2))))))</f>
        <v>Предоставление субсидий бюджетным, автономным учреждениям и иным некоммерческим организациям</v>
      </c>
      <c r="B202" s="167"/>
      <c r="C202" s="168"/>
      <c r="D202" s="170"/>
      <c r="E202" s="168"/>
      <c r="F202" s="169">
        <v>600</v>
      </c>
      <c r="G202" s="491">
        <v>1350160</v>
      </c>
      <c r="H202" s="190"/>
      <c r="I202" s="155">
        <f t="shared" si="8"/>
        <v>1350160</v>
      </c>
      <c r="J202" s="491">
        <v>1350160</v>
      </c>
      <c r="K202" s="190"/>
      <c r="L202" s="155">
        <f t="shared" si="9"/>
        <v>1350160</v>
      </c>
    </row>
    <row r="203" spans="1:12" ht="31.5" x14ac:dyDescent="0.2">
      <c r="A203" s="153" t="str">
        <f>IF(B203&gt;0,VLOOKUP(B203,КВСР!A169:B1334,2),IF(C203&gt;0,VLOOKUP(C203,КФСР!A169:B1681,2),IF(D203&gt;0,VLOOKUP(D203,Программа!A$1:B$5100,2),IF(F203&gt;0,VLOOKUP(F203,КВР!A$1:B$5001,2),IF(E203&gt;0,VLOOKUP(E203,Направление!A$1:B$4830,2))))))</f>
        <v>Обеспечение компенсационных выплат</v>
      </c>
      <c r="B203" s="167"/>
      <c r="C203" s="168"/>
      <c r="D203" s="150" t="s">
        <v>2952</v>
      </c>
      <c r="E203" s="168"/>
      <c r="F203" s="169"/>
      <c r="G203" s="500">
        <v>17978000</v>
      </c>
      <c r="H203" s="533">
        <f>H204</f>
        <v>0</v>
      </c>
      <c r="I203" s="155">
        <f t="shared" si="8"/>
        <v>17978000</v>
      </c>
      <c r="J203" s="500">
        <v>17978000</v>
      </c>
      <c r="K203" s="533">
        <f>K204</f>
        <v>0</v>
      </c>
      <c r="L203" s="155">
        <f t="shared" si="9"/>
        <v>17978000</v>
      </c>
    </row>
    <row r="204" spans="1:12" ht="157.5" x14ac:dyDescent="0.2">
      <c r="A204" s="153" t="str">
        <f>IF(B204&gt;0,VLOOKUP(B204,КВСР!A168:B1333,2),IF(C204&gt;0,VLOOKUP(C204,КФСР!A168:B1680,2),IF(D204&gt;0,VLOOKUP(D204,Программа!A$1:B$5100,2),IF(F204&gt;0,VLOOKUP(F204,КВР!A$1:B$5001,2),IF(E204&gt;0,VLOOKUP(E204,Направление!A$1:B$4830,2))))))</f>
        <v>Компенсация расходов за присмотр и уход за детьми, осваивающими образовательные программы дошкольного образования в организациях, осуществляющих образовательную деятельность</v>
      </c>
      <c r="B204" s="167"/>
      <c r="C204" s="168"/>
      <c r="D204" s="170"/>
      <c r="E204" s="168">
        <v>70430</v>
      </c>
      <c r="F204" s="169"/>
      <c r="G204" s="500">
        <v>17978000</v>
      </c>
      <c r="H204" s="155">
        <f>H205+H206</f>
        <v>0</v>
      </c>
      <c r="I204" s="155">
        <f t="shared" si="8"/>
        <v>17978000</v>
      </c>
      <c r="J204" s="500">
        <v>17978000</v>
      </c>
      <c r="K204" s="155">
        <f>K205+K206</f>
        <v>0</v>
      </c>
      <c r="L204" s="155">
        <f t="shared" si="9"/>
        <v>17978000</v>
      </c>
    </row>
    <row r="205" spans="1:12" ht="78.75" x14ac:dyDescent="0.2">
      <c r="A205" s="153" t="str">
        <f>IF(B205&gt;0,VLOOKUP(B205,КВСР!A169:B1334,2),IF(C205&gt;0,VLOOKUP(C205,КФСР!A169:B1681,2),IF(D205&gt;0,VLOOKUP(D205,Программа!A$1:B$5100,2),IF(F205&gt;0,VLOOKUP(F205,КВР!A$1:B$5001,2),IF(E205&gt;0,VLOOKUP(E205,Направление!A$1:B$4830,2))))))</f>
        <v xml:space="preserve">Закупка товаров, работ и услуг для обеспечения государственных (муниципальных) нужд
</v>
      </c>
      <c r="B205" s="167"/>
      <c r="C205" s="168"/>
      <c r="D205" s="150"/>
      <c r="E205" s="149"/>
      <c r="F205" s="151">
        <v>200</v>
      </c>
      <c r="G205" s="491">
        <v>265685</v>
      </c>
      <c r="H205" s="190"/>
      <c r="I205" s="155">
        <f t="shared" si="8"/>
        <v>265685</v>
      </c>
      <c r="J205" s="491">
        <v>265685</v>
      </c>
      <c r="K205" s="190"/>
      <c r="L205" s="155">
        <f t="shared" si="9"/>
        <v>265685</v>
      </c>
    </row>
    <row r="206" spans="1:12" ht="31.5" x14ac:dyDescent="0.2">
      <c r="A206" s="153" t="str">
        <f>IF(B206&gt;0,VLOOKUP(B206,КВСР!A170:B1335,2),IF(C206&gt;0,VLOOKUP(C206,КФСР!A170:B1682,2),IF(D206&gt;0,VLOOKUP(D206,Программа!A$1:B$5100,2),IF(F206&gt;0,VLOOKUP(F206,КВР!A$1:B$5001,2),IF(E206&gt;0,VLOOKUP(E206,Направление!A$1:B$4830,2))))))</f>
        <v>Социальное обеспечение и иные выплаты населению</v>
      </c>
      <c r="B206" s="167"/>
      <c r="C206" s="168"/>
      <c r="D206" s="150"/>
      <c r="E206" s="149"/>
      <c r="F206" s="151">
        <v>300</v>
      </c>
      <c r="G206" s="491">
        <v>17712315</v>
      </c>
      <c r="H206" s="190"/>
      <c r="I206" s="155">
        <f t="shared" ref="I206:I226" si="13">SUM(G206:H206)</f>
        <v>17712315</v>
      </c>
      <c r="J206" s="491">
        <v>17712315</v>
      </c>
      <c r="K206" s="190"/>
      <c r="L206" s="155">
        <f t="shared" ref="L206:L244" si="14">SUM(J206:K206)</f>
        <v>17712315</v>
      </c>
    </row>
    <row r="207" spans="1:12" ht="15.75" x14ac:dyDescent="0.2">
      <c r="A207" s="153" t="str">
        <f>IF(B207&gt;0,VLOOKUP(B207,КВСР!A171:B1336,2),IF(C207&gt;0,VLOOKUP(C207,КФСР!A171:B1683,2),IF(D207&gt;0,VLOOKUP(D207,Программа!A$1:B$5100,2),IF(F207&gt;0,VLOOKUP(F207,КВР!A$1:B$5001,2),IF(E207&gt;0,VLOOKUP(E207,Направление!A$1:B$4830,2))))))</f>
        <v>Массовый спорт</v>
      </c>
      <c r="B207" s="167"/>
      <c r="C207" s="168">
        <v>1102</v>
      </c>
      <c r="D207" s="150"/>
      <c r="E207" s="149"/>
      <c r="F207" s="151"/>
      <c r="G207" s="500">
        <v>30000000</v>
      </c>
      <c r="H207" s="533">
        <f>H208</f>
        <v>0</v>
      </c>
      <c r="I207" s="155">
        <f t="shared" si="13"/>
        <v>30000000</v>
      </c>
      <c r="J207" s="500">
        <v>13278841</v>
      </c>
      <c r="K207" s="533">
        <f>K208</f>
        <v>0</v>
      </c>
      <c r="L207" s="155">
        <f t="shared" si="14"/>
        <v>13278841</v>
      </c>
    </row>
    <row r="208" spans="1:12" ht="78.75" x14ac:dyDescent="0.2">
      <c r="A208" s="153" t="str">
        <f>IF(B208&gt;0,VLOOKUP(B208,КВСР!A172:B1337,2),IF(C208&gt;0,VLOOKUP(C208,КФСР!A172:B1684,2),IF(D208&gt;0,VLOOKUP(D208,Программа!A$1:B$5100,2),IF(F208&gt;0,VLOOKUP(F208,КВР!A$1:B$5001,2),IF(E208&gt;0,VLOOKUP(E208,Направление!A$1:B$4830,2))))))</f>
        <v>Муниципальная программа "Развитие образования, физической культуры и спорта в Тутаевском муниципальном районе"</v>
      </c>
      <c r="B208" s="167"/>
      <c r="C208" s="168"/>
      <c r="D208" s="150" t="s">
        <v>684</v>
      </c>
      <c r="E208" s="149"/>
      <c r="F208" s="151"/>
      <c r="G208" s="500">
        <v>30000000</v>
      </c>
      <c r="H208" s="533">
        <f>H209</f>
        <v>0</v>
      </c>
      <c r="I208" s="155">
        <f t="shared" si="13"/>
        <v>30000000</v>
      </c>
      <c r="J208" s="500">
        <v>13278841</v>
      </c>
      <c r="K208" s="533">
        <f>K209</f>
        <v>0</v>
      </c>
      <c r="L208" s="155">
        <f t="shared" si="14"/>
        <v>13278841</v>
      </c>
    </row>
    <row r="209" spans="1:12" ht="78.75" x14ac:dyDescent="0.2">
      <c r="A209" s="153" t="str">
        <f>IF(B209&gt;0,VLOOKUP(B209,КВСР!A173:B1338,2),IF(C209&gt;0,VLOOKUP(C209,КФСР!A173:B1685,2),IF(D209&gt;0,VLOOKUP(D209,Программа!A$1:B$5100,2),IF(F209&gt;0,VLOOKUP(F209,КВР!A$1:B$5001,2),IF(E209&gt;0,VLOOKUP(E209,Направление!A$1:B$4830,2))))))</f>
        <v>Муниципальная целевая программа "Развитие физической культуры и спорта в Тутаевском муниципальном районе"</v>
      </c>
      <c r="B209" s="167"/>
      <c r="C209" s="168"/>
      <c r="D209" s="150" t="s">
        <v>704</v>
      </c>
      <c r="E209" s="149"/>
      <c r="F209" s="151"/>
      <c r="G209" s="500">
        <v>30000000</v>
      </c>
      <c r="H209" s="533">
        <f>H210</f>
        <v>0</v>
      </c>
      <c r="I209" s="155">
        <f t="shared" si="13"/>
        <v>30000000</v>
      </c>
      <c r="J209" s="500">
        <v>13278841</v>
      </c>
      <c r="K209" s="533">
        <f>K210</f>
        <v>0</v>
      </c>
      <c r="L209" s="155">
        <f t="shared" si="14"/>
        <v>13278841</v>
      </c>
    </row>
    <row r="210" spans="1:12" ht="141.75" x14ac:dyDescent="0.2">
      <c r="A210" s="153" t="str">
        <f>IF(B210&gt;0,VLOOKUP(B210,КВСР!A174:B1339,2),IF(C210&gt;0,VLOOKUP(C210,КФСР!A174:B1686,2),IF(D210&gt;0,VLOOKUP(D210,Программа!A$1:B$5100,2),IF(F210&gt;0,VLOOKUP(F210,КВР!A$1:B$5001,2),IF(E210&gt;0,VLOOKUP(E210,Направление!A$1:B$4830,2))))))</f>
        <v>Организация и проведение физкультурно-оздоровительной и спортивно-массовой работы среди детей, обучающейся молодежи, населения и людей с ограниченными возможностями здоровья</v>
      </c>
      <c r="B210" s="167"/>
      <c r="C210" s="168"/>
      <c r="D210" s="150" t="s">
        <v>761</v>
      </c>
      <c r="E210" s="149"/>
      <c r="F210" s="151"/>
      <c r="G210" s="500">
        <v>30000000</v>
      </c>
      <c r="H210" s="533">
        <f>H211</f>
        <v>0</v>
      </c>
      <c r="I210" s="155">
        <f t="shared" si="13"/>
        <v>30000000</v>
      </c>
      <c r="J210" s="500">
        <v>13278841</v>
      </c>
      <c r="K210" s="533">
        <f>K211</f>
        <v>0</v>
      </c>
      <c r="L210" s="155">
        <f t="shared" si="14"/>
        <v>13278841</v>
      </c>
    </row>
    <row r="211" spans="1:12" ht="31.5" x14ac:dyDescent="0.2">
      <c r="A211" s="153" t="str">
        <f>IF(B211&gt;0,VLOOKUP(B211,КВСР!A175:B1340,2),IF(C211&gt;0,VLOOKUP(C211,КФСР!A175:B1687,2),IF(D211&gt;0,VLOOKUP(D211,Программа!A$1:B$5100,2),IF(F211&gt;0,VLOOKUP(F211,КВР!A$1:B$5001,2),IF(E211&gt;0,VLOOKUP(E211,Направление!A$1:B$4830,2))))))</f>
        <v>Обеспечение деятельности учреждений спорта</v>
      </c>
      <c r="B211" s="167"/>
      <c r="C211" s="168"/>
      <c r="D211" s="150"/>
      <c r="E211" s="149">
        <v>14020</v>
      </c>
      <c r="F211" s="151"/>
      <c r="G211" s="500">
        <v>30000000</v>
      </c>
      <c r="H211" s="533">
        <f>H212</f>
        <v>0</v>
      </c>
      <c r="I211" s="155">
        <f t="shared" si="13"/>
        <v>30000000</v>
      </c>
      <c r="J211" s="500">
        <v>13278841</v>
      </c>
      <c r="K211" s="533">
        <f>K212</f>
        <v>0</v>
      </c>
      <c r="L211" s="155">
        <f t="shared" si="14"/>
        <v>13278841</v>
      </c>
    </row>
    <row r="212" spans="1:12" ht="78.75" x14ac:dyDescent="0.2">
      <c r="A212" s="153" t="str">
        <f>IF(B212&gt;0,VLOOKUP(B212,КВСР!A175:B1340,2),IF(C212&gt;0,VLOOKUP(C212,КФСР!A175:B1687,2),IF(D212&gt;0,VLOOKUP(D212,Программа!A$1:B$5100,2),IF(F212&gt;0,VLOOKUP(F212,КВР!A$1:B$5001,2),IF(E212&gt;0,VLOOKUP(E212,Направление!A$1:B$4830,2))))))</f>
        <v>Предоставление субсидий бюджетным, автономным учреждениям и иным некоммерческим организациям</v>
      </c>
      <c r="B212" s="167"/>
      <c r="C212" s="168"/>
      <c r="D212" s="150"/>
      <c r="E212" s="149"/>
      <c r="F212" s="151">
        <v>600</v>
      </c>
      <c r="G212" s="491">
        <v>30000000</v>
      </c>
      <c r="H212" s="190"/>
      <c r="I212" s="155">
        <f t="shared" si="13"/>
        <v>30000000</v>
      </c>
      <c r="J212" s="491">
        <v>13278841</v>
      </c>
      <c r="K212" s="190"/>
      <c r="L212" s="155">
        <f t="shared" si="14"/>
        <v>13278841</v>
      </c>
    </row>
    <row r="213" spans="1:12" ht="47.25" x14ac:dyDescent="0.2">
      <c r="A213" s="147" t="str">
        <f>IF(B213&gt;0,VLOOKUP(B213,КВСР!A182:B1347,2),IF(C213&gt;0,VLOOKUP(C213,КФСР!A182:B1694,2),IF(D213&gt;0,VLOOKUP(D213,Программа!A$1:B$5100,2),IF(F213&gt;0,VLOOKUP(F213,КВР!A$1:B$5001,2),IF(E213&gt;0,VLOOKUP(E213,Направление!A$1:B$4830,2))))))</f>
        <v>Департамент труда и соц. развития Администрации ТМР</v>
      </c>
      <c r="B213" s="148">
        <v>954</v>
      </c>
      <c r="C213" s="149"/>
      <c r="D213" s="150"/>
      <c r="E213" s="149"/>
      <c r="F213" s="151"/>
      <c r="G213" s="605">
        <v>369877136</v>
      </c>
      <c r="H213" s="152">
        <f>H214+H221+H227+H291+H309</f>
        <v>0</v>
      </c>
      <c r="I213" s="620">
        <f t="shared" si="13"/>
        <v>369877136</v>
      </c>
      <c r="J213" s="621">
        <v>371077136</v>
      </c>
      <c r="K213" s="620">
        <f>K214+K221+K227+K291+K309</f>
        <v>0</v>
      </c>
      <c r="L213" s="620">
        <f t="shared" si="14"/>
        <v>371077136</v>
      </c>
    </row>
    <row r="214" spans="1:12" ht="15.75" x14ac:dyDescent="0.2">
      <c r="A214" s="153" t="str">
        <f>IF(B214&gt;0,VLOOKUP(B214,КВСР!A187:B1352,2),IF(C214&gt;0,VLOOKUP(C214,КФСР!A187:B1699,2),IF(D214&gt;0,VLOOKUP(D214,Программа!A$1:B$5100,2),IF(F214&gt;0,VLOOKUP(F214,КВР!A$1:B$5001,2),IF(E214&gt;0,VLOOKUP(E214,Направление!A$1:B$4830,2))))))</f>
        <v>Пенсионное обеспечение</v>
      </c>
      <c r="B214" s="154"/>
      <c r="C214" s="149">
        <v>1001</v>
      </c>
      <c r="D214" s="150"/>
      <c r="E214" s="149"/>
      <c r="F214" s="151"/>
      <c r="G214" s="500">
        <v>4445700</v>
      </c>
      <c r="H214" s="155">
        <f>H215</f>
        <v>0</v>
      </c>
      <c r="I214" s="155">
        <f t="shared" si="13"/>
        <v>4445700</v>
      </c>
      <c r="J214" s="500">
        <v>4445700</v>
      </c>
      <c r="K214" s="155">
        <f>K215</f>
        <v>0</v>
      </c>
      <c r="L214" s="155">
        <f t="shared" si="14"/>
        <v>4445700</v>
      </c>
    </row>
    <row r="215" spans="1:12" ht="63" x14ac:dyDescent="0.2">
      <c r="A215" s="153" t="str">
        <f>IF(B215&gt;0,VLOOKUP(B215,КВСР!A188:B1353,2),IF(C215&gt;0,VLOOKUP(C215,КФСР!A188:B1700,2),IF(D215&gt;0,VLOOKUP(D215,Программа!A$1:B$5100,2),IF(F215&gt;0,VLOOKUP(F215,КВР!A$1:B$5001,2),IF(E215&gt;0,VLOOKUP(E215,Направление!A$1:B$4830,2))))))</f>
        <v>Муниципальная программа "Социальная поддержка населения Тутаевского муниципального района"</v>
      </c>
      <c r="B215" s="154"/>
      <c r="C215" s="149"/>
      <c r="D215" s="170" t="s">
        <v>693</v>
      </c>
      <c r="E215" s="168"/>
      <c r="F215" s="151"/>
      <c r="G215" s="500">
        <v>4445700</v>
      </c>
      <c r="H215" s="155">
        <f>H217</f>
        <v>0</v>
      </c>
      <c r="I215" s="155">
        <f t="shared" si="13"/>
        <v>4445700</v>
      </c>
      <c r="J215" s="500">
        <v>4445700</v>
      </c>
      <c r="K215" s="155">
        <f>K217</f>
        <v>0</v>
      </c>
      <c r="L215" s="155">
        <f t="shared" si="14"/>
        <v>4445700</v>
      </c>
    </row>
    <row r="216" spans="1:12" ht="78.75" x14ac:dyDescent="0.2">
      <c r="A216" s="153" t="str">
        <f>IF(B216&gt;0,VLOOKUP(B216,КВСР!A189:B1354,2),IF(C216&gt;0,VLOOKUP(C216,КФСР!A189:B1701,2),IF(D216&gt;0,VLOOKUP(D216,Программа!A$1:B$5100,2),IF(F216&gt;0,VLOOKUP(F216,КВР!A$1:B$5001,2),IF(E216&gt;0,VLOOKUP(E216,Направление!A$1:B$4830,2))))))</f>
        <v xml:space="preserve">Ведомственная целевая программа «Социальная поддержка населения Тутаевского муниципального района» </v>
      </c>
      <c r="B216" s="154"/>
      <c r="C216" s="149"/>
      <c r="D216" s="170" t="s">
        <v>766</v>
      </c>
      <c r="E216" s="168"/>
      <c r="F216" s="151"/>
      <c r="G216" s="500">
        <v>4445700</v>
      </c>
      <c r="H216" s="155">
        <f>H217</f>
        <v>0</v>
      </c>
      <c r="I216" s="155">
        <f t="shared" si="13"/>
        <v>4445700</v>
      </c>
      <c r="J216" s="500">
        <v>4445700</v>
      </c>
      <c r="K216" s="155">
        <f>K217</f>
        <v>0</v>
      </c>
      <c r="L216" s="155">
        <f t="shared" si="14"/>
        <v>4445700</v>
      </c>
    </row>
    <row r="217" spans="1:12" ht="63" x14ac:dyDescent="0.2">
      <c r="A217" s="153" t="str">
        <f>IF(B217&gt;0,VLOOKUP(B217,КВСР!A190:B1355,2),IF(C217&gt;0,VLOOKUP(C217,КФСР!A190:B1702,2),IF(D217&gt;0,VLOOKUP(D217,Программа!A$1:B$5100,2),IF(F217&gt;0,VLOOKUP(F217,КВР!A$1:B$5001,2),IF(E217&gt;0,VLOOKUP(E217,Направление!A$1:B$4830,2))))))</f>
        <v>Исполнение публичных обязательств по предоставлению выплат, пособий и компенсаций</v>
      </c>
      <c r="B217" s="154"/>
      <c r="C217" s="149"/>
      <c r="D217" s="150" t="s">
        <v>768</v>
      </c>
      <c r="E217" s="149"/>
      <c r="F217" s="151"/>
      <c r="G217" s="500">
        <v>4445700</v>
      </c>
      <c r="H217" s="155">
        <f>H218</f>
        <v>0</v>
      </c>
      <c r="I217" s="155">
        <f t="shared" si="13"/>
        <v>4445700</v>
      </c>
      <c r="J217" s="500">
        <v>4445700</v>
      </c>
      <c r="K217" s="155">
        <f>K218</f>
        <v>0</v>
      </c>
      <c r="L217" s="155">
        <f t="shared" si="14"/>
        <v>4445700</v>
      </c>
    </row>
    <row r="218" spans="1:12" ht="31.5" x14ac:dyDescent="0.2">
      <c r="A218" s="153" t="str">
        <f>IF(B218&gt;0,VLOOKUP(B218,КВСР!A191:B1356,2),IF(C218&gt;0,VLOOKUP(C218,КФСР!A191:B1703,2),IF(D218&gt;0,VLOOKUP(D218,Программа!A$1:B$5100,2),IF(F218&gt;0,VLOOKUP(F218,КВР!A$1:B$5001,2),IF(E218&gt;0,VLOOKUP(E218,Направление!A$1:B$4830,2))))))</f>
        <v>Доплаты к пенсиям муниципальных служащих</v>
      </c>
      <c r="B218" s="154"/>
      <c r="C218" s="149"/>
      <c r="D218" s="150"/>
      <c r="E218" s="149">
        <v>16010</v>
      </c>
      <c r="F218" s="151"/>
      <c r="G218" s="500">
        <v>4445700</v>
      </c>
      <c r="H218" s="155">
        <f>H220+H219</f>
        <v>0</v>
      </c>
      <c r="I218" s="155">
        <f t="shared" si="13"/>
        <v>4445700</v>
      </c>
      <c r="J218" s="500">
        <v>4445700</v>
      </c>
      <c r="K218" s="155">
        <f>K220+K219</f>
        <v>0</v>
      </c>
      <c r="L218" s="155">
        <f t="shared" si="14"/>
        <v>4445700</v>
      </c>
    </row>
    <row r="219" spans="1:12" ht="78.75" x14ac:dyDescent="0.2">
      <c r="A219" s="153" t="str">
        <f>IF(B219&gt;0,VLOOKUP(B219,КВСР!A192:B1357,2),IF(C219&gt;0,VLOOKUP(C219,КФСР!A192:B1704,2),IF(D219&gt;0,VLOOKUP(D219,Программа!A$1:B$5100,2),IF(F219&gt;0,VLOOKUP(F219,КВР!A$1:B$5001,2),IF(E219&gt;0,VLOOKUP(E219,Направление!A$1:B$4830,2))))))</f>
        <v xml:space="preserve">Закупка товаров, работ и услуг для обеспечения государственных (муниципальных) нужд
</v>
      </c>
      <c r="B219" s="154"/>
      <c r="C219" s="149"/>
      <c r="D219" s="150"/>
      <c r="E219" s="149"/>
      <c r="F219" s="151">
        <v>200</v>
      </c>
      <c r="G219" s="639">
        <v>65700</v>
      </c>
      <c r="H219" s="155"/>
      <c r="I219" s="155">
        <f t="shared" si="13"/>
        <v>65700</v>
      </c>
      <c r="J219" s="639">
        <v>65700</v>
      </c>
      <c r="K219" s="155"/>
      <c r="L219" s="155">
        <f t="shared" si="14"/>
        <v>65700</v>
      </c>
    </row>
    <row r="220" spans="1:12" ht="32.25" customHeight="1" x14ac:dyDescent="0.2">
      <c r="A220" s="153" t="str">
        <f>IF(B220&gt;0,VLOOKUP(B220,КВСР!A190:B1355,2),IF(C220&gt;0,VLOOKUP(C220,КФСР!A190:B1702,2),IF(D220&gt;0,VLOOKUP(D220,Программа!A$1:B$5100,2),IF(F220&gt;0,VLOOKUP(F220,КВР!A$1:B$5001,2),IF(E220&gt;0,VLOOKUP(E220,Направление!A$1:B$4830,2))))))</f>
        <v>Социальное обеспечение и иные выплаты населению</v>
      </c>
      <c r="B220" s="154"/>
      <c r="C220" s="149"/>
      <c r="D220" s="150"/>
      <c r="E220" s="149"/>
      <c r="F220" s="151">
        <v>300</v>
      </c>
      <c r="G220" s="190">
        <v>4380000</v>
      </c>
      <c r="H220" s="190"/>
      <c r="I220" s="155">
        <f t="shared" si="13"/>
        <v>4380000</v>
      </c>
      <c r="J220" s="190">
        <v>4380000</v>
      </c>
      <c r="K220" s="190"/>
      <c r="L220" s="155">
        <f t="shared" si="14"/>
        <v>4380000</v>
      </c>
    </row>
    <row r="221" spans="1:12" ht="31.5" x14ac:dyDescent="0.2">
      <c r="A221" s="153" t="str">
        <f>IF(B221&gt;0,VLOOKUP(B221,КВСР!A191:B1356,2),IF(C221&gt;0,VLOOKUP(C221,КФСР!A191:B1703,2),IF(D221&gt;0,VLOOKUP(D221,Программа!A$1:B$5100,2),IF(F221&gt;0,VLOOKUP(F221,КВР!A$1:B$5001,2),IF(E221&gt;0,VLOOKUP(E221,Направление!A$1:B$4830,2))))))</f>
        <v>Социальное обслуживание населения</v>
      </c>
      <c r="B221" s="154"/>
      <c r="C221" s="149">
        <v>1002</v>
      </c>
      <c r="D221" s="150"/>
      <c r="E221" s="149"/>
      <c r="F221" s="151"/>
      <c r="G221" s="500">
        <v>63968211</v>
      </c>
      <c r="H221" s="155">
        <f>H222</f>
        <v>0</v>
      </c>
      <c r="I221" s="155">
        <f t="shared" si="13"/>
        <v>63968211</v>
      </c>
      <c r="J221" s="500">
        <v>63968211</v>
      </c>
      <c r="K221" s="155">
        <f>K222</f>
        <v>0</v>
      </c>
      <c r="L221" s="155">
        <f t="shared" si="14"/>
        <v>63968211</v>
      </c>
    </row>
    <row r="222" spans="1:12" ht="63" x14ac:dyDescent="0.2">
      <c r="A222" s="153" t="str">
        <f>IF(B222&gt;0,VLOOKUP(B222,КВСР!A192:B1357,2),IF(C222&gt;0,VLOOKUP(C222,КФСР!A192:B1704,2),IF(D222&gt;0,VLOOKUP(D222,Программа!A$1:B$5100,2),IF(F222&gt;0,VLOOKUP(F222,КВР!A$1:B$5001,2),IF(E222&gt;0,VLOOKUP(E222,Направление!A$1:B$4830,2))))))</f>
        <v>Муниципальная программа "Социальная поддержка населения Тутаевского муниципального района"</v>
      </c>
      <c r="B222" s="154"/>
      <c r="C222" s="149"/>
      <c r="D222" s="150" t="s">
        <v>693</v>
      </c>
      <c r="E222" s="149"/>
      <c r="F222" s="151"/>
      <c r="G222" s="500">
        <v>63968211</v>
      </c>
      <c r="H222" s="155">
        <f>H224</f>
        <v>0</v>
      </c>
      <c r="I222" s="155">
        <f t="shared" si="13"/>
        <v>63968211</v>
      </c>
      <c r="J222" s="500">
        <v>63968211</v>
      </c>
      <c r="K222" s="155">
        <f>K224</f>
        <v>0</v>
      </c>
      <c r="L222" s="155">
        <f t="shared" si="14"/>
        <v>63968211</v>
      </c>
    </row>
    <row r="223" spans="1:12" ht="78.75" x14ac:dyDescent="0.2">
      <c r="A223" s="153" t="str">
        <f>IF(B223&gt;0,VLOOKUP(B223,КВСР!A193:B1358,2),IF(C223&gt;0,VLOOKUP(C223,КФСР!A193:B1705,2),IF(D223&gt;0,VLOOKUP(D223,Программа!A$1:B$5100,2),IF(F223&gt;0,VLOOKUP(F223,КВР!A$1:B$5001,2),IF(E223&gt;0,VLOOKUP(E223,Направление!A$1:B$4830,2))))))</f>
        <v xml:space="preserve">Ведомственная целевая программа «Социальная поддержка населения Тутаевского муниципального района» </v>
      </c>
      <c r="B223" s="154"/>
      <c r="C223" s="149"/>
      <c r="D223" s="150" t="s">
        <v>766</v>
      </c>
      <c r="E223" s="149"/>
      <c r="F223" s="151"/>
      <c r="G223" s="500">
        <v>63968211</v>
      </c>
      <c r="H223" s="155">
        <f>H224</f>
        <v>0</v>
      </c>
      <c r="I223" s="155">
        <f t="shared" si="13"/>
        <v>63968211</v>
      </c>
      <c r="J223" s="500">
        <v>63968211</v>
      </c>
      <c r="K223" s="155">
        <f>K224</f>
        <v>0</v>
      </c>
      <c r="L223" s="155">
        <f t="shared" si="14"/>
        <v>63968211</v>
      </c>
    </row>
    <row r="224" spans="1:12" ht="94.5" x14ac:dyDescent="0.2">
      <c r="A224" s="153" t="str">
        <f>IF(B224&gt;0,VLOOKUP(B224,КВСР!A194:B1359,2),IF(C224&gt;0,VLOOKUP(C224,КФСР!A194:B1706,2),IF(D224&gt;0,VLOOKUP(D224,Программа!A$1:B$5100,2),IF(F224&gt;0,VLOOKUP(F224,КВР!A$1:B$5001,2),IF(E224&gt;0,VLOOKUP(E224,Направление!A$1:B$4830,2))))))</f>
        <v>Предоставление социальных услуг населению Тутаевского муниципального района на основе соблюдения стандартов и нормативов</v>
      </c>
      <c r="B224" s="154"/>
      <c r="C224" s="149"/>
      <c r="D224" s="150" t="s">
        <v>771</v>
      </c>
      <c r="E224" s="149"/>
      <c r="F224" s="151"/>
      <c r="G224" s="500">
        <v>63968211</v>
      </c>
      <c r="H224" s="155">
        <f>H225</f>
        <v>0</v>
      </c>
      <c r="I224" s="155">
        <f t="shared" si="13"/>
        <v>63968211</v>
      </c>
      <c r="J224" s="500">
        <v>63968211</v>
      </c>
      <c r="K224" s="155">
        <f>K225</f>
        <v>0</v>
      </c>
      <c r="L224" s="155">
        <f t="shared" si="14"/>
        <v>63968211</v>
      </c>
    </row>
    <row r="225" spans="1:12" ht="173.25" x14ac:dyDescent="0.2">
      <c r="A225" s="153" t="str">
        <f>IF(B225&gt;0,VLOOKUP(B225,КВСР!A194:B1359,2),IF(C225&gt;0,VLOOKUP(C225,КФСР!A194:B1706,2),IF(D225&gt;0,VLOOKUP(D225,Программа!A$1:B$5100,2),IF(F225&gt;0,VLOOKUP(F225,КВР!A$1:B$5001,2),IF(E225&gt;0,VLOOKUP(E225,Направление!A$1:B$4830,2))))))</f>
        <v>Расходы на содержание муниципальных казенных учреждений социального обслуживания населения, на предоставление субсидий муниципальным бюджетным учреждениям социального обслуживания населения на выполнение муниципальных заданий и иные цели</v>
      </c>
      <c r="B225" s="154"/>
      <c r="C225" s="149"/>
      <c r="D225" s="150"/>
      <c r="E225" s="149">
        <v>70850</v>
      </c>
      <c r="F225" s="151"/>
      <c r="G225" s="500">
        <v>63968211</v>
      </c>
      <c r="H225" s="155">
        <f>H226</f>
        <v>0</v>
      </c>
      <c r="I225" s="155">
        <f t="shared" si="13"/>
        <v>63968211</v>
      </c>
      <c r="J225" s="500">
        <v>63968211</v>
      </c>
      <c r="K225" s="155">
        <f>K226</f>
        <v>0</v>
      </c>
      <c r="L225" s="155">
        <f t="shared" si="14"/>
        <v>63968211</v>
      </c>
    </row>
    <row r="226" spans="1:12" ht="78.75" x14ac:dyDescent="0.2">
      <c r="A226" s="153" t="str">
        <f>IF(B226&gt;0,VLOOKUP(B226,КВСР!A195:B1360,2),IF(C226&gt;0,VLOOKUP(C226,КФСР!A195:B1707,2),IF(D226&gt;0,VLOOKUP(D226,Программа!A$1:B$5100,2),IF(F226&gt;0,VLOOKUP(F226,КВР!A$1:B$5001,2),IF(E226&gt;0,VLOOKUP(E226,Направление!A$1:B$4830,2))))))</f>
        <v>Предоставление субсидий бюджетным, автономным учреждениям и иным некоммерческим организациям</v>
      </c>
      <c r="B226" s="154"/>
      <c r="C226" s="149"/>
      <c r="D226" s="150"/>
      <c r="E226" s="149"/>
      <c r="F226" s="151">
        <v>600</v>
      </c>
      <c r="G226" s="491">
        <v>63968211</v>
      </c>
      <c r="H226" s="190"/>
      <c r="I226" s="155">
        <f t="shared" si="13"/>
        <v>63968211</v>
      </c>
      <c r="J226" s="491">
        <v>63968211</v>
      </c>
      <c r="K226" s="190"/>
      <c r="L226" s="155">
        <f t="shared" si="14"/>
        <v>63968211</v>
      </c>
    </row>
    <row r="227" spans="1:12" ht="31.5" x14ac:dyDescent="0.2">
      <c r="A227" s="153" t="str">
        <f>IF(B227&gt;0,VLOOKUP(B227,КВСР!A196:B1361,2),IF(C227&gt;0,VLOOKUP(C227,КФСР!A196:B1708,2),IF(D227&gt;0,VLOOKUP(D227,Программа!A$1:B$5100,2),IF(F227&gt;0,VLOOKUP(F227,КВР!A$1:B$5001,2),IF(E227&gt;0,VLOOKUP(E227,Направление!A$1:B$4830,2))))))</f>
        <v>Социальное обеспечение населения</v>
      </c>
      <c r="B227" s="154"/>
      <c r="C227" s="149">
        <v>1003</v>
      </c>
      <c r="D227" s="150"/>
      <c r="E227" s="149"/>
      <c r="F227" s="151"/>
      <c r="G227" s="500">
        <v>234413525</v>
      </c>
      <c r="H227" s="500">
        <f>H228</f>
        <v>0</v>
      </c>
      <c r="I227" s="500">
        <f>I228</f>
        <v>234413525</v>
      </c>
      <c r="J227" s="500">
        <v>234707525</v>
      </c>
      <c r="K227" s="500">
        <f>K228</f>
        <v>0</v>
      </c>
      <c r="L227" s="500">
        <f>L228</f>
        <v>234707525</v>
      </c>
    </row>
    <row r="228" spans="1:12" ht="63" x14ac:dyDescent="0.2">
      <c r="A228" s="153" t="str">
        <f>IF(B228&gt;0,VLOOKUP(B228,КВСР!A197:B1362,2),IF(C228&gt;0,VLOOKUP(C228,КФСР!A197:B1709,2),IF(D228&gt;0,VLOOKUP(D228,Программа!A$1:B$5100,2),IF(F228&gt;0,VLOOKUP(F228,КВР!A$1:B$5001,2),IF(E228&gt;0,VLOOKUP(E228,Направление!A$1:B$4830,2))))))</f>
        <v>Муниципальная программа "Социальная поддержка населения Тутаевского муниципального района"</v>
      </c>
      <c r="B228" s="154"/>
      <c r="C228" s="149"/>
      <c r="D228" s="150" t="s">
        <v>693</v>
      </c>
      <c r="E228" s="149"/>
      <c r="F228" s="151"/>
      <c r="G228" s="500">
        <v>234413525</v>
      </c>
      <c r="H228" s="155">
        <f>H229</f>
        <v>0</v>
      </c>
      <c r="I228" s="155">
        <f>SUM(G228:H228)</f>
        <v>234413525</v>
      </c>
      <c r="J228" s="500">
        <v>234707525</v>
      </c>
      <c r="K228" s="155">
        <f>K229</f>
        <v>0</v>
      </c>
      <c r="L228" s="155">
        <f t="shared" si="14"/>
        <v>234707525</v>
      </c>
    </row>
    <row r="229" spans="1:12" ht="78.75" x14ac:dyDescent="0.2">
      <c r="A229" s="153" t="str">
        <f>IF(B229&gt;0,VLOOKUP(B229,КВСР!A198:B1363,2),IF(C229&gt;0,VLOOKUP(C229,КФСР!A198:B1710,2),IF(D229&gt;0,VLOOKUP(D229,Программа!A$1:B$5100,2),IF(F229&gt;0,VLOOKUP(F229,КВР!A$1:B$5001,2),IF(E229&gt;0,VLOOKUP(E229,Направление!A$1:B$4830,2))))))</f>
        <v xml:space="preserve">Ведомственная целевая программа «Социальная поддержка населения Тутаевского муниципального района» </v>
      </c>
      <c r="B229" s="154"/>
      <c r="C229" s="149"/>
      <c r="D229" s="150" t="s">
        <v>766</v>
      </c>
      <c r="E229" s="149"/>
      <c r="F229" s="151"/>
      <c r="G229" s="500">
        <v>234413525</v>
      </c>
      <c r="H229" s="155">
        <f>H230+H281</f>
        <v>0</v>
      </c>
      <c r="I229" s="155">
        <f>SUM(G229:H229)</f>
        <v>234413525</v>
      </c>
      <c r="J229" s="500">
        <v>234707525</v>
      </c>
      <c r="K229" s="155">
        <f>K230+K281</f>
        <v>0</v>
      </c>
      <c r="L229" s="155">
        <f t="shared" si="14"/>
        <v>234707525</v>
      </c>
    </row>
    <row r="230" spans="1:12" ht="63" x14ac:dyDescent="0.2">
      <c r="A230" s="153" t="str">
        <f>IF(B230&gt;0,VLOOKUP(B230,КВСР!A199:B1364,2),IF(C230&gt;0,VLOOKUP(C230,КФСР!A199:B1711,2),IF(D230&gt;0,VLOOKUP(D230,Программа!A$1:B$5100,2),IF(F230&gt;0,VLOOKUP(F230,КВР!A$1:B$5001,2),IF(E230&gt;0,VLOOKUP(E230,Направление!A$1:B$4830,2))))))</f>
        <v>Исполнение публичных обязательств по предоставлению выплат, пособий и компенсаций</v>
      </c>
      <c r="B230" s="154"/>
      <c r="C230" s="149"/>
      <c r="D230" s="150" t="s">
        <v>768</v>
      </c>
      <c r="E230" s="149"/>
      <c r="F230" s="151"/>
      <c r="G230" s="500">
        <v>229487825</v>
      </c>
      <c r="H230" s="500">
        <f>H231+H234+H237+H245+H251+H254+H257+H260+H266+H272+H275+H277+H279</f>
        <v>0</v>
      </c>
      <c r="I230" s="500">
        <f>I231+I234+I237+I245+I251+I254+I257+I260+I266+I272+I275+I277+I279</f>
        <v>229487825</v>
      </c>
      <c r="J230" s="500">
        <f>J231+J234+J237+J245+J251+J254+J257+J260+J266+J272+J275+J277+J279</f>
        <v>229781825</v>
      </c>
      <c r="K230" s="500">
        <f>K231+K234+K237+K245+K251+K254+K257+K260+K266+K272+K275+K277+K279</f>
        <v>0</v>
      </c>
      <c r="L230" s="500">
        <f>L231+L234+L237+L245+L251+L254+L257+L260+L266+L272+L275+L277+L279</f>
        <v>229781825</v>
      </c>
    </row>
    <row r="231" spans="1:12" ht="63" x14ac:dyDescent="0.2">
      <c r="A231" s="153" t="str">
        <f>IF(B231&gt;0,VLOOKUP(B231,КВСР!A200:B1365,2),IF(C231&gt;0,VLOOKUP(C231,КФСР!A200:B1712,2),IF(D231&gt;0,VLOOKUP(D231,Программа!A$1:B$5100,2),IF(F231&gt;0,VLOOKUP(F231,КВР!A$1:B$5001,2),IF(E231&gt;0,VLOOKUP(E231,Направление!A$1:B$4830,2))))))</f>
        <v>Субвенция на социальную поддержку граждан, подвергшихся воздействию радиации</v>
      </c>
      <c r="B231" s="154"/>
      <c r="C231" s="149"/>
      <c r="D231" s="150"/>
      <c r="E231" s="149">
        <v>51370</v>
      </c>
      <c r="F231" s="151"/>
      <c r="G231" s="500">
        <v>1700000</v>
      </c>
      <c r="H231" s="155">
        <f>H232+H233</f>
        <v>0</v>
      </c>
      <c r="I231" s="155">
        <f t="shared" ref="I231:I244" si="15">SUM(G231:H231)</f>
        <v>1700000</v>
      </c>
      <c r="J231" s="500">
        <v>1768000</v>
      </c>
      <c r="K231" s="155">
        <f>K232+K233</f>
        <v>0</v>
      </c>
      <c r="L231" s="155">
        <f t="shared" si="14"/>
        <v>1768000</v>
      </c>
    </row>
    <row r="232" spans="1:12" ht="48" customHeight="1" x14ac:dyDescent="0.2">
      <c r="A232" s="153" t="str">
        <f>IF(B232&gt;0,VLOOKUP(B232,КВСР!A201:B1366,2),IF(C232&gt;0,VLOOKUP(C232,КФСР!A201:B1713,2),IF(D232&gt;0,VLOOKUP(D232,Программа!A$1:B$5100,2),IF(F232&gt;0,VLOOKUP(F232,КВР!A$1:B$5001,2),IF(E232&gt;0,VLOOKUP(E232,Направление!A$1:B$4830,2))))))</f>
        <v xml:space="preserve">Закупка товаров, работ и услуг для обеспечения государственных (муниципальных) нужд
</v>
      </c>
      <c r="B232" s="154"/>
      <c r="C232" s="149"/>
      <c r="D232" s="150"/>
      <c r="E232" s="149"/>
      <c r="F232" s="151">
        <v>200</v>
      </c>
      <c r="G232" s="500">
        <v>25124</v>
      </c>
      <c r="H232" s="486"/>
      <c r="I232" s="155">
        <f t="shared" si="15"/>
        <v>25124</v>
      </c>
      <c r="J232" s="500">
        <v>26129</v>
      </c>
      <c r="K232" s="486"/>
      <c r="L232" s="155">
        <f t="shared" si="14"/>
        <v>26129</v>
      </c>
    </row>
    <row r="233" spans="1:12" ht="30.75" customHeight="1" x14ac:dyDescent="0.2">
      <c r="A233" s="153" t="str">
        <f>IF(B233&gt;0,VLOOKUP(B233,КВСР!A202:B1367,2),IF(C233&gt;0,VLOOKUP(C233,КФСР!A202:B1714,2),IF(D233&gt;0,VLOOKUP(D233,Программа!A$1:B$5100,2),IF(F233&gt;0,VLOOKUP(F233,КВР!A$1:B$5001,2),IF(E233&gt;0,VLOOKUP(E233,Направление!A$1:B$4830,2))))))</f>
        <v>Социальное обеспечение и иные выплаты населению</v>
      </c>
      <c r="B233" s="154"/>
      <c r="C233" s="149"/>
      <c r="D233" s="150"/>
      <c r="E233" s="149"/>
      <c r="F233" s="151">
        <v>300</v>
      </c>
      <c r="G233" s="500">
        <v>1674876</v>
      </c>
      <c r="H233" s="486"/>
      <c r="I233" s="155">
        <f t="shared" si="15"/>
        <v>1674876</v>
      </c>
      <c r="J233" s="500">
        <v>1741871</v>
      </c>
      <c r="K233" s="486"/>
      <c r="L233" s="155">
        <f t="shared" si="14"/>
        <v>1741871</v>
      </c>
    </row>
    <row r="234" spans="1:12" ht="143.25" customHeight="1" x14ac:dyDescent="0.2">
      <c r="A234" s="153" t="str">
        <f>IF(B234&gt;0,VLOOKUP(B234,КВСР!A203:B1368,2),IF(C234&gt;0,VLOOKUP(C234,КФСР!A203:B1715,2),IF(D234&gt;0,VLOOKUP(D234,Программа!A$1:B$5100,2),IF(F234&gt;0,VLOOKUP(F234,КВР!A$1:B$5001,2),IF(E234&gt;0,VLOOKUP(E234,Направление!A$1:B$4830,2))))))</f>
        <v>Расходы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 за счет средств федерального бюджета</v>
      </c>
      <c r="B234" s="154"/>
      <c r="C234" s="149"/>
      <c r="D234" s="150"/>
      <c r="E234" s="149">
        <v>52200</v>
      </c>
      <c r="F234" s="151"/>
      <c r="G234" s="500">
        <v>5699000</v>
      </c>
      <c r="H234" s="155">
        <f>SUM(H235:H236)</f>
        <v>0</v>
      </c>
      <c r="I234" s="155">
        <f t="shared" si="15"/>
        <v>5699000</v>
      </c>
      <c r="J234" s="500">
        <v>5927000</v>
      </c>
      <c r="K234" s="155">
        <f>SUM(K235:K236)</f>
        <v>0</v>
      </c>
      <c r="L234" s="155">
        <f t="shared" si="14"/>
        <v>5927000</v>
      </c>
    </row>
    <row r="235" spans="1:12" ht="30.75" customHeight="1" x14ac:dyDescent="0.2">
      <c r="A235" s="153" t="str">
        <f>IF(B235&gt;0,VLOOKUP(B235,КВСР!A204:B1369,2),IF(C235&gt;0,VLOOKUP(C235,КФСР!A204:B1716,2),IF(D235&gt;0,VLOOKUP(D235,Программа!A$1:B$5100,2),IF(F235&gt;0,VLOOKUP(F235,КВР!A$1:B$5001,2),IF(E235&gt;0,VLOOKUP(E235,Направление!A$1:B$4830,2))))))</f>
        <v xml:space="preserve">Закупка товаров, работ и услуг для обеспечения государственных (муниципальных) нужд
</v>
      </c>
      <c r="B235" s="154"/>
      <c r="C235" s="149"/>
      <c r="D235" s="150"/>
      <c r="E235" s="149"/>
      <c r="F235" s="151">
        <v>200</v>
      </c>
      <c r="G235" s="500">
        <v>84222</v>
      </c>
      <c r="H235" s="486"/>
      <c r="I235" s="155">
        <f t="shared" si="15"/>
        <v>84222</v>
      </c>
      <c r="J235" s="500">
        <v>87592</v>
      </c>
      <c r="K235" s="486"/>
      <c r="L235" s="155">
        <f t="shared" si="14"/>
        <v>87592</v>
      </c>
    </row>
    <row r="236" spans="1:12" ht="32.25" customHeight="1" x14ac:dyDescent="0.2">
      <c r="A236" s="153" t="str">
        <f>IF(B236&gt;0,VLOOKUP(B236,КВСР!A205:B1370,2),IF(C236&gt;0,VLOOKUP(C236,КФСР!A205:B1717,2),IF(D236&gt;0,VLOOKUP(D236,Программа!A$1:B$5100,2),IF(F236&gt;0,VLOOKUP(F236,КВР!A$1:B$5001,2),IF(E236&gt;0,VLOOKUP(E236,Направление!A$1:B$4830,2))))))</f>
        <v>Социальное обеспечение и иные выплаты населению</v>
      </c>
      <c r="B236" s="154"/>
      <c r="C236" s="149"/>
      <c r="D236" s="150"/>
      <c r="E236" s="149"/>
      <c r="F236" s="151">
        <v>300</v>
      </c>
      <c r="G236" s="500">
        <v>5614778</v>
      </c>
      <c r="H236" s="486"/>
      <c r="I236" s="155">
        <f t="shared" si="15"/>
        <v>5614778</v>
      </c>
      <c r="J236" s="500">
        <v>5839408</v>
      </c>
      <c r="K236" s="486"/>
      <c r="L236" s="155">
        <f t="shared" si="14"/>
        <v>5839408</v>
      </c>
    </row>
    <row r="237" spans="1:12" ht="81.75" customHeight="1" x14ac:dyDescent="0.2">
      <c r="A237" s="153" t="str">
        <f>IF(B237&gt;0,VLOOKUP(B237,КВСР!A206:B1371,2),IF(C237&gt;0,VLOOKUP(C237,КФСР!A206:B1718,2),IF(D237&gt;0,VLOOKUP(D237,Программа!A$1:B$5100,2),IF(F237&gt;0,VLOOKUP(F237,КВР!A$1:B$5001,2),IF(E237&gt;0,VLOOKUP(E237,Направление!A$1:B$4830,2))))))</f>
        <v>Оплата жилищно-коммунальных услуг отдельным категориям граждан за счет средств федерального бюджета</v>
      </c>
      <c r="B237" s="154"/>
      <c r="C237" s="149"/>
      <c r="D237" s="150"/>
      <c r="E237" s="149">
        <v>52500</v>
      </c>
      <c r="F237" s="151"/>
      <c r="G237" s="500">
        <v>34824000</v>
      </c>
      <c r="H237" s="500">
        <f>SUM(H238:H239)</f>
        <v>0</v>
      </c>
      <c r="I237" s="155">
        <f t="shared" si="15"/>
        <v>34824000</v>
      </c>
      <c r="J237" s="500">
        <v>34822000</v>
      </c>
      <c r="K237" s="500">
        <f>SUM(K238:K239)</f>
        <v>0</v>
      </c>
      <c r="L237" s="155">
        <f t="shared" si="14"/>
        <v>34822000</v>
      </c>
    </row>
    <row r="238" spans="1:12" ht="30.75" customHeight="1" x14ac:dyDescent="0.2">
      <c r="A238" s="153" t="str">
        <f>IF(B238&gt;0,VLOOKUP(B238,КВСР!A207:B1372,2),IF(C238&gt;0,VLOOKUP(C238,КФСР!A207:B1719,2),IF(D238&gt;0,VLOOKUP(D238,Программа!A$1:B$5100,2),IF(F238&gt;0,VLOOKUP(F238,КВР!A$1:B$5001,2),IF(E238&gt;0,VLOOKUP(E238,Направление!A$1:B$4830,2))))))</f>
        <v xml:space="preserve">Закупка товаров, работ и услуг для обеспечения государственных (муниципальных) нужд
</v>
      </c>
      <c r="B238" s="154"/>
      <c r="C238" s="149"/>
      <c r="D238" s="150"/>
      <c r="E238" s="149"/>
      <c r="F238" s="151">
        <v>200</v>
      </c>
      <c r="G238" s="500">
        <v>511913</v>
      </c>
      <c r="H238" s="486"/>
      <c r="I238" s="155">
        <f t="shared" si="15"/>
        <v>511913</v>
      </c>
      <c r="J238" s="500">
        <v>511885</v>
      </c>
      <c r="K238" s="486"/>
      <c r="L238" s="155">
        <f t="shared" si="14"/>
        <v>511885</v>
      </c>
    </row>
    <row r="239" spans="1:12" ht="30.75" customHeight="1" x14ac:dyDescent="0.2">
      <c r="A239" s="153" t="str">
        <f>IF(B239&gt;0,VLOOKUP(B239,КВСР!A208:B1373,2),IF(C239&gt;0,VLOOKUP(C239,КФСР!A208:B1720,2),IF(D239&gt;0,VLOOKUP(D239,Программа!A$1:B$5100,2),IF(F239&gt;0,VLOOKUP(F239,КВР!A$1:B$5001,2),IF(E239&gt;0,VLOOKUP(E239,Направление!A$1:B$4830,2))))))</f>
        <v>Социальное обеспечение и иные выплаты населению</v>
      </c>
      <c r="B239" s="154"/>
      <c r="C239" s="149"/>
      <c r="D239" s="150"/>
      <c r="E239" s="149"/>
      <c r="F239" s="151">
        <v>300</v>
      </c>
      <c r="G239" s="500">
        <v>34312087</v>
      </c>
      <c r="H239" s="486"/>
      <c r="I239" s="155">
        <f t="shared" si="15"/>
        <v>34312087</v>
      </c>
      <c r="J239" s="500">
        <v>34310115</v>
      </c>
      <c r="K239" s="486"/>
      <c r="L239" s="155">
        <f t="shared" si="14"/>
        <v>34310115</v>
      </c>
    </row>
    <row r="240" spans="1:12" ht="108" hidden="1" customHeight="1" x14ac:dyDescent="0.2">
      <c r="A240" s="153" t="str">
        <f>IF(B240&gt;0,VLOOKUP(B240,КВСР!A209:B1374,2),IF(C240&gt;0,VLOOKUP(C240,КФСР!A209:B1721,2),IF(D240&gt;0,VLOOKUP(D240,Программа!A$1:B$5100,2),IF(F240&gt;0,VLOOKUP(F240,КВР!A$1:B$5001,2),IF(E240&gt;0,VLOOKUP(E240,Направление!A$1:B$4830,2))))))</f>
        <v>Субвенция на на компенсацию отдельным категориям граждан оплаты взноса на капитальный ремонт общего имущества в многоквартирном доме</v>
      </c>
      <c r="B240" s="154"/>
      <c r="C240" s="149"/>
      <c r="D240" s="150"/>
      <c r="E240" s="149">
        <v>54620</v>
      </c>
      <c r="F240" s="151"/>
      <c r="G240" s="500">
        <v>0</v>
      </c>
      <c r="H240" s="500">
        <f>H241</f>
        <v>0</v>
      </c>
      <c r="I240" s="155">
        <f t="shared" si="15"/>
        <v>0</v>
      </c>
      <c r="J240" s="500">
        <v>0</v>
      </c>
      <c r="K240" s="500">
        <f>K241</f>
        <v>0</v>
      </c>
      <c r="L240" s="155">
        <f t="shared" si="14"/>
        <v>0</v>
      </c>
    </row>
    <row r="241" spans="1:12" ht="30.75" hidden="1" customHeight="1" x14ac:dyDescent="0.2">
      <c r="A241" s="153" t="str">
        <f>IF(B241&gt;0,VLOOKUP(B241,КВСР!A211:B1376,2),IF(C241&gt;0,VLOOKUP(C241,КФСР!A211:B1723,2),IF(D241&gt;0,VLOOKUP(D241,Программа!A$1:B$5100,2),IF(F241&gt;0,VLOOKUP(F241,КВР!A$1:B$5001,2),IF(E241&gt;0,VLOOKUP(E241,Направление!A$1:B$4830,2))))))</f>
        <v>Социальное обеспечение и иные выплаты населению</v>
      </c>
      <c r="B241" s="154"/>
      <c r="C241" s="149"/>
      <c r="D241" s="150"/>
      <c r="E241" s="149"/>
      <c r="F241" s="151">
        <v>300</v>
      </c>
      <c r="G241" s="500">
        <v>0</v>
      </c>
      <c r="H241" s="486"/>
      <c r="I241" s="155">
        <f t="shared" si="15"/>
        <v>0</v>
      </c>
      <c r="J241" s="500">
        <v>0</v>
      </c>
      <c r="K241" s="486"/>
      <c r="L241" s="155">
        <f t="shared" si="14"/>
        <v>0</v>
      </c>
    </row>
    <row r="242" spans="1:12" ht="78.75" hidden="1" x14ac:dyDescent="0.2">
      <c r="A242" s="153" t="str">
        <f>IF(B242&gt;0,VLOOKUP(B242,КВСР!A199:B1364,2),IF(C242&gt;0,VLOOKUP(C242,КФСР!A199:B1711,2),IF(D242&gt;0,VLOOKUP(D242,Программа!A$1:B$5100,2),IF(F242&gt;0,VLOOKUP(F242,КВР!A$1:B$5001,2),IF(E242&gt;0,VLOOKUP(E242,Направление!A$1:B$4830,2))))))</f>
        <v>Предоставление гражданам субсидий на оплату жилого помещения и коммунальных услуг за счет средств областного бюджета</v>
      </c>
      <c r="B242" s="154"/>
      <c r="C242" s="149"/>
      <c r="D242" s="150"/>
      <c r="E242" s="149">
        <v>70740</v>
      </c>
      <c r="F242" s="151"/>
      <c r="G242" s="500">
        <v>0</v>
      </c>
      <c r="H242" s="155">
        <f>H243+H244</f>
        <v>0</v>
      </c>
      <c r="I242" s="155">
        <f t="shared" si="15"/>
        <v>0</v>
      </c>
      <c r="J242" s="500">
        <v>0</v>
      </c>
      <c r="K242" s="155">
        <f>K243+K244</f>
        <v>0</v>
      </c>
      <c r="L242" s="155">
        <f t="shared" si="14"/>
        <v>0</v>
      </c>
    </row>
    <row r="243" spans="1:12" ht="78.75" hidden="1" x14ac:dyDescent="0.2">
      <c r="A243" s="153" t="str">
        <f>IF(B243&gt;0,VLOOKUP(B243,КВСР!A200:B1365,2),IF(C243&gt;0,VLOOKUP(C243,КФСР!A200:B1712,2),IF(D243&gt;0,VLOOKUP(D243,Программа!A$1:B$5100,2),IF(F243&gt;0,VLOOKUP(F243,КВР!A$1:B$5001,2),IF(E243&gt;0,VLOOKUP(E243,Направление!A$1:B$4830,2))))))</f>
        <v xml:space="preserve">Закупка товаров, работ и услуг для обеспечения государственных (муниципальных) нужд
</v>
      </c>
      <c r="B243" s="154"/>
      <c r="C243" s="149"/>
      <c r="D243" s="150"/>
      <c r="E243" s="149"/>
      <c r="F243" s="151">
        <v>200</v>
      </c>
      <c r="G243" s="542">
        <v>0</v>
      </c>
      <c r="H243" s="191"/>
      <c r="I243" s="155">
        <f t="shared" si="15"/>
        <v>0</v>
      </c>
      <c r="J243" s="542">
        <v>0</v>
      </c>
      <c r="K243" s="191"/>
      <c r="L243" s="155">
        <f t="shared" si="14"/>
        <v>0</v>
      </c>
    </row>
    <row r="244" spans="1:12" ht="31.5" hidden="1" x14ac:dyDescent="0.2">
      <c r="A244" s="153" t="str">
        <f>IF(B244&gt;0,VLOOKUP(B244,КВСР!A201:B1366,2),IF(C244&gt;0,VLOOKUP(C244,КФСР!A201:B1713,2),IF(D244&gt;0,VLOOKUP(D244,Программа!A$1:B$5100,2),IF(F244&gt;0,VLOOKUP(F244,КВР!A$1:B$5001,2),IF(E244&gt;0,VLOOKUP(E244,Направление!A$1:B$4830,2))))))</f>
        <v>Социальное обеспечение и иные выплаты населению</v>
      </c>
      <c r="B244" s="154"/>
      <c r="C244" s="149"/>
      <c r="D244" s="150"/>
      <c r="E244" s="149"/>
      <c r="F244" s="151">
        <v>300</v>
      </c>
      <c r="G244" s="542">
        <v>0</v>
      </c>
      <c r="H244" s="191"/>
      <c r="I244" s="155">
        <f t="shared" si="15"/>
        <v>0</v>
      </c>
      <c r="J244" s="542">
        <v>0</v>
      </c>
      <c r="K244" s="191"/>
      <c r="L244" s="155">
        <f t="shared" si="14"/>
        <v>0</v>
      </c>
    </row>
    <row r="245" spans="1:12" ht="79.900000000000006" customHeight="1" x14ac:dyDescent="0.2">
      <c r="A245" s="153" t="str">
        <f>IF(B245&gt;0,VLOOKUP(B245,КВСР!A202:B1367,2),IF(C245&gt;0,VLOOKUP(C245,КФСР!A202:B1714,2),IF(D245&gt;0,VLOOKUP(D245,Программа!A$1:B$5100,2),IF(F245&gt;0,VLOOKUP(F245,КВР!A$1:B$5001,2),IF(E245&gt;0,VLOOKUP(E245,Направление!A$1:B$4830,2))))))</f>
        <v>Предоставление гражданам субсидий на оплату жилого помещения и коммунальных услуг за счет средств областного бюджета</v>
      </c>
      <c r="B245" s="154"/>
      <c r="C245" s="149"/>
      <c r="D245" s="150"/>
      <c r="E245" s="149" t="s">
        <v>3257</v>
      </c>
      <c r="F245" s="151"/>
      <c r="G245" s="542">
        <v>25931000</v>
      </c>
      <c r="H245" s="542">
        <f>H246+H247</f>
        <v>0</v>
      </c>
      <c r="I245" s="155">
        <f>H245+G245</f>
        <v>25931000</v>
      </c>
      <c r="J245" s="542">
        <v>25931000</v>
      </c>
      <c r="K245" s="542">
        <f>K246+K247</f>
        <v>0</v>
      </c>
      <c r="L245" s="155">
        <f>J245+K245</f>
        <v>25931000</v>
      </c>
    </row>
    <row r="246" spans="1:12" ht="78.75" x14ac:dyDescent="0.2">
      <c r="A246" s="153" t="str">
        <f>IF(B246&gt;0,VLOOKUP(B246,КВСР!A203:B1368,2),IF(C246&gt;0,VLOOKUP(C246,КФСР!A203:B1715,2),IF(D246&gt;0,VLOOKUP(D246,Программа!A$1:B$5100,2),IF(F246&gt;0,VLOOKUP(F246,КВР!A$1:B$5001,2),IF(E246&gt;0,VLOOKUP(E246,Направление!A$1:B$4830,2))))))</f>
        <v xml:space="preserve">Закупка товаров, работ и услуг для обеспечения государственных (муниципальных) нужд
</v>
      </c>
      <c r="B246" s="154"/>
      <c r="C246" s="149"/>
      <c r="D246" s="150"/>
      <c r="E246" s="149"/>
      <c r="F246" s="151">
        <v>200</v>
      </c>
      <c r="G246" s="542">
        <v>383778</v>
      </c>
      <c r="H246" s="191"/>
      <c r="I246" s="155">
        <f t="shared" ref="I246:I291" si="16">H246+G246</f>
        <v>383778</v>
      </c>
      <c r="J246" s="542">
        <v>383778</v>
      </c>
      <c r="K246" s="191"/>
      <c r="L246" s="155">
        <f t="shared" ref="L246:L294" si="17">J246+K246</f>
        <v>383778</v>
      </c>
    </row>
    <row r="247" spans="1:12" ht="31.5" x14ac:dyDescent="0.2">
      <c r="A247" s="153" t="str">
        <f>IF(B247&gt;0,VLOOKUP(B247,КВСР!A204:B1369,2),IF(C247&gt;0,VLOOKUP(C247,КФСР!A204:B1716,2),IF(D247&gt;0,VLOOKUP(D247,Программа!A$1:B$5100,2),IF(F247&gt;0,VLOOKUP(F247,КВР!A$1:B$5001,2),IF(E247&gt;0,VLOOKUP(E247,Направление!A$1:B$4830,2))))))</f>
        <v>Социальное обеспечение и иные выплаты населению</v>
      </c>
      <c r="B247" s="154"/>
      <c r="C247" s="149"/>
      <c r="D247" s="150"/>
      <c r="E247" s="149"/>
      <c r="F247" s="151">
        <v>300</v>
      </c>
      <c r="G247" s="542">
        <v>25547222</v>
      </c>
      <c r="H247" s="191"/>
      <c r="I247" s="155">
        <f t="shared" si="16"/>
        <v>25547222</v>
      </c>
      <c r="J247" s="542">
        <v>25547222</v>
      </c>
      <c r="K247" s="191"/>
      <c r="L247" s="155">
        <f t="shared" si="17"/>
        <v>25547222</v>
      </c>
    </row>
    <row r="248" spans="1:12" ht="110.25" hidden="1" x14ac:dyDescent="0.2">
      <c r="A248" s="153" t="str">
        <f>IF(B248&gt;0,VLOOKUP(B248,КВСР!A199:B1364,2),IF(C248&gt;0,VLOOKUP(C248,КФСР!A199:B1711,2),IF(D248&gt;0,VLOOKUP(D248,Программа!A$1:B$5100,2),IF(F248&gt;0,VLOOKUP(F248,КВР!A$1:B$5001,2),IF(E248&gt;0,VLOOKUP(E248,Направление!A$1:B$4830,2))))))</f>
        <v>Расходы на социальную поддержку отдельных категорий граждан в части ежемесячной денежной выплаты ветеранам труда, труженикам тыла, реабилитированным лицам</v>
      </c>
      <c r="B248" s="154"/>
      <c r="C248" s="149"/>
      <c r="D248" s="150"/>
      <c r="E248" s="149">
        <v>70750</v>
      </c>
      <c r="F248" s="151"/>
      <c r="G248" s="500">
        <v>0</v>
      </c>
      <c r="H248" s="155">
        <f>H250+H249</f>
        <v>0</v>
      </c>
      <c r="I248" s="155">
        <f t="shared" si="16"/>
        <v>0</v>
      </c>
      <c r="J248" s="500">
        <v>0</v>
      </c>
      <c r="K248" s="155">
        <f>K250+K249</f>
        <v>0</v>
      </c>
      <c r="L248" s="155">
        <f t="shared" si="17"/>
        <v>0</v>
      </c>
    </row>
    <row r="249" spans="1:12" ht="78.75" hidden="1" x14ac:dyDescent="0.2">
      <c r="A249" s="153" t="str">
        <f>IF(B249&gt;0,VLOOKUP(B249,КВСР!A200:B1365,2),IF(C249&gt;0,VLOOKUP(C249,КФСР!A200:B1712,2),IF(D249&gt;0,VLOOKUP(D249,Программа!A$1:B$5100,2),IF(F249&gt;0,VLOOKUP(F249,КВР!A$1:B$5001,2),IF(E249&gt;0,VLOOKUP(E249,Направление!A$1:B$4830,2))))))</f>
        <v xml:space="preserve">Закупка товаров, работ и услуг для обеспечения государственных (муниципальных) нужд
</v>
      </c>
      <c r="B249" s="154"/>
      <c r="C249" s="149"/>
      <c r="D249" s="150"/>
      <c r="E249" s="149"/>
      <c r="F249" s="151">
        <v>200</v>
      </c>
      <c r="G249" s="542">
        <v>0</v>
      </c>
      <c r="H249" s="191"/>
      <c r="I249" s="155">
        <f t="shared" si="16"/>
        <v>0</v>
      </c>
      <c r="J249" s="542">
        <v>0</v>
      </c>
      <c r="K249" s="191"/>
      <c r="L249" s="155">
        <f t="shared" si="17"/>
        <v>0</v>
      </c>
    </row>
    <row r="250" spans="1:12" ht="31.5" hidden="1" x14ac:dyDescent="0.2">
      <c r="A250" s="153" t="str">
        <f>IF(B250&gt;0,VLOOKUP(B250,КВСР!A200:B1365,2),IF(C250&gt;0,VLOOKUP(C250,КФСР!A200:B1712,2),IF(D250&gt;0,VLOOKUP(D250,Программа!A$1:B$5100,2),IF(F250&gt;0,VLOOKUP(F250,КВР!A$1:B$5001,2),IF(E250&gt;0,VLOOKUP(E250,Направление!A$1:B$4830,2))))))</f>
        <v>Социальное обеспечение и иные выплаты населению</v>
      </c>
      <c r="B250" s="154"/>
      <c r="C250" s="149"/>
      <c r="D250" s="150"/>
      <c r="E250" s="149"/>
      <c r="F250" s="151">
        <v>300</v>
      </c>
      <c r="G250" s="491">
        <v>0</v>
      </c>
      <c r="H250" s="190"/>
      <c r="I250" s="155">
        <f t="shared" si="16"/>
        <v>0</v>
      </c>
      <c r="J250" s="491">
        <v>0</v>
      </c>
      <c r="K250" s="190"/>
      <c r="L250" s="155">
        <f t="shared" si="17"/>
        <v>0</v>
      </c>
    </row>
    <row r="251" spans="1:12" ht="111.6" customHeight="1" x14ac:dyDescent="0.2">
      <c r="A251" s="153" t="str">
        <f>IF(B251&gt;0,VLOOKUP(B251,КВСР!A201:B1366,2),IF(C251&gt;0,VLOOKUP(C251,КФСР!A201:B1713,2),IF(D251&gt;0,VLOOKUP(D251,Программа!A$1:B$5100,2),IF(F251&gt;0,VLOOKUP(F251,КВР!A$1:B$5001,2),IF(E251&gt;0,VLOOKUP(E251,Направление!A$1:B$4830,2))))))</f>
        <v>Расходы на социальную поддержку отдельных категорий граждан в части ежемесячной денежной выплаты ветеранам труда, труженикам тыла, реабилитированным лицам</v>
      </c>
      <c r="B251" s="154"/>
      <c r="C251" s="149"/>
      <c r="D251" s="150"/>
      <c r="E251" s="149" t="s">
        <v>3258</v>
      </c>
      <c r="F251" s="151"/>
      <c r="G251" s="491">
        <v>39775000</v>
      </c>
      <c r="H251" s="491">
        <f>H252+H253</f>
        <v>0</v>
      </c>
      <c r="I251" s="155">
        <f t="shared" si="16"/>
        <v>39775000</v>
      </c>
      <c r="J251" s="491">
        <v>39775000</v>
      </c>
      <c r="K251" s="491">
        <f>K252+K253</f>
        <v>0</v>
      </c>
      <c r="L251" s="155">
        <f t="shared" si="17"/>
        <v>39775000</v>
      </c>
    </row>
    <row r="252" spans="1:12" ht="78.75" x14ac:dyDescent="0.2">
      <c r="A252" s="153" t="str">
        <f>IF(B252&gt;0,VLOOKUP(B252,КВСР!A202:B1367,2),IF(C252&gt;0,VLOOKUP(C252,КФСР!A202:B1714,2),IF(D252&gt;0,VLOOKUP(D252,Программа!A$1:B$5100,2),IF(F252&gt;0,VLOOKUP(F252,КВР!A$1:B$5001,2),IF(E252&gt;0,VLOOKUP(E252,Направление!A$1:B$4830,2))))))</f>
        <v xml:space="preserve">Закупка товаров, работ и услуг для обеспечения государственных (муниципальных) нужд
</v>
      </c>
      <c r="B252" s="154"/>
      <c r="C252" s="149"/>
      <c r="D252" s="150"/>
      <c r="E252" s="149"/>
      <c r="F252" s="151">
        <v>200</v>
      </c>
      <c r="G252" s="491">
        <v>643560</v>
      </c>
      <c r="H252" s="190"/>
      <c r="I252" s="155">
        <f t="shared" si="16"/>
        <v>643560</v>
      </c>
      <c r="J252" s="491">
        <v>643560</v>
      </c>
      <c r="K252" s="190"/>
      <c r="L252" s="155">
        <f t="shared" si="17"/>
        <v>643560</v>
      </c>
    </row>
    <row r="253" spans="1:12" ht="36" customHeight="1" x14ac:dyDescent="0.2">
      <c r="A253" s="153" t="str">
        <f>IF(B253&gt;0,VLOOKUP(B253,КВСР!A203:B1368,2),IF(C253&gt;0,VLOOKUP(C253,КФСР!A203:B1715,2),IF(D253&gt;0,VLOOKUP(D253,Программа!A$1:B$5100,2),IF(F253&gt;0,VLOOKUP(F253,КВР!A$1:B$5001,2),IF(E253&gt;0,VLOOKUP(E253,Направление!A$1:B$4830,2))))))</f>
        <v>Социальное обеспечение и иные выплаты населению</v>
      </c>
      <c r="B253" s="154"/>
      <c r="C253" s="149"/>
      <c r="D253" s="150"/>
      <c r="E253" s="149"/>
      <c r="F253" s="151">
        <v>300</v>
      </c>
      <c r="G253" s="491">
        <v>39131440</v>
      </c>
      <c r="H253" s="190"/>
      <c r="I253" s="155">
        <f t="shared" si="16"/>
        <v>39131440</v>
      </c>
      <c r="J253" s="491">
        <v>39131440</v>
      </c>
      <c r="K253" s="190"/>
      <c r="L253" s="155">
        <f t="shared" si="17"/>
        <v>39131440</v>
      </c>
    </row>
    <row r="254" spans="1:12" ht="141.75" hidden="1" x14ac:dyDescent="0.2">
      <c r="A254" s="153" t="str">
        <f>IF(B254&gt;0,VLOOKUP(B254,КВСР!A201:B1366,2),IF(C254&gt;0,VLOOKUP(C254,КФСР!A201:B1713,2),IF(D254&gt;0,VLOOKUP(D254,Программа!A$1:B$5100,2),IF(F254&gt;0,VLOOKUP(F254,КВР!A$1:B$5001,2),IF(E254&gt;0,VLOOKUP(E254,Направление!A$1:B$4830,2))))))</f>
        <v>Оплата жилого помещения и коммунальных услуг отдельным категориям граждан, оказание мер социальной поддержки которым относится к полномочиям Ярославской области, за счет средств областного бюджета</v>
      </c>
      <c r="B254" s="154"/>
      <c r="C254" s="149"/>
      <c r="D254" s="150"/>
      <c r="E254" s="149">
        <v>70840</v>
      </c>
      <c r="F254" s="151"/>
      <c r="G254" s="500">
        <v>0</v>
      </c>
      <c r="H254" s="155">
        <f>H255+H256</f>
        <v>0</v>
      </c>
      <c r="I254" s="155">
        <f t="shared" si="16"/>
        <v>0</v>
      </c>
      <c r="J254" s="500">
        <v>0</v>
      </c>
      <c r="K254" s="155">
        <f>K255+K256</f>
        <v>0</v>
      </c>
      <c r="L254" s="155">
        <f t="shared" si="17"/>
        <v>0</v>
      </c>
    </row>
    <row r="255" spans="1:12" ht="78.75" hidden="1" x14ac:dyDescent="0.2">
      <c r="A255" s="153" t="str">
        <f>IF(B255&gt;0,VLOOKUP(B255,КВСР!A202:B1367,2),IF(C255&gt;0,VLOOKUP(C255,КФСР!A202:B1714,2),IF(D255&gt;0,VLOOKUP(D255,Программа!A$1:B$5100,2),IF(F255&gt;0,VLOOKUP(F255,КВР!A$1:B$5001,2),IF(E255&gt;0,VLOOKUP(E255,Направление!A$1:B$4830,2))))))</f>
        <v xml:space="preserve">Закупка товаров, работ и услуг для обеспечения государственных (муниципальных) нужд
</v>
      </c>
      <c r="B255" s="154"/>
      <c r="C255" s="149"/>
      <c r="D255" s="150"/>
      <c r="E255" s="149"/>
      <c r="F255" s="151">
        <v>200</v>
      </c>
      <c r="G255" s="491">
        <v>0</v>
      </c>
      <c r="H255" s="190"/>
      <c r="I255" s="155">
        <f t="shared" si="16"/>
        <v>0</v>
      </c>
      <c r="J255" s="491">
        <v>0</v>
      </c>
      <c r="K255" s="190"/>
      <c r="L255" s="155">
        <f t="shared" si="17"/>
        <v>0</v>
      </c>
    </row>
    <row r="256" spans="1:12" ht="31.5" hidden="1" x14ac:dyDescent="0.2">
      <c r="A256" s="153" t="str">
        <f>IF(B256&gt;0,VLOOKUP(B256,КВСР!A203:B1368,2),IF(C256&gt;0,VLOOKUP(C256,КФСР!A203:B1715,2),IF(D256&gt;0,VLOOKUP(D256,Программа!A$1:B$5100,2),IF(F256&gt;0,VLOOKUP(F256,КВР!A$1:B$5001,2),IF(E256&gt;0,VLOOKUP(E256,Направление!A$1:B$4830,2))))))</f>
        <v>Социальное обеспечение и иные выплаты населению</v>
      </c>
      <c r="B256" s="154"/>
      <c r="C256" s="149"/>
      <c r="D256" s="150"/>
      <c r="E256" s="149"/>
      <c r="F256" s="151">
        <v>300</v>
      </c>
      <c r="G256" s="491">
        <v>0</v>
      </c>
      <c r="H256" s="190"/>
      <c r="I256" s="155">
        <f t="shared" si="16"/>
        <v>0</v>
      </c>
      <c r="J256" s="491">
        <v>0</v>
      </c>
      <c r="K256" s="190"/>
      <c r="L256" s="155">
        <f t="shared" si="17"/>
        <v>0</v>
      </c>
    </row>
    <row r="257" spans="1:12" ht="141" customHeight="1" x14ac:dyDescent="0.2">
      <c r="A257" s="153" t="str">
        <f>IF(B257&gt;0,VLOOKUP(B257,КВСР!A204:B1369,2),IF(C257&gt;0,VLOOKUP(C257,КФСР!A204:B1716,2),IF(D257&gt;0,VLOOKUP(D257,Программа!A$1:B$5100,2),IF(F257&gt;0,VLOOKUP(F257,КВР!A$1:B$5001,2),IF(E257&gt;0,VLOOKUP(E257,Направление!A$1:B$4830,2))))))</f>
        <v>Оплата жилого помещения и коммунальных услуг отдельным категориям граждан, оказание мер социальной поддержки которым относится к полномочиям Ярославской области, за счет средств областного бюджета</v>
      </c>
      <c r="B257" s="154"/>
      <c r="C257" s="149"/>
      <c r="D257" s="150"/>
      <c r="E257" s="149" t="s">
        <v>3259</v>
      </c>
      <c r="F257" s="151"/>
      <c r="G257" s="491">
        <v>64064000</v>
      </c>
      <c r="H257" s="491">
        <f>H258+H259</f>
        <v>0</v>
      </c>
      <c r="I257" s="155">
        <f t="shared" si="16"/>
        <v>64064000</v>
      </c>
      <c r="J257" s="491">
        <v>64064000</v>
      </c>
      <c r="K257" s="491">
        <f>K258+K259</f>
        <v>0</v>
      </c>
      <c r="L257" s="155">
        <f t="shared" si="17"/>
        <v>64064000</v>
      </c>
    </row>
    <row r="258" spans="1:12" ht="78.75" x14ac:dyDescent="0.2">
      <c r="A258" s="153" t="str">
        <f>IF(B258&gt;0,VLOOKUP(B258,КВСР!A205:B1370,2),IF(C258&gt;0,VLOOKUP(C258,КФСР!A205:B1717,2),IF(D258&gt;0,VLOOKUP(D258,Программа!A$1:B$5100,2),IF(F258&gt;0,VLOOKUP(F258,КВР!A$1:B$5001,2),IF(E258&gt;0,VLOOKUP(E258,Направление!A$1:B$4830,2))))))</f>
        <v xml:space="preserve">Закупка товаров, работ и услуг для обеспечения государственных (муниципальных) нужд
</v>
      </c>
      <c r="B258" s="154"/>
      <c r="C258" s="149"/>
      <c r="D258" s="150"/>
      <c r="E258" s="149"/>
      <c r="F258" s="151">
        <v>200</v>
      </c>
      <c r="G258" s="491">
        <v>1026945</v>
      </c>
      <c r="H258" s="190"/>
      <c r="I258" s="155">
        <f t="shared" si="16"/>
        <v>1026945</v>
      </c>
      <c r="J258" s="491">
        <v>1026945</v>
      </c>
      <c r="K258" s="190"/>
      <c r="L258" s="155">
        <f t="shared" si="17"/>
        <v>1026945</v>
      </c>
    </row>
    <row r="259" spans="1:12" ht="31.5" x14ac:dyDescent="0.2">
      <c r="A259" s="153" t="str">
        <f>IF(B259&gt;0,VLOOKUP(B259,КВСР!A206:B1371,2),IF(C259&gt;0,VLOOKUP(C259,КФСР!A206:B1718,2),IF(D259&gt;0,VLOOKUP(D259,Программа!A$1:B$5100,2),IF(F259&gt;0,VLOOKUP(F259,КВР!A$1:B$5001,2),IF(E259&gt;0,VLOOKUP(E259,Направление!A$1:B$4830,2))))))</f>
        <v>Социальное обеспечение и иные выплаты населению</v>
      </c>
      <c r="B259" s="154"/>
      <c r="C259" s="149"/>
      <c r="D259" s="150"/>
      <c r="E259" s="149"/>
      <c r="F259" s="151">
        <v>300</v>
      </c>
      <c r="G259" s="491">
        <v>63037055</v>
      </c>
      <c r="H259" s="190"/>
      <c r="I259" s="155">
        <f t="shared" si="16"/>
        <v>63037055</v>
      </c>
      <c r="J259" s="491">
        <v>63037055</v>
      </c>
      <c r="K259" s="190"/>
      <c r="L259" s="155">
        <f t="shared" si="17"/>
        <v>63037055</v>
      </c>
    </row>
    <row r="260" spans="1:12" ht="47.25" hidden="1" x14ac:dyDescent="0.2">
      <c r="A260" s="153" t="str">
        <f>IF(B260&gt;0,VLOOKUP(B260,КВСР!A204:B1369,2),IF(C260&gt;0,VLOOKUP(C260,КФСР!A204:B1716,2),IF(D260&gt;0,VLOOKUP(D260,Программа!A$1:B$5100,2),IF(F260&gt;0,VLOOKUP(F260,КВР!A$1:B$5001,2),IF(E260&gt;0,VLOOKUP(E260,Направление!A$1:B$4830,2))))))</f>
        <v>Денежные выплаты за счет средств областного бюджета</v>
      </c>
      <c r="B260" s="154"/>
      <c r="C260" s="149"/>
      <c r="D260" s="150"/>
      <c r="E260" s="149">
        <v>70860</v>
      </c>
      <c r="F260" s="151"/>
      <c r="G260" s="500">
        <v>0</v>
      </c>
      <c r="H260" s="155">
        <f>H261+H262</f>
        <v>0</v>
      </c>
      <c r="I260" s="155">
        <f t="shared" si="16"/>
        <v>0</v>
      </c>
      <c r="J260" s="500">
        <v>0</v>
      </c>
      <c r="K260" s="155">
        <f>K261+K262</f>
        <v>0</v>
      </c>
      <c r="L260" s="155">
        <f t="shared" si="17"/>
        <v>0</v>
      </c>
    </row>
    <row r="261" spans="1:12" ht="78.75" hidden="1" x14ac:dyDescent="0.2">
      <c r="A261" s="153" t="str">
        <f>IF(B261&gt;0,VLOOKUP(B261,КВСР!A205:B1370,2),IF(C261&gt;0,VLOOKUP(C261,КФСР!A205:B1717,2),IF(D261&gt;0,VLOOKUP(D261,Программа!A$1:B$5100,2),IF(F261&gt;0,VLOOKUP(F261,КВР!A$1:B$5001,2),IF(E261&gt;0,VLOOKUP(E261,Направление!A$1:B$4830,2))))))</f>
        <v xml:space="preserve">Закупка товаров, работ и услуг для обеспечения государственных (муниципальных) нужд
</v>
      </c>
      <c r="B261" s="154"/>
      <c r="C261" s="149"/>
      <c r="D261" s="150"/>
      <c r="E261" s="149"/>
      <c r="F261" s="151">
        <v>200</v>
      </c>
      <c r="G261" s="491">
        <v>0</v>
      </c>
      <c r="H261" s="190"/>
      <c r="I261" s="155">
        <f t="shared" si="16"/>
        <v>0</v>
      </c>
      <c r="J261" s="491">
        <v>0</v>
      </c>
      <c r="K261" s="190"/>
      <c r="L261" s="155">
        <f t="shared" si="17"/>
        <v>0</v>
      </c>
    </row>
    <row r="262" spans="1:12" ht="31.5" hidden="1" x14ac:dyDescent="0.2">
      <c r="A262" s="153" t="str">
        <f>IF(B262&gt;0,VLOOKUP(B262,КВСР!A206:B1371,2),IF(C262&gt;0,VLOOKUP(C262,КФСР!A206:B1718,2),IF(D262&gt;0,VLOOKUP(D262,Программа!A$1:B$5100,2),IF(F262&gt;0,VLOOKUP(F262,КВР!A$1:B$5001,2),IF(E262&gt;0,VLOOKUP(E262,Направление!A$1:B$4830,2))))))</f>
        <v>Социальное обеспечение и иные выплаты населению</v>
      </c>
      <c r="B262" s="154"/>
      <c r="C262" s="149"/>
      <c r="D262" s="150"/>
      <c r="E262" s="149"/>
      <c r="F262" s="151">
        <v>300</v>
      </c>
      <c r="G262" s="491">
        <v>0</v>
      </c>
      <c r="H262" s="190"/>
      <c r="I262" s="155">
        <f t="shared" si="16"/>
        <v>0</v>
      </c>
      <c r="J262" s="491">
        <v>0</v>
      </c>
      <c r="K262" s="190"/>
      <c r="L262" s="155">
        <f t="shared" si="17"/>
        <v>0</v>
      </c>
    </row>
    <row r="263" spans="1:12" ht="78.75" hidden="1" x14ac:dyDescent="0.2">
      <c r="A263" s="153" t="str">
        <f>IF(B263&gt;0,VLOOKUP(B263,КВСР!A207:B1372,2),IF(C263&gt;0,VLOOKUP(C263,КФСР!A207:B1719,2),IF(D263&gt;0,VLOOKUP(D263,Программа!A$1:B$5100,2),IF(F263&gt;0,VLOOKUP(F263,КВР!A$1:B$5001,2),IF(E263&gt;0,VLOOKUP(E263,Направление!A$1:B$4830,2))))))</f>
        <v>Оказание социальной помощи отдельным категориям граждан за счет средств областного бюджета</v>
      </c>
      <c r="B263" s="154"/>
      <c r="C263" s="149"/>
      <c r="D263" s="150"/>
      <c r="E263" s="149">
        <v>70890</v>
      </c>
      <c r="F263" s="151"/>
      <c r="G263" s="500">
        <v>0</v>
      </c>
      <c r="H263" s="155">
        <f>H264+H265</f>
        <v>0</v>
      </c>
      <c r="I263" s="155">
        <f t="shared" si="16"/>
        <v>0</v>
      </c>
      <c r="J263" s="500">
        <v>0</v>
      </c>
      <c r="K263" s="155">
        <f>K264+K265</f>
        <v>0</v>
      </c>
      <c r="L263" s="155">
        <f t="shared" si="17"/>
        <v>0</v>
      </c>
    </row>
    <row r="264" spans="1:12" ht="78.75" hidden="1" x14ac:dyDescent="0.2">
      <c r="A264" s="153" t="str">
        <f>IF(B264&gt;0,VLOOKUP(B264,КВСР!A208:B1373,2),IF(C264&gt;0,VLOOKUP(C264,КФСР!A208:B1720,2),IF(D264&gt;0,VLOOKUP(D264,Программа!A$1:B$5100,2),IF(F264&gt;0,VLOOKUP(F264,КВР!A$1:B$5001,2),IF(E264&gt;0,VLOOKUP(E264,Направление!A$1:B$4830,2))))))</f>
        <v xml:space="preserve">Закупка товаров, работ и услуг для обеспечения государственных (муниципальных) нужд
</v>
      </c>
      <c r="B264" s="154"/>
      <c r="C264" s="149"/>
      <c r="D264" s="150"/>
      <c r="E264" s="149"/>
      <c r="F264" s="151">
        <v>200</v>
      </c>
      <c r="G264" s="491">
        <v>0</v>
      </c>
      <c r="H264" s="190"/>
      <c r="I264" s="155">
        <f t="shared" si="16"/>
        <v>0</v>
      </c>
      <c r="J264" s="491">
        <v>0</v>
      </c>
      <c r="K264" s="190"/>
      <c r="L264" s="155">
        <f t="shared" si="17"/>
        <v>0</v>
      </c>
    </row>
    <row r="265" spans="1:12" ht="31.5" hidden="1" x14ac:dyDescent="0.2">
      <c r="A265" s="153" t="str">
        <f>IF(B265&gt;0,VLOOKUP(B265,КВСР!A209:B1374,2),IF(C265&gt;0,VLOOKUP(C265,КФСР!A209:B1721,2),IF(D265&gt;0,VLOOKUP(D265,Программа!A$1:B$5100,2),IF(F265&gt;0,VLOOKUP(F265,КВР!A$1:B$5001,2),IF(E265&gt;0,VLOOKUP(E265,Направление!A$1:B$4830,2))))))</f>
        <v>Социальное обеспечение и иные выплаты населению</v>
      </c>
      <c r="B265" s="154"/>
      <c r="C265" s="149"/>
      <c r="D265" s="150"/>
      <c r="E265" s="149"/>
      <c r="F265" s="151">
        <v>300</v>
      </c>
      <c r="G265" s="491">
        <v>0</v>
      </c>
      <c r="H265" s="190"/>
      <c r="I265" s="155">
        <f t="shared" si="16"/>
        <v>0</v>
      </c>
      <c r="J265" s="491">
        <v>0</v>
      </c>
      <c r="K265" s="190"/>
      <c r="L265" s="155">
        <f t="shared" si="17"/>
        <v>0</v>
      </c>
    </row>
    <row r="266" spans="1:12" ht="38.450000000000003" customHeight="1" x14ac:dyDescent="0.2">
      <c r="A266" s="153" t="str">
        <f>IF(B266&gt;0,VLOOKUP(B266,КВСР!A210:B1375,2),IF(C266&gt;0,VLOOKUP(C266,КФСР!A210:B1722,2),IF(D266&gt;0,VLOOKUP(D266,Программа!A$1:B$5100,2),IF(F266&gt;0,VLOOKUP(F266,КВР!A$1:B$5001,2),IF(E266&gt;0,VLOOKUP(E266,Направление!A$1:B$4830,2))))))</f>
        <v>Денежные выплаты за счет средств областного бюджета</v>
      </c>
      <c r="B266" s="154"/>
      <c r="C266" s="149"/>
      <c r="D266" s="150"/>
      <c r="E266" s="149" t="s">
        <v>3260</v>
      </c>
      <c r="F266" s="151"/>
      <c r="G266" s="491">
        <v>22000000</v>
      </c>
      <c r="H266" s="491">
        <f>H267+H268</f>
        <v>0</v>
      </c>
      <c r="I266" s="155">
        <f t="shared" si="16"/>
        <v>22000000</v>
      </c>
      <c r="J266" s="491">
        <v>22000000</v>
      </c>
      <c r="K266" s="491">
        <f>K267+K268</f>
        <v>0</v>
      </c>
      <c r="L266" s="155">
        <f t="shared" si="17"/>
        <v>22000000</v>
      </c>
    </row>
    <row r="267" spans="1:12" ht="78.75" x14ac:dyDescent="0.2">
      <c r="A267" s="153" t="str">
        <f>IF(B267&gt;0,VLOOKUP(B267,КВСР!A211:B1376,2),IF(C267&gt;0,VLOOKUP(C267,КФСР!A211:B1723,2),IF(D267&gt;0,VLOOKUP(D267,Программа!A$1:B$5100,2),IF(F267&gt;0,VLOOKUP(F267,КВР!A$1:B$5001,2),IF(E267&gt;0,VLOOKUP(E267,Направление!A$1:B$4830,2))))))</f>
        <v xml:space="preserve">Закупка товаров, работ и услуг для обеспечения государственных (муниципальных) нужд
</v>
      </c>
      <c r="B267" s="154"/>
      <c r="C267" s="149"/>
      <c r="D267" s="150"/>
      <c r="E267" s="149"/>
      <c r="F267" s="151">
        <v>200</v>
      </c>
      <c r="G267" s="491">
        <v>330660</v>
      </c>
      <c r="H267" s="190"/>
      <c r="I267" s="155">
        <f t="shared" si="16"/>
        <v>330660</v>
      </c>
      <c r="J267" s="491">
        <v>330660</v>
      </c>
      <c r="K267" s="190"/>
      <c r="L267" s="155">
        <f t="shared" si="17"/>
        <v>330660</v>
      </c>
    </row>
    <row r="268" spans="1:12" ht="31.5" x14ac:dyDescent="0.2">
      <c r="A268" s="153" t="str">
        <f>IF(B268&gt;0,VLOOKUP(B268,КВСР!A212:B1377,2),IF(C268&gt;0,VLOOKUP(C268,КФСР!A212:B1724,2),IF(D268&gt;0,VLOOKUP(D268,Программа!A$1:B$5100,2),IF(F268&gt;0,VLOOKUP(F268,КВР!A$1:B$5001,2),IF(E268&gt;0,VLOOKUP(E268,Направление!A$1:B$4830,2))))))</f>
        <v>Социальное обеспечение и иные выплаты населению</v>
      </c>
      <c r="B268" s="154"/>
      <c r="C268" s="149"/>
      <c r="D268" s="150"/>
      <c r="E268" s="149"/>
      <c r="F268" s="151">
        <v>300</v>
      </c>
      <c r="G268" s="491">
        <v>21669340</v>
      </c>
      <c r="H268" s="190"/>
      <c r="I268" s="155">
        <f t="shared" si="16"/>
        <v>21669340</v>
      </c>
      <c r="J268" s="491">
        <v>21669340</v>
      </c>
      <c r="K268" s="190"/>
      <c r="L268" s="155">
        <f t="shared" si="17"/>
        <v>21669340</v>
      </c>
    </row>
    <row r="269" spans="1:12" ht="78.75" hidden="1" x14ac:dyDescent="0.2">
      <c r="A269" s="153" t="str">
        <f>IF(B269&gt;0,VLOOKUP(B269,КВСР!A210:B1375,2),IF(C269&gt;0,VLOOKUP(C269,КФСР!A210:B1722,2),IF(D269&gt;0,VLOOKUP(D269,Программа!A$1:B$5100,2),IF(F269&gt;0,VLOOKUP(F269,КВР!A$1:B$5001,2),IF(E269&gt;0,VLOOKUP(E269,Направление!A$1:B$4830,2))))))</f>
        <v>Расходы на социальную поддержку отдельных категорий граждан в части ежемесячного пособия на ребенка</v>
      </c>
      <c r="B269" s="154"/>
      <c r="C269" s="149"/>
      <c r="D269" s="150"/>
      <c r="E269" s="149">
        <v>73040</v>
      </c>
      <c r="F269" s="151"/>
      <c r="G269" s="500">
        <v>0</v>
      </c>
      <c r="H269" s="155">
        <f>H270+H271</f>
        <v>0</v>
      </c>
      <c r="I269" s="155">
        <f t="shared" si="16"/>
        <v>0</v>
      </c>
      <c r="J269" s="500">
        <v>0</v>
      </c>
      <c r="K269" s="155">
        <f>K270+K271</f>
        <v>0</v>
      </c>
      <c r="L269" s="155">
        <f t="shared" si="17"/>
        <v>0</v>
      </c>
    </row>
    <row r="270" spans="1:12" ht="78.75" hidden="1" x14ac:dyDescent="0.2">
      <c r="A270" s="153" t="str">
        <f>IF(B270&gt;0,VLOOKUP(B270,КВСР!A211:B1376,2),IF(C270&gt;0,VLOOKUP(C270,КФСР!A211:B1723,2),IF(D270&gt;0,VLOOKUP(D270,Программа!A$1:B$5100,2),IF(F270&gt;0,VLOOKUP(F270,КВР!A$1:B$5001,2),IF(E270&gt;0,VLOOKUP(E270,Направление!A$1:B$4830,2))))))</f>
        <v xml:space="preserve">Закупка товаров, работ и услуг для обеспечения государственных (муниципальных) нужд
</v>
      </c>
      <c r="B270" s="154"/>
      <c r="C270" s="149"/>
      <c r="D270" s="150"/>
      <c r="E270" s="149"/>
      <c r="F270" s="151">
        <v>200</v>
      </c>
      <c r="G270" s="491">
        <v>0</v>
      </c>
      <c r="H270" s="190"/>
      <c r="I270" s="155">
        <f t="shared" si="16"/>
        <v>0</v>
      </c>
      <c r="J270" s="491">
        <v>0</v>
      </c>
      <c r="K270" s="190"/>
      <c r="L270" s="155">
        <f t="shared" si="17"/>
        <v>0</v>
      </c>
    </row>
    <row r="271" spans="1:12" ht="31.5" hidden="1" x14ac:dyDescent="0.2">
      <c r="A271" s="153" t="str">
        <f>IF(B271&gt;0,VLOOKUP(B271,КВСР!A204:B1369,2),IF(C271&gt;0,VLOOKUP(C271,КФСР!A204:B1716,2),IF(D271&gt;0,VLOOKUP(D271,Программа!A$1:B$5100,2),IF(F271&gt;0,VLOOKUP(F271,КВР!A$1:B$5001,2),IF(E271&gt;0,VLOOKUP(E271,Направление!A$1:B$4830,2))))))</f>
        <v>Социальное обеспечение и иные выплаты населению</v>
      </c>
      <c r="B271" s="154"/>
      <c r="C271" s="149"/>
      <c r="D271" s="150"/>
      <c r="E271" s="149"/>
      <c r="F271" s="151">
        <v>300</v>
      </c>
      <c r="G271" s="491">
        <v>0</v>
      </c>
      <c r="H271" s="190"/>
      <c r="I271" s="155">
        <f t="shared" si="16"/>
        <v>0</v>
      </c>
      <c r="J271" s="491">
        <v>0</v>
      </c>
      <c r="K271" s="190"/>
      <c r="L271" s="155">
        <f t="shared" si="17"/>
        <v>0</v>
      </c>
    </row>
    <row r="272" spans="1:12" ht="77.45" customHeight="1" x14ac:dyDescent="0.2">
      <c r="A272" s="153" t="str">
        <f>IF(B272&gt;0,VLOOKUP(B272,КВСР!A205:B1370,2),IF(C272&gt;0,VLOOKUP(C272,КФСР!A205:B1717,2),IF(D272&gt;0,VLOOKUP(D272,Программа!A$1:B$5100,2),IF(F272&gt;0,VLOOKUP(F272,КВР!A$1:B$5001,2),IF(E272&gt;0,VLOOKUP(E272,Направление!A$1:B$4830,2))))))</f>
        <v>Расходы на социальную поддержку отдельных категорий граждан в части ежемесячного пособия на ребенка</v>
      </c>
      <c r="B272" s="154"/>
      <c r="C272" s="149"/>
      <c r="D272" s="150"/>
      <c r="E272" s="149" t="s">
        <v>3261</v>
      </c>
      <c r="F272" s="151"/>
      <c r="G272" s="491">
        <v>35000000</v>
      </c>
      <c r="H272" s="491">
        <f>H273+H274</f>
        <v>0</v>
      </c>
      <c r="I272" s="155">
        <f t="shared" si="16"/>
        <v>35000000</v>
      </c>
      <c r="J272" s="491">
        <v>35000000</v>
      </c>
      <c r="K272" s="491">
        <f>K273+K274</f>
        <v>0</v>
      </c>
      <c r="L272" s="155">
        <f t="shared" si="17"/>
        <v>35000000</v>
      </c>
    </row>
    <row r="273" spans="1:12" ht="78.75" x14ac:dyDescent="0.2">
      <c r="A273" s="153" t="str">
        <f>IF(B273&gt;0,VLOOKUP(B273,КВСР!A206:B1371,2),IF(C273&gt;0,VLOOKUP(C273,КФСР!A206:B1718,2),IF(D273&gt;0,VLOOKUP(D273,Программа!A$1:B$5100,2),IF(F273&gt;0,VLOOKUP(F273,КВР!A$1:B$5001,2),IF(E273&gt;0,VLOOKUP(E273,Направление!A$1:B$4830,2))))))</f>
        <v xml:space="preserve">Закупка товаров, работ и услуг для обеспечения государственных (муниципальных) нужд
</v>
      </c>
      <c r="B273" s="154"/>
      <c r="C273" s="149"/>
      <c r="D273" s="150"/>
      <c r="E273" s="149"/>
      <c r="F273" s="151">
        <v>200</v>
      </c>
      <c r="G273" s="491">
        <v>5950</v>
      </c>
      <c r="H273" s="190"/>
      <c r="I273" s="155">
        <f t="shared" si="16"/>
        <v>5950</v>
      </c>
      <c r="J273" s="491">
        <v>5950</v>
      </c>
      <c r="K273" s="190"/>
      <c r="L273" s="155">
        <f t="shared" si="17"/>
        <v>5950</v>
      </c>
    </row>
    <row r="274" spans="1:12" ht="31.5" x14ac:dyDescent="0.2">
      <c r="A274" s="153" t="str">
        <f>IF(B274&gt;0,VLOOKUP(B274,КВСР!A207:B1372,2),IF(C274&gt;0,VLOOKUP(C274,КФСР!A207:B1719,2),IF(D274&gt;0,VLOOKUP(D274,Программа!A$1:B$5100,2),IF(F274&gt;0,VLOOKUP(F274,КВР!A$1:B$5001,2),IF(E274&gt;0,VLOOKUP(E274,Направление!A$1:B$4830,2))))))</f>
        <v>Социальное обеспечение и иные выплаты населению</v>
      </c>
      <c r="B274" s="154"/>
      <c r="C274" s="149"/>
      <c r="D274" s="150"/>
      <c r="E274" s="149"/>
      <c r="F274" s="151">
        <v>300</v>
      </c>
      <c r="G274" s="491">
        <v>34994050</v>
      </c>
      <c r="H274" s="190"/>
      <c r="I274" s="155">
        <f t="shared" si="16"/>
        <v>34994050</v>
      </c>
      <c r="J274" s="491">
        <v>34994050</v>
      </c>
      <c r="K274" s="190"/>
      <c r="L274" s="155">
        <f t="shared" si="17"/>
        <v>34994050</v>
      </c>
    </row>
    <row r="275" spans="1:12" ht="133.15" hidden="1" customHeight="1" x14ac:dyDescent="0.2">
      <c r="A275" s="153" t="str">
        <f>IF(B275&gt;0,VLOOKUP(B275,КВСР!A207:B1372,2),IF(C275&gt;0,VLOOKUP(C275,КФСР!A207:B1719,2),IF(D275&gt;0,VLOOKUP(D275,Программа!A$1:B$5100,2),IF(F275&gt;0,VLOOKUP(F275,КВР!A$1:B$5001,2),IF(E275&gt;0,VLOOKUP(E275,Направление!A$1:B$4830,2))))))</f>
        <v>Субвенция на компенсацию отдельным категориям граждан оплаты взноса на капитальный ремонт общего имущества в многоквартирном доме, в части расходов по доставке выплат получателям</v>
      </c>
      <c r="B275" s="154"/>
      <c r="C275" s="149"/>
      <c r="D275" s="150"/>
      <c r="E275" s="149">
        <v>75490</v>
      </c>
      <c r="F275" s="151"/>
      <c r="G275" s="491">
        <v>0</v>
      </c>
      <c r="H275" s="491">
        <f>-G275</f>
        <v>0</v>
      </c>
      <c r="I275" s="155">
        <f t="shared" si="16"/>
        <v>0</v>
      </c>
      <c r="J275" s="491">
        <v>0</v>
      </c>
      <c r="K275" s="491">
        <f>-J275</f>
        <v>0</v>
      </c>
      <c r="L275" s="155">
        <f t="shared" si="17"/>
        <v>0</v>
      </c>
    </row>
    <row r="276" spans="1:12" ht="67.150000000000006" hidden="1" customHeight="1" x14ac:dyDescent="0.2">
      <c r="A276" s="153" t="str">
        <f>IF(B276&gt;0,VLOOKUP(B276,КВСР!A208:B1373,2),IF(C276&gt;0,VLOOKUP(C276,КФСР!A208:B1720,2),IF(D276&gt;0,VLOOKUP(D276,Программа!A$1:B$5100,2),IF(F276&gt;0,VLOOKUP(F276,КВР!A$1:B$5001,2),IF(E276&gt;0,VLOOKUP(E276,Направление!A$1:B$4830,2))))))</f>
        <v xml:space="preserve">Закупка товаров, работ и услуг для обеспечения государственных (муниципальных) нужд
</v>
      </c>
      <c r="B276" s="154"/>
      <c r="C276" s="149"/>
      <c r="D276" s="150"/>
      <c r="E276" s="149"/>
      <c r="F276" s="151">
        <v>200</v>
      </c>
      <c r="G276" s="491">
        <v>0</v>
      </c>
      <c r="H276" s="190"/>
      <c r="I276" s="155">
        <f t="shared" si="16"/>
        <v>0</v>
      </c>
      <c r="J276" s="491">
        <v>0</v>
      </c>
      <c r="K276" s="190"/>
      <c r="L276" s="155">
        <f t="shared" si="17"/>
        <v>0</v>
      </c>
    </row>
    <row r="277" spans="1:12" ht="84.6" customHeight="1" x14ac:dyDescent="0.2">
      <c r="A277" s="153" t="str">
        <f>IF(B277&gt;0,VLOOKUP(B277,КВСР!A209:B1374,2),IF(C277&gt;0,VLOOKUP(C277,КФСР!A209:B1721,2),IF(D277&gt;0,VLOOKUP(D277,Программа!A$1:B$5100,2),IF(F277&gt;0,VLOOKUP(F277,КВР!A$1:B$5001,2),IF(E277&gt;0,VLOOKUP(E277,Направление!A$1:B$4830,2))))))</f>
        <v>Субвенция на компенсацию отдельным категориям граждан оплаты взноса на капитальный ремонт общего имущества в многоквартирном доме, в части расходов по доставке выплат получателям</v>
      </c>
      <c r="B277" s="154"/>
      <c r="C277" s="149"/>
      <c r="D277" s="150"/>
      <c r="E277" s="149" t="s">
        <v>3263</v>
      </c>
      <c r="F277" s="151"/>
      <c r="G277" s="491">
        <v>17049</v>
      </c>
      <c r="H277" s="491">
        <f>H278</f>
        <v>0</v>
      </c>
      <c r="I277" s="155">
        <f t="shared" si="16"/>
        <v>17049</v>
      </c>
      <c r="J277" s="491">
        <v>17049</v>
      </c>
      <c r="K277" s="491">
        <f>K278</f>
        <v>0</v>
      </c>
      <c r="L277" s="155">
        <f t="shared" si="17"/>
        <v>17049</v>
      </c>
    </row>
    <row r="278" spans="1:12" ht="54" customHeight="1" x14ac:dyDescent="0.2">
      <c r="A278" s="153" t="str">
        <f>IF(B278&gt;0,VLOOKUP(B278,КВСР!A210:B1375,2),IF(C278&gt;0,VLOOKUP(C278,КФСР!A210:B1722,2),IF(D278&gt;0,VLOOKUP(D278,Программа!A$1:B$5100,2),IF(F278&gt;0,VLOOKUP(F278,КВР!A$1:B$5001,2),IF(E278&gt;0,VLOOKUP(E278,Направление!A$1:B$4830,2))))))</f>
        <v xml:space="preserve">Закупка товаров, работ и услуг для обеспечения государственных (муниципальных) нужд
</v>
      </c>
      <c r="B278" s="154"/>
      <c r="C278" s="149"/>
      <c r="D278" s="150"/>
      <c r="E278" s="149"/>
      <c r="F278" s="151">
        <v>200</v>
      </c>
      <c r="G278" s="491">
        <v>17049</v>
      </c>
      <c r="H278" s="190"/>
      <c r="I278" s="155">
        <f t="shared" si="16"/>
        <v>17049</v>
      </c>
      <c r="J278" s="491">
        <v>17049</v>
      </c>
      <c r="K278" s="190"/>
      <c r="L278" s="155">
        <f t="shared" si="17"/>
        <v>17049</v>
      </c>
    </row>
    <row r="279" spans="1:12" ht="42" customHeight="1" x14ac:dyDescent="0.2">
      <c r="A279" s="153" t="str">
        <f>IF(B279&gt;0,VLOOKUP(B279,КВСР!A209:B1374,2),IF(C279&gt;0,VLOOKUP(C279,КФСР!A209:B1721,2),IF(D279&gt;0,VLOOKUP(D279,Программа!A$1:B$5100,2),IF(F279&gt;0,VLOOKUP(F279,КВР!A$1:B$5001,2),IF(E279&gt;0,VLOOKUP(E279,Направление!A$1:B$4830,2))))))</f>
        <v>Субвенция на компенсацию отдельным категориям граждан оплаты взноса на капитальный ремонт общего имущества в многоквартирном доме</v>
      </c>
      <c r="B279" s="154"/>
      <c r="C279" s="149"/>
      <c r="D279" s="150"/>
      <c r="E279" s="149" t="s">
        <v>3177</v>
      </c>
      <c r="F279" s="151"/>
      <c r="G279" s="491">
        <v>477776</v>
      </c>
      <c r="H279" s="190"/>
      <c r="I279" s="155">
        <f t="shared" si="16"/>
        <v>477776</v>
      </c>
      <c r="J279" s="491">
        <v>477776</v>
      </c>
      <c r="K279" s="190"/>
      <c r="L279" s="155">
        <f t="shared" si="17"/>
        <v>477776</v>
      </c>
    </row>
    <row r="280" spans="1:12" ht="42" customHeight="1" x14ac:dyDescent="0.2">
      <c r="A280" s="153" t="str">
        <f>IF(B280&gt;0,VLOOKUP(B280,КВСР!A210:B1375,2),IF(C280&gt;0,VLOOKUP(C280,КФСР!A210:B1722,2),IF(D280&gt;0,VLOOKUP(D280,Программа!A$1:B$5100,2),IF(F280&gt;0,VLOOKUP(F280,КВР!A$1:B$5001,2),IF(E280&gt;0,VLOOKUP(E280,Направление!A$1:B$4830,2))))))</f>
        <v>Социальное обеспечение и иные выплаты населению</v>
      </c>
      <c r="B280" s="154"/>
      <c r="C280" s="149"/>
      <c r="D280" s="150"/>
      <c r="E280" s="149"/>
      <c r="F280" s="151">
        <v>300</v>
      </c>
      <c r="G280" s="491">
        <v>477776</v>
      </c>
      <c r="H280" s="190"/>
      <c r="I280" s="155">
        <f t="shared" si="16"/>
        <v>477776</v>
      </c>
      <c r="J280" s="491">
        <v>477776</v>
      </c>
      <c r="K280" s="190"/>
      <c r="L280" s="155">
        <f t="shared" si="17"/>
        <v>477776</v>
      </c>
    </row>
    <row r="281" spans="1:12" ht="78.75" x14ac:dyDescent="0.2">
      <c r="A281" s="153" t="str">
        <f>IF(B281&gt;0,VLOOKUP(B281,КВСР!A205:B1370,2),IF(C281&gt;0,VLOOKUP(C281,КФСР!A205:B1717,2),IF(D281&gt;0,VLOOKUP(D281,Программа!A$1:B$5100,2),IF(F281&gt;0,VLOOKUP(F281,КВР!A$1:B$5001,2),IF(E281&gt;0,VLOOKUP(E281,Направление!A$1:B$4830,2))))))</f>
        <v>Социальная защита семей с детьми, инвалидов, ветеранов, граждан и детей, оказавшихся в трудной жизненной ситуации</v>
      </c>
      <c r="B281" s="154"/>
      <c r="C281" s="149"/>
      <c r="D281" s="150" t="s">
        <v>786</v>
      </c>
      <c r="E281" s="149"/>
      <c r="F281" s="151"/>
      <c r="G281" s="500">
        <v>4925700</v>
      </c>
      <c r="H281" s="155">
        <f>H282+H285+H288</f>
        <v>0</v>
      </c>
      <c r="I281" s="155">
        <f t="shared" si="16"/>
        <v>4925700</v>
      </c>
      <c r="J281" s="500">
        <v>4925700</v>
      </c>
      <c r="K281" s="155">
        <f>K282+K285+K288</f>
        <v>0</v>
      </c>
      <c r="L281" s="155">
        <f t="shared" si="17"/>
        <v>4925700</v>
      </c>
    </row>
    <row r="282" spans="1:12" ht="47.25" x14ac:dyDescent="0.2">
      <c r="A282" s="153" t="str">
        <f>IF(B282&gt;0,VLOOKUP(B282,КВСР!A206:B1371,2),IF(C282&gt;0,VLOOKUP(C282,КФСР!A206:B1718,2),IF(D282&gt;0,VLOOKUP(D282,Программа!A$1:B$5100,2),IF(F282&gt;0,VLOOKUP(F282,КВР!A$1:B$5001,2),IF(E282&gt;0,VLOOKUP(E282,Направление!A$1:B$4830,2))))))</f>
        <v>Организация перевозок больных, нуждающихся в амбулаторном гемодиализе</v>
      </c>
      <c r="B282" s="154"/>
      <c r="C282" s="149"/>
      <c r="D282" s="150"/>
      <c r="E282" s="149">
        <v>16210</v>
      </c>
      <c r="F282" s="151"/>
      <c r="G282" s="500">
        <v>165000</v>
      </c>
      <c r="H282" s="155">
        <f>H283+H284</f>
        <v>0</v>
      </c>
      <c r="I282" s="155">
        <f t="shared" si="16"/>
        <v>165000</v>
      </c>
      <c r="J282" s="500">
        <v>165000</v>
      </c>
      <c r="K282" s="155">
        <f>K283+K284</f>
        <v>0</v>
      </c>
      <c r="L282" s="155">
        <f t="shared" si="17"/>
        <v>165000</v>
      </c>
    </row>
    <row r="283" spans="1:12" ht="78.75" hidden="1" x14ac:dyDescent="0.2">
      <c r="A283" s="153" t="str">
        <f>IF(B283&gt;0,VLOOKUP(B283,КВСР!A207:B1372,2),IF(C283&gt;0,VLOOKUP(C283,КФСР!A207:B1719,2),IF(D283&gt;0,VLOOKUP(D283,Программа!A$1:B$5100,2),IF(F283&gt;0,VLOOKUP(F283,КВР!A$1:B$5001,2),IF(E283&gt;0,VLOOKUP(E283,Направление!A$1:B$4830,2))))))</f>
        <v xml:space="preserve">Закупка товаров, работ и услуг для обеспечения государственных (муниципальных) нужд
</v>
      </c>
      <c r="B283" s="154"/>
      <c r="C283" s="149"/>
      <c r="D283" s="150"/>
      <c r="E283" s="149"/>
      <c r="F283" s="151">
        <v>200</v>
      </c>
      <c r="G283" s="491">
        <v>0</v>
      </c>
      <c r="H283" s="190"/>
      <c r="I283" s="155">
        <f t="shared" si="16"/>
        <v>0</v>
      </c>
      <c r="J283" s="491">
        <v>0</v>
      </c>
      <c r="K283" s="190"/>
      <c r="L283" s="155">
        <f t="shared" si="17"/>
        <v>0</v>
      </c>
    </row>
    <row r="284" spans="1:12" ht="31.5" x14ac:dyDescent="0.2">
      <c r="A284" s="153" t="str">
        <f>IF(B284&gt;0,VLOOKUP(B284,КВСР!A208:B1373,2),IF(C284&gt;0,VLOOKUP(C284,КФСР!A208:B1720,2),IF(D284&gt;0,VLOOKUP(D284,Программа!A$1:B$5100,2),IF(F284&gt;0,VLOOKUP(F284,КВР!A$1:B$5001,2),IF(E284&gt;0,VLOOKUP(E284,Направление!A$1:B$4830,2))))))</f>
        <v>Социальное обеспечение и иные выплаты населению</v>
      </c>
      <c r="B284" s="154"/>
      <c r="C284" s="149"/>
      <c r="D284" s="150"/>
      <c r="E284" s="149"/>
      <c r="F284" s="151">
        <v>300</v>
      </c>
      <c r="G284" s="491">
        <v>165000</v>
      </c>
      <c r="H284" s="190"/>
      <c r="I284" s="155">
        <f t="shared" si="16"/>
        <v>165000</v>
      </c>
      <c r="J284" s="491">
        <v>165000</v>
      </c>
      <c r="K284" s="190"/>
      <c r="L284" s="155">
        <f t="shared" si="17"/>
        <v>165000</v>
      </c>
    </row>
    <row r="285" spans="1:12" ht="78.75" hidden="1" x14ac:dyDescent="0.2">
      <c r="A285" s="153" t="str">
        <f>IF(B285&gt;0,VLOOKUP(B285,КВСР!A209:B1374,2),IF(C285&gt;0,VLOOKUP(C285,КФСР!A209:B1721,2),IF(D285&gt;0,VLOOKUP(D285,Программа!A$1:B$5100,2),IF(F285&gt;0,VLOOKUP(F285,КВР!A$1:B$5001,2),IF(E285&gt;0,VLOOKUP(E285,Направление!A$1:B$4830,2))))))</f>
        <v>Оказание социальной помощи отдельным категориям граждан за счет средств областного бюджета</v>
      </c>
      <c r="B285" s="154"/>
      <c r="C285" s="149"/>
      <c r="D285" s="150"/>
      <c r="E285" s="149">
        <v>70890</v>
      </c>
      <c r="F285" s="151"/>
      <c r="G285" s="491">
        <v>0</v>
      </c>
      <c r="H285" s="491">
        <f>H286+H287</f>
        <v>0</v>
      </c>
      <c r="I285" s="155">
        <f t="shared" si="16"/>
        <v>0</v>
      </c>
      <c r="J285" s="491">
        <v>0</v>
      </c>
      <c r="K285" s="491">
        <f>K286+K287</f>
        <v>0</v>
      </c>
      <c r="L285" s="155">
        <f t="shared" si="17"/>
        <v>0</v>
      </c>
    </row>
    <row r="286" spans="1:12" ht="78.75" hidden="1" x14ac:dyDescent="0.2">
      <c r="A286" s="153" t="str">
        <f>IF(B286&gt;0,VLOOKUP(B286,КВСР!A210:B1375,2),IF(C286&gt;0,VLOOKUP(C286,КФСР!A210:B1722,2),IF(D286&gt;0,VLOOKUP(D286,Программа!A$1:B$5100,2),IF(F286&gt;0,VLOOKUP(F286,КВР!A$1:B$5001,2),IF(E286&gt;0,VLOOKUP(E286,Направление!A$1:B$4830,2))))))</f>
        <v xml:space="preserve">Закупка товаров, работ и услуг для обеспечения государственных (муниципальных) нужд
</v>
      </c>
      <c r="B286" s="154"/>
      <c r="C286" s="149"/>
      <c r="D286" s="150"/>
      <c r="E286" s="149"/>
      <c r="F286" s="151">
        <v>200</v>
      </c>
      <c r="G286" s="491">
        <v>0</v>
      </c>
      <c r="H286" s="190"/>
      <c r="I286" s="155">
        <f t="shared" si="16"/>
        <v>0</v>
      </c>
      <c r="J286" s="491">
        <v>0</v>
      </c>
      <c r="K286" s="190"/>
      <c r="L286" s="155">
        <f t="shared" si="17"/>
        <v>0</v>
      </c>
    </row>
    <row r="287" spans="1:12" ht="31.5" hidden="1" x14ac:dyDescent="0.2">
      <c r="A287" s="153" t="str">
        <f>IF(B287&gt;0,VLOOKUP(B287,КВСР!A211:B1376,2),IF(C287&gt;0,VLOOKUP(C287,КФСР!A211:B1723,2),IF(D287&gt;0,VLOOKUP(D287,Программа!A$1:B$5100,2),IF(F287&gt;0,VLOOKUP(F287,КВР!A$1:B$5001,2),IF(E287&gt;0,VLOOKUP(E287,Направление!A$1:B$4830,2))))))</f>
        <v>Социальное обеспечение и иные выплаты населению</v>
      </c>
      <c r="B287" s="154"/>
      <c r="C287" s="149"/>
      <c r="D287" s="150"/>
      <c r="E287" s="149"/>
      <c r="F287" s="151">
        <v>300</v>
      </c>
      <c r="G287" s="491">
        <v>0</v>
      </c>
      <c r="H287" s="190"/>
      <c r="I287" s="155">
        <f t="shared" si="16"/>
        <v>0</v>
      </c>
      <c r="J287" s="491">
        <v>0</v>
      </c>
      <c r="K287" s="190"/>
      <c r="L287" s="155">
        <f t="shared" si="17"/>
        <v>0</v>
      </c>
    </row>
    <row r="288" spans="1:12" ht="68.45" customHeight="1" x14ac:dyDescent="0.2">
      <c r="A288" s="153" t="str">
        <f>IF(B288&gt;0,VLOOKUP(B288,КВСР!A212:B1377,2),IF(C288&gt;0,VLOOKUP(C288,КФСР!A212:B1724,2),IF(D288&gt;0,VLOOKUP(D288,Программа!A$1:B$5100,2),IF(F288&gt;0,VLOOKUP(F288,КВР!A$1:B$5001,2),IF(E288&gt;0,VLOOKUP(E288,Направление!A$1:B$4830,2))))))</f>
        <v>Оказание социальной помощи отдельным категориям граждан за счет средств областного бюджета</v>
      </c>
      <c r="B288" s="154"/>
      <c r="C288" s="149"/>
      <c r="D288" s="150"/>
      <c r="E288" s="149" t="s">
        <v>3262</v>
      </c>
      <c r="F288" s="151"/>
      <c r="G288" s="491">
        <v>4760700</v>
      </c>
      <c r="H288" s="491">
        <f>H289+H290</f>
        <v>0</v>
      </c>
      <c r="I288" s="155">
        <f t="shared" si="16"/>
        <v>4760700</v>
      </c>
      <c r="J288" s="491">
        <v>4760700</v>
      </c>
      <c r="K288" s="491">
        <f>K289+K290</f>
        <v>0</v>
      </c>
      <c r="L288" s="155">
        <f t="shared" si="17"/>
        <v>4760700</v>
      </c>
    </row>
    <row r="289" spans="1:12" ht="49.9" customHeight="1" x14ac:dyDescent="0.2">
      <c r="A289" s="153" t="str">
        <f>IF(B289&gt;0,VLOOKUP(B289,КВСР!A213:B1378,2),IF(C289&gt;0,VLOOKUP(C289,КФСР!A213:B1725,2),IF(D289&gt;0,VLOOKUP(D289,Программа!A$1:B$5100,2),IF(F289&gt;0,VLOOKUP(F289,КВР!A$1:B$5001,2),IF(E289&gt;0,VLOOKUP(E289,Направление!A$1:B$4830,2))))))</f>
        <v xml:space="preserve">Закупка товаров, работ и услуг для обеспечения государственных (муниципальных) нужд
</v>
      </c>
      <c r="B289" s="154"/>
      <c r="C289" s="149"/>
      <c r="D289" s="150"/>
      <c r="E289" s="149"/>
      <c r="F289" s="151">
        <v>200</v>
      </c>
      <c r="G289" s="491">
        <v>171676</v>
      </c>
      <c r="H289" s="190"/>
      <c r="I289" s="155">
        <f t="shared" si="16"/>
        <v>171676</v>
      </c>
      <c r="J289" s="491">
        <v>171676</v>
      </c>
      <c r="K289" s="190"/>
      <c r="L289" s="155">
        <f t="shared" si="17"/>
        <v>171676</v>
      </c>
    </row>
    <row r="290" spans="1:12" ht="31.5" x14ac:dyDescent="0.2">
      <c r="A290" s="153" t="str">
        <f>IF(B290&gt;0,VLOOKUP(B290,КВСР!A214:B1379,2),IF(C290&gt;0,VLOOKUP(C290,КФСР!A214:B1726,2),IF(D290&gt;0,VLOOKUP(D290,Программа!A$1:B$5100,2),IF(F290&gt;0,VLOOKUP(F290,КВР!A$1:B$5001,2),IF(E290&gt;0,VLOOKUP(E290,Направление!A$1:B$4830,2))))))</f>
        <v>Социальное обеспечение и иные выплаты населению</v>
      </c>
      <c r="B290" s="154"/>
      <c r="C290" s="149"/>
      <c r="D290" s="150"/>
      <c r="E290" s="149"/>
      <c r="F290" s="151">
        <v>300</v>
      </c>
      <c r="G290" s="491">
        <v>4589024</v>
      </c>
      <c r="H290" s="190"/>
      <c r="I290" s="155">
        <f t="shared" si="16"/>
        <v>4589024</v>
      </c>
      <c r="J290" s="491">
        <v>4589024</v>
      </c>
      <c r="K290" s="190"/>
      <c r="L290" s="155">
        <f t="shared" si="17"/>
        <v>4589024</v>
      </c>
    </row>
    <row r="291" spans="1:12" ht="15.75" x14ac:dyDescent="0.2">
      <c r="A291" s="153" t="str">
        <f>IF(B291&gt;0,VLOOKUP(B291,КВСР!A209:B1374,2),IF(C291&gt;0,VLOOKUP(C291,КФСР!A209:B1721,2),IF(D291&gt;0,VLOOKUP(D291,Программа!A$1:B$5100,2),IF(F291&gt;0,VLOOKUP(F291,КВР!A$1:B$5001,2),IF(E291&gt;0,VLOOKUP(E291,Направление!A$1:B$4830,2))))))</f>
        <v>Охрана семьи и детства</v>
      </c>
      <c r="B291" s="154"/>
      <c r="C291" s="149">
        <v>1004</v>
      </c>
      <c r="D291" s="150"/>
      <c r="E291" s="149"/>
      <c r="F291" s="151"/>
      <c r="G291" s="500">
        <v>53290000</v>
      </c>
      <c r="H291" s="155">
        <f>H292</f>
        <v>0</v>
      </c>
      <c r="I291" s="155">
        <f t="shared" si="16"/>
        <v>53290000</v>
      </c>
      <c r="J291" s="500">
        <v>54196000</v>
      </c>
      <c r="K291" s="155">
        <f>K292</f>
        <v>0</v>
      </c>
      <c r="L291" s="155">
        <f t="shared" si="17"/>
        <v>54196000</v>
      </c>
    </row>
    <row r="292" spans="1:12" ht="63" x14ac:dyDescent="0.2">
      <c r="A292" s="153" t="str">
        <f>IF(B292&gt;0,VLOOKUP(B292,КВСР!A234:B1399,2),IF(C292&gt;0,VLOOKUP(C292,КФСР!A234:B1746,2),IF(D292&gt;0,VLOOKUP(D292,Программа!A$1:B$5100,2),IF(F292&gt;0,VLOOKUP(F292,КВР!A$1:B$5001,2),IF(E292&gt;0,VLOOKUP(E292,Направление!A$1:B$4830,2))))))</f>
        <v>Муниципальная программа "Социальная поддержка населения Тутаевского муниципального района"</v>
      </c>
      <c r="B292" s="154"/>
      <c r="C292" s="149"/>
      <c r="D292" s="150" t="s">
        <v>693</v>
      </c>
      <c r="E292" s="149"/>
      <c r="F292" s="151"/>
      <c r="G292" s="500">
        <v>53290000</v>
      </c>
      <c r="H292" s="155">
        <f>H293</f>
        <v>0</v>
      </c>
      <c r="I292" s="155">
        <f>SUM(G292:H292)</f>
        <v>53290000</v>
      </c>
      <c r="J292" s="500">
        <v>54196000</v>
      </c>
      <c r="K292" s="155">
        <f>K293</f>
        <v>0</v>
      </c>
      <c r="L292" s="155">
        <f t="shared" si="17"/>
        <v>54196000</v>
      </c>
    </row>
    <row r="293" spans="1:12" ht="78.75" x14ac:dyDescent="0.2">
      <c r="A293" s="153" t="str">
        <f>IF(B293&gt;0,VLOOKUP(B293,КВСР!A235:B1400,2),IF(C293&gt;0,VLOOKUP(C293,КФСР!A235:B1747,2),IF(D293&gt;0,VLOOKUP(D293,Программа!A$1:B$5100,2),IF(F293&gt;0,VLOOKUP(F293,КВР!A$1:B$5001,2),IF(E293&gt;0,VLOOKUP(E293,Направление!A$1:B$4830,2))))))</f>
        <v xml:space="preserve">Ведомственная целевая программа «Социальная поддержка населения Тутаевского муниципального района» </v>
      </c>
      <c r="B293" s="154"/>
      <c r="C293" s="149"/>
      <c r="D293" s="150" t="s">
        <v>766</v>
      </c>
      <c r="E293" s="149"/>
      <c r="F293" s="151"/>
      <c r="G293" s="500">
        <v>53290000</v>
      </c>
      <c r="H293" s="155">
        <f>H294+H306</f>
        <v>0</v>
      </c>
      <c r="I293" s="155">
        <f>SUM(G293:H293)</f>
        <v>53290000</v>
      </c>
      <c r="J293" s="500">
        <v>54196000</v>
      </c>
      <c r="K293" s="155">
        <f>K294+K306</f>
        <v>0</v>
      </c>
      <c r="L293" s="155">
        <f t="shared" si="17"/>
        <v>54196000</v>
      </c>
    </row>
    <row r="294" spans="1:12" ht="63" x14ac:dyDescent="0.2">
      <c r="A294" s="153" t="str">
        <f>IF(B294&gt;0,VLOOKUP(B294,КВСР!A236:B1401,2),IF(C294&gt;0,VLOOKUP(C294,КФСР!A236:B1748,2),IF(D294&gt;0,VLOOKUP(D294,Программа!A$1:B$5100,2),IF(F294&gt;0,VLOOKUP(F294,КВР!A$1:B$5001,2),IF(E294&gt;0,VLOOKUP(E294,Направление!A$1:B$4830,2))))))</f>
        <v>Исполнение публичных обязательств по предоставлению выплат, пособий и компенсаций</v>
      </c>
      <c r="B294" s="154"/>
      <c r="C294" s="149"/>
      <c r="D294" s="174" t="s">
        <v>768</v>
      </c>
      <c r="E294" s="175"/>
      <c r="F294" s="151"/>
      <c r="G294" s="500">
        <v>53290000</v>
      </c>
      <c r="H294" s="500">
        <f>H297+H303+H299+H295+H301</f>
        <v>0</v>
      </c>
      <c r="I294" s="500">
        <f>I297+I303+I299+I295+I301</f>
        <v>53290000</v>
      </c>
      <c r="J294" s="500">
        <v>54196000</v>
      </c>
      <c r="K294" s="500">
        <f>K297+K303+K299+K295+K301</f>
        <v>0</v>
      </c>
      <c r="L294" s="155">
        <f t="shared" si="17"/>
        <v>54196000</v>
      </c>
    </row>
    <row r="295" spans="1:12" ht="189" x14ac:dyDescent="0.2">
      <c r="A295" s="153" t="str">
        <f>IF(B295&gt;0,VLOOKUP(B295,КВСР!A237:B1402,2),IF(C295&gt;0,VLOOKUP(C295,КФСР!A237:B1749,2),IF(D295&gt;0,VLOOKUP(D295,Программа!A$1:B$5100,2),IF(F295&gt;0,VLOOKUP(F295,КВР!A$1:B$5001,2),IF(E295&gt;0,VLOOKUP(E295,Направление!A$1:B$4830,2))))))</f>
        <v>Расходы на выплату единовременного пособия беременной жене военнослужащего, проходящего военную службу по призыву, а также ежемесячного пособия на ребенка военнослужащего, проходящего военную службу по призыву, за счет средств федерального бюджета</v>
      </c>
      <c r="B295" s="154"/>
      <c r="C295" s="149"/>
      <c r="D295" s="174"/>
      <c r="E295" s="175">
        <v>52700</v>
      </c>
      <c r="F295" s="151"/>
      <c r="G295" s="500">
        <v>487000</v>
      </c>
      <c r="H295" s="155">
        <f>H296</f>
        <v>0</v>
      </c>
      <c r="I295" s="155">
        <f t="shared" ref="I295:I365" si="18">SUM(G295:H295)</f>
        <v>487000</v>
      </c>
      <c r="J295" s="500">
        <v>506000</v>
      </c>
      <c r="K295" s="155">
        <f>K296</f>
        <v>0</v>
      </c>
      <c r="L295" s="155">
        <f t="shared" ref="L295:L365" si="19">SUM(J295:K295)</f>
        <v>506000</v>
      </c>
    </row>
    <row r="296" spans="1:12" ht="31.5" x14ac:dyDescent="0.2">
      <c r="A296" s="153" t="str">
        <f>IF(B296&gt;0,VLOOKUP(B296,КВСР!A238:B1403,2),IF(C296&gt;0,VLOOKUP(C296,КФСР!A238:B1750,2),IF(D296&gt;0,VLOOKUP(D296,Программа!A$1:B$5100,2),IF(F296&gt;0,VLOOKUP(F296,КВР!A$1:B$5001,2),IF(E296&gt;0,VLOOKUP(E296,Направление!A$1:B$4830,2))))))</f>
        <v>Социальное обеспечение и иные выплаты населению</v>
      </c>
      <c r="B296" s="154"/>
      <c r="C296" s="149"/>
      <c r="D296" s="174"/>
      <c r="E296" s="175"/>
      <c r="F296" s="151">
        <v>300</v>
      </c>
      <c r="G296" s="500">
        <v>487000</v>
      </c>
      <c r="H296" s="155"/>
      <c r="I296" s="155">
        <f t="shared" si="18"/>
        <v>487000</v>
      </c>
      <c r="J296" s="500">
        <v>506000</v>
      </c>
      <c r="K296" s="155"/>
      <c r="L296" s="155">
        <f t="shared" si="19"/>
        <v>506000</v>
      </c>
    </row>
    <row r="297" spans="1:12" ht="157.5" x14ac:dyDescent="0.2">
      <c r="A297" s="153" t="str">
        <f>IF(B297&gt;0,VLOOKUP(B297,КВСР!A236:B1401,2),IF(C297&gt;0,VLOOKUP(C297,КФСР!A236:B1748,2),IF(D297&gt;0,VLOOKUP(D297,Программа!A$1:B$5100,2),IF(F297&gt;0,VLOOKUP(F297,КВР!A$1:B$5001,2),IF(E297&gt;0,VLOOKUP(E297,Направление!A$1:B$4830,2))))))</f>
        <v>Расходы на выплату пособий по уходу за ребенком до достижения им возраста полутора лет гражданам, не подлежащим обязательному социальному страхованию на случай временной нетрудоспособности и в связи с материнством</v>
      </c>
      <c r="B297" s="154"/>
      <c r="C297" s="149"/>
      <c r="D297" s="150"/>
      <c r="E297" s="149">
        <v>53810</v>
      </c>
      <c r="F297" s="151"/>
      <c r="G297" s="500">
        <v>20049000</v>
      </c>
      <c r="H297" s="155">
        <f>H298</f>
        <v>0</v>
      </c>
      <c r="I297" s="155">
        <f t="shared" si="18"/>
        <v>20049000</v>
      </c>
      <c r="J297" s="500">
        <v>20851000</v>
      </c>
      <c r="K297" s="155">
        <f>K298</f>
        <v>0</v>
      </c>
      <c r="L297" s="155">
        <f t="shared" si="19"/>
        <v>20851000</v>
      </c>
    </row>
    <row r="298" spans="1:12" ht="31.5" x14ac:dyDescent="0.2">
      <c r="A298" s="153" t="str">
        <f>IF(B298&gt;0,VLOOKUP(B298,КВСР!A237:B1402,2),IF(C298&gt;0,VLOOKUP(C298,КФСР!A237:B1749,2),IF(D298&gt;0,VLOOKUP(D298,Программа!A$1:B$5100,2),IF(F298&gt;0,VLOOKUP(F298,КВР!A$1:B$5001,2),IF(E298&gt;0,VLOOKUP(E298,Направление!A$1:B$4830,2))))))</f>
        <v>Социальное обеспечение и иные выплаты населению</v>
      </c>
      <c r="B298" s="154"/>
      <c r="C298" s="149"/>
      <c r="D298" s="150"/>
      <c r="E298" s="149"/>
      <c r="F298" s="151">
        <v>300</v>
      </c>
      <c r="G298" s="491">
        <v>20049000</v>
      </c>
      <c r="H298" s="190"/>
      <c r="I298" s="155">
        <f t="shared" si="18"/>
        <v>20049000</v>
      </c>
      <c r="J298" s="491">
        <v>20851000</v>
      </c>
      <c r="K298" s="190"/>
      <c r="L298" s="155">
        <f t="shared" si="19"/>
        <v>20851000</v>
      </c>
    </row>
    <row r="299" spans="1:12" ht="126" x14ac:dyDescent="0.2">
      <c r="A299" s="153" t="str">
        <f>IF(B299&gt;0,VLOOKUP(B299,КВСР!A238:B1403,2),IF(C299&gt;0,VLOOKUP(C299,КФСР!A238:B1750,2),IF(D299&gt;0,VLOOKUP(D299,Программа!A$1:B$5100,2),IF(F299&gt;0,VLOOKUP(F299,КВР!A$1:B$5001,2),IF(E299&gt;0,VLOOKUP(E299,Направление!A$1:B$4830,2))))))</f>
        <v>Расходы на выплаты пособий при рождении ребенка гражданам, не подлежащим обязательному социальному страхованию на случай временной нетрудоспособности и в связи с материнством</v>
      </c>
      <c r="B299" s="154"/>
      <c r="C299" s="149"/>
      <c r="D299" s="150"/>
      <c r="E299" s="149">
        <v>53850</v>
      </c>
      <c r="F299" s="151"/>
      <c r="G299" s="491">
        <v>2133000</v>
      </c>
      <c r="H299" s="491">
        <f>H300</f>
        <v>0</v>
      </c>
      <c r="I299" s="155">
        <f t="shared" si="18"/>
        <v>2133000</v>
      </c>
      <c r="J299" s="491">
        <v>2218000</v>
      </c>
      <c r="K299" s="491">
        <f>K300</f>
        <v>0</v>
      </c>
      <c r="L299" s="155">
        <f t="shared" si="19"/>
        <v>2218000</v>
      </c>
    </row>
    <row r="300" spans="1:12" ht="31.5" x14ac:dyDescent="0.2">
      <c r="A300" s="153" t="str">
        <f>IF(B300&gt;0,VLOOKUP(B300,КВСР!A239:B1404,2),IF(C300&gt;0,VLOOKUP(C300,КФСР!A239:B1751,2),IF(D300&gt;0,VLOOKUP(D300,Программа!A$1:B$5100,2),IF(F300&gt;0,VLOOKUP(F300,КВР!A$1:B$5001,2),IF(E300&gt;0,VLOOKUP(E300,Направление!A$1:B$4830,2))))))</f>
        <v>Социальное обеспечение и иные выплаты населению</v>
      </c>
      <c r="B300" s="154"/>
      <c r="C300" s="149"/>
      <c r="D300" s="150"/>
      <c r="E300" s="149"/>
      <c r="F300" s="151">
        <v>300</v>
      </c>
      <c r="G300" s="491">
        <v>2133000</v>
      </c>
      <c r="H300" s="190"/>
      <c r="I300" s="155">
        <f t="shared" si="18"/>
        <v>2133000</v>
      </c>
      <c r="J300" s="491">
        <v>2218000</v>
      </c>
      <c r="K300" s="190"/>
      <c r="L300" s="155">
        <f t="shared" si="19"/>
        <v>2218000</v>
      </c>
    </row>
    <row r="301" spans="1:12" ht="141.75" x14ac:dyDescent="0.2">
      <c r="A301" s="153" t="str">
        <f>IF(B301&gt;0,VLOOKUP(B301,КВСР!A240:B1405,2),IF(C301&gt;0,VLOOKUP(C301,КФСР!A240:B1752,2),IF(D301&gt;0,VLOOKUP(D301,Программа!A$1:B$5100,2),IF(F301&gt;0,VLOOKUP(F301,КВР!A$1:B$5001,2),IF(E301&gt;0,VLOOKUP(E301,Направление!A$1:B$4830,2))))))</f>
        <v>Ежемесячная денежная выплата, назначаемая в случае рождения третьего ребенка или последующих детей до достижения ребенком возраста трех лет, в части расходов по доставке выплат получателям</v>
      </c>
      <c r="B301" s="154"/>
      <c r="C301" s="149"/>
      <c r="D301" s="150"/>
      <c r="E301" s="149">
        <v>75480</v>
      </c>
      <c r="F301" s="151"/>
      <c r="G301" s="491">
        <v>714000</v>
      </c>
      <c r="H301" s="491">
        <f>H302</f>
        <v>0</v>
      </c>
      <c r="I301" s="491">
        <f>I302</f>
        <v>714000</v>
      </c>
      <c r="J301" s="491">
        <v>714000</v>
      </c>
      <c r="K301" s="491">
        <f>K302</f>
        <v>0</v>
      </c>
      <c r="L301" s="491">
        <f>L302</f>
        <v>714000</v>
      </c>
    </row>
    <row r="302" spans="1:12" ht="78.75" x14ac:dyDescent="0.2">
      <c r="A302" s="153" t="str">
        <f>IF(B302&gt;0,VLOOKUP(B302,КВСР!A241:B1406,2),IF(C302&gt;0,VLOOKUP(C302,КФСР!A241:B1753,2),IF(D302&gt;0,VLOOKUP(D302,Программа!A$1:B$5100,2),IF(F302&gt;0,VLOOKUP(F302,КВР!A$1:B$5001,2),IF(E302&gt;0,VLOOKUP(E302,Направление!A$1:B$4830,2))))))</f>
        <v xml:space="preserve">Закупка товаров, работ и услуг для обеспечения государственных (муниципальных) нужд
</v>
      </c>
      <c r="B302" s="154"/>
      <c r="C302" s="149"/>
      <c r="D302" s="150"/>
      <c r="E302" s="149"/>
      <c r="F302" s="151">
        <v>200</v>
      </c>
      <c r="G302" s="491">
        <v>714000</v>
      </c>
      <c r="H302" s="190"/>
      <c r="I302" s="155">
        <f t="shared" si="18"/>
        <v>714000</v>
      </c>
      <c r="J302" s="491">
        <v>714000</v>
      </c>
      <c r="K302" s="190"/>
      <c r="L302" s="155">
        <f t="shared" si="19"/>
        <v>714000</v>
      </c>
    </row>
    <row r="303" spans="1:12" ht="126" x14ac:dyDescent="0.2">
      <c r="A303" s="153" t="str">
        <f>IF(B303&gt;0,VLOOKUP(B303,КВСР!A238:B1403,2),IF(C303&gt;0,VLOOKUP(C303,КФСР!A238:B1750,2),IF(D303&gt;0,VLOOKUP(D303,Программа!A$1:B$5100,2),IF(F303&gt;0,VLOOKUP(F303,КВР!A$1:B$5001,2),IF(E303&gt;0,VLOOKUP(E303,Направление!A$1:B$4830,2))))))</f>
        <v>Ежемесячная денежная выплата, назначаемая в случае рождения третьего ребенка или последующих детей до достижения ребенком возраста трех лет, за счет средств областного бюджета</v>
      </c>
      <c r="B303" s="154"/>
      <c r="C303" s="149"/>
      <c r="D303" s="150"/>
      <c r="E303" s="149" t="s">
        <v>2910</v>
      </c>
      <c r="F303" s="151"/>
      <c r="G303" s="500">
        <v>29907000</v>
      </c>
      <c r="H303" s="155">
        <f>H305+H304</f>
        <v>0</v>
      </c>
      <c r="I303" s="155">
        <f t="shared" si="18"/>
        <v>29907000</v>
      </c>
      <c r="J303" s="500">
        <v>29907000</v>
      </c>
      <c r="K303" s="155">
        <f>K305+K304</f>
        <v>0</v>
      </c>
      <c r="L303" s="155">
        <f t="shared" si="19"/>
        <v>29907000</v>
      </c>
    </row>
    <row r="304" spans="1:12" ht="78.75" hidden="1" x14ac:dyDescent="0.2">
      <c r="A304" s="153" t="str">
        <f>IF(B304&gt;0,VLOOKUP(B304,КВСР!A239:B1404,2),IF(C304&gt;0,VLOOKUP(C304,КФСР!A239:B1751,2),IF(D304&gt;0,VLOOKUP(D304,Программа!A$1:B$5100,2),IF(F304&gt;0,VLOOKUP(F304,КВР!A$1:B$5001,2),IF(E304&gt;0,VLOOKUP(E304,Направление!A$1:B$4830,2))))))</f>
        <v xml:space="preserve">Закупка товаров, работ и услуг для обеспечения государственных (муниципальных) нужд
</v>
      </c>
      <c r="B304" s="154"/>
      <c r="C304" s="149"/>
      <c r="D304" s="150"/>
      <c r="E304" s="149"/>
      <c r="F304" s="151">
        <v>200</v>
      </c>
      <c r="G304" s="542">
        <v>0</v>
      </c>
      <c r="H304" s="191"/>
      <c r="I304" s="155">
        <f t="shared" si="18"/>
        <v>0</v>
      </c>
      <c r="J304" s="542">
        <v>0</v>
      </c>
      <c r="K304" s="191"/>
      <c r="L304" s="155">
        <f t="shared" si="19"/>
        <v>0</v>
      </c>
    </row>
    <row r="305" spans="1:12" ht="31.5" x14ac:dyDescent="0.2">
      <c r="A305" s="153" t="str">
        <f>IF(B305&gt;0,VLOOKUP(B305,КВСР!A239:B1404,2),IF(C305&gt;0,VLOOKUP(C305,КФСР!A239:B1751,2),IF(D305&gt;0,VLOOKUP(D305,Программа!A$1:B$5100,2),IF(F305&gt;0,VLOOKUP(F305,КВР!A$1:B$5001,2),IF(E305&gt;0,VLOOKUP(E305,Направление!A$1:B$4830,2))))))</f>
        <v>Социальное обеспечение и иные выплаты населению</v>
      </c>
      <c r="B305" s="154"/>
      <c r="C305" s="149"/>
      <c r="D305" s="150"/>
      <c r="E305" s="149"/>
      <c r="F305" s="151">
        <v>300</v>
      </c>
      <c r="G305" s="491">
        <v>29907000</v>
      </c>
      <c r="H305" s="190"/>
      <c r="I305" s="155">
        <f t="shared" si="18"/>
        <v>29907000</v>
      </c>
      <c r="J305" s="491">
        <v>29907000</v>
      </c>
      <c r="K305" s="190"/>
      <c r="L305" s="155">
        <f t="shared" si="19"/>
        <v>29907000</v>
      </c>
    </row>
    <row r="306" spans="1:12" ht="78.75" hidden="1" x14ac:dyDescent="0.2">
      <c r="A306" s="153" t="str">
        <f>IF(B306&gt;0,VLOOKUP(B306,КВСР!A240:B1405,2),IF(C306&gt;0,VLOOKUP(C306,КФСР!A240:B1752,2),IF(D306&gt;0,VLOOKUP(D306,Программа!A$1:B$5100,2),IF(F306&gt;0,VLOOKUP(F306,КВР!A$1:B$5001,2),IF(E306&gt;0,VLOOKUP(E306,Направление!A$1:B$4830,2))))))</f>
        <v>Социальная защита семей с детьми, инвалидов, ветеранов, граждан и детей, оказавшихся в трудной жизненной ситуации</v>
      </c>
      <c r="B306" s="154"/>
      <c r="C306" s="149"/>
      <c r="D306" s="150" t="s">
        <v>786</v>
      </c>
      <c r="E306" s="149"/>
      <c r="F306" s="151"/>
      <c r="G306" s="500">
        <v>0</v>
      </c>
      <c r="H306" s="155">
        <f>H307</f>
        <v>0</v>
      </c>
      <c r="I306" s="155">
        <f t="shared" si="18"/>
        <v>0</v>
      </c>
      <c r="J306" s="500">
        <v>0</v>
      </c>
      <c r="K306" s="155">
        <f>K307</f>
        <v>0</v>
      </c>
      <c r="L306" s="155">
        <f t="shared" si="19"/>
        <v>0</v>
      </c>
    </row>
    <row r="307" spans="1:12" ht="110.25" hidden="1" x14ac:dyDescent="0.2">
      <c r="A307" s="153" t="str">
        <f>IF(B307&gt;0,VLOOKUP(B307,КВСР!A241:B1406,2),IF(C307&gt;0,VLOOKUP(C307,КФСР!A241:B1753,2),IF(D307&gt;0,VLOOKUP(D307,Программа!A$1:B$5100,2),IF(F307&gt;0,VLOOKUP(F307,КВР!A$1:B$5001,2),IF(E307&gt;0,VLOOKUP(E307,Направление!A$1:B$4830,2))))))</f>
        <v>Расходы на укрепление института семьи, повышение качества жизни семей с несовершеннолетними детьми за счет средств областного бюджета</v>
      </c>
      <c r="B307" s="154"/>
      <c r="C307" s="149"/>
      <c r="D307" s="150"/>
      <c r="E307" s="149">
        <v>70970</v>
      </c>
      <c r="F307" s="151"/>
      <c r="G307" s="500">
        <v>0</v>
      </c>
      <c r="H307" s="155">
        <f>H308</f>
        <v>0</v>
      </c>
      <c r="I307" s="155">
        <f t="shared" si="18"/>
        <v>0</v>
      </c>
      <c r="J307" s="500">
        <v>0</v>
      </c>
      <c r="K307" s="155">
        <f>K308</f>
        <v>0</v>
      </c>
      <c r="L307" s="155">
        <f t="shared" si="19"/>
        <v>0</v>
      </c>
    </row>
    <row r="308" spans="1:12" ht="78.75" hidden="1" x14ac:dyDescent="0.2">
      <c r="A308" s="153" t="str">
        <f>IF(B308&gt;0,VLOOKUP(B308,КВСР!A239:B1404,2),IF(C308&gt;0,VLOOKUP(C308,КФСР!A239:B1751,2),IF(D308&gt;0,VLOOKUP(D308,Программа!A$1:B$5100,2),IF(F308&gt;0,VLOOKUP(F308,КВР!A$1:B$5001,2),IF(E308&gt;0,VLOOKUP(E308,Направление!A$1:B$4830,2))))))</f>
        <v xml:space="preserve">Закупка товаров, работ и услуг для обеспечения государственных (муниципальных) нужд
</v>
      </c>
      <c r="B308" s="154"/>
      <c r="C308" s="149"/>
      <c r="D308" s="150"/>
      <c r="E308" s="149"/>
      <c r="F308" s="151">
        <v>200</v>
      </c>
      <c r="G308" s="491">
        <v>0</v>
      </c>
      <c r="H308" s="190"/>
      <c r="I308" s="155">
        <f t="shared" si="18"/>
        <v>0</v>
      </c>
      <c r="J308" s="491">
        <v>0</v>
      </c>
      <c r="K308" s="190"/>
      <c r="L308" s="155">
        <f t="shared" si="19"/>
        <v>0</v>
      </c>
    </row>
    <row r="309" spans="1:12" ht="31.5" x14ac:dyDescent="0.2">
      <c r="A309" s="153" t="str">
        <f>IF(B309&gt;0,VLOOKUP(B309,КВСР!A238:B1403,2),IF(C309&gt;0,VLOOKUP(C309,КФСР!A238:B1750,2),IF(D309&gt;0,VLOOKUP(D309,Программа!A$1:B$5100,2),IF(F309&gt;0,VLOOKUP(F309,КВР!A$1:B$5001,2),IF(E309&gt;0,VLOOKUP(E309,Направление!A$1:B$4830,2))))))</f>
        <v>Другие вопросы в области социальной политики</v>
      </c>
      <c r="B309" s="154"/>
      <c r="C309" s="149">
        <v>1006</v>
      </c>
      <c r="D309" s="150"/>
      <c r="E309" s="149"/>
      <c r="F309" s="151"/>
      <c r="G309" s="500">
        <v>13759700</v>
      </c>
      <c r="H309" s="155">
        <f>H310</f>
        <v>0</v>
      </c>
      <c r="I309" s="155">
        <f t="shared" si="18"/>
        <v>13759700</v>
      </c>
      <c r="J309" s="500">
        <v>13759700</v>
      </c>
      <c r="K309" s="155">
        <f>K310</f>
        <v>0</v>
      </c>
      <c r="L309" s="155">
        <f t="shared" si="19"/>
        <v>13759700</v>
      </c>
    </row>
    <row r="310" spans="1:12" ht="63" x14ac:dyDescent="0.2">
      <c r="A310" s="153" t="str">
        <f>IF(B310&gt;0,VLOOKUP(B310,КВСР!A239:B1404,2),IF(C310&gt;0,VLOOKUP(C310,КФСР!A239:B1751,2),IF(D310&gt;0,VLOOKUP(D310,Программа!A$1:B$5100,2),IF(F310&gt;0,VLOOKUP(F310,КВР!A$1:B$5001,2),IF(E310&gt;0,VLOOKUP(E310,Направление!A$1:B$4830,2))))))</f>
        <v>Муниципальная программа "Социальная поддержка населения Тутаевского муниципального района"</v>
      </c>
      <c r="B310" s="154"/>
      <c r="C310" s="149"/>
      <c r="D310" s="150" t="s">
        <v>693</v>
      </c>
      <c r="E310" s="149"/>
      <c r="F310" s="151"/>
      <c r="G310" s="500">
        <v>13759700</v>
      </c>
      <c r="H310" s="155">
        <f>H311</f>
        <v>0</v>
      </c>
      <c r="I310" s="155">
        <f t="shared" si="18"/>
        <v>13759700</v>
      </c>
      <c r="J310" s="500">
        <v>13759700</v>
      </c>
      <c r="K310" s="155">
        <f>K311</f>
        <v>0</v>
      </c>
      <c r="L310" s="155">
        <f t="shared" si="19"/>
        <v>13759700</v>
      </c>
    </row>
    <row r="311" spans="1:12" ht="78.75" x14ac:dyDescent="0.2">
      <c r="A311" s="153" t="str">
        <f>IF(B311&gt;0,VLOOKUP(B311,КВСР!A240:B1405,2),IF(C311&gt;0,VLOOKUP(C311,КФСР!A240:B1752,2),IF(D311&gt;0,VLOOKUP(D311,Программа!A$1:B$5100,2),IF(F311&gt;0,VLOOKUP(F311,КВР!A$1:B$5001,2),IF(E311&gt;0,VLOOKUP(E311,Направление!A$1:B$4830,2))))))</f>
        <v xml:space="preserve">Ведомственная целевая программа «Социальная поддержка населения Тутаевского муниципального района» </v>
      </c>
      <c r="B311" s="154"/>
      <c r="C311" s="149"/>
      <c r="D311" s="150" t="s">
        <v>766</v>
      </c>
      <c r="E311" s="149"/>
      <c r="F311" s="151"/>
      <c r="G311" s="500">
        <v>13759700</v>
      </c>
      <c r="H311" s="155">
        <f>H312+H319</f>
        <v>0</v>
      </c>
      <c r="I311" s="155">
        <f t="shared" si="18"/>
        <v>13759700</v>
      </c>
      <c r="J311" s="500">
        <v>13759700</v>
      </c>
      <c r="K311" s="155">
        <f>K312+K319</f>
        <v>0</v>
      </c>
      <c r="L311" s="155">
        <f t="shared" si="19"/>
        <v>13759700</v>
      </c>
    </row>
    <row r="312" spans="1:12" ht="63" x14ac:dyDescent="0.2">
      <c r="A312" s="153" t="str">
        <f>IF(B312&gt;0,VLOOKUP(B312,КВСР!A241:B1406,2),IF(C312&gt;0,VLOOKUP(C312,КФСР!A241:B1753,2),IF(D312&gt;0,VLOOKUP(D312,Программа!A$1:B$5100,2),IF(F312&gt;0,VLOOKUP(F312,КВР!A$1:B$5001,2),IF(E312&gt;0,VLOOKUP(E312,Направление!A$1:B$4830,2))))))</f>
        <v>Исполнение публичных обязательств по предоставлению выплат, пособий и компенсаций</v>
      </c>
      <c r="B312" s="154"/>
      <c r="C312" s="149"/>
      <c r="D312" s="150" t="s">
        <v>768</v>
      </c>
      <c r="E312" s="149"/>
      <c r="F312" s="151"/>
      <c r="G312" s="500">
        <v>13434700</v>
      </c>
      <c r="H312" s="155">
        <f>H313+H315</f>
        <v>0</v>
      </c>
      <c r="I312" s="155">
        <f t="shared" si="18"/>
        <v>13434700</v>
      </c>
      <c r="J312" s="500">
        <v>13434700</v>
      </c>
      <c r="K312" s="155">
        <f>K313+K315</f>
        <v>0</v>
      </c>
      <c r="L312" s="155">
        <f t="shared" si="19"/>
        <v>13434700</v>
      </c>
    </row>
    <row r="313" spans="1:12" ht="31.5" x14ac:dyDescent="0.2">
      <c r="A313" s="153" t="str">
        <f>IF(B313&gt;0,VLOOKUP(B313,КВСР!A242:B1407,2),IF(C313&gt;0,VLOOKUP(C313,КФСР!A242:B1754,2),IF(D313&gt;0,VLOOKUP(D313,Программа!A$1:B$5100,2),IF(F313&gt;0,VLOOKUP(F313,КВР!A$1:B$5001,2),IF(E313&gt;0,VLOOKUP(E313,Направление!A$1:B$4830,2))))))</f>
        <v>Содержание центрального аппарата</v>
      </c>
      <c r="B313" s="154"/>
      <c r="C313" s="149"/>
      <c r="D313" s="150"/>
      <c r="E313" s="149">
        <v>12010</v>
      </c>
      <c r="F313" s="151"/>
      <c r="G313" s="500">
        <v>347700</v>
      </c>
      <c r="H313" s="155">
        <f>H314</f>
        <v>0</v>
      </c>
      <c r="I313" s="155">
        <f t="shared" si="18"/>
        <v>347700</v>
      </c>
      <c r="J313" s="500">
        <v>347700</v>
      </c>
      <c r="K313" s="155">
        <f>K314</f>
        <v>0</v>
      </c>
      <c r="L313" s="155">
        <f t="shared" si="19"/>
        <v>347700</v>
      </c>
    </row>
    <row r="314" spans="1:12" ht="173.25" x14ac:dyDescent="0.2">
      <c r="A314" s="153" t="str">
        <f>IF(B314&gt;0,VLOOKUP(B314,КВСР!A242:B1407,2),IF(C314&gt;0,VLOOKUP(C314,КФСР!A242:B1754,2),IF(D314&gt;0,VLOOKUP(D314,Программа!A$1:B$5100,2),IF(F314&gt;0,VLOOKUP(F314,КВР!A$1:B$5001,2),IF(E314&gt;0,VLOOKUP(E314,Направление!A$1:B$4830,2))))))</f>
        <v xml:space="preserve">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
</v>
      </c>
      <c r="B314" s="154"/>
      <c r="C314" s="149"/>
      <c r="D314" s="150"/>
      <c r="E314" s="149"/>
      <c r="F314" s="151">
        <v>100</v>
      </c>
      <c r="G314" s="491">
        <v>347700</v>
      </c>
      <c r="H314" s="190"/>
      <c r="I314" s="155">
        <f t="shared" si="18"/>
        <v>347700</v>
      </c>
      <c r="J314" s="491">
        <v>347700</v>
      </c>
      <c r="K314" s="190"/>
      <c r="L314" s="155">
        <f t="shared" si="19"/>
        <v>347700</v>
      </c>
    </row>
    <row r="315" spans="1:12" ht="94.5" x14ac:dyDescent="0.2">
      <c r="A315" s="153" t="str">
        <f>IF(B315&gt;0,VLOOKUP(B315,КВСР!A244:B1409,2),IF(C315&gt;0,VLOOKUP(C315,КФСР!A244:B1756,2),IF(D315&gt;0,VLOOKUP(D315,Программа!A$1:B$5100,2),IF(F315&gt;0,VLOOKUP(F315,КВР!A$1:B$5001,2),IF(E315&gt;0,VLOOKUP(E315,Направление!A$1:B$4830,2))))))</f>
        <v>Расходы на обеспечение деятельности органов местного самоуправления в сфере социальной защиты населения за счет средств областного бюджета</v>
      </c>
      <c r="B315" s="154"/>
      <c r="C315" s="149"/>
      <c r="D315" s="150"/>
      <c r="E315" s="149">
        <v>70870</v>
      </c>
      <c r="F315" s="151"/>
      <c r="G315" s="500">
        <v>13087000</v>
      </c>
      <c r="H315" s="155">
        <f>H316+H317+H318</f>
        <v>0</v>
      </c>
      <c r="I315" s="155">
        <f t="shared" si="18"/>
        <v>13087000</v>
      </c>
      <c r="J315" s="500">
        <v>13087000</v>
      </c>
      <c r="K315" s="155">
        <f>K316+K317+K318</f>
        <v>0</v>
      </c>
      <c r="L315" s="155">
        <f t="shared" si="19"/>
        <v>13087000</v>
      </c>
    </row>
    <row r="316" spans="1:12" ht="173.25" x14ac:dyDescent="0.2">
      <c r="A316" s="153" t="str">
        <f>IF(B316&gt;0,VLOOKUP(B316,КВСР!A245:B1410,2),IF(C316&gt;0,VLOOKUP(C316,КФСР!A245:B1757,2),IF(D316&gt;0,VLOOKUP(D316,Программа!A$1:B$5100,2),IF(F316&gt;0,VLOOKUP(F316,КВР!A$1:B$5001,2),IF(E316&gt;0,VLOOKUP(E316,Направление!A$1:B$4830,2))))))</f>
        <v xml:space="preserve">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
</v>
      </c>
      <c r="B316" s="154"/>
      <c r="C316" s="149"/>
      <c r="D316" s="150"/>
      <c r="E316" s="149"/>
      <c r="F316" s="151">
        <v>100</v>
      </c>
      <c r="G316" s="491">
        <v>10866500</v>
      </c>
      <c r="H316" s="190"/>
      <c r="I316" s="155">
        <f t="shared" si="18"/>
        <v>10866500</v>
      </c>
      <c r="J316" s="491">
        <v>10866500</v>
      </c>
      <c r="K316" s="190"/>
      <c r="L316" s="155">
        <f t="shared" si="19"/>
        <v>10866500</v>
      </c>
    </row>
    <row r="317" spans="1:12" ht="78.75" x14ac:dyDescent="0.2">
      <c r="A317" s="153" t="str">
        <f>IF(B317&gt;0,VLOOKUP(B317,КВСР!A246:B1411,2),IF(C317&gt;0,VLOOKUP(C317,КФСР!A246:B1758,2),IF(D317&gt;0,VLOOKUP(D317,Программа!A$1:B$5100,2),IF(F317&gt;0,VLOOKUP(F317,КВР!A$1:B$5001,2),IF(E317&gt;0,VLOOKUP(E317,Направление!A$1:B$4830,2))))))</f>
        <v xml:space="preserve">Закупка товаров, работ и услуг для обеспечения государственных (муниципальных) нужд
</v>
      </c>
      <c r="B317" s="154"/>
      <c r="C317" s="149"/>
      <c r="D317" s="150"/>
      <c r="E317" s="149"/>
      <c r="F317" s="151">
        <v>200</v>
      </c>
      <c r="G317" s="491">
        <v>2200000</v>
      </c>
      <c r="H317" s="190"/>
      <c r="I317" s="155">
        <f t="shared" si="18"/>
        <v>2200000</v>
      </c>
      <c r="J317" s="491">
        <v>2200000</v>
      </c>
      <c r="K317" s="190"/>
      <c r="L317" s="155">
        <f t="shared" si="19"/>
        <v>2200000</v>
      </c>
    </row>
    <row r="318" spans="1:12" ht="31.5" x14ac:dyDescent="0.2">
      <c r="A318" s="153" t="str">
        <f>IF(B318&gt;0,VLOOKUP(B318,КВСР!A247:B1412,2),IF(C318&gt;0,VLOOKUP(C318,КФСР!A247:B1759,2),IF(D318&gt;0,VLOOKUP(D318,Программа!A$1:B$5100,2),IF(F318&gt;0,VLOOKUP(F318,КВР!A$1:B$5001,2),IF(E318&gt;0,VLOOKUP(E318,Направление!A$1:B$4830,2))))))</f>
        <v>Иные бюджетные ассигнования</v>
      </c>
      <c r="B318" s="154"/>
      <c r="C318" s="149"/>
      <c r="D318" s="150"/>
      <c r="E318" s="149"/>
      <c r="F318" s="151">
        <v>800</v>
      </c>
      <c r="G318" s="491">
        <v>20500</v>
      </c>
      <c r="H318" s="190"/>
      <c r="I318" s="155">
        <f t="shared" si="18"/>
        <v>20500</v>
      </c>
      <c r="J318" s="491">
        <v>20500</v>
      </c>
      <c r="K318" s="190"/>
      <c r="L318" s="155">
        <f t="shared" si="19"/>
        <v>20500</v>
      </c>
    </row>
    <row r="319" spans="1:12" ht="47.25" x14ac:dyDescent="0.2">
      <c r="A319" s="153" t="str">
        <f>IF(B319&gt;0,VLOOKUP(B319,КВСР!A248:B1413,2),IF(C319&gt;0,VLOOKUP(C319,КФСР!A248:B1760,2),IF(D319&gt;0,VLOOKUP(D319,Программа!A$1:B$5100,2),IF(F319&gt;0,VLOOKUP(F319,КВР!A$1:B$5001,2),IF(E319&gt;0,VLOOKUP(E319,Направление!A$1:B$4830,2))))))</f>
        <v>Информационное обеспечение реализации мероприятий программы</v>
      </c>
      <c r="B319" s="154"/>
      <c r="C319" s="149"/>
      <c r="D319" s="150" t="s">
        <v>3201</v>
      </c>
      <c r="E319" s="149"/>
      <c r="F319" s="151"/>
      <c r="G319" s="500">
        <v>325000</v>
      </c>
      <c r="H319" s="533">
        <f>H320</f>
        <v>0</v>
      </c>
      <c r="I319" s="155">
        <f t="shared" si="18"/>
        <v>325000</v>
      </c>
      <c r="J319" s="500">
        <v>325000</v>
      </c>
      <c r="K319" s="533">
        <f>K320</f>
        <v>0</v>
      </c>
      <c r="L319" s="155">
        <f t="shared" si="19"/>
        <v>325000</v>
      </c>
    </row>
    <row r="320" spans="1:12" ht="94.5" x14ac:dyDescent="0.2">
      <c r="A320" s="153" t="str">
        <f>IF(B320&gt;0,VLOOKUP(B320,КВСР!A249:B1414,2),IF(C320&gt;0,VLOOKUP(C320,КФСР!A249:B1761,2),IF(D320&gt;0,VLOOKUP(D320,Программа!A$1:B$5100,2),IF(F320&gt;0,VLOOKUP(F320,КВР!A$1:B$5001,2),IF(E320&gt;0,VLOOKUP(E320,Направление!A$1:B$4830,2))))))</f>
        <v>Расходы на обеспечение деятельности органов местного самоуправления в сфере социальной защиты населения за счет средств областного бюджета</v>
      </c>
      <c r="B320" s="154"/>
      <c r="C320" s="149"/>
      <c r="D320" s="150"/>
      <c r="E320" s="149">
        <v>70870</v>
      </c>
      <c r="F320" s="151"/>
      <c r="G320" s="500">
        <v>325000</v>
      </c>
      <c r="H320" s="533">
        <f>H321</f>
        <v>0</v>
      </c>
      <c r="I320" s="155">
        <f t="shared" si="18"/>
        <v>325000</v>
      </c>
      <c r="J320" s="500">
        <v>325000</v>
      </c>
      <c r="K320" s="533">
        <f>K321</f>
        <v>0</v>
      </c>
      <c r="L320" s="155">
        <f t="shared" si="19"/>
        <v>325000</v>
      </c>
    </row>
    <row r="321" spans="1:12" ht="78.75" x14ac:dyDescent="0.2">
      <c r="A321" s="153" t="str">
        <f>IF(B321&gt;0,VLOOKUP(B321,КВСР!A250:B1415,2),IF(C321&gt;0,VLOOKUP(C321,КФСР!A250:B1762,2),IF(D321&gt;0,VLOOKUP(D321,Программа!A$1:B$5100,2),IF(F321&gt;0,VLOOKUP(F321,КВР!A$1:B$5001,2),IF(E321&gt;0,VLOOKUP(E321,Направление!A$1:B$4830,2))))))</f>
        <v xml:space="preserve">Закупка товаров, работ и услуг для обеспечения государственных (муниципальных) нужд
</v>
      </c>
      <c r="B321" s="154"/>
      <c r="C321" s="149"/>
      <c r="D321" s="150"/>
      <c r="E321" s="149"/>
      <c r="F321" s="151">
        <v>200</v>
      </c>
      <c r="G321" s="491">
        <v>325000</v>
      </c>
      <c r="H321" s="190"/>
      <c r="I321" s="155">
        <f t="shared" si="18"/>
        <v>325000</v>
      </c>
      <c r="J321" s="491">
        <v>325000</v>
      </c>
      <c r="K321" s="190"/>
      <c r="L321" s="155">
        <f t="shared" si="19"/>
        <v>325000</v>
      </c>
    </row>
    <row r="322" spans="1:12" ht="31.5" x14ac:dyDescent="0.2">
      <c r="A322" s="147" t="str">
        <f>IF(B322&gt;0,VLOOKUP(B322,КВСР!A247:B1412,2),IF(C322&gt;0,VLOOKUP(C322,КФСР!A247:B1759,2),IF(D322&gt;0,VLOOKUP(D322,Программа!A$1:B$5100,2),IF(F322&gt;0,VLOOKUP(F322,КВР!A$1:B$5001,2),IF(E322&gt;0,VLOOKUP(E322,Направление!A$1:B$4830,2))))))</f>
        <v>Департамент финансов администрации ТМР</v>
      </c>
      <c r="B322" s="148">
        <v>955</v>
      </c>
      <c r="C322" s="149"/>
      <c r="D322" s="150"/>
      <c r="E322" s="149"/>
      <c r="F322" s="151"/>
      <c r="G322" s="605">
        <v>17080692</v>
      </c>
      <c r="H322" s="605">
        <f>H323+H341+H345+H337+H332</f>
        <v>0</v>
      </c>
      <c r="I322" s="605">
        <f>I323+I341+I345+I337+I332</f>
        <v>17080692</v>
      </c>
      <c r="J322" s="605">
        <v>17075008</v>
      </c>
      <c r="K322" s="605">
        <f>K323+K341+K345+K337+K332</f>
        <v>0</v>
      </c>
      <c r="L322" s="605">
        <f>L323+L341+L345+L337+L332</f>
        <v>17075008</v>
      </c>
    </row>
    <row r="323" spans="1:12" ht="94.5" x14ac:dyDescent="0.2">
      <c r="A323" s="153" t="str">
        <f>IF(B323&gt;0,VLOOKUP(B323,КВСР!A248:B1413,2),IF(C323&gt;0,VLOOKUP(C323,КФСР!A248:B1760,2),IF(D323&gt;0,VLOOKUP(D323,Программа!A$1:B$5100,2),IF(F323&gt;0,VLOOKUP(F323,КВР!A$1:B$5001,2),IF(E323&gt;0,VLOOKUP(E323,Направление!A$1:B$4830,2))))))</f>
        <v>Обеспечение деятельности финансовых, налоговых и таможенных органов и органов финансового (финансово-бюджетного) надзора</v>
      </c>
      <c r="B323" s="154"/>
      <c r="C323" s="149">
        <v>106</v>
      </c>
      <c r="D323" s="150"/>
      <c r="E323" s="149"/>
      <c r="F323" s="151"/>
      <c r="G323" s="500">
        <v>12956214</v>
      </c>
      <c r="H323" s="500">
        <f>H324</f>
        <v>0</v>
      </c>
      <c r="I323" s="500">
        <f>I324</f>
        <v>12956214</v>
      </c>
      <c r="J323" s="500">
        <v>12956214</v>
      </c>
      <c r="K323" s="500">
        <f>K324</f>
        <v>0</v>
      </c>
      <c r="L323" s="500">
        <f>L324</f>
        <v>12956214</v>
      </c>
    </row>
    <row r="324" spans="1:12" ht="31.5" x14ac:dyDescent="0.2">
      <c r="A324" s="153" t="str">
        <f>IF(B324&gt;0,VLOOKUP(B324,КВСР!A249:B1414,2),IF(C324&gt;0,VLOOKUP(C324,КФСР!A249:B1761,2),IF(D324&gt;0,VLOOKUP(D324,Программа!A$1:B$5100,2),IF(F324&gt;0,VLOOKUP(F324,КВР!A$1:B$5001,2),IF(E324&gt;0,VLOOKUP(E324,Направление!A$1:B$4830,2))))))</f>
        <v>Непрограммные расходы бюджета</v>
      </c>
      <c r="B324" s="154"/>
      <c r="C324" s="149"/>
      <c r="D324" s="150" t="s">
        <v>624</v>
      </c>
      <c r="E324" s="149"/>
      <c r="F324" s="151"/>
      <c r="G324" s="500">
        <v>12956214</v>
      </c>
      <c r="H324" s="500">
        <f>H325</f>
        <v>0</v>
      </c>
      <c r="I324" s="500">
        <f>I325</f>
        <v>12956214</v>
      </c>
      <c r="J324" s="500">
        <v>12956214</v>
      </c>
      <c r="K324" s="500">
        <f>K325</f>
        <v>0</v>
      </c>
      <c r="L324" s="500">
        <f>L325</f>
        <v>12956214</v>
      </c>
    </row>
    <row r="325" spans="1:12" ht="31.5" x14ac:dyDescent="0.2">
      <c r="A325" s="153" t="str">
        <f>IF(B325&gt;0,VLOOKUP(B325,КВСР!A252:B1417,2),IF(C325&gt;0,VLOOKUP(C325,КФСР!A252:B1764,2),IF(D325&gt;0,VLOOKUP(D325,Программа!A$1:B$5100,2),IF(F325&gt;0,VLOOKUP(F325,КВР!A$1:B$5001,2),IF(E325&gt;0,VLOOKUP(E325,Направление!A$1:B$4830,2))))))</f>
        <v>Содержание центрального аппарата</v>
      </c>
      <c r="B325" s="154"/>
      <c r="C325" s="149"/>
      <c r="D325" s="150"/>
      <c r="E325" s="149">
        <v>12010</v>
      </c>
      <c r="F325" s="151"/>
      <c r="G325" s="500">
        <v>12956214</v>
      </c>
      <c r="H325" s="500">
        <f>H326+H327+H328</f>
        <v>0</v>
      </c>
      <c r="I325" s="500">
        <f>I326+I327+I328</f>
        <v>12956214</v>
      </c>
      <c r="J325" s="500">
        <v>12956214</v>
      </c>
      <c r="K325" s="500">
        <f>K326+K327+K328</f>
        <v>0</v>
      </c>
      <c r="L325" s="500">
        <f>L326+L327+L328</f>
        <v>12956214</v>
      </c>
    </row>
    <row r="326" spans="1:12" ht="173.25" x14ac:dyDescent="0.2">
      <c r="A326" s="153" t="str">
        <f>IF(B326&gt;0,VLOOKUP(B326,КВСР!A251:B1416,2),IF(C326&gt;0,VLOOKUP(C326,КФСР!A251:B1763,2),IF(D326&gt;0,VLOOKUP(D326,Программа!A$1:B$5100,2),IF(F326&gt;0,VLOOKUP(F326,КВР!A$1:B$5001,2),IF(E326&gt;0,VLOOKUP(E326,Направление!A$1:B$4830,2))))))</f>
        <v xml:space="preserve">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
</v>
      </c>
      <c r="B326" s="154"/>
      <c r="C326" s="149"/>
      <c r="D326" s="150"/>
      <c r="E326" s="149"/>
      <c r="F326" s="151">
        <v>100</v>
      </c>
      <c r="G326" s="491">
        <v>11481495</v>
      </c>
      <c r="H326" s="190"/>
      <c r="I326" s="155">
        <f t="shared" si="18"/>
        <v>11481495</v>
      </c>
      <c r="J326" s="491">
        <v>11481495</v>
      </c>
      <c r="K326" s="190"/>
      <c r="L326" s="155">
        <f t="shared" si="19"/>
        <v>11481495</v>
      </c>
    </row>
    <row r="327" spans="1:12" ht="78.75" x14ac:dyDescent="0.2">
      <c r="A327" s="153" t="str">
        <f>IF(B327&gt;0,VLOOKUP(B327,КВСР!A252:B1417,2),IF(C327&gt;0,VLOOKUP(C327,КФСР!A252:B1764,2),IF(D327&gt;0,VLOOKUP(D327,Программа!A$1:B$5100,2),IF(F327&gt;0,VLOOKUP(F327,КВР!A$1:B$5001,2),IF(E327&gt;0,VLOOKUP(E327,Направление!A$1:B$4830,2))))))</f>
        <v xml:space="preserve">Закупка товаров, работ и услуг для обеспечения государственных (муниципальных) нужд
</v>
      </c>
      <c r="B327" s="154"/>
      <c r="C327" s="149"/>
      <c r="D327" s="150"/>
      <c r="E327" s="149"/>
      <c r="F327" s="151">
        <v>200</v>
      </c>
      <c r="G327" s="491">
        <v>1437219</v>
      </c>
      <c r="H327" s="190"/>
      <c r="I327" s="155">
        <f t="shared" si="18"/>
        <v>1437219</v>
      </c>
      <c r="J327" s="491">
        <v>1437219</v>
      </c>
      <c r="K327" s="190"/>
      <c r="L327" s="155">
        <f t="shared" si="19"/>
        <v>1437219</v>
      </c>
    </row>
    <row r="328" spans="1:12" ht="31.5" x14ac:dyDescent="0.2">
      <c r="A328" s="153" t="str">
        <f>IF(B328&gt;0,VLOOKUP(B328,КВСР!A253:B1418,2),IF(C328&gt;0,VLOOKUP(C328,КФСР!A253:B1765,2),IF(D328&gt;0,VLOOKUP(D328,Программа!A$1:B$5100,2),IF(F328&gt;0,VLOOKUP(F328,КВР!A$1:B$5001,2),IF(E328&gt;0,VLOOKUP(E328,Направление!A$1:B$4830,2))))))</f>
        <v>Иные бюджетные ассигнования</v>
      </c>
      <c r="B328" s="154"/>
      <c r="C328" s="149"/>
      <c r="D328" s="150"/>
      <c r="E328" s="149"/>
      <c r="F328" s="151">
        <v>800</v>
      </c>
      <c r="G328" s="491">
        <v>37500</v>
      </c>
      <c r="H328" s="190"/>
      <c r="I328" s="155">
        <f t="shared" si="18"/>
        <v>37500</v>
      </c>
      <c r="J328" s="491">
        <v>37500</v>
      </c>
      <c r="K328" s="190"/>
      <c r="L328" s="155">
        <f t="shared" si="19"/>
        <v>37500</v>
      </c>
    </row>
    <row r="329" spans="1:12" ht="47.25" hidden="1" x14ac:dyDescent="0.2">
      <c r="A329" s="153" t="str">
        <f>IF(B329&gt;0,VLOOKUP(B329,КВСР!A252:B1417,2),IF(C329&gt;0,VLOOKUP(C329,КФСР!A252:B1764,2),IF(D329&gt;0,VLOOKUP(D329,Программа!A$1:B$5100,2),IF(F329&gt;0,VLOOKUP(F329,КВР!A$1:B$5001,2),IF(E329&gt;0,VLOOKUP(E329,Направление!A$1:B$4830,2))))))</f>
        <v>Содержание органов местного самоуправления за счет средств поселений</v>
      </c>
      <c r="B329" s="154"/>
      <c r="C329" s="149"/>
      <c r="D329" s="150"/>
      <c r="E329" s="149">
        <v>29016</v>
      </c>
      <c r="F329" s="151"/>
      <c r="G329" s="500">
        <v>0</v>
      </c>
      <c r="H329" s="155">
        <f>H330+H331</f>
        <v>0</v>
      </c>
      <c r="I329" s="155">
        <f t="shared" si="18"/>
        <v>0</v>
      </c>
      <c r="J329" s="500">
        <v>0</v>
      </c>
      <c r="K329" s="155">
        <f>K330+K331</f>
        <v>0</v>
      </c>
      <c r="L329" s="155">
        <f t="shared" si="19"/>
        <v>0</v>
      </c>
    </row>
    <row r="330" spans="1:12" ht="173.25" hidden="1" x14ac:dyDescent="0.2">
      <c r="A330" s="153" t="str">
        <f>IF(B330&gt;0,VLOOKUP(B330,КВСР!A253:B1418,2),IF(C330&gt;0,VLOOKUP(C330,КФСР!A253:B1765,2),IF(D330&gt;0,VLOOKUP(D330,Программа!A$1:B$5100,2),IF(F330&gt;0,VLOOKUP(F330,КВР!A$1:B$5001,2),IF(E330&gt;0,VLOOKUP(E330,Направление!A$1:B$4830,2))))))</f>
        <v xml:space="preserve">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
</v>
      </c>
      <c r="B330" s="154"/>
      <c r="C330" s="149"/>
      <c r="D330" s="150"/>
      <c r="E330" s="149"/>
      <c r="F330" s="151">
        <v>100</v>
      </c>
      <c r="G330" s="491">
        <v>0</v>
      </c>
      <c r="H330" s="190"/>
      <c r="I330" s="155">
        <f t="shared" si="18"/>
        <v>0</v>
      </c>
      <c r="J330" s="491">
        <v>0</v>
      </c>
      <c r="K330" s="190"/>
      <c r="L330" s="155">
        <f t="shared" si="19"/>
        <v>0</v>
      </c>
    </row>
    <row r="331" spans="1:12" ht="78.75" hidden="1" x14ac:dyDescent="0.2">
      <c r="A331" s="153" t="str">
        <f>IF(B331&gt;0,VLOOKUP(B331,КВСР!A254:B1419,2),IF(C331&gt;0,VLOOKUP(C331,КФСР!A254:B1766,2),IF(D331&gt;0,VLOOKUP(D331,Программа!A$1:B$5100,2),IF(F331&gt;0,VLOOKUP(F331,КВР!A$1:B$5001,2),IF(E331&gt;0,VLOOKUP(E331,Направление!A$1:B$4830,2))))))</f>
        <v xml:space="preserve">Закупка товаров, работ и услуг для обеспечения государственных (муниципальных) нужд
</v>
      </c>
      <c r="B331" s="154"/>
      <c r="C331" s="149"/>
      <c r="D331" s="150"/>
      <c r="E331" s="149"/>
      <c r="F331" s="151">
        <v>200</v>
      </c>
      <c r="G331" s="491">
        <v>0</v>
      </c>
      <c r="H331" s="190"/>
      <c r="I331" s="155">
        <f t="shared" si="18"/>
        <v>0</v>
      </c>
      <c r="J331" s="491">
        <v>0</v>
      </c>
      <c r="K331" s="190"/>
      <c r="L331" s="155">
        <f t="shared" si="19"/>
        <v>0</v>
      </c>
    </row>
    <row r="332" spans="1:12" ht="47.25" x14ac:dyDescent="0.2">
      <c r="A332" s="153" t="str">
        <f>IF(B332&gt;0,VLOOKUP(B332,КВСР!A255:B1420,2),IF(C332&gt;0,VLOOKUP(C332,КФСР!A255:B1767,2),IF(D332&gt;0,VLOOKUP(D332,Программа!A$1:B$5100,2),IF(F332&gt;0,VLOOKUP(F332,КВР!A$1:B$5001,2),IF(E332&gt;0,VLOOKUP(E332,Направление!A$1:B$4830,2))))))</f>
        <v>Другие общегосударственные вопросы</v>
      </c>
      <c r="B332" s="154"/>
      <c r="C332" s="149">
        <v>113</v>
      </c>
      <c r="D332" s="150"/>
      <c r="E332" s="149"/>
      <c r="F332" s="151"/>
      <c r="G332" s="491">
        <v>1343800</v>
      </c>
      <c r="H332" s="491">
        <f t="shared" ref="H332:L335" si="20">H333</f>
        <v>0</v>
      </c>
      <c r="I332" s="491">
        <f t="shared" si="20"/>
        <v>1343800</v>
      </c>
      <c r="J332" s="491">
        <v>1343800</v>
      </c>
      <c r="K332" s="491">
        <f t="shared" si="20"/>
        <v>0</v>
      </c>
      <c r="L332" s="491">
        <f t="shared" si="20"/>
        <v>1343800</v>
      </c>
    </row>
    <row r="333" spans="1:12" ht="110.25" x14ac:dyDescent="0.2">
      <c r="A333" s="153" t="str">
        <f>IF(B333&gt;0,VLOOKUP(B333,КВСР!A256:B1421,2),IF(C333&gt;0,VLOOKUP(C333,КФСР!A256:B1768,2),IF(D333&gt;0,VLOOKUP(D333,Программа!A$1:B$5100,2),IF(F333&gt;0,VLOOKUP(F333,КВР!A$1:B$5001,2),IF(E333&gt;0,VLOOKUP(E333,Направление!A$1:B$4830,2))))))</f>
        <v>Муниципальная программа "Информатизация управленческой деятельности Администрации Тутаевского муниципального района"</v>
      </c>
      <c r="B333" s="154"/>
      <c r="C333" s="149"/>
      <c r="D333" s="150" t="s">
        <v>640</v>
      </c>
      <c r="E333" s="149"/>
      <c r="F333" s="151"/>
      <c r="G333" s="491">
        <v>1343800</v>
      </c>
      <c r="H333" s="491">
        <f t="shared" si="20"/>
        <v>0</v>
      </c>
      <c r="I333" s="491">
        <f t="shared" si="20"/>
        <v>1343800</v>
      </c>
      <c r="J333" s="491">
        <v>1343800</v>
      </c>
      <c r="K333" s="491">
        <f t="shared" si="20"/>
        <v>0</v>
      </c>
      <c r="L333" s="491">
        <f t="shared" si="20"/>
        <v>1343800</v>
      </c>
    </row>
    <row r="334" spans="1:12" ht="47.25" x14ac:dyDescent="0.2">
      <c r="A334" s="153" t="str">
        <f>IF(B334&gt;0,VLOOKUP(B334,КВСР!A257:B1422,2),IF(C334&gt;0,VLOOKUP(C334,КФСР!A257:B1769,2),IF(D334&gt;0,VLOOKUP(D334,Программа!A$1:B$5100,2),IF(F334&gt;0,VLOOKUP(F334,КВР!A$1:B$5001,2),IF(E334&gt;0,VLOOKUP(E334,Направление!A$1:B$4830,2))))))</f>
        <v>Бесперебойное функционирование информационных систем</v>
      </c>
      <c r="B334" s="154"/>
      <c r="C334" s="149"/>
      <c r="D334" s="150" t="s">
        <v>677</v>
      </c>
      <c r="E334" s="149"/>
      <c r="F334" s="151"/>
      <c r="G334" s="491">
        <v>1343800</v>
      </c>
      <c r="H334" s="491">
        <f t="shared" si="20"/>
        <v>0</v>
      </c>
      <c r="I334" s="491">
        <f t="shared" si="20"/>
        <v>1343800</v>
      </c>
      <c r="J334" s="491">
        <v>1343800</v>
      </c>
      <c r="K334" s="491">
        <f t="shared" si="20"/>
        <v>0</v>
      </c>
      <c r="L334" s="491">
        <f t="shared" si="20"/>
        <v>1343800</v>
      </c>
    </row>
    <row r="335" spans="1:12" ht="47.25" x14ac:dyDescent="0.2">
      <c r="A335" s="153" t="str">
        <f>IF(B335&gt;0,VLOOKUP(B335,КВСР!A258:B1423,2),IF(C335&gt;0,VLOOKUP(C335,КФСР!A258:B1770,2),IF(D335&gt;0,VLOOKUP(D335,Программа!A$1:B$5100,2),IF(F335&gt;0,VLOOKUP(F335,КВР!A$1:B$5001,2),IF(E335&gt;0,VLOOKUP(E335,Направление!A$1:B$4830,2))))))</f>
        <v>Расходы на проведение мероприятий по информатизации</v>
      </c>
      <c r="B335" s="154"/>
      <c r="C335" s="149"/>
      <c r="D335" s="150"/>
      <c r="E335" s="149">
        <v>12210</v>
      </c>
      <c r="F335" s="151"/>
      <c r="G335" s="491">
        <v>1343800</v>
      </c>
      <c r="H335" s="491">
        <f t="shared" si="20"/>
        <v>0</v>
      </c>
      <c r="I335" s="491">
        <f t="shared" si="20"/>
        <v>1343800</v>
      </c>
      <c r="J335" s="491">
        <v>1343800</v>
      </c>
      <c r="K335" s="491">
        <f t="shared" si="20"/>
        <v>0</v>
      </c>
      <c r="L335" s="491">
        <f t="shared" si="20"/>
        <v>1343800</v>
      </c>
    </row>
    <row r="336" spans="1:12" ht="78.75" x14ac:dyDescent="0.2">
      <c r="A336" s="153" t="str">
        <f>IF(B336&gt;0,VLOOKUP(B336,КВСР!A258:B1423,2),IF(C336&gt;0,VLOOKUP(C336,КФСР!A258:B1770,2),IF(D336&gt;0,VLOOKUP(D336,Программа!A$1:B$5100,2),IF(F336&gt;0,VLOOKUP(F336,КВР!A$1:B$5001,2),IF(E336&gt;0,VLOOKUP(E336,Направление!A$1:B$4830,2))))))</f>
        <v xml:space="preserve">Закупка товаров, работ и услуг для обеспечения государственных (муниципальных) нужд
</v>
      </c>
      <c r="B336" s="154"/>
      <c r="C336" s="149"/>
      <c r="D336" s="150"/>
      <c r="E336" s="149"/>
      <c r="F336" s="151">
        <v>200</v>
      </c>
      <c r="G336" s="491">
        <v>1343800</v>
      </c>
      <c r="H336" s="190"/>
      <c r="I336" s="155">
        <f t="shared" si="18"/>
        <v>1343800</v>
      </c>
      <c r="J336" s="491">
        <v>1343800</v>
      </c>
      <c r="K336" s="190"/>
      <c r="L336" s="155">
        <f t="shared" si="19"/>
        <v>1343800</v>
      </c>
    </row>
    <row r="337" spans="1:12" ht="31.5" x14ac:dyDescent="0.2">
      <c r="A337" s="153" t="str">
        <f>IF(B337&gt;0,VLOOKUP(B337,КВСР!A258:B1423,2),IF(C337&gt;0,VLOOKUP(C337,КФСР!A258:B1770,2),IF(D337&gt;0,VLOOKUP(D337,Программа!A$1:B$5100,2),IF(F337&gt;0,VLOOKUP(F337,КВР!A$1:B$5001,2),IF(E337&gt;0,VLOOKUP(E337,Направление!A$1:B$4830,2))))))</f>
        <v>Мобилизационная и вневойсковая подготовка</v>
      </c>
      <c r="B337" s="154"/>
      <c r="C337" s="149">
        <v>203</v>
      </c>
      <c r="D337" s="150"/>
      <c r="E337" s="149"/>
      <c r="F337" s="151"/>
      <c r="G337" s="491">
        <v>747678</v>
      </c>
      <c r="H337" s="491">
        <f>H338</f>
        <v>0</v>
      </c>
      <c r="I337" s="155">
        <f t="shared" si="18"/>
        <v>747678</v>
      </c>
      <c r="J337" s="491">
        <v>774994</v>
      </c>
      <c r="K337" s="491">
        <f>K338</f>
        <v>0</v>
      </c>
      <c r="L337" s="155">
        <f t="shared" si="19"/>
        <v>774994</v>
      </c>
    </row>
    <row r="338" spans="1:12" ht="47.25" x14ac:dyDescent="0.2">
      <c r="A338" s="153" t="str">
        <f>IF(B338&gt;0,VLOOKUP(B338,КВСР!A259:B1424,2),IF(C338&gt;0,VLOOKUP(C338,КФСР!A259:B1771,2),IF(D338&gt;0,VLOOKUP(D338,Программа!A$1:B$5100,2),IF(F338&gt;0,VLOOKUP(F338,КВР!A$1:B$5001,2),IF(E338&gt;0,VLOOKUP(E338,Направление!A$1:B$4830,2))))))</f>
        <v>Межбюджетные трансферты  поселениям района</v>
      </c>
      <c r="B338" s="154"/>
      <c r="C338" s="149"/>
      <c r="D338" s="150" t="s">
        <v>799</v>
      </c>
      <c r="E338" s="149"/>
      <c r="F338" s="151"/>
      <c r="G338" s="491">
        <v>747678</v>
      </c>
      <c r="H338" s="491">
        <f>H339</f>
        <v>0</v>
      </c>
      <c r="I338" s="155">
        <f t="shared" si="18"/>
        <v>747678</v>
      </c>
      <c r="J338" s="491">
        <v>774994</v>
      </c>
      <c r="K338" s="491">
        <f>K339</f>
        <v>0</v>
      </c>
      <c r="L338" s="155">
        <f t="shared" si="19"/>
        <v>774994</v>
      </c>
    </row>
    <row r="339" spans="1:12" ht="94.5" x14ac:dyDescent="0.2">
      <c r="A339" s="153" t="str">
        <f>IF(B339&gt;0,VLOOKUP(B339,КВСР!A260:B1425,2),IF(C339&gt;0,VLOOKUP(C339,КФСР!A260:B1772,2),IF(D339&gt;0,VLOOKUP(D339,Программа!A$1:B$5100,2),IF(F339&gt;0,VLOOKUP(F339,КВР!A$1:B$5001,2),IF(E339&gt;0,VLOOKUP(E339,Направление!A$1:B$4830,2))))))</f>
        <v>Субвенция  на осуществление первичного воинского учета на территориях, где отсутствуют военные комиссариаты</v>
      </c>
      <c r="B339" s="154"/>
      <c r="C339" s="149"/>
      <c r="D339" s="150"/>
      <c r="E339" s="149">
        <v>51180</v>
      </c>
      <c r="F339" s="151"/>
      <c r="G339" s="491">
        <v>747678</v>
      </c>
      <c r="H339" s="491">
        <f>H340</f>
        <v>0</v>
      </c>
      <c r="I339" s="155">
        <f t="shared" si="18"/>
        <v>747678</v>
      </c>
      <c r="J339" s="491">
        <v>774994</v>
      </c>
      <c r="K339" s="491">
        <f>K340</f>
        <v>0</v>
      </c>
      <c r="L339" s="155">
        <f t="shared" si="19"/>
        <v>774994</v>
      </c>
    </row>
    <row r="340" spans="1:12" ht="31.5" x14ac:dyDescent="0.2">
      <c r="A340" s="153" t="str">
        <f>IF(B340&gt;0,VLOOKUP(B340,КВСР!A261:B1426,2),IF(C340&gt;0,VLOOKUP(C340,КФСР!A261:B1773,2),IF(D340&gt;0,VLOOKUP(D340,Программа!A$1:B$5100,2),IF(F340&gt;0,VLOOKUP(F340,КВР!A$1:B$5001,2),IF(E340&gt;0,VLOOKUP(E340,Направление!A$1:B$4830,2))))))</f>
        <v xml:space="preserve"> Межбюджетные трансферты</v>
      </c>
      <c r="B340" s="154"/>
      <c r="C340" s="149"/>
      <c r="D340" s="151"/>
      <c r="E340" s="149"/>
      <c r="F340" s="151">
        <v>500</v>
      </c>
      <c r="G340" s="491">
        <v>747678</v>
      </c>
      <c r="H340" s="190"/>
      <c r="I340" s="155">
        <f t="shared" si="18"/>
        <v>747678</v>
      </c>
      <c r="J340" s="491">
        <v>774994</v>
      </c>
      <c r="K340" s="190"/>
      <c r="L340" s="155">
        <f t="shared" si="19"/>
        <v>774994</v>
      </c>
    </row>
    <row r="341" spans="1:12" ht="47.25" x14ac:dyDescent="0.2">
      <c r="A341" s="153" t="str">
        <f>IF(B341&gt;0,VLOOKUP(B341,КВСР!A262:B1427,2),IF(C341&gt;0,VLOOKUP(C341,КФСР!A262:B1774,2),IF(D341&gt;0,VLOOKUP(D341,Программа!A$1:B$5100,2),IF(F341&gt;0,VLOOKUP(F341,КВР!A$1:B$5001,2),IF(E341&gt;0,VLOOKUP(E341,Направление!A$1:B$4830,2))))))</f>
        <v>Обслуживание внутреннего государственного и муниципального долга</v>
      </c>
      <c r="B341" s="154"/>
      <c r="C341" s="149">
        <v>1301</v>
      </c>
      <c r="D341" s="150"/>
      <c r="E341" s="149"/>
      <c r="F341" s="151"/>
      <c r="G341" s="500">
        <v>2000000</v>
      </c>
      <c r="H341" s="155">
        <f>H342</f>
        <v>0</v>
      </c>
      <c r="I341" s="155">
        <f t="shared" si="18"/>
        <v>2000000</v>
      </c>
      <c r="J341" s="500">
        <v>2000000</v>
      </c>
      <c r="K341" s="155">
        <f>K342</f>
        <v>0</v>
      </c>
      <c r="L341" s="155">
        <f t="shared" si="19"/>
        <v>2000000</v>
      </c>
    </row>
    <row r="342" spans="1:12" ht="31.5" x14ac:dyDescent="0.2">
      <c r="A342" s="153" t="str">
        <f>IF(B342&gt;0,VLOOKUP(B342,КВСР!A263:B1428,2),IF(C342&gt;0,VLOOKUP(C342,КФСР!A263:B1775,2),IF(D342&gt;0,VLOOKUP(D342,Программа!A$1:B$5100,2),IF(F342&gt;0,VLOOKUP(F342,КВР!A$1:B$5001,2),IF(E342&gt;0,VLOOKUP(E342,Направление!A$1:B$4830,2))))))</f>
        <v>Непрограммные расходы бюджета</v>
      </c>
      <c r="B342" s="154"/>
      <c r="C342" s="149"/>
      <c r="D342" s="150" t="s">
        <v>624</v>
      </c>
      <c r="E342" s="149"/>
      <c r="F342" s="151"/>
      <c r="G342" s="500">
        <v>2000000</v>
      </c>
      <c r="H342" s="155">
        <f>H343</f>
        <v>0</v>
      </c>
      <c r="I342" s="155">
        <f t="shared" si="18"/>
        <v>2000000</v>
      </c>
      <c r="J342" s="500">
        <v>2000000</v>
      </c>
      <c r="K342" s="155">
        <f>K343</f>
        <v>0</v>
      </c>
      <c r="L342" s="155">
        <f t="shared" si="19"/>
        <v>2000000</v>
      </c>
    </row>
    <row r="343" spans="1:12" ht="47.25" x14ac:dyDescent="0.2">
      <c r="A343" s="153" t="str">
        <f>IF(B343&gt;0,VLOOKUP(B343,КВСР!A264:B1429,2),IF(C343&gt;0,VLOOKUP(C343,КФСР!A264:B1776,2),IF(D343&gt;0,VLOOKUP(D343,Программа!A$1:B$5100,2),IF(F343&gt;0,VLOOKUP(F343,КВР!A$1:B$5001,2),IF(E343&gt;0,VLOOKUP(E343,Направление!A$1:B$4830,2))))))</f>
        <v>Процентные платежи по обслуживанию муниципального долга</v>
      </c>
      <c r="B343" s="154"/>
      <c r="C343" s="149"/>
      <c r="D343" s="150"/>
      <c r="E343" s="149">
        <v>12800</v>
      </c>
      <c r="F343" s="151"/>
      <c r="G343" s="500">
        <v>2000000</v>
      </c>
      <c r="H343" s="155">
        <f>H344</f>
        <v>0</v>
      </c>
      <c r="I343" s="155">
        <f t="shared" si="18"/>
        <v>2000000</v>
      </c>
      <c r="J343" s="500">
        <v>2000000</v>
      </c>
      <c r="K343" s="155">
        <f>K344</f>
        <v>0</v>
      </c>
      <c r="L343" s="155">
        <f t="shared" si="19"/>
        <v>2000000</v>
      </c>
    </row>
    <row r="344" spans="1:12" ht="47.25" x14ac:dyDescent="0.2">
      <c r="A344" s="153" t="str">
        <f>IF(B344&gt;0,VLOOKUP(B344,КВСР!A265:B1430,2),IF(C344&gt;0,VLOOKUP(C344,КФСР!A265:B1777,2),IF(D344&gt;0,VLOOKUP(D344,Программа!A$1:B$5100,2),IF(F344&gt;0,VLOOKUP(F344,КВР!A$1:B$5001,2),IF(E344&gt;0,VLOOKUP(E344,Направление!A$1:B$4830,2))))))</f>
        <v>Обслуживание государственного долга Российской Федерации</v>
      </c>
      <c r="B344" s="154"/>
      <c r="C344" s="149"/>
      <c r="D344" s="150"/>
      <c r="E344" s="149"/>
      <c r="F344" s="151">
        <v>700</v>
      </c>
      <c r="G344" s="491">
        <v>2000000</v>
      </c>
      <c r="H344" s="190"/>
      <c r="I344" s="155">
        <f t="shared" si="18"/>
        <v>2000000</v>
      </c>
      <c r="J344" s="491">
        <v>2000000</v>
      </c>
      <c r="K344" s="190"/>
      <c r="L344" s="155">
        <f t="shared" si="19"/>
        <v>2000000</v>
      </c>
    </row>
    <row r="345" spans="1:12" ht="94.5" x14ac:dyDescent="0.2">
      <c r="A345" s="153" t="str">
        <f>IF(B345&gt;0,VLOOKUP(B345,КВСР!A265:B1430,2),IF(C345&gt;0,VLOOKUP(C345,КФСР!A265:B1777,2),IF(D345&gt;0,VLOOKUP(D345,Программа!A$1:B$5100,2),IF(F345&gt;0,VLOOKUP(F345,КВР!A$1:B$5001,2),IF(E345&gt;0,VLOOKUP(E345,Направление!A$1:B$4830,2))))))</f>
        <v>Дотации на выравнивание бюджетной обеспеченности субъектов Российской Федерации и муниципальных образований</v>
      </c>
      <c r="B345" s="154"/>
      <c r="C345" s="149">
        <v>1401</v>
      </c>
      <c r="D345" s="150"/>
      <c r="E345" s="149"/>
      <c r="F345" s="151"/>
      <c r="G345" s="500">
        <v>33000</v>
      </c>
      <c r="H345" s="155">
        <f>H346</f>
        <v>0</v>
      </c>
      <c r="I345" s="155">
        <f t="shared" si="18"/>
        <v>33000</v>
      </c>
      <c r="J345" s="500">
        <v>0</v>
      </c>
      <c r="K345" s="155">
        <f>K346</f>
        <v>0</v>
      </c>
      <c r="L345" s="155">
        <f t="shared" si="19"/>
        <v>0</v>
      </c>
    </row>
    <row r="346" spans="1:12" ht="48" customHeight="1" x14ac:dyDescent="0.2">
      <c r="A346" s="153" t="str">
        <f>IF(B346&gt;0,VLOOKUP(B346,КВСР!A270:B1435,2),IF(C346&gt;0,VLOOKUP(C346,КФСР!A270:B1782,2),IF(D346&gt;0,VLOOKUP(D346,Программа!A$1:B$5100,2),IF(F346&gt;0,VLOOKUP(F346,КВР!A$1:B$5001,2),IF(E346&gt;0,VLOOKUP(E346,Направление!A$1:B$4830,2))))))</f>
        <v>Межбюджетные трансферты  поселениям района</v>
      </c>
      <c r="B346" s="154"/>
      <c r="C346" s="149"/>
      <c r="D346" s="150" t="s">
        <v>799</v>
      </c>
      <c r="E346" s="149"/>
      <c r="F346" s="151"/>
      <c r="G346" s="500">
        <v>33000</v>
      </c>
      <c r="H346" s="155">
        <f>H347+H349</f>
        <v>0</v>
      </c>
      <c r="I346" s="155">
        <f t="shared" si="18"/>
        <v>33000</v>
      </c>
      <c r="J346" s="500">
        <v>0</v>
      </c>
      <c r="K346" s="155">
        <f>K347+K349</f>
        <v>0</v>
      </c>
      <c r="L346" s="155">
        <f t="shared" si="19"/>
        <v>0</v>
      </c>
    </row>
    <row r="347" spans="1:12" ht="34.5" hidden="1" customHeight="1" x14ac:dyDescent="0.2">
      <c r="A347" s="153" t="str">
        <f>IF(B347&gt;0,VLOOKUP(B347,КВСР!A272:B1437,2),IF(C347&gt;0,VLOOKUP(C347,КФСР!A272:B1784,2),IF(D347&gt;0,VLOOKUP(D347,Программа!A$1:B$5100,2),IF(F347&gt;0,VLOOKUP(F347,КВР!A$1:B$5001,2),IF(E347&gt;0,VLOOKUP(E347,Направление!A$1:B$4830,2))))))</f>
        <v>Дотации поселениям района  на выравнивание бюджетной обеспеченности</v>
      </c>
      <c r="B347" s="154"/>
      <c r="C347" s="149"/>
      <c r="D347" s="150"/>
      <c r="E347" s="149">
        <v>10800</v>
      </c>
      <c r="F347" s="151"/>
      <c r="G347" s="500">
        <v>0</v>
      </c>
      <c r="H347" s="155">
        <f>H348</f>
        <v>0</v>
      </c>
      <c r="I347" s="155">
        <f t="shared" si="18"/>
        <v>0</v>
      </c>
      <c r="J347" s="500">
        <v>0</v>
      </c>
      <c r="K347" s="155">
        <f>K348</f>
        <v>0</v>
      </c>
      <c r="L347" s="155">
        <f t="shared" si="19"/>
        <v>0</v>
      </c>
    </row>
    <row r="348" spans="1:12" ht="27" hidden="1" customHeight="1" x14ac:dyDescent="0.2">
      <c r="A348" s="153" t="str">
        <f>IF(B348&gt;0,VLOOKUP(B348,КВСР!A273:B1438,2),IF(C348&gt;0,VLOOKUP(C348,КФСР!A273:B1785,2),IF(D348&gt;0,VLOOKUP(D348,Программа!A$1:B$5100,2),IF(F348&gt;0,VLOOKUP(F348,КВР!A$1:B$5001,2),IF(E348&gt;0,VLOOKUP(E348,Направление!A$1:B$4830,2))))))</f>
        <v xml:space="preserve"> Межбюджетные трансферты</v>
      </c>
      <c r="B348" s="154"/>
      <c r="C348" s="149"/>
      <c r="D348" s="150"/>
      <c r="E348" s="149"/>
      <c r="F348" s="151">
        <v>500</v>
      </c>
      <c r="G348" s="491">
        <v>0</v>
      </c>
      <c r="H348" s="190"/>
      <c r="I348" s="155">
        <f t="shared" si="18"/>
        <v>0</v>
      </c>
      <c r="J348" s="491">
        <v>0</v>
      </c>
      <c r="K348" s="190"/>
      <c r="L348" s="155">
        <f t="shared" si="19"/>
        <v>0</v>
      </c>
    </row>
    <row r="349" spans="1:12" ht="63" x14ac:dyDescent="0.2">
      <c r="A349" s="153" t="str">
        <f>IF(B349&gt;0,VLOOKUP(B349,КВСР!A271:B1436,2),IF(C349&gt;0,VLOOKUP(C349,КФСР!A271:B1783,2),IF(D349&gt;0,VLOOKUP(D349,Программа!A$1:B$5100,2),IF(F349&gt;0,VLOOKUP(F349,КВР!A$1:B$5001,2),IF(E349&gt;0,VLOOKUP(E349,Направление!A$1:B$4830,2))))))</f>
        <v>Дотации поселениям Ярославской области на выравнивание бюджетной обеспеченности</v>
      </c>
      <c r="B349" s="154"/>
      <c r="C349" s="149"/>
      <c r="D349" s="150"/>
      <c r="E349" s="149">
        <v>72970</v>
      </c>
      <c r="F349" s="151"/>
      <c r="G349" s="500">
        <v>33000</v>
      </c>
      <c r="H349" s="155">
        <f>H350</f>
        <v>0</v>
      </c>
      <c r="I349" s="155">
        <f t="shared" si="18"/>
        <v>33000</v>
      </c>
      <c r="J349" s="500">
        <v>0</v>
      </c>
      <c r="K349" s="155">
        <f>K350</f>
        <v>0</v>
      </c>
      <c r="L349" s="155">
        <f t="shared" si="19"/>
        <v>0</v>
      </c>
    </row>
    <row r="350" spans="1:12" ht="26.25" customHeight="1" x14ac:dyDescent="0.2">
      <c r="A350" s="153" t="str">
        <f>IF(B350&gt;0,VLOOKUP(B350,КВСР!A272:B1437,2),IF(C350&gt;0,VLOOKUP(C350,КФСР!A272:B1784,2),IF(D350&gt;0,VLOOKUP(D350,Программа!A$1:B$5100,2),IF(F350&gt;0,VLOOKUP(F350,КВР!A$1:B$5001,2),IF(E350&gt;0,VLOOKUP(E350,Направление!A$1:B$4830,2))))))</f>
        <v xml:space="preserve"> Межбюджетные трансферты</v>
      </c>
      <c r="B350" s="154"/>
      <c r="C350" s="149"/>
      <c r="D350" s="150"/>
      <c r="E350" s="149"/>
      <c r="F350" s="151">
        <v>500</v>
      </c>
      <c r="G350" s="491">
        <v>33000</v>
      </c>
      <c r="H350" s="190"/>
      <c r="I350" s="155">
        <f t="shared" si="18"/>
        <v>33000</v>
      </c>
      <c r="J350" s="491">
        <v>0</v>
      </c>
      <c r="K350" s="190"/>
      <c r="L350" s="155">
        <f t="shared" si="19"/>
        <v>0</v>
      </c>
    </row>
    <row r="351" spans="1:12" ht="63" hidden="1" x14ac:dyDescent="0.2">
      <c r="A351" s="153" t="str">
        <f>IF(B351&gt;0,VLOOKUP(B351,КВСР!A274:B1439,2),IF(C351&gt;0,VLOOKUP(C351,КФСР!A274:B1786,2),IF(D351&gt;0,VLOOKUP(D351,Программа!A$1:B$5100,2),IF(F351&gt;0,VLOOKUP(F351,КВР!A$1:B$5001,2),IF(E351&gt;0,VLOOKUP(E351,Направление!A$1:B$4830,2))))))</f>
        <v>Дотации поселениям Ярославской области на выравнивание бюджетной обеспеченности</v>
      </c>
      <c r="B351" s="154"/>
      <c r="C351" s="149"/>
      <c r="D351" s="150"/>
      <c r="E351" s="149">
        <v>72970</v>
      </c>
      <c r="F351" s="151"/>
      <c r="G351" s="500">
        <v>0</v>
      </c>
      <c r="H351" s="155">
        <f>H352</f>
        <v>0</v>
      </c>
      <c r="I351" s="155">
        <f t="shared" si="18"/>
        <v>0</v>
      </c>
      <c r="J351" s="500">
        <v>0</v>
      </c>
      <c r="K351" s="155">
        <f>K352</f>
        <v>0</v>
      </c>
      <c r="L351" s="155">
        <f t="shared" si="19"/>
        <v>0</v>
      </c>
    </row>
    <row r="352" spans="1:12" ht="31.5" hidden="1" x14ac:dyDescent="0.2">
      <c r="A352" s="153" t="str">
        <f>IF(B352&gt;0,VLOOKUP(B352,КВСР!A275:B1440,2),IF(C352&gt;0,VLOOKUP(C352,КФСР!A275:B1787,2),IF(D352&gt;0,VLOOKUP(D352,Программа!A$1:B$5100,2),IF(F352&gt;0,VLOOKUP(F352,КВР!A$1:B$5001,2),IF(E352&gt;0,VLOOKUP(E352,Направление!A$1:B$4830,2))))))</f>
        <v xml:space="preserve"> Межбюджетные трансферты</v>
      </c>
      <c r="B352" s="154"/>
      <c r="C352" s="149"/>
      <c r="D352" s="150"/>
      <c r="E352" s="149"/>
      <c r="F352" s="151">
        <v>500</v>
      </c>
      <c r="G352" s="491">
        <v>0</v>
      </c>
      <c r="H352" s="190"/>
      <c r="I352" s="155">
        <f t="shared" si="18"/>
        <v>0</v>
      </c>
      <c r="J352" s="491">
        <v>0</v>
      </c>
      <c r="K352" s="190"/>
      <c r="L352" s="155">
        <f t="shared" si="19"/>
        <v>0</v>
      </c>
    </row>
    <row r="353" spans="1:12" ht="63" x14ac:dyDescent="0.2">
      <c r="A353" s="147" t="str">
        <f>IF(B353&gt;0,VLOOKUP(B353,КВСР!A276:B1441,2),IF(C353&gt;0,VLOOKUP(C353,КФСР!A276:B1788,2),IF(D353&gt;0,VLOOKUP(D353,Программа!A$1:B$5100,2),IF(F353&gt;0,VLOOKUP(F353,КВР!A$1:B$5001,2),IF(E353&gt;0,VLOOKUP(E353,Направление!A$1:B$4830,2))))))</f>
        <v>Департамент культуры, туризма и молодежной политики Администрации ТМР</v>
      </c>
      <c r="B353" s="148">
        <v>956</v>
      </c>
      <c r="C353" s="149"/>
      <c r="D353" s="150"/>
      <c r="E353" s="149"/>
      <c r="F353" s="151"/>
      <c r="G353" s="605">
        <v>117284673</v>
      </c>
      <c r="H353" s="152">
        <f>H354+H360+H370+H379+H394</f>
        <v>0</v>
      </c>
      <c r="I353" s="620">
        <f t="shared" si="18"/>
        <v>117284673</v>
      </c>
      <c r="J353" s="621">
        <v>60774673</v>
      </c>
      <c r="K353" s="620">
        <f>K354+K360+K370+K379+K394</f>
        <v>0</v>
      </c>
      <c r="L353" s="620">
        <f t="shared" si="19"/>
        <v>60774673</v>
      </c>
    </row>
    <row r="354" spans="1:12" ht="31.5" x14ac:dyDescent="0.2">
      <c r="A354" s="153" t="str">
        <f>IF(B354&gt;0,VLOOKUP(B354,КВСР!A282:B1447,2),IF(C354&gt;0,VLOOKUP(C354,КФСР!A282:B1794,2),IF(D354&gt;0,VLOOKUP(D354,Программа!A$1:B$5100,2),IF(F354&gt;0,VLOOKUP(F354,КВР!A$1:B$5001,2),IF(E354&gt;0,VLOOKUP(E354,Направление!A$1:B$4830,2))))))</f>
        <v>Дополнительное образование детей</v>
      </c>
      <c r="B354" s="154"/>
      <c r="C354" s="149">
        <v>703</v>
      </c>
      <c r="D354" s="150"/>
      <c r="E354" s="149"/>
      <c r="F354" s="151"/>
      <c r="G354" s="500">
        <v>22000000</v>
      </c>
      <c r="H354" s="155">
        <f>H355</f>
        <v>0</v>
      </c>
      <c r="I354" s="155">
        <f t="shared" si="18"/>
        <v>22000000</v>
      </c>
      <c r="J354" s="500">
        <v>8000000</v>
      </c>
      <c r="K354" s="155">
        <f>K355</f>
        <v>0</v>
      </c>
      <c r="L354" s="155">
        <f t="shared" si="19"/>
        <v>8000000</v>
      </c>
    </row>
    <row r="355" spans="1:12" ht="78.75" x14ac:dyDescent="0.2">
      <c r="A355" s="153" t="str">
        <f>IF(B355&gt;0,VLOOKUP(B355,КВСР!A283:B1448,2),IF(C355&gt;0,VLOOKUP(C355,КФСР!A283:B1795,2),IF(D355&gt;0,VLOOKUP(D355,Программа!A$1:B$5100,2),IF(F355&gt;0,VLOOKUP(F355,КВР!A$1:B$5001,2),IF(E355&gt;0,VLOOKUP(E355,Направление!A$1:B$4830,2))))))</f>
        <v>Муниципальная программа  "Развитие культуры, туризма и молодежной политики в Тутаевском муниципальном районе"</v>
      </c>
      <c r="B355" s="154"/>
      <c r="C355" s="149"/>
      <c r="D355" s="170" t="s">
        <v>714</v>
      </c>
      <c r="E355" s="168"/>
      <c r="F355" s="151"/>
      <c r="G355" s="500">
        <v>22000000</v>
      </c>
      <c r="H355" s="155">
        <f>H357</f>
        <v>0</v>
      </c>
      <c r="I355" s="155">
        <f t="shared" si="18"/>
        <v>22000000</v>
      </c>
      <c r="J355" s="500">
        <v>8000000</v>
      </c>
      <c r="K355" s="155">
        <f>K357</f>
        <v>0</v>
      </c>
      <c r="L355" s="155">
        <f t="shared" si="19"/>
        <v>8000000</v>
      </c>
    </row>
    <row r="356" spans="1:12" ht="78.75" x14ac:dyDescent="0.2">
      <c r="A356" s="153" t="str">
        <f>IF(B356&gt;0,VLOOKUP(B356,КВСР!A284:B1449,2),IF(C356&gt;0,VLOOKUP(C356,КФСР!A284:B1796,2),IF(D356&gt;0,VLOOKUP(D356,Программа!A$1:B$5100,2),IF(F356&gt;0,VLOOKUP(F356,КВР!A$1:B$5001,2),IF(E356&gt;0,VLOOKUP(E356,Направление!A$1:B$4830,2))))))</f>
        <v>Ведомственная целевая программа «Сохранение и развитие культуры Тутаевского муниципального района»</v>
      </c>
      <c r="B356" s="154"/>
      <c r="C356" s="149"/>
      <c r="D356" s="170" t="s">
        <v>817</v>
      </c>
      <c r="E356" s="168"/>
      <c r="F356" s="151"/>
      <c r="G356" s="500">
        <v>22000000</v>
      </c>
      <c r="H356" s="155">
        <f>H357</f>
        <v>0</v>
      </c>
      <c r="I356" s="155">
        <f t="shared" si="18"/>
        <v>22000000</v>
      </c>
      <c r="J356" s="500">
        <v>8000000</v>
      </c>
      <c r="K356" s="155">
        <f>K357</f>
        <v>0</v>
      </c>
      <c r="L356" s="155">
        <f t="shared" si="19"/>
        <v>8000000</v>
      </c>
    </row>
    <row r="357" spans="1:12" ht="63" x14ac:dyDescent="0.2">
      <c r="A357" s="153" t="str">
        <f>IF(B357&gt;0,VLOOKUP(B357,КВСР!A285:B1450,2),IF(C357&gt;0,VLOOKUP(C357,КФСР!A285:B1797,2),IF(D357&gt;0,VLOOKUP(D357,Программа!A$1:B$5100,2),IF(F357&gt;0,VLOOKUP(F357,КВР!A$1:B$5001,2),IF(E357&gt;0,VLOOKUP(E357,Направление!A$1:B$4830,2))))))</f>
        <v>Реализация дополнительных образовательных программ в сфере культуры</v>
      </c>
      <c r="B357" s="154"/>
      <c r="C357" s="149"/>
      <c r="D357" s="150" t="s">
        <v>819</v>
      </c>
      <c r="E357" s="149"/>
      <c r="F357" s="151"/>
      <c r="G357" s="500">
        <v>22000000</v>
      </c>
      <c r="H357" s="155">
        <f>H358</f>
        <v>0</v>
      </c>
      <c r="I357" s="155">
        <f t="shared" si="18"/>
        <v>22000000</v>
      </c>
      <c r="J357" s="500">
        <v>8000000</v>
      </c>
      <c r="K357" s="155">
        <f>K358</f>
        <v>0</v>
      </c>
      <c r="L357" s="155">
        <f t="shared" si="19"/>
        <v>8000000</v>
      </c>
    </row>
    <row r="358" spans="1:12" ht="63" x14ac:dyDescent="0.2">
      <c r="A358" s="153" t="str">
        <f>IF(B358&gt;0,VLOOKUP(B358,КВСР!A285:B1450,2),IF(C358&gt;0,VLOOKUP(C358,КФСР!A285:B1797,2),IF(D358&gt;0,VLOOKUP(D358,Программа!A$1:B$5100,2),IF(F358&gt;0,VLOOKUP(F358,КВР!A$1:B$5001,2),IF(E358&gt;0,VLOOKUP(E358,Направление!A$1:B$4830,2))))))</f>
        <v>Обеспечение деятельности учреждений дополнительного образования</v>
      </c>
      <c r="B358" s="154"/>
      <c r="C358" s="149"/>
      <c r="D358" s="150"/>
      <c r="E358" s="149">
        <v>13210</v>
      </c>
      <c r="F358" s="151"/>
      <c r="G358" s="500">
        <v>22000000</v>
      </c>
      <c r="H358" s="155">
        <f>H359</f>
        <v>0</v>
      </c>
      <c r="I358" s="155">
        <f t="shared" si="18"/>
        <v>22000000</v>
      </c>
      <c r="J358" s="500">
        <v>8000000</v>
      </c>
      <c r="K358" s="155">
        <f>K359</f>
        <v>0</v>
      </c>
      <c r="L358" s="155">
        <f t="shared" si="19"/>
        <v>8000000</v>
      </c>
    </row>
    <row r="359" spans="1:12" ht="78.75" x14ac:dyDescent="0.2">
      <c r="A359" s="153" t="str">
        <f>IF(B359&gt;0,VLOOKUP(B359,КВСР!A286:B1451,2),IF(C359&gt;0,VLOOKUP(C359,КФСР!A286:B1798,2),IF(D359&gt;0,VLOOKUP(D359,Программа!A$1:B$5100,2),IF(F359&gt;0,VLOOKUP(F359,КВР!A$1:B$5001,2),IF(E359&gt;0,VLOOKUP(E359,Направление!A$1:B$4830,2))))))</f>
        <v>Предоставление субсидий бюджетным, автономным учреждениям и иным некоммерческим организациям</v>
      </c>
      <c r="B359" s="154"/>
      <c r="C359" s="149"/>
      <c r="D359" s="150"/>
      <c r="E359" s="149"/>
      <c r="F359" s="151">
        <v>600</v>
      </c>
      <c r="G359" s="491">
        <v>22000000</v>
      </c>
      <c r="H359" s="190"/>
      <c r="I359" s="155">
        <f t="shared" si="18"/>
        <v>22000000</v>
      </c>
      <c r="J359" s="491">
        <v>8000000</v>
      </c>
      <c r="K359" s="190"/>
      <c r="L359" s="155">
        <f t="shared" si="19"/>
        <v>8000000</v>
      </c>
    </row>
    <row r="360" spans="1:12" ht="15.75" x14ac:dyDescent="0.2">
      <c r="A360" s="153" t="str">
        <f>IF(B360&gt;0,VLOOKUP(B360,КВСР!A286:B1451,2),IF(C360&gt;0,VLOOKUP(C360,КФСР!A286:B1798,2),IF(D360&gt;0,VLOOKUP(D360,Программа!A$1:B$5100,2),IF(F360&gt;0,VLOOKUP(F360,КВР!A$1:B$5001,2),IF(E360&gt;0,VLOOKUP(E360,Направление!A$1:B$4830,2))))))</f>
        <v>Молодежная политика</v>
      </c>
      <c r="B360" s="154"/>
      <c r="C360" s="149">
        <v>707</v>
      </c>
      <c r="D360" s="150"/>
      <c r="E360" s="149"/>
      <c r="F360" s="151"/>
      <c r="G360" s="500">
        <v>6000000</v>
      </c>
      <c r="H360" s="155">
        <f>H361</f>
        <v>0</v>
      </c>
      <c r="I360" s="155">
        <f t="shared" si="18"/>
        <v>6000000</v>
      </c>
      <c r="J360" s="500">
        <v>2000000</v>
      </c>
      <c r="K360" s="155">
        <f>K361</f>
        <v>0</v>
      </c>
      <c r="L360" s="155">
        <f t="shared" si="19"/>
        <v>2000000</v>
      </c>
    </row>
    <row r="361" spans="1:12" ht="78.75" x14ac:dyDescent="0.2">
      <c r="A361" s="153" t="str">
        <f>IF(B361&gt;0,VLOOKUP(B361,КВСР!A287:B1452,2),IF(C361&gt;0,VLOOKUP(C361,КФСР!A287:B1799,2),IF(D361&gt;0,VLOOKUP(D361,Программа!A$1:B$5100,2),IF(F361&gt;0,VLOOKUP(F361,КВР!A$1:B$5001,2),IF(E361&gt;0,VLOOKUP(E361,Направление!A$1:B$4830,2))))))</f>
        <v>Муниципальная программа  "Развитие культуры, туризма и молодежной политики в Тутаевском муниципальном районе"</v>
      </c>
      <c r="B361" s="154"/>
      <c r="C361" s="149"/>
      <c r="D361" s="150" t="s">
        <v>714</v>
      </c>
      <c r="E361" s="149"/>
      <c r="F361" s="151"/>
      <c r="G361" s="500">
        <v>6000000</v>
      </c>
      <c r="H361" s="155">
        <f>H363</f>
        <v>0</v>
      </c>
      <c r="I361" s="155">
        <f t="shared" si="18"/>
        <v>6000000</v>
      </c>
      <c r="J361" s="500">
        <v>2000000</v>
      </c>
      <c r="K361" s="155">
        <f>K363</f>
        <v>0</v>
      </c>
      <c r="L361" s="155">
        <f t="shared" si="19"/>
        <v>2000000</v>
      </c>
    </row>
    <row r="362" spans="1:12" ht="31.5" x14ac:dyDescent="0.2">
      <c r="A362" s="153" t="str">
        <f>IF(B362&gt;0,VLOOKUP(B362,КВСР!A288:B1453,2),IF(C362&gt;0,VLOOKUP(C362,КФСР!A288:B1800,2),IF(D362&gt;0,VLOOKUP(D362,Программа!A$1:B$5100,2),IF(F362&gt;0,VLOOKUP(F362,КВР!A$1:B$5001,2),IF(E362&gt;0,VLOOKUP(E362,Направление!A$1:B$4830,2))))))</f>
        <v>Ведомственная целевая программа «Молодежь»</v>
      </c>
      <c r="B362" s="154"/>
      <c r="C362" s="149"/>
      <c r="D362" s="150" t="s">
        <v>822</v>
      </c>
      <c r="E362" s="149"/>
      <c r="F362" s="151"/>
      <c r="G362" s="500">
        <v>6000000</v>
      </c>
      <c r="H362" s="155">
        <f>H363</f>
        <v>0</v>
      </c>
      <c r="I362" s="155">
        <f t="shared" si="18"/>
        <v>6000000</v>
      </c>
      <c r="J362" s="500">
        <v>2000000</v>
      </c>
      <c r="K362" s="155">
        <f>K363</f>
        <v>0</v>
      </c>
      <c r="L362" s="155">
        <f t="shared" si="19"/>
        <v>2000000</v>
      </c>
    </row>
    <row r="363" spans="1:12" ht="94.5" x14ac:dyDescent="0.2">
      <c r="A363" s="153" t="str">
        <f>IF(B363&gt;0,VLOOKUP(B363,КВСР!A289:B1454,2),IF(C363&gt;0,VLOOKUP(C363,КФСР!A289:B1801,2),IF(D363&gt;0,VLOOKUP(D363,Программа!A$1:B$5100,2),IF(F363&gt;0,VLOOKUP(F363,КВР!A$1:B$5001,2),IF(E363&gt;0,VLOOKUP(E363,Направление!A$1:B$4830,2))))))</f>
        <v>Обеспечение условий для выполнения муниципального задания на оказание услуг, выполнение работ в сфере молодежной политики</v>
      </c>
      <c r="B363" s="154"/>
      <c r="C363" s="149"/>
      <c r="D363" s="150" t="s">
        <v>824</v>
      </c>
      <c r="E363" s="149"/>
      <c r="F363" s="151"/>
      <c r="G363" s="500">
        <v>6000000</v>
      </c>
      <c r="H363" s="155">
        <f>H364+H366+H368</f>
        <v>0</v>
      </c>
      <c r="I363" s="155">
        <f t="shared" si="18"/>
        <v>6000000</v>
      </c>
      <c r="J363" s="500">
        <v>2000000</v>
      </c>
      <c r="K363" s="155">
        <f>K364+K366+K368</f>
        <v>0</v>
      </c>
      <c r="L363" s="155">
        <f t="shared" si="19"/>
        <v>2000000</v>
      </c>
    </row>
    <row r="364" spans="1:12" ht="47.25" x14ac:dyDescent="0.2">
      <c r="A364" s="153" t="str">
        <f>IF(B364&gt;0,VLOOKUP(B364,КВСР!A289:B1454,2),IF(C364&gt;0,VLOOKUP(C364,КФСР!A289:B1801,2),IF(D364&gt;0,VLOOKUP(D364,Программа!A$1:B$5100,2),IF(F364&gt;0,VLOOKUP(F364,КВР!A$1:B$5001,2),IF(E364&gt;0,VLOOKUP(E364,Направление!A$1:B$4830,2))))))</f>
        <v xml:space="preserve">Обеспечение деятельности учреждений в сфере молодежной политики </v>
      </c>
      <c r="B364" s="154"/>
      <c r="C364" s="149"/>
      <c r="D364" s="150"/>
      <c r="E364" s="149">
        <v>14510</v>
      </c>
      <c r="F364" s="151"/>
      <c r="G364" s="500">
        <v>6000000</v>
      </c>
      <c r="H364" s="155">
        <f>H365</f>
        <v>0</v>
      </c>
      <c r="I364" s="155">
        <f t="shared" si="18"/>
        <v>6000000</v>
      </c>
      <c r="J364" s="500">
        <v>2000000</v>
      </c>
      <c r="K364" s="155">
        <f>K365</f>
        <v>0</v>
      </c>
      <c r="L364" s="155">
        <f t="shared" si="19"/>
        <v>2000000</v>
      </c>
    </row>
    <row r="365" spans="1:12" ht="78.75" x14ac:dyDescent="0.2">
      <c r="A365" s="153" t="str">
        <f>IF(B365&gt;0,VLOOKUP(B365,КВСР!A290:B1455,2),IF(C365&gt;0,VLOOKUP(C365,КФСР!A290:B1802,2),IF(D365&gt;0,VLOOKUP(D365,Программа!A$1:B$5100,2),IF(F365&gt;0,VLOOKUP(F365,КВР!A$1:B$5001,2),IF(E365&gt;0,VLOOKUP(E365,Направление!A$1:B$4830,2))))))</f>
        <v>Предоставление субсидий бюджетным, автономным учреждениям и иным некоммерческим организациям</v>
      </c>
      <c r="B365" s="154"/>
      <c r="C365" s="149"/>
      <c r="D365" s="150"/>
      <c r="E365" s="149"/>
      <c r="F365" s="151">
        <v>600</v>
      </c>
      <c r="G365" s="491">
        <v>6000000</v>
      </c>
      <c r="H365" s="190"/>
      <c r="I365" s="155">
        <f t="shared" si="18"/>
        <v>6000000</v>
      </c>
      <c r="J365" s="491">
        <v>2000000</v>
      </c>
      <c r="K365" s="190"/>
      <c r="L365" s="155">
        <f t="shared" si="19"/>
        <v>2000000</v>
      </c>
    </row>
    <row r="366" spans="1:12" ht="110.25" hidden="1" x14ac:dyDescent="0.2">
      <c r="A366" s="153" t="str">
        <f>IF(B366&gt;0,VLOOKUP(B366,КВСР!A291:B1456,2),IF(C366&gt;0,VLOOKUP(C366,КФСР!A291:B1803,2),IF(D366&gt;0,VLOOKUP(D366,Программа!A$1:B$5100,2),IF(F366&gt;0,VLOOKUP(F366,КВР!A$1:B$5001,2),IF(E366&gt;0,VLOOKUP(E366,Направление!A$1:B$4830,2))))))</f>
        <v>Расходы на оказание (выполнение) муниципальными учреждениями услуг (работ) в сфере молодежной политики за счет средств областного бюджета</v>
      </c>
      <c r="B366" s="154"/>
      <c r="C366" s="149"/>
      <c r="D366" s="150"/>
      <c r="E366" s="149" t="s">
        <v>828</v>
      </c>
      <c r="F366" s="151"/>
      <c r="G366" s="500">
        <v>0</v>
      </c>
      <c r="H366" s="155">
        <f>H367</f>
        <v>0</v>
      </c>
      <c r="I366" s="155">
        <f t="shared" ref="I366:I435" si="21">SUM(G366:H366)</f>
        <v>0</v>
      </c>
      <c r="J366" s="500">
        <v>0</v>
      </c>
      <c r="K366" s="155">
        <f>K367</f>
        <v>0</v>
      </c>
      <c r="L366" s="155">
        <f t="shared" ref="L366:L435" si="22">SUM(J366:K366)</f>
        <v>0</v>
      </c>
    </row>
    <row r="367" spans="1:12" ht="78.75" hidden="1" x14ac:dyDescent="0.2">
      <c r="A367" s="153" t="str">
        <f>IF(B367&gt;0,VLOOKUP(B367,КВСР!A292:B1457,2),IF(C367&gt;0,VLOOKUP(C367,КФСР!A292:B1804,2),IF(D367&gt;0,VLOOKUP(D367,Программа!A$1:B$5100,2),IF(F367&gt;0,VLOOKUP(F367,КВР!A$1:B$5001,2),IF(E367&gt;0,VLOOKUP(E367,Направление!A$1:B$4830,2))))))</f>
        <v>Предоставление субсидий бюджетным, автономным учреждениям и иным некоммерческим организациям</v>
      </c>
      <c r="B367" s="154"/>
      <c r="C367" s="149"/>
      <c r="D367" s="150"/>
      <c r="E367" s="149"/>
      <c r="F367" s="151">
        <v>600</v>
      </c>
      <c r="G367" s="491">
        <v>0</v>
      </c>
      <c r="H367" s="190"/>
      <c r="I367" s="155">
        <f t="shared" si="21"/>
        <v>0</v>
      </c>
      <c r="J367" s="491">
        <v>0</v>
      </c>
      <c r="K367" s="190"/>
      <c r="L367" s="155">
        <f t="shared" si="22"/>
        <v>0</v>
      </c>
    </row>
    <row r="368" spans="1:12" ht="110.25" hidden="1" x14ac:dyDescent="0.2">
      <c r="A368" s="153" t="str">
        <f>IF(B368&gt;0,VLOOKUP(B368,КВСР!A293:B1458,2),IF(C368&gt;0,VLOOKUP(C368,КФСР!A293:B1805,2),IF(D368&gt;0,VLOOKUP(D368,Программа!A$1:B$5100,2),IF(F368&gt;0,VLOOKUP(F368,КВР!A$1:B$5001,2),IF(E368&gt;0,VLOOKUP(E368,Направление!A$1:B$4830,2))))))</f>
        <v>Расходы на оказание (выполнение) муниципальными учреждениями услуг (работ) в сфере молодежной политики за счет средств областного бюджета</v>
      </c>
      <c r="B368" s="154"/>
      <c r="C368" s="149"/>
      <c r="D368" s="150"/>
      <c r="E368" s="149">
        <v>70650</v>
      </c>
      <c r="F368" s="151"/>
      <c r="G368" s="500">
        <v>0</v>
      </c>
      <c r="H368" s="155">
        <f>H369</f>
        <v>0</v>
      </c>
      <c r="I368" s="155">
        <f t="shared" si="21"/>
        <v>0</v>
      </c>
      <c r="J368" s="500">
        <v>0</v>
      </c>
      <c r="K368" s="155">
        <f>K369</f>
        <v>0</v>
      </c>
      <c r="L368" s="155">
        <f t="shared" si="22"/>
        <v>0</v>
      </c>
    </row>
    <row r="369" spans="1:12" ht="78.75" hidden="1" x14ac:dyDescent="0.2">
      <c r="A369" s="153" t="str">
        <f>IF(B369&gt;0,VLOOKUP(B369,КВСР!A294:B1459,2),IF(C369&gt;0,VLOOKUP(C369,КФСР!A294:B1806,2),IF(D369&gt;0,VLOOKUP(D369,Программа!A$1:B$5100,2),IF(F369&gt;0,VLOOKUP(F369,КВР!A$1:B$5001,2),IF(E369&gt;0,VLOOKUP(E369,Направление!A$1:B$4830,2))))))</f>
        <v>Предоставление субсидий бюджетным, автономным учреждениям и иным некоммерческим организациям</v>
      </c>
      <c r="B369" s="154"/>
      <c r="C369" s="149"/>
      <c r="D369" s="150"/>
      <c r="E369" s="149"/>
      <c r="F369" s="151">
        <v>600</v>
      </c>
      <c r="G369" s="491">
        <v>0</v>
      </c>
      <c r="H369" s="190"/>
      <c r="I369" s="155">
        <f t="shared" si="21"/>
        <v>0</v>
      </c>
      <c r="J369" s="491">
        <v>0</v>
      </c>
      <c r="K369" s="190"/>
      <c r="L369" s="155">
        <f t="shared" si="22"/>
        <v>0</v>
      </c>
    </row>
    <row r="370" spans="1:12" ht="15.75" x14ac:dyDescent="0.2">
      <c r="A370" s="153" t="str">
        <f>IF(B370&gt;0,VLOOKUP(B370,КВСР!A309:B1474,2),IF(C370&gt;0,VLOOKUP(C370,КФСР!A309:B1821,2),IF(D370&gt;0,VLOOKUP(D370,Программа!A$1:B$5100,2),IF(F370&gt;0,VLOOKUP(F370,КВР!A$1:B$5001,2),IF(E370&gt;0,VLOOKUP(E370,Направление!A$1:B$4830,2))))))</f>
        <v>Культура</v>
      </c>
      <c r="B370" s="154"/>
      <c r="C370" s="149">
        <v>801</v>
      </c>
      <c r="D370" s="170"/>
      <c r="E370" s="168"/>
      <c r="F370" s="169"/>
      <c r="G370" s="500">
        <v>58000000</v>
      </c>
      <c r="H370" s="155">
        <f>H371</f>
        <v>0</v>
      </c>
      <c r="I370" s="155">
        <f t="shared" si="21"/>
        <v>58000000</v>
      </c>
      <c r="J370" s="500">
        <v>21000000</v>
      </c>
      <c r="K370" s="155">
        <f>K371</f>
        <v>0</v>
      </c>
      <c r="L370" s="155">
        <f t="shared" si="22"/>
        <v>21000000</v>
      </c>
    </row>
    <row r="371" spans="1:12" ht="78.75" x14ac:dyDescent="0.2">
      <c r="A371" s="153" t="str">
        <f>IF(B371&gt;0,VLOOKUP(B371,КВСР!A310:B1475,2),IF(C371&gt;0,VLOOKUP(C371,КФСР!A310:B1822,2),IF(D371&gt;0,VLOOKUP(D371,Программа!A$1:B$5100,2),IF(F371&gt;0,VLOOKUP(F371,КВР!A$1:B$5001,2),IF(E371&gt;0,VLOOKUP(E371,Направление!A$1:B$4830,2))))))</f>
        <v>Муниципальная программа  "Развитие культуры, туризма и молодежной политики в Тутаевском муниципальном районе"</v>
      </c>
      <c r="B371" s="154"/>
      <c r="C371" s="149"/>
      <c r="D371" s="170" t="s">
        <v>714</v>
      </c>
      <c r="E371" s="168"/>
      <c r="F371" s="169"/>
      <c r="G371" s="500">
        <v>58000000</v>
      </c>
      <c r="H371" s="155">
        <f>H372</f>
        <v>0</v>
      </c>
      <c r="I371" s="155">
        <f t="shared" si="21"/>
        <v>58000000</v>
      </c>
      <c r="J371" s="500">
        <v>21000000</v>
      </c>
      <c r="K371" s="155">
        <f>K372</f>
        <v>0</v>
      </c>
      <c r="L371" s="155">
        <f t="shared" si="22"/>
        <v>21000000</v>
      </c>
    </row>
    <row r="372" spans="1:12" ht="78.75" x14ac:dyDescent="0.2">
      <c r="A372" s="153" t="str">
        <f>IF(B372&gt;0,VLOOKUP(B372,КВСР!A311:B1476,2),IF(C372&gt;0,VLOOKUP(C372,КФСР!A311:B1823,2),IF(D372&gt;0,VLOOKUP(D372,Программа!A$1:B$5100,2),IF(F372&gt;0,VLOOKUP(F372,КВР!A$1:B$5001,2),IF(E372&gt;0,VLOOKUP(E372,Направление!A$1:B$4830,2))))))</f>
        <v>Ведомственная целевая программа «Сохранение и развитие культуры Тутаевского муниципального района»</v>
      </c>
      <c r="B372" s="154"/>
      <c r="C372" s="149"/>
      <c r="D372" s="170" t="s">
        <v>817</v>
      </c>
      <c r="E372" s="168"/>
      <c r="F372" s="169"/>
      <c r="G372" s="500">
        <v>58000000</v>
      </c>
      <c r="H372" s="155">
        <f>H373+H376</f>
        <v>0</v>
      </c>
      <c r="I372" s="155">
        <f t="shared" si="21"/>
        <v>58000000</v>
      </c>
      <c r="J372" s="500">
        <v>21000000</v>
      </c>
      <c r="K372" s="155">
        <f>K373+K376</f>
        <v>0</v>
      </c>
      <c r="L372" s="155">
        <f t="shared" si="22"/>
        <v>21000000</v>
      </c>
    </row>
    <row r="373" spans="1:12" ht="47.25" x14ac:dyDescent="0.2">
      <c r="A373" s="153" t="str">
        <f>IF(B373&gt;0,VLOOKUP(B373,КВСР!A312:B1477,2),IF(C373&gt;0,VLOOKUP(C373,КФСР!A312:B1824,2),IF(D373&gt;0,VLOOKUP(D373,Программа!A$1:B$5100,2),IF(F373&gt;0,VLOOKUP(F373,КВР!A$1:B$5001,2),IF(E373&gt;0,VLOOKUP(E373,Направление!A$1:B$4830,2))))))</f>
        <v>Содействие доступу граждан к культурным ценностям</v>
      </c>
      <c r="B373" s="154"/>
      <c r="C373" s="149"/>
      <c r="D373" s="170" t="s">
        <v>836</v>
      </c>
      <c r="E373" s="168"/>
      <c r="F373" s="169"/>
      <c r="G373" s="500">
        <v>45000000</v>
      </c>
      <c r="H373" s="155">
        <f>H374</f>
        <v>0</v>
      </c>
      <c r="I373" s="155">
        <f t="shared" si="21"/>
        <v>45000000</v>
      </c>
      <c r="J373" s="500">
        <v>16000000</v>
      </c>
      <c r="K373" s="155">
        <f>K374</f>
        <v>0</v>
      </c>
      <c r="L373" s="155">
        <f t="shared" si="22"/>
        <v>16000000</v>
      </c>
    </row>
    <row r="374" spans="1:12" ht="47.25" x14ac:dyDescent="0.2">
      <c r="A374" s="153" t="str">
        <f>IF(B374&gt;0,VLOOKUP(B374,КВСР!A312:B1477,2),IF(C374&gt;0,VLOOKUP(C374,КФСР!A312:B1824,2),IF(D374&gt;0,VLOOKUP(D374,Программа!A$1:B$5100,2),IF(F374&gt;0,VLOOKUP(F374,КВР!A$1:B$5001,2),IF(E374&gt;0,VLOOKUP(E374,Направление!A$1:B$4830,2))))))</f>
        <v>Обеспечение деятельности учреждений по организации досуга в сфере культуры</v>
      </c>
      <c r="B374" s="154"/>
      <c r="C374" s="149"/>
      <c r="D374" s="170"/>
      <c r="E374" s="168">
        <v>15010</v>
      </c>
      <c r="F374" s="169"/>
      <c r="G374" s="500">
        <v>45000000</v>
      </c>
      <c r="H374" s="155">
        <f>H375</f>
        <v>0</v>
      </c>
      <c r="I374" s="155">
        <f t="shared" si="21"/>
        <v>45000000</v>
      </c>
      <c r="J374" s="500">
        <v>16000000</v>
      </c>
      <c r="K374" s="155">
        <f>K375</f>
        <v>0</v>
      </c>
      <c r="L374" s="155">
        <f t="shared" si="22"/>
        <v>16000000</v>
      </c>
    </row>
    <row r="375" spans="1:12" ht="78.75" x14ac:dyDescent="0.2">
      <c r="A375" s="153" t="str">
        <f>IF(B375&gt;0,VLOOKUP(B375,КВСР!A313:B1478,2),IF(C375&gt;0,VLOOKUP(C375,КФСР!A313:B1825,2),IF(D375&gt;0,VLOOKUP(D375,Программа!A$1:B$5100,2),IF(F375&gt;0,VLOOKUP(F375,КВР!A$1:B$5001,2),IF(E375&gt;0,VLOOKUP(E375,Направление!A$1:B$4830,2))))))</f>
        <v>Предоставление субсидий бюджетным, автономным учреждениям и иным некоммерческим организациям</v>
      </c>
      <c r="B375" s="154"/>
      <c r="C375" s="149"/>
      <c r="D375" s="170"/>
      <c r="E375" s="168"/>
      <c r="F375" s="169">
        <v>600</v>
      </c>
      <c r="G375" s="491">
        <v>45000000</v>
      </c>
      <c r="H375" s="190"/>
      <c r="I375" s="155">
        <f t="shared" si="21"/>
        <v>45000000</v>
      </c>
      <c r="J375" s="491">
        <v>16000000</v>
      </c>
      <c r="K375" s="190"/>
      <c r="L375" s="155">
        <f t="shared" si="22"/>
        <v>16000000</v>
      </c>
    </row>
    <row r="376" spans="1:12" ht="47.25" x14ac:dyDescent="0.2">
      <c r="A376" s="153" t="str">
        <f>IF(B376&gt;0,VLOOKUP(B376,КВСР!A314:B1479,2),IF(C376&gt;0,VLOOKUP(C376,КФСР!A314:B1826,2),IF(D376&gt;0,VLOOKUP(D376,Программа!A$1:B$5100,2),IF(F376&gt;0,VLOOKUP(F376,КВР!A$1:B$5001,2),IF(E376&gt;0,VLOOKUP(E376,Направление!A$1:B$4830,2))))))</f>
        <v>Поддержка доступа граждан к информационно-библиотечным ресурсам</v>
      </c>
      <c r="B376" s="154"/>
      <c r="C376" s="149"/>
      <c r="D376" s="170" t="s">
        <v>841</v>
      </c>
      <c r="E376" s="168"/>
      <c r="F376" s="169"/>
      <c r="G376" s="500">
        <v>13000000</v>
      </c>
      <c r="H376" s="155">
        <f>H377</f>
        <v>0</v>
      </c>
      <c r="I376" s="155">
        <f t="shared" si="21"/>
        <v>13000000</v>
      </c>
      <c r="J376" s="500">
        <v>5000000</v>
      </c>
      <c r="K376" s="155">
        <f>K377</f>
        <v>0</v>
      </c>
      <c r="L376" s="155">
        <f t="shared" si="22"/>
        <v>5000000</v>
      </c>
    </row>
    <row r="377" spans="1:12" ht="31.5" x14ac:dyDescent="0.2">
      <c r="A377" s="153" t="str">
        <f>IF(B377&gt;0,VLOOKUP(B377,КВСР!A315:B1480,2),IF(C377&gt;0,VLOOKUP(C377,КФСР!A315:B1827,2),IF(D377&gt;0,VLOOKUP(D377,Программа!A$1:B$5100,2),IF(F377&gt;0,VLOOKUP(F377,КВР!A$1:B$5001,2),IF(E377&gt;0,VLOOKUP(E377,Направление!A$1:B$4830,2))))))</f>
        <v>Обеспечение деятельности библиотек</v>
      </c>
      <c r="B377" s="154"/>
      <c r="C377" s="149"/>
      <c r="D377" s="170"/>
      <c r="E377" s="168">
        <v>15110</v>
      </c>
      <c r="F377" s="169"/>
      <c r="G377" s="500">
        <v>13000000</v>
      </c>
      <c r="H377" s="155">
        <f>H378</f>
        <v>0</v>
      </c>
      <c r="I377" s="155">
        <f t="shared" si="21"/>
        <v>13000000</v>
      </c>
      <c r="J377" s="500">
        <v>5000000</v>
      </c>
      <c r="K377" s="155">
        <f>K378</f>
        <v>0</v>
      </c>
      <c r="L377" s="155">
        <f t="shared" si="22"/>
        <v>5000000</v>
      </c>
    </row>
    <row r="378" spans="1:12" ht="78.75" x14ac:dyDescent="0.2">
      <c r="A378" s="153" t="str">
        <f>IF(B378&gt;0,VLOOKUP(B378,КВСР!A316:B1481,2),IF(C378&gt;0,VLOOKUP(C378,КФСР!A316:B1828,2),IF(D378&gt;0,VLOOKUP(D378,Программа!A$1:B$5100,2),IF(F378&gt;0,VLOOKUP(F378,КВР!A$1:B$5001,2),IF(E378&gt;0,VLOOKUP(E378,Направление!A$1:B$4830,2))))))</f>
        <v>Предоставление субсидий бюджетным, автономным учреждениям и иным некоммерческим организациям</v>
      </c>
      <c r="B378" s="154"/>
      <c r="C378" s="149"/>
      <c r="D378" s="170"/>
      <c r="E378" s="168"/>
      <c r="F378" s="169">
        <v>600</v>
      </c>
      <c r="G378" s="491">
        <v>13000000</v>
      </c>
      <c r="H378" s="190"/>
      <c r="I378" s="155">
        <f t="shared" si="21"/>
        <v>13000000</v>
      </c>
      <c r="J378" s="491">
        <v>5000000</v>
      </c>
      <c r="K378" s="190"/>
      <c r="L378" s="155">
        <f t="shared" si="22"/>
        <v>5000000</v>
      </c>
    </row>
    <row r="379" spans="1:12" ht="31.5" x14ac:dyDescent="0.2">
      <c r="A379" s="153" t="str">
        <f>IF(B379&gt;0,VLOOKUP(B379,КВСР!A317:B1482,2),IF(C379&gt;0,VLOOKUP(C379,КФСР!A317:B1829,2),IF(D379&gt;0,VLOOKUP(D379,Программа!A$1:B$5100,2),IF(F379&gt;0,VLOOKUP(F379,КВР!A$1:B$5001,2),IF(E379&gt;0,VLOOKUP(E379,Направление!A$1:B$4830,2))))))</f>
        <v>Другие вопросы в области культуры, кинематографии</v>
      </c>
      <c r="B379" s="154"/>
      <c r="C379" s="149">
        <v>804</v>
      </c>
      <c r="D379" s="150"/>
      <c r="E379" s="149"/>
      <c r="F379" s="151"/>
      <c r="G379" s="500">
        <v>28274673</v>
      </c>
      <c r="H379" s="155">
        <f>H380</f>
        <v>0</v>
      </c>
      <c r="I379" s="155">
        <f t="shared" si="21"/>
        <v>28274673</v>
      </c>
      <c r="J379" s="500">
        <v>28274673</v>
      </c>
      <c r="K379" s="155">
        <f>K380</f>
        <v>0</v>
      </c>
      <c r="L379" s="155">
        <f t="shared" si="22"/>
        <v>28274673</v>
      </c>
    </row>
    <row r="380" spans="1:12" ht="78.75" x14ac:dyDescent="0.2">
      <c r="A380" s="153" t="str">
        <f>IF(B380&gt;0,VLOOKUP(B380,КВСР!A329:B1494,2),IF(C380&gt;0,VLOOKUP(C380,КФСР!A329:B1841,2),IF(D380&gt;0,VLOOKUP(D380,Программа!A$1:B$5100,2),IF(F380&gt;0,VLOOKUP(F380,КВР!A$1:B$5001,2),IF(E380&gt;0,VLOOKUP(E380,Направление!A$1:B$4830,2))))))</f>
        <v>Муниципальная программа  "Развитие культуры, туризма и молодежной политики в Тутаевском муниципальном районе"</v>
      </c>
      <c r="B380" s="154"/>
      <c r="C380" s="149"/>
      <c r="D380" s="150" t="s">
        <v>714</v>
      </c>
      <c r="E380" s="149"/>
      <c r="F380" s="151"/>
      <c r="G380" s="500">
        <v>28274673</v>
      </c>
      <c r="H380" s="155">
        <f>H382</f>
        <v>0</v>
      </c>
      <c r="I380" s="155">
        <f t="shared" si="21"/>
        <v>28274673</v>
      </c>
      <c r="J380" s="500">
        <v>28274673</v>
      </c>
      <c r="K380" s="155">
        <f>K382</f>
        <v>0</v>
      </c>
      <c r="L380" s="155">
        <f t="shared" si="22"/>
        <v>28274673</v>
      </c>
    </row>
    <row r="381" spans="1:12" ht="78.75" x14ac:dyDescent="0.2">
      <c r="A381" s="153" t="str">
        <f>IF(B381&gt;0,VLOOKUP(B381,КВСР!A330:B1495,2),IF(C381&gt;0,VLOOKUP(C381,КФСР!A330:B1842,2),IF(D381&gt;0,VLOOKUP(D381,Программа!A$1:B$5100,2),IF(F381&gt;0,VLOOKUP(F381,КВР!A$1:B$5001,2),IF(E381&gt;0,VLOOKUP(E381,Направление!A$1:B$4830,2))))))</f>
        <v>Ведомственная целевая программа «Сохранение и развитие культуры Тутаевского муниципального района»</v>
      </c>
      <c r="B381" s="154"/>
      <c r="C381" s="149"/>
      <c r="D381" s="150" t="s">
        <v>817</v>
      </c>
      <c r="E381" s="149"/>
      <c r="F381" s="151"/>
      <c r="G381" s="500">
        <v>28274673</v>
      </c>
      <c r="H381" s="155">
        <f>H382</f>
        <v>0</v>
      </c>
      <c r="I381" s="155">
        <f t="shared" si="21"/>
        <v>28274673</v>
      </c>
      <c r="J381" s="500">
        <v>28274673</v>
      </c>
      <c r="K381" s="155">
        <f>K382</f>
        <v>0</v>
      </c>
      <c r="L381" s="155">
        <f t="shared" si="22"/>
        <v>28274673</v>
      </c>
    </row>
    <row r="382" spans="1:12" ht="47.25" x14ac:dyDescent="0.2">
      <c r="A382" s="153" t="str">
        <f>IF(B382&gt;0,VLOOKUP(B382,КВСР!A331:B1496,2),IF(C382&gt;0,VLOOKUP(C382,КФСР!A331:B1843,2),IF(D382&gt;0,VLOOKUP(D382,Программа!A$1:B$5100,2),IF(F382&gt;0,VLOOKUP(F382,КВР!A$1:B$5001,2),IF(E382&gt;0,VLOOKUP(E382,Направление!A$1:B$4830,2))))))</f>
        <v>Обеспечение эффективности управления системой культуры</v>
      </c>
      <c r="B382" s="154"/>
      <c r="C382" s="149"/>
      <c r="D382" s="150" t="s">
        <v>844</v>
      </c>
      <c r="E382" s="149"/>
      <c r="F382" s="151"/>
      <c r="G382" s="500">
        <v>28274673</v>
      </c>
      <c r="H382" s="155">
        <f>H383+H387+H391</f>
        <v>0</v>
      </c>
      <c r="I382" s="155">
        <f t="shared" si="21"/>
        <v>28274673</v>
      </c>
      <c r="J382" s="500">
        <v>28274673</v>
      </c>
      <c r="K382" s="155">
        <f>K383+K387+K391</f>
        <v>0</v>
      </c>
      <c r="L382" s="155">
        <f t="shared" si="22"/>
        <v>28274673</v>
      </c>
    </row>
    <row r="383" spans="1:12" ht="31.5" x14ac:dyDescent="0.2">
      <c r="A383" s="153" t="str">
        <f>IF(B383&gt;0,VLOOKUP(B383,КВСР!A332:B1497,2),IF(C383&gt;0,VLOOKUP(C383,КФСР!A332:B1844,2),IF(D383&gt;0,VLOOKUP(D383,Программа!A$1:B$5100,2),IF(F383&gt;0,VLOOKUP(F383,КВР!A$1:B$5001,2),IF(E383&gt;0,VLOOKUP(E383,Направление!A$1:B$4830,2))))))</f>
        <v>Содержание центрального аппарата</v>
      </c>
      <c r="B383" s="154"/>
      <c r="C383" s="149"/>
      <c r="D383" s="150"/>
      <c r="E383" s="149">
        <v>12010</v>
      </c>
      <c r="F383" s="151"/>
      <c r="G383" s="500">
        <v>3870015</v>
      </c>
      <c r="H383" s="500">
        <f>H384+H385+H386</f>
        <v>0</v>
      </c>
      <c r="I383" s="500">
        <f>I384+I385+I386</f>
        <v>3870015</v>
      </c>
      <c r="J383" s="500">
        <v>3870015</v>
      </c>
      <c r="K383" s="500">
        <f>K384+K385+K386</f>
        <v>0</v>
      </c>
      <c r="L383" s="500">
        <f>L384+L385+L386</f>
        <v>3870015</v>
      </c>
    </row>
    <row r="384" spans="1:12" ht="173.25" x14ac:dyDescent="0.2">
      <c r="A384" s="153" t="str">
        <f>IF(B384&gt;0,VLOOKUP(B384,КВСР!A332:B1497,2),IF(C384&gt;0,VLOOKUP(C384,КФСР!A332:B1844,2),IF(D384&gt;0,VLOOKUP(D384,Программа!A$1:B$5100,2),IF(F384&gt;0,VLOOKUP(F384,КВР!A$1:B$5001,2),IF(E384&gt;0,VLOOKUP(E384,Направление!A$1:B$4830,2))))))</f>
        <v xml:space="preserve">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
</v>
      </c>
      <c r="B384" s="154"/>
      <c r="C384" s="149"/>
      <c r="D384" s="150"/>
      <c r="E384" s="149"/>
      <c r="F384" s="151">
        <v>100</v>
      </c>
      <c r="G384" s="491">
        <v>3421129</v>
      </c>
      <c r="H384" s="190"/>
      <c r="I384" s="155">
        <f t="shared" si="21"/>
        <v>3421129</v>
      </c>
      <c r="J384" s="491">
        <v>3421129</v>
      </c>
      <c r="K384" s="190"/>
      <c r="L384" s="155">
        <f t="shared" si="22"/>
        <v>3421129</v>
      </c>
    </row>
    <row r="385" spans="1:12" ht="78.75" x14ac:dyDescent="0.2">
      <c r="A385" s="153" t="str">
        <f>IF(B385&gt;0,VLOOKUP(B385,КВСР!A333:B1498,2),IF(C385&gt;0,VLOOKUP(C385,КФСР!A333:B1845,2),IF(D385&gt;0,VLOOKUP(D385,Программа!A$1:B$5100,2),IF(F385&gt;0,VLOOKUP(F385,КВР!A$1:B$5001,2),IF(E385&gt;0,VLOOKUP(E385,Направление!A$1:B$4830,2))))))</f>
        <v xml:space="preserve">Закупка товаров, работ и услуг для обеспечения государственных (муниципальных) нужд
</v>
      </c>
      <c r="B385" s="154"/>
      <c r="C385" s="149"/>
      <c r="D385" s="150"/>
      <c r="E385" s="149"/>
      <c r="F385" s="151">
        <v>200</v>
      </c>
      <c r="G385" s="491">
        <v>392886</v>
      </c>
      <c r="H385" s="190"/>
      <c r="I385" s="155">
        <f t="shared" si="21"/>
        <v>392886</v>
      </c>
      <c r="J385" s="491">
        <v>392886</v>
      </c>
      <c r="K385" s="190"/>
      <c r="L385" s="155">
        <f t="shared" si="22"/>
        <v>392886</v>
      </c>
    </row>
    <row r="386" spans="1:12" ht="31.5" x14ac:dyDescent="0.2">
      <c r="A386" s="153" t="str">
        <f>IF(B386&gt;0,VLOOKUP(B386,КВСР!A334:B1499,2),IF(C386&gt;0,VLOOKUP(C386,КФСР!A334:B1846,2),IF(D386&gt;0,VLOOKUP(D386,Программа!A$1:B$5100,2),IF(F386&gt;0,VLOOKUP(F386,КВР!A$1:B$5001,2),IF(E386&gt;0,VLOOKUP(E386,Направление!A$1:B$4830,2))))))</f>
        <v>Иные бюджетные ассигнования</v>
      </c>
      <c r="B386" s="154"/>
      <c r="C386" s="149"/>
      <c r="D386" s="150"/>
      <c r="E386" s="149"/>
      <c r="F386" s="151">
        <v>800</v>
      </c>
      <c r="G386" s="491">
        <v>56000</v>
      </c>
      <c r="H386" s="190"/>
      <c r="I386" s="155">
        <f t="shared" si="21"/>
        <v>56000</v>
      </c>
      <c r="J386" s="491">
        <v>56000</v>
      </c>
      <c r="K386" s="190"/>
      <c r="L386" s="155">
        <f t="shared" si="22"/>
        <v>56000</v>
      </c>
    </row>
    <row r="387" spans="1:12" ht="47.25" x14ac:dyDescent="0.2">
      <c r="A387" s="153" t="str">
        <f>IF(B387&gt;0,VLOOKUP(B387,КВСР!A333:B1498,2),IF(C387&gt;0,VLOOKUP(C387,КФСР!A333:B1845,2),IF(D387&gt;0,VLOOKUP(D387,Программа!A$1:B$5100,2),IF(F387&gt;0,VLOOKUP(F387,КВР!A$1:B$5001,2),IF(E387&gt;0,VLOOKUP(E387,Направление!A$1:B$4830,2))))))</f>
        <v>Обеспечение деятельности прочих учреждений в сфере культуры</v>
      </c>
      <c r="B387" s="154"/>
      <c r="C387" s="149"/>
      <c r="D387" s="150"/>
      <c r="E387" s="149">
        <v>15210</v>
      </c>
      <c r="F387" s="151"/>
      <c r="G387" s="500">
        <v>24404658</v>
      </c>
      <c r="H387" s="500">
        <f>H388+H389+H390</f>
        <v>0</v>
      </c>
      <c r="I387" s="500">
        <f>I388+I389+I390</f>
        <v>24404658</v>
      </c>
      <c r="J387" s="500">
        <v>24404658</v>
      </c>
      <c r="K387" s="500">
        <f>K388+K389+K390</f>
        <v>0</v>
      </c>
      <c r="L387" s="500">
        <f>L388+L389+L390</f>
        <v>24404658</v>
      </c>
    </row>
    <row r="388" spans="1:12" ht="173.25" x14ac:dyDescent="0.2">
      <c r="A388" s="153" t="str">
        <f>IF(B388&gt;0,VLOOKUP(B388,КВСР!A334:B1499,2),IF(C388&gt;0,VLOOKUP(C388,КФСР!A334:B1846,2),IF(D388&gt;0,VLOOKUP(D388,Программа!A$1:B$5100,2),IF(F388&gt;0,VLOOKUP(F388,КВР!A$1:B$5001,2),IF(E388&gt;0,VLOOKUP(E388,Направление!A$1:B$4830,2))))))</f>
        <v xml:space="preserve">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
</v>
      </c>
      <c r="B388" s="154"/>
      <c r="C388" s="149"/>
      <c r="D388" s="150"/>
      <c r="E388" s="149"/>
      <c r="F388" s="151">
        <v>100</v>
      </c>
      <c r="G388" s="491">
        <v>23726658</v>
      </c>
      <c r="H388" s="190"/>
      <c r="I388" s="155">
        <f t="shared" si="21"/>
        <v>23726658</v>
      </c>
      <c r="J388" s="491">
        <v>23726658</v>
      </c>
      <c r="K388" s="190"/>
      <c r="L388" s="155">
        <f t="shared" si="22"/>
        <v>23726658</v>
      </c>
    </row>
    <row r="389" spans="1:12" ht="78.75" x14ac:dyDescent="0.2">
      <c r="A389" s="153" t="str">
        <f>IF(B389&gt;0,VLOOKUP(B389,КВСР!A335:B1500,2),IF(C389&gt;0,VLOOKUP(C389,КФСР!A335:B1847,2),IF(D389&gt;0,VLOOKUP(D389,Программа!A$1:B$5100,2),IF(F389&gt;0,VLOOKUP(F389,КВР!A$1:B$5001,2),IF(E389&gt;0,VLOOKUP(E389,Направление!A$1:B$4830,2))))))</f>
        <v xml:space="preserve">Закупка товаров, работ и услуг для обеспечения государственных (муниципальных) нужд
</v>
      </c>
      <c r="B389" s="154"/>
      <c r="C389" s="149"/>
      <c r="D389" s="150"/>
      <c r="E389" s="149"/>
      <c r="F389" s="151">
        <v>200</v>
      </c>
      <c r="G389" s="491">
        <v>661000</v>
      </c>
      <c r="H389" s="190"/>
      <c r="I389" s="155">
        <f t="shared" si="21"/>
        <v>661000</v>
      </c>
      <c r="J389" s="491">
        <v>661000</v>
      </c>
      <c r="K389" s="190"/>
      <c r="L389" s="155">
        <f t="shared" si="22"/>
        <v>661000</v>
      </c>
    </row>
    <row r="390" spans="1:12" ht="31.5" x14ac:dyDescent="0.2">
      <c r="A390" s="153" t="str">
        <f>IF(B390&gt;0,VLOOKUP(B390,КВСР!A336:B1501,2),IF(C390&gt;0,VLOOKUP(C390,КФСР!A336:B1848,2),IF(D390&gt;0,VLOOKUP(D390,Программа!A$1:B$5100,2),IF(F390&gt;0,VLOOKUP(F390,КВР!A$1:B$5001,2),IF(E390&gt;0,VLOOKUP(E390,Направление!A$1:B$4830,2))))))</f>
        <v>Иные бюджетные ассигнования</v>
      </c>
      <c r="B390" s="154"/>
      <c r="C390" s="149"/>
      <c r="D390" s="150"/>
      <c r="E390" s="149"/>
      <c r="F390" s="151">
        <v>800</v>
      </c>
      <c r="G390" s="491">
        <v>17000</v>
      </c>
      <c r="H390" s="190"/>
      <c r="I390" s="155">
        <f t="shared" si="21"/>
        <v>17000</v>
      </c>
      <c r="J390" s="491">
        <v>17000</v>
      </c>
      <c r="K390" s="190"/>
      <c r="L390" s="155">
        <f t="shared" si="22"/>
        <v>17000</v>
      </c>
    </row>
    <row r="391" spans="1:12" ht="47.25" hidden="1" x14ac:dyDescent="0.2">
      <c r="A391" s="153" t="str">
        <f>IF(B391&gt;0,VLOOKUP(B391,КВСР!A335:B1500,2),IF(C391&gt;0,VLOOKUP(C391,КФСР!A335:B1847,2),IF(D391&gt;0,VLOOKUP(D391,Программа!A$1:B$5100,2),IF(F391&gt;0,VLOOKUP(F391,КВР!A$1:B$5001,2),IF(E391&gt;0,VLOOKUP(E391,Направление!A$1:B$4830,2))))))</f>
        <v>Содержание органов местного самоуправления за счет средств поселений</v>
      </c>
      <c r="B391" s="154"/>
      <c r="C391" s="149"/>
      <c r="D391" s="150"/>
      <c r="E391" s="149">
        <v>29016</v>
      </c>
      <c r="F391" s="151"/>
      <c r="G391" s="500">
        <v>0</v>
      </c>
      <c r="H391" s="155">
        <f>H392+H393</f>
        <v>0</v>
      </c>
      <c r="I391" s="155">
        <f t="shared" si="21"/>
        <v>0</v>
      </c>
      <c r="J391" s="500">
        <v>0</v>
      </c>
      <c r="K391" s="155">
        <f>K392+K393</f>
        <v>0</v>
      </c>
      <c r="L391" s="155">
        <f t="shared" si="22"/>
        <v>0</v>
      </c>
    </row>
    <row r="392" spans="1:12" ht="173.25" hidden="1" x14ac:dyDescent="0.2">
      <c r="A392" s="153" t="str">
        <f>IF(B392&gt;0,VLOOKUP(B392,КВСР!A336:B1501,2),IF(C392&gt;0,VLOOKUP(C392,КФСР!A336:B1848,2),IF(D392&gt;0,VLOOKUP(D392,Программа!A$1:B$5100,2),IF(F392&gt;0,VLOOKUP(F392,КВР!A$1:B$5001,2),IF(E392&gt;0,VLOOKUP(E392,Направление!A$1:B$4830,2))))))</f>
        <v xml:space="preserve">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
</v>
      </c>
      <c r="B392" s="154"/>
      <c r="C392" s="149"/>
      <c r="D392" s="150"/>
      <c r="E392" s="149"/>
      <c r="F392" s="151">
        <v>100</v>
      </c>
      <c r="G392" s="491">
        <v>0</v>
      </c>
      <c r="H392" s="190"/>
      <c r="I392" s="155">
        <f t="shared" si="21"/>
        <v>0</v>
      </c>
      <c r="J392" s="491">
        <v>0</v>
      </c>
      <c r="K392" s="190"/>
      <c r="L392" s="155">
        <f t="shared" si="22"/>
        <v>0</v>
      </c>
    </row>
    <row r="393" spans="1:12" ht="78.75" hidden="1" x14ac:dyDescent="0.2">
      <c r="A393" s="153" t="str">
        <f>IF(B393&gt;0,VLOOKUP(B393,КВСР!A337:B1502,2),IF(C393&gt;0,VLOOKUP(C393,КФСР!A337:B1849,2),IF(D393&gt;0,VLOOKUP(D393,Программа!A$1:B$5100,2),IF(F393&gt;0,VLOOKUP(F393,КВР!A$1:B$5001,2),IF(E393&gt;0,VLOOKUP(E393,Направление!A$1:B$4830,2))))))</f>
        <v xml:space="preserve">Закупка товаров, работ и услуг для обеспечения государственных (муниципальных) нужд
</v>
      </c>
      <c r="B393" s="154"/>
      <c r="C393" s="149"/>
      <c r="D393" s="150"/>
      <c r="E393" s="149"/>
      <c r="F393" s="151">
        <v>200</v>
      </c>
      <c r="G393" s="491">
        <v>0</v>
      </c>
      <c r="H393" s="190"/>
      <c r="I393" s="155">
        <f t="shared" si="21"/>
        <v>0</v>
      </c>
      <c r="J393" s="491">
        <v>0</v>
      </c>
      <c r="K393" s="190"/>
      <c r="L393" s="155">
        <f t="shared" si="22"/>
        <v>0</v>
      </c>
    </row>
    <row r="394" spans="1:12" ht="31.5" x14ac:dyDescent="0.2">
      <c r="A394" s="153" t="str">
        <f>IF(B394&gt;0,VLOOKUP(B394,КВСР!A347:B1512,2),IF(C394&gt;0,VLOOKUP(C394,КФСР!A347:B1859,2),IF(D394&gt;0,VLOOKUP(D394,Программа!A$1:B$5100,2),IF(F394&gt;0,VLOOKUP(F394,КВР!A$1:B$5001,2),IF(E394&gt;0,VLOOKUP(E394,Направление!A$1:B$4830,2))))))</f>
        <v>Периодическая печать и издательства</v>
      </c>
      <c r="B394" s="154"/>
      <c r="C394" s="149">
        <v>1202</v>
      </c>
      <c r="D394" s="150"/>
      <c r="E394" s="149"/>
      <c r="F394" s="151"/>
      <c r="G394" s="500">
        <v>3010000</v>
      </c>
      <c r="H394" s="155">
        <f>H395</f>
        <v>0</v>
      </c>
      <c r="I394" s="155">
        <f t="shared" si="21"/>
        <v>3010000</v>
      </c>
      <c r="J394" s="500">
        <v>1500000</v>
      </c>
      <c r="K394" s="155">
        <f>K395</f>
        <v>0</v>
      </c>
      <c r="L394" s="155">
        <f t="shared" si="22"/>
        <v>1500000</v>
      </c>
    </row>
    <row r="395" spans="1:12" ht="31.5" x14ac:dyDescent="0.2">
      <c r="A395" s="153" t="str">
        <f>IF(B395&gt;0,VLOOKUP(B395,КВСР!A348:B1513,2),IF(C395&gt;0,VLOOKUP(C395,КФСР!A348:B1860,2),IF(D395&gt;0,VLOOKUP(D395,Программа!A$1:B$5100,2),IF(F395&gt;0,VLOOKUP(F395,КВР!A$1:B$5001,2),IF(E395&gt;0,VLOOKUP(E395,Направление!A$1:B$4830,2))))))</f>
        <v>Непрограммные расходы бюджета</v>
      </c>
      <c r="B395" s="154"/>
      <c r="C395" s="149"/>
      <c r="D395" s="150" t="s">
        <v>624</v>
      </c>
      <c r="E395" s="149"/>
      <c r="F395" s="151"/>
      <c r="G395" s="500">
        <v>3010000</v>
      </c>
      <c r="H395" s="155">
        <f>H396</f>
        <v>0</v>
      </c>
      <c r="I395" s="155">
        <f t="shared" si="21"/>
        <v>3010000</v>
      </c>
      <c r="J395" s="500">
        <v>1500000</v>
      </c>
      <c r="K395" s="155">
        <f>K396</f>
        <v>0</v>
      </c>
      <c r="L395" s="155">
        <f t="shared" si="22"/>
        <v>1500000</v>
      </c>
    </row>
    <row r="396" spans="1:12" ht="31.5" x14ac:dyDescent="0.2">
      <c r="A396" s="153" t="str">
        <f>IF(B396&gt;0,VLOOKUP(B396,КВСР!A349:B1514,2),IF(C396&gt;0,VLOOKUP(C396,КФСР!A349:B1861,2),IF(D396&gt;0,VLOOKUP(D396,Программа!A$1:B$5100,2),IF(F396&gt;0,VLOOKUP(F396,КВР!A$1:B$5001,2),IF(E396&gt;0,VLOOKUP(E396,Направление!A$1:B$4830,2))))))</f>
        <v xml:space="preserve">Поддержка периодических изданий </v>
      </c>
      <c r="B396" s="154"/>
      <c r="C396" s="149"/>
      <c r="D396" s="150"/>
      <c r="E396" s="149">
        <v>12750</v>
      </c>
      <c r="F396" s="151"/>
      <c r="G396" s="500">
        <v>3010000</v>
      </c>
      <c r="H396" s="155">
        <f>H397</f>
        <v>0</v>
      </c>
      <c r="I396" s="155">
        <f t="shared" si="21"/>
        <v>3010000</v>
      </c>
      <c r="J396" s="500">
        <v>1500000</v>
      </c>
      <c r="K396" s="155">
        <f>K397</f>
        <v>0</v>
      </c>
      <c r="L396" s="155">
        <f t="shared" si="22"/>
        <v>1500000</v>
      </c>
    </row>
    <row r="397" spans="1:12" ht="78.75" x14ac:dyDescent="0.2">
      <c r="A397" s="153" t="str">
        <f>IF(B397&gt;0,VLOOKUP(B397,КВСР!A350:B1515,2),IF(C397&gt;0,VLOOKUP(C397,КФСР!A350:B1862,2),IF(D397&gt;0,VLOOKUP(D397,Программа!A$1:B$5100,2),IF(F397&gt;0,VLOOKUP(F397,КВР!A$1:B$5001,2),IF(E397&gt;0,VLOOKUP(E397,Направление!A$1:B$4830,2))))))</f>
        <v>Предоставление субсидий бюджетным, автономным учреждениям и иным некоммерческим организациям</v>
      </c>
      <c r="B397" s="154"/>
      <c r="C397" s="149"/>
      <c r="D397" s="150"/>
      <c r="E397" s="149"/>
      <c r="F397" s="151">
        <v>600</v>
      </c>
      <c r="G397" s="491">
        <v>3010000</v>
      </c>
      <c r="H397" s="190"/>
      <c r="I397" s="155">
        <f t="shared" si="21"/>
        <v>3010000</v>
      </c>
      <c r="J397" s="491">
        <v>1500000</v>
      </c>
      <c r="K397" s="190"/>
      <c r="L397" s="155">
        <f t="shared" si="22"/>
        <v>1500000</v>
      </c>
    </row>
    <row r="398" spans="1:12" ht="47.25" x14ac:dyDescent="0.2">
      <c r="A398" s="147" t="str">
        <f>IF(B398&gt;0,VLOOKUP(B398,КВСР!A366:B1531,2),IF(C398&gt;0,VLOOKUP(C398,КФСР!A366:B1878,2),IF(D398&gt;0,VLOOKUP(D398,Программа!A$1:B$5100,2),IF(F398&gt;0,VLOOKUP(F398,КВР!A$1:B$5001,2),IF(E398&gt;0,VLOOKUP(E398,Направление!A$1:B$4830,2))))))</f>
        <v>Департамент ЖКХ и строительства Администрации ТМР</v>
      </c>
      <c r="B398" s="148">
        <v>958</v>
      </c>
      <c r="C398" s="149"/>
      <c r="D398" s="150"/>
      <c r="E398" s="149"/>
      <c r="F398" s="151"/>
      <c r="G398" s="605">
        <v>19837779</v>
      </c>
      <c r="H398" s="152">
        <f>H399+H403+H414+H429+H435+H451+H445+H409</f>
        <v>0</v>
      </c>
      <c r="I398" s="620">
        <f t="shared" si="21"/>
        <v>19837779</v>
      </c>
      <c r="J398" s="621">
        <v>9837779</v>
      </c>
      <c r="K398" s="620">
        <f>K399+K403+K414+K429+K435+K451+K445+K409</f>
        <v>0</v>
      </c>
      <c r="L398" s="620">
        <f t="shared" si="22"/>
        <v>9837779</v>
      </c>
    </row>
    <row r="399" spans="1:12" ht="47.25" hidden="1" x14ac:dyDescent="0.2">
      <c r="A399" s="153" t="str">
        <f>IF(B399&gt;0,VLOOKUP(B399,КВСР!A357:B1522,2),IF(C399&gt;0,VLOOKUP(C399,КФСР!A357:B1869,2),IF(D399&gt;0,VLOOKUP(D399,Программа!A$1:B$5100,2),IF(F399&gt;0,VLOOKUP(F399,КВР!A$1:B$5001,2),IF(E399&gt;0,VLOOKUP(E399,Направление!A$1:B$4830,2))))))</f>
        <v>Другие общегосударственные вопросы</v>
      </c>
      <c r="B399" s="148"/>
      <c r="C399" s="149">
        <v>113</v>
      </c>
      <c r="D399" s="150"/>
      <c r="E399" s="149"/>
      <c r="F399" s="151"/>
      <c r="G399" s="500">
        <v>0</v>
      </c>
      <c r="H399" s="155">
        <f>H400</f>
        <v>0</v>
      </c>
      <c r="I399" s="155">
        <f t="shared" si="21"/>
        <v>0</v>
      </c>
      <c r="J399" s="500">
        <v>0</v>
      </c>
      <c r="K399" s="155">
        <f>K400</f>
        <v>0</v>
      </c>
      <c r="L399" s="155">
        <f t="shared" si="22"/>
        <v>0</v>
      </c>
    </row>
    <row r="400" spans="1:12" ht="31.5" hidden="1" x14ac:dyDescent="0.2">
      <c r="A400" s="153" t="str">
        <f>IF(B400&gt;0,VLOOKUP(B400,КВСР!A358:B1523,2),IF(C400&gt;0,VLOOKUP(C400,КФСР!A358:B1870,2),IF(D400&gt;0,VLOOKUP(D400,Программа!A$1:B$5100,2),IF(F400&gt;0,VLOOKUP(F400,КВР!A$1:B$5001,2),IF(E400&gt;0,VLOOKUP(E400,Направление!A$1:B$4830,2))))))</f>
        <v>Непрограммные расходы бюджета</v>
      </c>
      <c r="B400" s="148"/>
      <c r="C400" s="149"/>
      <c r="D400" s="150" t="s">
        <v>624</v>
      </c>
      <c r="E400" s="149"/>
      <c r="F400" s="151"/>
      <c r="G400" s="500">
        <v>0</v>
      </c>
      <c r="H400" s="155">
        <f>H401</f>
        <v>0</v>
      </c>
      <c r="I400" s="155">
        <f t="shared" si="21"/>
        <v>0</v>
      </c>
      <c r="J400" s="500">
        <v>0</v>
      </c>
      <c r="K400" s="155">
        <f>K401</f>
        <v>0</v>
      </c>
      <c r="L400" s="155">
        <f t="shared" si="22"/>
        <v>0</v>
      </c>
    </row>
    <row r="401" spans="1:12" ht="63" hidden="1" x14ac:dyDescent="0.2">
      <c r="A401" s="153" t="str">
        <f>IF(B401&gt;0,VLOOKUP(B401,КВСР!A359:B1524,2),IF(C401&gt;0,VLOOKUP(C401,КФСР!A359:B1871,2),IF(D401&gt;0,VLOOKUP(D401,Программа!A$1:B$5100,2),IF(F401&gt;0,VLOOKUP(F401,КВР!A$1:B$5001,2),IF(E401&gt;0,VLOOKUP(E401,Направление!A$1:B$4830,2))))))</f>
        <v>Обеспечение деятельности подведомственных учреждений органов местного самоуправления</v>
      </c>
      <c r="B401" s="148"/>
      <c r="C401" s="149"/>
      <c r="D401" s="150"/>
      <c r="E401" s="149">
        <v>12100</v>
      </c>
      <c r="F401" s="151"/>
      <c r="G401" s="500">
        <v>0</v>
      </c>
      <c r="H401" s="155">
        <f>H402</f>
        <v>0</v>
      </c>
      <c r="I401" s="155">
        <f t="shared" si="21"/>
        <v>0</v>
      </c>
      <c r="J401" s="500">
        <v>0</v>
      </c>
      <c r="K401" s="155">
        <f>K402</f>
        <v>0</v>
      </c>
      <c r="L401" s="155">
        <f t="shared" si="22"/>
        <v>0</v>
      </c>
    </row>
    <row r="402" spans="1:12" ht="78.75" hidden="1" x14ac:dyDescent="0.2">
      <c r="A402" s="153" t="str">
        <f>IF(B402&gt;0,VLOOKUP(B402,КВСР!A360:B1525,2),IF(C402&gt;0,VLOOKUP(C402,КФСР!A360:B1872,2),IF(D402&gt;0,VLOOKUP(D402,Программа!A$1:B$5100,2),IF(F402&gt;0,VLOOKUP(F402,КВР!A$1:B$5001,2),IF(E402&gt;0,VLOOKUP(E402,Направление!A$1:B$4830,2))))))</f>
        <v>Предоставление субсидий бюджетным, автономным учреждениям и иным некоммерческим организациям</v>
      </c>
      <c r="B402" s="148"/>
      <c r="C402" s="149"/>
      <c r="D402" s="150"/>
      <c r="E402" s="149"/>
      <c r="F402" s="151">
        <v>600</v>
      </c>
      <c r="G402" s="491">
        <v>0</v>
      </c>
      <c r="H402" s="190"/>
      <c r="I402" s="155">
        <f t="shared" si="21"/>
        <v>0</v>
      </c>
      <c r="J402" s="491">
        <v>0</v>
      </c>
      <c r="K402" s="190"/>
      <c r="L402" s="155">
        <f t="shared" si="22"/>
        <v>0</v>
      </c>
    </row>
    <row r="403" spans="1:12" ht="31.5" x14ac:dyDescent="0.2">
      <c r="A403" s="153" t="str">
        <f>IF(B403&gt;0,VLOOKUP(B403,КВСР!A367:B1532,2),IF(C403&gt;0,VLOOKUP(C403,КФСР!A367:B1879,2),IF(D403&gt;0,VLOOKUP(D403,Программа!A$1:B$5100,2),IF(F403&gt;0,VLOOKUP(F403,КВР!A$1:B$5001,2),IF(E403&gt;0,VLOOKUP(E403,Направление!A$1:B$4830,2))))))</f>
        <v>Сельское хозяйство и рыболовство</v>
      </c>
      <c r="B403" s="148"/>
      <c r="C403" s="149">
        <v>405</v>
      </c>
      <c r="D403" s="150"/>
      <c r="E403" s="149"/>
      <c r="F403" s="151"/>
      <c r="G403" s="500">
        <v>688375</v>
      </c>
      <c r="H403" s="155">
        <f>H404</f>
        <v>0</v>
      </c>
      <c r="I403" s="155">
        <f t="shared" si="21"/>
        <v>688375</v>
      </c>
      <c r="J403" s="500">
        <v>688375</v>
      </c>
      <c r="K403" s="155">
        <f>K404</f>
        <v>0</v>
      </c>
      <c r="L403" s="155">
        <f t="shared" si="22"/>
        <v>688375</v>
      </c>
    </row>
    <row r="404" spans="1:12" ht="36" customHeight="1" x14ac:dyDescent="0.2">
      <c r="A404" s="153" t="str">
        <f>IF(B404&gt;0,VLOOKUP(B404,КВСР!A368:B1533,2),IF(C404&gt;0,VLOOKUP(C404,КФСР!A368:B1880,2),IF(D404&gt;0,VLOOKUP(D404,Программа!A$1:B$5100,2),IF(F404&gt;0,VLOOKUP(F404,КВР!A$1:B$5001,2),IF(E404&gt;0,VLOOKUP(E404,Направление!A$1:B$4830,2))))))</f>
        <v>Непрограммные расходы бюджета</v>
      </c>
      <c r="B404" s="148"/>
      <c r="C404" s="149"/>
      <c r="D404" s="150" t="s">
        <v>624</v>
      </c>
      <c r="E404" s="149"/>
      <c r="F404" s="151"/>
      <c r="G404" s="500">
        <v>688375</v>
      </c>
      <c r="H404" s="155">
        <f>H405+H407</f>
        <v>0</v>
      </c>
      <c r="I404" s="155">
        <f t="shared" si="21"/>
        <v>688375</v>
      </c>
      <c r="J404" s="500">
        <v>688375</v>
      </c>
      <c r="K404" s="155">
        <f>K405+K407</f>
        <v>0</v>
      </c>
      <c r="L404" s="155">
        <f t="shared" si="22"/>
        <v>688375</v>
      </c>
    </row>
    <row r="405" spans="1:12" ht="47.25" hidden="1" x14ac:dyDescent="0.2">
      <c r="A405" s="153" t="str">
        <f>IF(B405&gt;0,VLOOKUP(B405,КВСР!A369:B1534,2),IF(C405&gt;0,VLOOKUP(C405,КФСР!A369:B1881,2),IF(D405&gt;0,VLOOKUP(D405,Программа!A$1:B$5100,2),IF(F405&gt;0,VLOOKUP(F405,КВР!A$1:B$5001,2),IF(E405&gt;0,VLOOKUP(E405,Направление!A$1:B$4830,2))))))</f>
        <v>Субвенция на отлов и содержание безнадзорных животных</v>
      </c>
      <c r="B405" s="148"/>
      <c r="C405" s="149"/>
      <c r="D405" s="150"/>
      <c r="E405" s="149">
        <v>74420</v>
      </c>
      <c r="F405" s="151"/>
      <c r="G405" s="500">
        <v>0</v>
      </c>
      <c r="H405" s="155">
        <f>H406</f>
        <v>0</v>
      </c>
      <c r="I405" s="155">
        <f t="shared" si="21"/>
        <v>0</v>
      </c>
      <c r="J405" s="500">
        <v>0</v>
      </c>
      <c r="K405" s="155">
        <f>K406</f>
        <v>0</v>
      </c>
      <c r="L405" s="155">
        <f t="shared" si="22"/>
        <v>0</v>
      </c>
    </row>
    <row r="406" spans="1:12" ht="36.75" hidden="1" customHeight="1" x14ac:dyDescent="0.2">
      <c r="A406" s="153" t="str">
        <f>IF(B406&gt;0,VLOOKUP(B406,КВСР!A370:B1535,2),IF(C406&gt;0,VLOOKUP(C406,КФСР!A370:B1882,2),IF(D406&gt;0,VLOOKUP(D406,Программа!A$1:B$5100,2),IF(F406&gt;0,VLOOKUP(F406,КВР!A$1:B$5001,2),IF(E406&gt;0,VLOOKUP(E406,Направление!A$1:B$4830,2))))))</f>
        <v xml:space="preserve">Закупка товаров, работ и услуг для обеспечения государственных (муниципальных) нужд
</v>
      </c>
      <c r="B406" s="148"/>
      <c r="C406" s="149"/>
      <c r="D406" s="150"/>
      <c r="E406" s="149"/>
      <c r="F406" s="151">
        <v>200</v>
      </c>
      <c r="G406" s="491">
        <v>0</v>
      </c>
      <c r="H406" s="190"/>
      <c r="I406" s="155">
        <f t="shared" si="21"/>
        <v>0</v>
      </c>
      <c r="J406" s="491">
        <v>0</v>
      </c>
      <c r="K406" s="190"/>
      <c r="L406" s="155">
        <f t="shared" si="22"/>
        <v>0</v>
      </c>
    </row>
    <row r="407" spans="1:12" ht="46.5" hidden="1" customHeight="1" x14ac:dyDescent="0.2">
      <c r="A407" s="153" t="str">
        <f>IF(B407&gt;0,VLOOKUP(B407,КВСР!A371:B1536,2),IF(C407&gt;0,VLOOKUP(C407,КФСР!A371:B1883,2),IF(D407&gt;0,VLOOKUP(D407,Программа!A$1:B$5100,2),IF(F407&gt;0,VLOOKUP(F407,КВР!A$1:B$5001,2),IF(E407&gt;0,VLOOKUP(E407,Направление!A$1:B$4830,2))))))</f>
        <v>Субвенция на отлов и содержание безнадзорных животных</v>
      </c>
      <c r="B407" s="148"/>
      <c r="C407" s="149"/>
      <c r="D407" s="150"/>
      <c r="E407" s="149" t="s">
        <v>3265</v>
      </c>
      <c r="F407" s="151"/>
      <c r="G407" s="491"/>
      <c r="H407" s="491">
        <f>H408</f>
        <v>0</v>
      </c>
      <c r="I407" s="155"/>
      <c r="J407" s="491"/>
      <c r="K407" s="491">
        <f>K408</f>
        <v>0</v>
      </c>
      <c r="L407" s="155"/>
    </row>
    <row r="408" spans="1:12" ht="36.75" hidden="1" customHeight="1" x14ac:dyDescent="0.2">
      <c r="A408" s="153" t="str">
        <f>IF(B408&gt;0,VLOOKUP(B408,КВСР!A372:B1537,2),IF(C408&gt;0,VLOOKUP(C408,КФСР!A372:B1884,2),IF(D408&gt;0,VLOOKUP(D408,Программа!A$1:B$5100,2),IF(F408&gt;0,VLOOKUP(F408,КВР!A$1:B$5001,2),IF(E408&gt;0,VLOOKUP(E408,Направление!A$1:B$4830,2))))))</f>
        <v xml:space="preserve">Закупка товаров, работ и услуг для обеспечения государственных (муниципальных) нужд
</v>
      </c>
      <c r="B408" s="148"/>
      <c r="C408" s="149"/>
      <c r="D408" s="150"/>
      <c r="E408" s="149"/>
      <c r="F408" s="151">
        <v>200</v>
      </c>
      <c r="G408" s="491"/>
      <c r="H408" s="190"/>
      <c r="I408" s="155"/>
      <c r="J408" s="491"/>
      <c r="K408" s="190"/>
      <c r="L408" s="155"/>
    </row>
    <row r="409" spans="1:12" ht="28.5" customHeight="1" x14ac:dyDescent="0.2">
      <c r="A409" s="153" t="str">
        <f>IF(B409&gt;0,VLOOKUP(B409,КВСР!A371:B1536,2),IF(C409&gt;0,VLOOKUP(C409,КФСР!A371:B1883,2),IF(D409&gt;0,VLOOKUP(D409,Программа!A$1:B$5100,2),IF(F409&gt;0,VLOOKUP(F409,КВР!A$1:B$5001,2),IF(E409&gt;0,VLOOKUP(E409,Направление!A$1:B$4830,2))))))</f>
        <v>Транспорт</v>
      </c>
      <c r="B409" s="148"/>
      <c r="C409" s="149">
        <v>408</v>
      </c>
      <c r="D409" s="150"/>
      <c r="E409" s="149"/>
      <c r="F409" s="151"/>
      <c r="G409" s="491">
        <v>10000000</v>
      </c>
      <c r="H409" s="491">
        <f>H410</f>
        <v>0</v>
      </c>
      <c r="I409" s="155">
        <f t="shared" si="21"/>
        <v>10000000</v>
      </c>
      <c r="J409" s="491">
        <v>0</v>
      </c>
      <c r="K409" s="491">
        <f>K410</f>
        <v>0</v>
      </c>
      <c r="L409" s="155">
        <f t="shared" si="22"/>
        <v>0</v>
      </c>
    </row>
    <row r="410" spans="1:12" ht="36.75" customHeight="1" x14ac:dyDescent="0.2">
      <c r="A410" s="153" t="str">
        <f>IF(B410&gt;0,VLOOKUP(B410,КВСР!A372:B1537,2),IF(C410&gt;0,VLOOKUP(C410,КФСР!A372:B1884,2),IF(D410&gt;0,VLOOKUP(D410,Программа!A$1:B$5100,2),IF(F410&gt;0,VLOOKUP(F410,КВР!A$1:B$5001,2),IF(E410&gt;0,VLOOKUP(E410,Направление!A$1:B$4830,2))))))</f>
        <v>Муниципальная программа  "Организация перевозок автомобильным и речным транспортом на территории Тутаевского муниципального района"</v>
      </c>
      <c r="B410" s="148"/>
      <c r="C410" s="149"/>
      <c r="D410" s="150" t="s">
        <v>859</v>
      </c>
      <c r="E410" s="149"/>
      <c r="F410" s="151"/>
      <c r="G410" s="491">
        <v>10000000</v>
      </c>
      <c r="H410" s="491">
        <f>H411</f>
        <v>0</v>
      </c>
      <c r="I410" s="155">
        <f t="shared" si="21"/>
        <v>10000000</v>
      </c>
      <c r="J410" s="491">
        <v>0</v>
      </c>
      <c r="K410" s="491">
        <f>K411</f>
        <v>0</v>
      </c>
      <c r="L410" s="155">
        <f t="shared" si="22"/>
        <v>0</v>
      </c>
    </row>
    <row r="411" spans="1:12" ht="36.75" customHeight="1" x14ac:dyDescent="0.2">
      <c r="A411" s="153" t="str">
        <f>IF(B411&gt;0,VLOOKUP(B411,КВСР!A373:B1538,2),IF(C411&gt;0,VLOOKUP(C411,КФСР!A373:B1885,2),IF(D411&gt;0,VLOOKUP(D411,Программа!A$1:B$5100,2),IF(F411&gt;0,VLOOKUP(F411,КВР!A$1:B$5001,2),IF(E411&gt;0,VLOOKUP(E411,Направление!A$1:B$4830,2))))))</f>
        <v>Организация предоставления транспортных услуг по перевозке пассажиров автомобильным транспортом, транспортом общего пользования</v>
      </c>
      <c r="B411" s="148"/>
      <c r="C411" s="149"/>
      <c r="D411" s="150" t="s">
        <v>865</v>
      </c>
      <c r="E411" s="149"/>
      <c r="F411" s="151"/>
      <c r="G411" s="491">
        <v>10000000</v>
      </c>
      <c r="H411" s="491">
        <f>H412</f>
        <v>0</v>
      </c>
      <c r="I411" s="155">
        <f t="shared" si="21"/>
        <v>10000000</v>
      </c>
      <c r="J411" s="491">
        <v>0</v>
      </c>
      <c r="K411" s="491">
        <f>K412</f>
        <v>0</v>
      </c>
      <c r="L411" s="155">
        <f t="shared" si="22"/>
        <v>0</v>
      </c>
    </row>
    <row r="412" spans="1:12" ht="36.75" customHeight="1" x14ac:dyDescent="0.2">
      <c r="A412" s="153" t="str">
        <f>IF(B412&gt;0,VLOOKUP(B412,КВСР!A374:B1539,2),IF(C412&gt;0,VLOOKUP(C412,КФСР!A374:B1886,2),IF(D412&gt;0,VLOOKUP(D412,Программа!A$1:B$5100,2),IF(F412&gt;0,VLOOKUP(F412,КВР!A$1:B$5001,2),IF(E412&gt;0,VLOOKUP(E412,Направление!A$1:B$4830,2))))))</f>
        <v>Субсидия на возмещение затрат по пассажирским перевозкам внутримуниципальным транспортом общего пользования</v>
      </c>
      <c r="B412" s="148"/>
      <c r="C412" s="149"/>
      <c r="D412" s="150"/>
      <c r="E412" s="149">
        <v>10100</v>
      </c>
      <c r="F412" s="151"/>
      <c r="G412" s="491">
        <v>10000000</v>
      </c>
      <c r="H412" s="491">
        <f>H413</f>
        <v>0</v>
      </c>
      <c r="I412" s="155">
        <f t="shared" si="21"/>
        <v>10000000</v>
      </c>
      <c r="J412" s="491">
        <v>0</v>
      </c>
      <c r="K412" s="491">
        <f>K413</f>
        <v>0</v>
      </c>
      <c r="L412" s="155">
        <f t="shared" si="22"/>
        <v>0</v>
      </c>
    </row>
    <row r="413" spans="1:12" ht="36.75" customHeight="1" x14ac:dyDescent="0.2">
      <c r="A413" s="153" t="str">
        <f>IF(B413&gt;0,VLOOKUP(B413,КВСР!A375:B1540,2),IF(C413&gt;0,VLOOKUP(C413,КФСР!A375:B1887,2),IF(D413&gt;0,VLOOKUP(D413,Программа!A$1:B$5100,2),IF(F413&gt;0,VLOOKUP(F413,КВР!A$1:B$5001,2),IF(E413&gt;0,VLOOKUP(E413,Направление!A$1:B$4830,2))))))</f>
        <v>Иные бюджетные ассигнования</v>
      </c>
      <c r="B413" s="148"/>
      <c r="C413" s="149"/>
      <c r="D413" s="150"/>
      <c r="E413" s="149"/>
      <c r="F413" s="151">
        <v>800</v>
      </c>
      <c r="G413" s="491">
        <v>10000000</v>
      </c>
      <c r="H413" s="190"/>
      <c r="I413" s="155">
        <f t="shared" si="21"/>
        <v>10000000</v>
      </c>
      <c r="J413" s="491">
        <v>0</v>
      </c>
      <c r="K413" s="190"/>
      <c r="L413" s="155">
        <f t="shared" si="22"/>
        <v>0</v>
      </c>
    </row>
    <row r="414" spans="1:12" ht="15.75" hidden="1" x14ac:dyDescent="0.2">
      <c r="A414" s="153" t="str">
        <f>IF(B414&gt;0,VLOOKUP(B414,КВСР!A371:B1536,2),IF(C414&gt;0,VLOOKUP(C414,КФСР!A371:B1883,2),IF(D414&gt;0,VLOOKUP(D414,Программа!A$1:B$5100,2),IF(F414&gt;0,VLOOKUP(F414,КВР!A$1:B$5001,2),IF(E414&gt;0,VLOOKUP(E414,Направление!A$1:B$4830,2))))))</f>
        <v>Дорожное хозяйство</v>
      </c>
      <c r="B414" s="148"/>
      <c r="C414" s="149">
        <v>409</v>
      </c>
      <c r="D414" s="150"/>
      <c r="E414" s="149"/>
      <c r="F414" s="151"/>
      <c r="G414" s="500">
        <v>0</v>
      </c>
      <c r="H414" s="155">
        <f>H415+H426</f>
        <v>0</v>
      </c>
      <c r="I414" s="155">
        <f t="shared" si="21"/>
        <v>0</v>
      </c>
      <c r="J414" s="500">
        <v>0</v>
      </c>
      <c r="K414" s="155">
        <f>K415+K426</f>
        <v>0</v>
      </c>
      <c r="L414" s="155">
        <f t="shared" si="22"/>
        <v>0</v>
      </c>
    </row>
    <row r="415" spans="1:12" ht="78.75" hidden="1" x14ac:dyDescent="0.2">
      <c r="A415" s="153" t="str">
        <f>IF(B415&gt;0,VLOOKUP(B415,КВСР!A372:B1537,2),IF(C415&gt;0,VLOOKUP(C415,КФСР!A372:B1884,2),IF(D415&gt;0,VLOOKUP(D415,Программа!A$1:B$5100,2),IF(F415&gt;0,VLOOKUP(F415,КВР!A$1:B$5001,2),IF(E415&gt;0,VLOOKUP(E415,Направление!A$1:B$4830,2))))))</f>
        <v>Муниципальная программа "Развитие дорожного хозяйства и транспорта в Тутаевском муниципальном районе"</v>
      </c>
      <c r="B415" s="148"/>
      <c r="C415" s="149"/>
      <c r="D415" s="150" t="s">
        <v>867</v>
      </c>
      <c r="E415" s="149"/>
      <c r="F415" s="151"/>
      <c r="G415" s="500">
        <v>0</v>
      </c>
      <c r="H415" s="155">
        <f>H416+H420</f>
        <v>0</v>
      </c>
      <c r="I415" s="155">
        <f t="shared" si="21"/>
        <v>0</v>
      </c>
      <c r="J415" s="500">
        <v>0</v>
      </c>
      <c r="K415" s="155">
        <f>K416+K420</f>
        <v>0</v>
      </c>
      <c r="L415" s="155">
        <f t="shared" si="22"/>
        <v>0</v>
      </c>
    </row>
    <row r="416" spans="1:12" ht="94.5" hidden="1" x14ac:dyDescent="0.2">
      <c r="A416" s="153" t="str">
        <f>IF(B416&gt;0,VLOOKUP(B416,КВСР!A373:B1538,2),IF(C416&gt;0,VLOOKUP(C416,КФСР!A373:B1885,2),IF(D416&gt;0,VLOOKUP(D416,Программа!A$1:B$5100,2),IF(F416&gt;0,VLOOKUP(F416,КВР!A$1:B$5001,2),IF(E416&gt;0,VLOOKUP(E416,Направление!A$1:B$4830,2))))))</f>
        <v>Муниципальная целевая программа «Повышение безопасности дорожного движения на территории Тутаевского муниципального района»</v>
      </c>
      <c r="B416" s="148"/>
      <c r="C416" s="149"/>
      <c r="D416" s="150" t="s">
        <v>869</v>
      </c>
      <c r="E416" s="149"/>
      <c r="F416" s="151"/>
      <c r="G416" s="500">
        <v>0</v>
      </c>
      <c r="H416" s="155">
        <f>H417</f>
        <v>0</v>
      </c>
      <c r="I416" s="155">
        <f t="shared" si="21"/>
        <v>0</v>
      </c>
      <c r="J416" s="500">
        <v>0</v>
      </c>
      <c r="K416" s="155">
        <f>K417</f>
        <v>0</v>
      </c>
      <c r="L416" s="155">
        <f t="shared" si="22"/>
        <v>0</v>
      </c>
    </row>
    <row r="417" spans="1:12" ht="63.75" hidden="1" customHeight="1" x14ac:dyDescent="0.2">
      <c r="A417" s="153" t="str">
        <f>IF(B417&gt;0,VLOOKUP(B417,КВСР!A374:B1539,2),IF(C417&gt;0,VLOOKUP(C417,КФСР!A374:B1886,2),IF(D417&gt;0,VLOOKUP(D417,Программа!A$1:B$5100,2),IF(F417&gt;0,VLOOKUP(F417,КВР!A$1:B$5001,2),IF(E417&gt;0,VLOOKUP(E417,Направление!A$1:B$4830,2))))))</f>
        <v>Повышение безопасности дорожного движения на автомобильных дорогах</v>
      </c>
      <c r="B417" s="148"/>
      <c r="C417" s="149"/>
      <c r="D417" s="150" t="s">
        <v>871</v>
      </c>
      <c r="E417" s="149"/>
      <c r="F417" s="151"/>
      <c r="G417" s="500">
        <v>0</v>
      </c>
      <c r="H417" s="155">
        <f>H419</f>
        <v>0</v>
      </c>
      <c r="I417" s="155">
        <f t="shared" si="21"/>
        <v>0</v>
      </c>
      <c r="J417" s="500">
        <v>0</v>
      </c>
      <c r="K417" s="155">
        <f>K419</f>
        <v>0</v>
      </c>
      <c r="L417" s="155">
        <f t="shared" si="22"/>
        <v>0</v>
      </c>
    </row>
    <row r="418" spans="1:12" ht="56.25" hidden="1" customHeight="1" x14ac:dyDescent="0.2">
      <c r="A418" s="153" t="str">
        <f>IF(B418&gt;0,VLOOKUP(B418,КВСР!A374:B1539,2),IF(C418&gt;0,VLOOKUP(C418,КФСР!A374:B1886,2),IF(D418&gt;0,VLOOKUP(D418,Программа!A$1:B$5100,2),IF(F418&gt;0,VLOOKUP(F418,КВР!A$1:B$5001,2),IF(E418&gt;0,VLOOKUP(E418,Направление!A$1:B$4830,2))))))</f>
        <v>Содержание и ремонт  автомобильных дорог общего пользования</v>
      </c>
      <c r="B418" s="148"/>
      <c r="C418" s="149"/>
      <c r="D418" s="150"/>
      <c r="E418" s="149">
        <v>10200</v>
      </c>
      <c r="F418" s="151"/>
      <c r="G418" s="500">
        <v>0</v>
      </c>
      <c r="H418" s="155">
        <f>H419</f>
        <v>0</v>
      </c>
      <c r="I418" s="155">
        <f t="shared" si="21"/>
        <v>0</v>
      </c>
      <c r="J418" s="500">
        <v>0</v>
      </c>
      <c r="K418" s="155">
        <f>K419</f>
        <v>0</v>
      </c>
      <c r="L418" s="155">
        <f t="shared" si="22"/>
        <v>0</v>
      </c>
    </row>
    <row r="419" spans="1:12" ht="78.75" hidden="1" x14ac:dyDescent="0.2">
      <c r="A419" s="153" t="str">
        <f>IF(B419&gt;0,VLOOKUP(B419,КВСР!A375:B1540,2),IF(C419&gt;0,VLOOKUP(C419,КФСР!A375:B1887,2),IF(D419&gt;0,VLOOKUP(D419,Программа!A$1:B$5100,2),IF(F419&gt;0,VLOOKUP(F419,КВР!A$1:B$5001,2),IF(E419&gt;0,VLOOKUP(E419,Направление!A$1:B$4830,2))))))</f>
        <v xml:space="preserve">Закупка товаров, работ и услуг для обеспечения государственных (муниципальных) нужд
</v>
      </c>
      <c r="B419" s="148"/>
      <c r="C419" s="149"/>
      <c r="D419" s="150"/>
      <c r="E419" s="149"/>
      <c r="F419" s="151">
        <v>200</v>
      </c>
      <c r="G419" s="491">
        <v>0</v>
      </c>
      <c r="H419" s="190"/>
      <c r="I419" s="155">
        <f t="shared" si="21"/>
        <v>0</v>
      </c>
      <c r="J419" s="491">
        <v>0</v>
      </c>
      <c r="K419" s="190"/>
      <c r="L419" s="155">
        <f t="shared" si="22"/>
        <v>0</v>
      </c>
    </row>
    <row r="420" spans="1:12" ht="94.5" hidden="1" x14ac:dyDescent="0.2">
      <c r="A420" s="153" t="str">
        <f>IF(B420&gt;0,VLOOKUP(B420,КВСР!A376:B1541,2),IF(C420&gt;0,VLOOKUP(C420,КФСР!A376:B1888,2),IF(D420&gt;0,VLOOKUP(D420,Программа!A$1:B$5100,2),IF(F420&gt;0,VLOOKUP(F420,КВР!A$1:B$5001,2),IF(E420&gt;0,VLOOKUP(E420,Направление!A$1:B$4830,2))))))</f>
        <v>Муниципальная целевая программа «Сохранность автомобильных дорог общего пользования Тутаевского муниципального района»</v>
      </c>
      <c r="B420" s="148"/>
      <c r="C420" s="149"/>
      <c r="D420" s="150" t="s">
        <v>874</v>
      </c>
      <c r="E420" s="149"/>
      <c r="F420" s="151"/>
      <c r="G420" s="500">
        <v>0</v>
      </c>
      <c r="H420" s="155">
        <f>H421</f>
        <v>0</v>
      </c>
      <c r="I420" s="155">
        <f t="shared" si="21"/>
        <v>0</v>
      </c>
      <c r="J420" s="500">
        <v>0</v>
      </c>
      <c r="K420" s="155">
        <f>K421</f>
        <v>0</v>
      </c>
      <c r="L420" s="155">
        <f t="shared" si="22"/>
        <v>0</v>
      </c>
    </row>
    <row r="421" spans="1:12" ht="65.25" hidden="1" customHeight="1" x14ac:dyDescent="0.2">
      <c r="A421" s="153" t="str">
        <f>IF(B421&gt;0,VLOOKUP(B421,КВСР!A377:B1542,2),IF(C421&gt;0,VLOOKUP(C421,КФСР!A377:B1889,2),IF(D421&gt;0,VLOOKUP(D421,Программа!A$1:B$5100,2),IF(F421&gt;0,VLOOKUP(F421,КВР!A$1:B$5001,2),IF(E421&gt;0,VLOOKUP(E421,Направление!A$1:B$4830,2))))))</f>
        <v>Приведение  в нормативное состояние автомобильных дорог общего пользования</v>
      </c>
      <c r="B421" s="148"/>
      <c r="C421" s="149"/>
      <c r="D421" s="150" t="s">
        <v>876</v>
      </c>
      <c r="E421" s="149"/>
      <c r="F421" s="151"/>
      <c r="G421" s="500">
        <v>0</v>
      </c>
      <c r="H421" s="155">
        <f>H422+H424</f>
        <v>0</v>
      </c>
      <c r="I421" s="155">
        <f t="shared" si="21"/>
        <v>0</v>
      </c>
      <c r="J421" s="500">
        <v>0</v>
      </c>
      <c r="K421" s="155">
        <f>K422+K424</f>
        <v>0</v>
      </c>
      <c r="L421" s="155">
        <f t="shared" si="22"/>
        <v>0</v>
      </c>
    </row>
    <row r="422" spans="1:12" ht="49.5" hidden="1" customHeight="1" x14ac:dyDescent="0.2">
      <c r="A422" s="153" t="str">
        <f>IF(B422&gt;0,VLOOKUP(B422,КВСР!A377:B1542,2),IF(C422&gt;0,VLOOKUP(C422,КФСР!A377:B1889,2),IF(D422&gt;0,VLOOKUP(D422,Программа!A$1:B$5100,2),IF(F422&gt;0,VLOOKUP(F422,КВР!A$1:B$5001,2),IF(E422&gt;0,VLOOKUP(E422,Направление!A$1:B$4830,2))))))</f>
        <v>Содержание и ремонт  автомобильных дорог общего пользования</v>
      </c>
      <c r="B422" s="148"/>
      <c r="C422" s="149"/>
      <c r="D422" s="150"/>
      <c r="E422" s="149">
        <v>10200</v>
      </c>
      <c r="F422" s="151"/>
      <c r="G422" s="500">
        <v>0</v>
      </c>
      <c r="H422" s="155">
        <f>H423</f>
        <v>0</v>
      </c>
      <c r="I422" s="155">
        <f t="shared" si="21"/>
        <v>0</v>
      </c>
      <c r="J422" s="500">
        <v>0</v>
      </c>
      <c r="K422" s="155">
        <f>K423</f>
        <v>0</v>
      </c>
      <c r="L422" s="155">
        <f t="shared" si="22"/>
        <v>0</v>
      </c>
    </row>
    <row r="423" spans="1:12" ht="78.75" hidden="1" x14ac:dyDescent="0.2">
      <c r="A423" s="153" t="str">
        <f>IF(B423&gt;0,VLOOKUP(B423,КВСР!A376:B1541,2),IF(C423&gt;0,VLOOKUP(C423,КФСР!A376:B1888,2),IF(D423&gt;0,VLOOKUP(D423,Программа!A$1:B$5100,2),IF(F423&gt;0,VLOOKUP(F423,КВР!A$1:B$5001,2),IF(E423&gt;0,VLOOKUP(E423,Направление!A$1:B$4830,2))))))</f>
        <v xml:space="preserve">Закупка товаров, работ и услуг для обеспечения государственных (муниципальных) нужд
</v>
      </c>
      <c r="B423" s="148"/>
      <c r="C423" s="149"/>
      <c r="D423" s="150"/>
      <c r="E423" s="149"/>
      <c r="F423" s="151">
        <v>200</v>
      </c>
      <c r="G423" s="491">
        <v>0</v>
      </c>
      <c r="H423" s="190"/>
      <c r="I423" s="155">
        <f t="shared" si="21"/>
        <v>0</v>
      </c>
      <c r="J423" s="491">
        <v>0</v>
      </c>
      <c r="K423" s="190"/>
      <c r="L423" s="155">
        <f t="shared" si="22"/>
        <v>0</v>
      </c>
    </row>
    <row r="424" spans="1:12" ht="63" hidden="1" x14ac:dyDescent="0.2">
      <c r="A424" s="153" t="str">
        <f>IF(B424&gt;0,VLOOKUP(B424,КВСР!A377:B1542,2),IF(C424&gt;0,VLOOKUP(C424,КФСР!A377:B1889,2),IF(D424&gt;0,VLOOKUP(D424,Программа!A$1:B$5100,2),IF(F424&gt;0,VLOOKUP(F424,КВР!A$1:B$5001,2),IF(E424&gt;0,VLOOKUP(E424,Направление!A$1:B$4830,2))))))</f>
        <v>Расходы на финансирование дорожного хозяйства за счет средств областного бюджета</v>
      </c>
      <c r="B424" s="148"/>
      <c r="C424" s="149"/>
      <c r="D424" s="150"/>
      <c r="E424" s="149">
        <v>72440</v>
      </c>
      <c r="F424" s="151"/>
      <c r="G424" s="500">
        <v>0</v>
      </c>
      <c r="H424" s="155">
        <f>H425</f>
        <v>0</v>
      </c>
      <c r="I424" s="155">
        <f t="shared" si="21"/>
        <v>0</v>
      </c>
      <c r="J424" s="500">
        <v>0</v>
      </c>
      <c r="K424" s="155">
        <f>K425</f>
        <v>0</v>
      </c>
      <c r="L424" s="155">
        <f t="shared" si="22"/>
        <v>0</v>
      </c>
    </row>
    <row r="425" spans="1:12" ht="78.75" hidden="1" x14ac:dyDescent="0.2">
      <c r="A425" s="153" t="str">
        <f>IF(B425&gt;0,VLOOKUP(B425,КВСР!A378:B1543,2),IF(C425&gt;0,VLOOKUP(C425,КФСР!A378:B1890,2),IF(D425&gt;0,VLOOKUP(D425,Программа!A$1:B$5100,2),IF(F425&gt;0,VLOOKUP(F425,КВР!A$1:B$5001,2),IF(E425&gt;0,VLOOKUP(E425,Направление!A$1:B$4830,2))))))</f>
        <v xml:space="preserve">Закупка товаров, работ и услуг для обеспечения государственных (муниципальных) нужд
</v>
      </c>
      <c r="B425" s="148"/>
      <c r="C425" s="149"/>
      <c r="D425" s="150"/>
      <c r="E425" s="149"/>
      <c r="F425" s="151">
        <v>200</v>
      </c>
      <c r="G425" s="491">
        <v>0</v>
      </c>
      <c r="H425" s="190"/>
      <c r="I425" s="155">
        <f t="shared" si="21"/>
        <v>0</v>
      </c>
      <c r="J425" s="491">
        <v>0</v>
      </c>
      <c r="K425" s="190"/>
      <c r="L425" s="155">
        <f t="shared" si="22"/>
        <v>0</v>
      </c>
    </row>
    <row r="426" spans="1:12" ht="47.25" hidden="1" x14ac:dyDescent="0.2">
      <c r="A426" s="153" t="str">
        <f>IF(B426&gt;0,VLOOKUP(B426,КВСР!A379:B1544,2),IF(C426&gt;0,VLOOKUP(C426,КФСР!A379:B1891,2),IF(D426&gt;0,VLOOKUP(D426,Программа!A$1:B$5100,2),IF(F426&gt;0,VLOOKUP(F426,КВР!A$1:B$5001,2),IF(E426&gt;0,VLOOKUP(E426,Направление!A$1:B$4830,2))))))</f>
        <v>Межбюджетные трансферты  поселениям района</v>
      </c>
      <c r="B426" s="148"/>
      <c r="C426" s="149"/>
      <c r="D426" s="150" t="s">
        <v>799</v>
      </c>
      <c r="E426" s="149"/>
      <c r="F426" s="151"/>
      <c r="G426" s="500">
        <v>0</v>
      </c>
      <c r="H426" s="155">
        <f>H427</f>
        <v>0</v>
      </c>
      <c r="I426" s="155">
        <f t="shared" si="21"/>
        <v>0</v>
      </c>
      <c r="J426" s="500">
        <v>0</v>
      </c>
      <c r="K426" s="155">
        <f>K427</f>
        <v>0</v>
      </c>
      <c r="L426" s="155">
        <f t="shared" si="22"/>
        <v>0</v>
      </c>
    </row>
    <row r="427" spans="1:12" ht="63" hidden="1" x14ac:dyDescent="0.2">
      <c r="A427" s="153" t="str">
        <f>IF(B427&gt;0,VLOOKUP(B427,КВСР!A380:B1545,2),IF(C427&gt;0,VLOOKUP(C427,КФСР!A380:B1892,2),IF(D427&gt;0,VLOOKUP(D427,Программа!A$1:B$5100,2),IF(F427&gt;0,VLOOKUP(F427,КВР!A$1:B$5001,2),IF(E427&gt;0,VLOOKUP(E427,Направление!A$1:B$4830,2))))))</f>
        <v>Расходы на финансирование дорожного хозяйства за счет средств областного бюджета</v>
      </c>
      <c r="B427" s="148"/>
      <c r="C427" s="149"/>
      <c r="D427" s="150"/>
      <c r="E427" s="149">
        <v>72440</v>
      </c>
      <c r="F427" s="151"/>
      <c r="G427" s="500">
        <v>0</v>
      </c>
      <c r="H427" s="155">
        <f>H428</f>
        <v>0</v>
      </c>
      <c r="I427" s="155">
        <f t="shared" si="21"/>
        <v>0</v>
      </c>
      <c r="J427" s="500">
        <v>0</v>
      </c>
      <c r="K427" s="155">
        <f>K428</f>
        <v>0</v>
      </c>
      <c r="L427" s="155">
        <f t="shared" si="22"/>
        <v>0</v>
      </c>
    </row>
    <row r="428" spans="1:12" ht="31.5" hidden="1" x14ac:dyDescent="0.2">
      <c r="A428" s="153" t="str">
        <f>IF(B428&gt;0,VLOOKUP(B428,КВСР!A381:B1546,2),IF(C428&gt;0,VLOOKUP(C428,КФСР!A381:B1893,2),IF(D428&gt;0,VLOOKUP(D428,Программа!A$1:B$5100,2),IF(F428&gt;0,VLOOKUP(F428,КВР!A$1:B$5001,2),IF(E428&gt;0,VLOOKUP(E428,Направление!A$1:B$4830,2))))))</f>
        <v xml:space="preserve"> Межбюджетные трансферты</v>
      </c>
      <c r="B428" s="148"/>
      <c r="C428" s="149"/>
      <c r="D428" s="150"/>
      <c r="E428" s="149"/>
      <c r="F428" s="151">
        <v>500</v>
      </c>
      <c r="G428" s="491">
        <v>0</v>
      </c>
      <c r="H428" s="190"/>
      <c r="I428" s="155">
        <f t="shared" si="21"/>
        <v>0</v>
      </c>
      <c r="J428" s="491">
        <v>0</v>
      </c>
      <c r="K428" s="190"/>
      <c r="L428" s="155">
        <f t="shared" si="22"/>
        <v>0</v>
      </c>
    </row>
    <row r="429" spans="1:12" ht="15.75" x14ac:dyDescent="0.2">
      <c r="A429" s="153" t="str">
        <f>IF(B429&gt;0,VLOOKUP(B429,КВСР!A377:B1542,2),IF(C429&gt;0,VLOOKUP(C429,КФСР!A377:B1889,2),IF(D429&gt;0,VLOOKUP(D429,Программа!A$1:B$5100,2),IF(F429&gt;0,VLOOKUP(F429,КВР!A$1:B$5001,2),IF(E429&gt;0,VLOOKUP(E429,Направление!A$1:B$4830,2))))))</f>
        <v>Коммунальное хозяйство</v>
      </c>
      <c r="B429" s="148"/>
      <c r="C429" s="149">
        <v>502</v>
      </c>
      <c r="D429" s="150"/>
      <c r="E429" s="149"/>
      <c r="F429" s="151"/>
      <c r="G429" s="500">
        <v>3000000</v>
      </c>
      <c r="H429" s="155">
        <f>H430</f>
        <v>0</v>
      </c>
      <c r="I429" s="155">
        <f t="shared" si="21"/>
        <v>3000000</v>
      </c>
      <c r="J429" s="500">
        <v>3000000</v>
      </c>
      <c r="K429" s="155">
        <f>K430</f>
        <v>0</v>
      </c>
      <c r="L429" s="155">
        <f t="shared" si="22"/>
        <v>3000000</v>
      </c>
    </row>
    <row r="430" spans="1:12" ht="94.5" x14ac:dyDescent="0.2">
      <c r="A430" s="153" t="str">
        <f>IF(B430&gt;0,VLOOKUP(B430,КВСР!A378:B1543,2),IF(C430&gt;0,VLOOKUP(C430,КФСР!A378:B1890,2),IF(D430&gt;0,VLOOKUP(D430,Программа!A$1:B$5100,2),IF(F430&gt;0,VLOOKUP(F430,КВР!A$1:B$5001,2),IF(E430&gt;0,VLOOKUP(E430,Направление!A$1:B$4830,2))))))</f>
        <v>Муниципальная программа "Обеспечение качественными коммунальными услугами населения Тутаевского муниципального района"</v>
      </c>
      <c r="B430" s="148"/>
      <c r="C430" s="149"/>
      <c r="D430" s="150" t="s">
        <v>849</v>
      </c>
      <c r="E430" s="149"/>
      <c r="F430" s="151"/>
      <c r="G430" s="500">
        <v>3000000</v>
      </c>
      <c r="H430" s="155">
        <f>H431</f>
        <v>0</v>
      </c>
      <c r="I430" s="155">
        <f t="shared" si="21"/>
        <v>3000000</v>
      </c>
      <c r="J430" s="500">
        <v>3000000</v>
      </c>
      <c r="K430" s="155">
        <f>K431</f>
        <v>0</v>
      </c>
      <c r="L430" s="155">
        <f t="shared" si="22"/>
        <v>3000000</v>
      </c>
    </row>
    <row r="431" spans="1:12" ht="114" customHeight="1" x14ac:dyDescent="0.2">
      <c r="A431" s="153" t="str">
        <f>IF(B431&gt;0,VLOOKUP(B431,КВСР!A379:B1544,2),IF(C431&gt;0,VLOOKUP(C431,КФСР!A379:B1891,2),IF(D431&gt;0,VLOOKUP(D431,Программа!A$1:B$5100,2),IF(F431&gt;0,VLOOKUP(F431,КВР!A$1:B$5001,2),IF(E431&gt;0,VLOOKUP(E431,Направление!A$1:B$4830,2))))))</f>
        <v xml:space="preserve">Муниципальная целевая   программа «Комплексная программа модернизации и реформирования жилищно-коммунального хозяйства Тутаевского муниципального района» </v>
      </c>
      <c r="B431" s="148"/>
      <c r="C431" s="149"/>
      <c r="D431" s="150" t="s">
        <v>881</v>
      </c>
      <c r="E431" s="149"/>
      <c r="F431" s="151"/>
      <c r="G431" s="500">
        <v>3000000</v>
      </c>
      <c r="H431" s="155">
        <f>H432</f>
        <v>0</v>
      </c>
      <c r="I431" s="155">
        <f t="shared" si="21"/>
        <v>3000000</v>
      </c>
      <c r="J431" s="500">
        <v>3000000</v>
      </c>
      <c r="K431" s="155">
        <f>K432</f>
        <v>0</v>
      </c>
      <c r="L431" s="155">
        <f t="shared" si="22"/>
        <v>3000000</v>
      </c>
    </row>
    <row r="432" spans="1:12" ht="82.5" customHeight="1" x14ac:dyDescent="0.2">
      <c r="A432" s="153" t="str">
        <f>IF(B432&gt;0,VLOOKUP(B432,КВСР!A380:B1545,2),IF(C432&gt;0,VLOOKUP(C432,КФСР!A380:B1892,2),IF(D432&gt;0,VLOOKUP(D432,Программа!A$1:B$5100,2),IF(F432&gt;0,VLOOKUP(F432,КВР!A$1:B$5001,2),IF(E432&gt;0,VLOOKUP(E432,Направление!A$1:B$4830,2))))))</f>
        <v>Повышение уровня газификации жилищного фонда населенных пунктов, путем строительства  межпоселковых газопроводов и распределительных газовых сетей</v>
      </c>
      <c r="B432" s="148"/>
      <c r="C432" s="149"/>
      <c r="D432" s="150" t="s">
        <v>925</v>
      </c>
      <c r="E432" s="149"/>
      <c r="F432" s="151"/>
      <c r="G432" s="500">
        <v>3000000</v>
      </c>
      <c r="H432" s="155">
        <f>H433</f>
        <v>0</v>
      </c>
      <c r="I432" s="155">
        <f t="shared" si="21"/>
        <v>3000000</v>
      </c>
      <c r="J432" s="500">
        <v>3000000</v>
      </c>
      <c r="K432" s="155">
        <f>K433</f>
        <v>0</v>
      </c>
      <c r="L432" s="155">
        <f t="shared" si="22"/>
        <v>3000000</v>
      </c>
    </row>
    <row r="433" spans="1:12" ht="48" customHeight="1" x14ac:dyDescent="0.2">
      <c r="A433" s="153" t="str">
        <f>IF(B433&gt;0,VLOOKUP(B433,КВСР!A380:B1545,2),IF(C433&gt;0,VLOOKUP(C433,КФСР!A380:B1892,2),IF(D433&gt;0,VLOOKUP(D433,Программа!A$1:B$5100,2),IF(F433&gt;0,VLOOKUP(F433,КВР!A$1:B$5001,2),IF(E433&gt;0,VLOOKUP(E433,Направление!A$1:B$4830,2))))))</f>
        <v>Бюджетные инвестиции в объекты капитального строительства муниципальной собственности</v>
      </c>
      <c r="B433" s="148"/>
      <c r="C433" s="149"/>
      <c r="D433" s="150"/>
      <c r="E433" s="149">
        <v>10010</v>
      </c>
      <c r="F433" s="151"/>
      <c r="G433" s="500">
        <v>3000000</v>
      </c>
      <c r="H433" s="155">
        <f>H434</f>
        <v>0</v>
      </c>
      <c r="I433" s="155">
        <f t="shared" si="21"/>
        <v>3000000</v>
      </c>
      <c r="J433" s="500">
        <v>3000000</v>
      </c>
      <c r="K433" s="155">
        <f>K434</f>
        <v>0</v>
      </c>
      <c r="L433" s="155">
        <f t="shared" si="22"/>
        <v>3000000</v>
      </c>
    </row>
    <row r="434" spans="1:12" ht="20.25" customHeight="1" x14ac:dyDescent="0.2">
      <c r="A434" s="153" t="str">
        <f>IF(B434&gt;0,VLOOKUP(B434,КВСР!A381:B1546,2),IF(C434&gt;0,VLOOKUP(C434,КФСР!A381:B1893,2),IF(D434&gt;0,VLOOKUP(D434,Программа!A$1:B$5100,2),IF(F434&gt;0,VLOOKUP(F434,КВР!A$1:B$5001,2),IF(E434&gt;0,VLOOKUP(E434,Направление!A$1:B$4830,2))))))</f>
        <v>Капитальные вложения в объекты государственной (муниципальной) собственности</v>
      </c>
      <c r="B434" s="148"/>
      <c r="C434" s="149"/>
      <c r="D434" s="150"/>
      <c r="E434" s="149"/>
      <c r="F434" s="151">
        <v>400</v>
      </c>
      <c r="G434" s="491">
        <v>3000000</v>
      </c>
      <c r="H434" s="190"/>
      <c r="I434" s="155">
        <f t="shared" si="21"/>
        <v>3000000</v>
      </c>
      <c r="J434" s="491">
        <v>3000000</v>
      </c>
      <c r="K434" s="190"/>
      <c r="L434" s="155">
        <f t="shared" si="22"/>
        <v>3000000</v>
      </c>
    </row>
    <row r="435" spans="1:12" ht="47.25" x14ac:dyDescent="0.2">
      <c r="A435" s="153" t="str">
        <f>IF(B435&gt;0,VLOOKUP(B435,КВСР!A390:B1555,2),IF(C435&gt;0,VLOOKUP(C435,КФСР!A390:B1902,2),IF(D435&gt;0,VLOOKUP(D435,Программа!A$1:B$5100,2),IF(F435&gt;0,VLOOKUP(F435,КВР!A$1:B$5001,2),IF(E435&gt;0,VLOOKUP(E435,Направление!A$1:B$4830,2))))))</f>
        <v>Другие вопросы в области жилищно-коммунального хозяйства</v>
      </c>
      <c r="B435" s="150"/>
      <c r="C435" s="149">
        <v>505</v>
      </c>
      <c r="D435" s="150"/>
      <c r="E435" s="149"/>
      <c r="F435" s="151"/>
      <c r="G435" s="500">
        <v>5475404</v>
      </c>
      <c r="H435" s="155">
        <f>H436</f>
        <v>0</v>
      </c>
      <c r="I435" s="155">
        <f t="shared" si="21"/>
        <v>5475404</v>
      </c>
      <c r="J435" s="500">
        <v>5475404</v>
      </c>
      <c r="K435" s="155">
        <f>K436</f>
        <v>0</v>
      </c>
      <c r="L435" s="155">
        <f t="shared" si="22"/>
        <v>5475404</v>
      </c>
    </row>
    <row r="436" spans="1:12" ht="31.5" x14ac:dyDescent="0.2">
      <c r="A436" s="153" t="str">
        <f>IF(B436&gt;0,VLOOKUP(B436,КВСР!A391:B1556,2),IF(C436&gt;0,VLOOKUP(C436,КФСР!A391:B1903,2),IF(D436&gt;0,VLOOKUP(D436,Программа!A$1:B$5100,2),IF(F436&gt;0,VLOOKUP(F436,КВР!A$1:B$5001,2),IF(E436&gt;0,VLOOKUP(E436,Направление!A$1:B$4830,2))))))</f>
        <v>Непрограммные расходы бюджета</v>
      </c>
      <c r="B436" s="154"/>
      <c r="C436" s="149"/>
      <c r="D436" s="150" t="s">
        <v>624</v>
      </c>
      <c r="E436" s="149"/>
      <c r="F436" s="151"/>
      <c r="G436" s="500">
        <v>5475404</v>
      </c>
      <c r="H436" s="155">
        <f>H437+H441</f>
        <v>0</v>
      </c>
      <c r="I436" s="155">
        <f t="shared" ref="I436:I473" si="23">SUM(G436:H436)</f>
        <v>5475404</v>
      </c>
      <c r="J436" s="500">
        <v>5475404</v>
      </c>
      <c r="K436" s="155">
        <f>K437+K441</f>
        <v>0</v>
      </c>
      <c r="L436" s="155">
        <f t="shared" ref="L436:L473" si="24">SUM(J436:K436)</f>
        <v>5475404</v>
      </c>
    </row>
    <row r="437" spans="1:12" ht="33.75" customHeight="1" x14ac:dyDescent="0.2">
      <c r="A437" s="153" t="str">
        <f>IF(B437&gt;0,VLOOKUP(B437,КВСР!A392:B1557,2),IF(C437&gt;0,VLOOKUP(C437,КФСР!A392:B1904,2),IF(D437&gt;0,VLOOKUP(D437,Программа!A$1:B$5100,2),IF(F437&gt;0,VLOOKUP(F437,КВР!A$1:B$5001,2),IF(E437&gt;0,VLOOKUP(E437,Направление!A$1:B$4830,2))))))</f>
        <v>Содержание центрального аппарата</v>
      </c>
      <c r="B437" s="154"/>
      <c r="C437" s="149"/>
      <c r="D437" s="150"/>
      <c r="E437" s="149">
        <v>12010</v>
      </c>
      <c r="F437" s="151"/>
      <c r="G437" s="500">
        <v>5475404</v>
      </c>
      <c r="H437" s="155">
        <f>H438</f>
        <v>0</v>
      </c>
      <c r="I437" s="155">
        <f t="shared" si="23"/>
        <v>5475404</v>
      </c>
      <c r="J437" s="500">
        <v>5475404</v>
      </c>
      <c r="K437" s="155">
        <f>K438</f>
        <v>0</v>
      </c>
      <c r="L437" s="155">
        <f t="shared" si="24"/>
        <v>5475404</v>
      </c>
    </row>
    <row r="438" spans="1:12" ht="173.25" x14ac:dyDescent="0.2">
      <c r="A438" s="153" t="str">
        <f>IF(B438&gt;0,VLOOKUP(B438,КВСР!A393:B1558,2),IF(C438&gt;0,VLOOKUP(C438,КФСР!A393:B1905,2),IF(D438&gt;0,VLOOKUP(D438,Программа!A$1:B$5100,2),IF(F438&gt;0,VLOOKUP(F438,КВР!A$1:B$5001,2),IF(E438&gt;0,VLOOKUP(E438,Направление!A$1:B$4830,2))))))</f>
        <v xml:space="preserve">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
</v>
      </c>
      <c r="B438" s="154"/>
      <c r="C438" s="149"/>
      <c r="D438" s="150"/>
      <c r="E438" s="149"/>
      <c r="F438" s="151">
        <v>100</v>
      </c>
      <c r="G438" s="491">
        <v>4378412</v>
      </c>
      <c r="H438" s="190"/>
      <c r="I438" s="155">
        <f t="shared" si="23"/>
        <v>4378412</v>
      </c>
      <c r="J438" s="491">
        <v>4378412</v>
      </c>
      <c r="K438" s="190"/>
      <c r="L438" s="155">
        <f t="shared" si="24"/>
        <v>4378412</v>
      </c>
    </row>
    <row r="439" spans="1:12" ht="68.25" customHeight="1" x14ac:dyDescent="0.2">
      <c r="A439" s="153" t="str">
        <f>IF(B439&gt;0,VLOOKUP(B439,КВСР!A394:B1559,2),IF(C439&gt;0,VLOOKUP(C439,КФСР!A394:B1906,2),IF(D439&gt;0,VLOOKUP(D439,Программа!A$1:B$5100,2),IF(F439&gt;0,VLOOKUP(F439,КВР!A$1:B$5001,2),IF(E439&gt;0,VLOOKUP(E439,Направление!A$1:B$4830,2))))))</f>
        <v xml:space="preserve">Закупка товаров, работ и услуг для обеспечения государственных (муниципальных) нужд
</v>
      </c>
      <c r="B439" s="154"/>
      <c r="C439" s="149"/>
      <c r="D439" s="150"/>
      <c r="E439" s="149"/>
      <c r="F439" s="151">
        <v>200</v>
      </c>
      <c r="G439" s="491">
        <v>1046992</v>
      </c>
      <c r="H439" s="190"/>
      <c r="I439" s="155">
        <f>SUM(G439:H439)</f>
        <v>1046992</v>
      </c>
      <c r="J439" s="491">
        <v>1046992</v>
      </c>
      <c r="K439" s="190"/>
      <c r="L439" s="155">
        <f>SUM(J439:K439)</f>
        <v>1046992</v>
      </c>
    </row>
    <row r="440" spans="1:12" ht="42" customHeight="1" x14ac:dyDescent="0.2">
      <c r="A440" s="153" t="str">
        <f>IF(B440&gt;0,VLOOKUP(B440,КВСР!A395:B1560,2),IF(C440&gt;0,VLOOKUP(C440,КФСР!A395:B1907,2),IF(D440&gt;0,VLOOKUP(D440,Программа!A$1:B$5100,2),IF(F440&gt;0,VLOOKUP(F440,КВР!A$1:B$5001,2),IF(E440&gt;0,VLOOKUP(E440,Направление!A$1:B$4830,2))))))</f>
        <v>Иные бюджетные ассигнования</v>
      </c>
      <c r="B440" s="154"/>
      <c r="C440" s="149"/>
      <c r="D440" s="150"/>
      <c r="E440" s="149"/>
      <c r="F440" s="151">
        <v>800</v>
      </c>
      <c r="G440" s="491">
        <v>50000</v>
      </c>
      <c r="H440" s="190"/>
      <c r="I440" s="155">
        <f>SUM(G440:H440)</f>
        <v>50000</v>
      </c>
      <c r="J440" s="491">
        <v>50000</v>
      </c>
      <c r="K440" s="190"/>
      <c r="L440" s="155">
        <f>SUM(J440:K440)</f>
        <v>50000</v>
      </c>
    </row>
    <row r="441" spans="1:12" ht="47.25" hidden="1" x14ac:dyDescent="0.2">
      <c r="A441" s="153" t="str">
        <f>IF(B441&gt;0,VLOOKUP(B441,КВСР!A394:B1559,2),IF(C441&gt;0,VLOOKUP(C441,КФСР!A394:B1906,2),IF(D441&gt;0,VLOOKUP(D441,Программа!A$1:B$5100,2),IF(F441&gt;0,VLOOKUP(F441,КВР!A$1:B$5001,2),IF(E441&gt;0,VLOOKUP(E441,Направление!A$1:B$4830,2))))))</f>
        <v>Содержание органов местного самоуправления за счет средств поселений</v>
      </c>
      <c r="B441" s="154"/>
      <c r="C441" s="149"/>
      <c r="D441" s="150"/>
      <c r="E441" s="149">
        <v>29016</v>
      </c>
      <c r="F441" s="151"/>
      <c r="G441" s="500">
        <v>0</v>
      </c>
      <c r="H441" s="155">
        <f>H442+H443+H444</f>
        <v>0</v>
      </c>
      <c r="I441" s="155">
        <f t="shared" si="23"/>
        <v>0</v>
      </c>
      <c r="J441" s="500">
        <v>0</v>
      </c>
      <c r="K441" s="155">
        <f>K442+K443+K444</f>
        <v>0</v>
      </c>
      <c r="L441" s="155">
        <f t="shared" si="24"/>
        <v>0</v>
      </c>
    </row>
    <row r="442" spans="1:12" ht="173.25" hidden="1" x14ac:dyDescent="0.2">
      <c r="A442" s="153" t="str">
        <f>IF(B442&gt;0,VLOOKUP(B442,КВСР!A395:B1560,2),IF(C442&gt;0,VLOOKUP(C442,КФСР!A395:B1907,2),IF(D442&gt;0,VLOOKUP(D442,Программа!A$1:B$5100,2),IF(F442&gt;0,VLOOKUP(F442,КВР!A$1:B$5001,2),IF(E442&gt;0,VLOOKUP(E442,Направление!A$1:B$4830,2))))))</f>
        <v xml:space="preserve">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
</v>
      </c>
      <c r="B442" s="154"/>
      <c r="C442" s="149"/>
      <c r="D442" s="150"/>
      <c r="E442" s="149"/>
      <c r="F442" s="151">
        <v>100</v>
      </c>
      <c r="G442" s="491">
        <v>0</v>
      </c>
      <c r="H442" s="190"/>
      <c r="I442" s="155">
        <f t="shared" si="23"/>
        <v>0</v>
      </c>
      <c r="J442" s="491">
        <v>0</v>
      </c>
      <c r="K442" s="190"/>
      <c r="L442" s="155">
        <f t="shared" si="24"/>
        <v>0</v>
      </c>
    </row>
    <row r="443" spans="1:12" ht="78.75" hidden="1" x14ac:dyDescent="0.2">
      <c r="A443" s="153" t="str">
        <f>IF(B443&gt;0,VLOOKUP(B443,КВСР!A396:B1561,2),IF(C443&gt;0,VLOOKUP(C443,КФСР!A396:B1908,2),IF(D443&gt;0,VLOOKUP(D443,Программа!A$1:B$5100,2),IF(F443&gt;0,VLOOKUP(F443,КВР!A$1:B$5001,2),IF(E443&gt;0,VLOOKUP(E443,Направление!A$1:B$4830,2))))))</f>
        <v xml:space="preserve">Закупка товаров, работ и услуг для обеспечения государственных (муниципальных) нужд
</v>
      </c>
      <c r="B443" s="154"/>
      <c r="C443" s="149"/>
      <c r="D443" s="150"/>
      <c r="E443" s="149"/>
      <c r="F443" s="151">
        <v>200</v>
      </c>
      <c r="G443" s="491">
        <v>0</v>
      </c>
      <c r="H443" s="190"/>
      <c r="I443" s="155">
        <f t="shared" si="23"/>
        <v>0</v>
      </c>
      <c r="J443" s="491">
        <v>0</v>
      </c>
      <c r="K443" s="190"/>
      <c r="L443" s="155">
        <f t="shared" si="24"/>
        <v>0</v>
      </c>
    </row>
    <row r="444" spans="1:12" ht="31.5" hidden="1" x14ac:dyDescent="0.2">
      <c r="A444" s="153" t="str">
        <f>IF(B444&gt;0,VLOOKUP(B444,КВСР!A397:B1562,2),IF(C444&gt;0,VLOOKUP(C444,КФСР!A397:B1909,2),IF(D444&gt;0,VLOOKUP(D444,Программа!A$1:B$5100,2),IF(F444&gt;0,VLOOKUP(F444,КВР!A$1:B$5001,2),IF(E444&gt;0,VLOOKUP(E444,Направление!A$1:B$4830,2))))))</f>
        <v>Иные бюджетные ассигнования</v>
      </c>
      <c r="B444" s="154"/>
      <c r="C444" s="149"/>
      <c r="D444" s="150"/>
      <c r="E444" s="149"/>
      <c r="F444" s="151">
        <v>800</v>
      </c>
      <c r="G444" s="491">
        <v>0</v>
      </c>
      <c r="H444" s="190"/>
      <c r="I444" s="155">
        <f t="shared" si="23"/>
        <v>0</v>
      </c>
      <c r="J444" s="491">
        <v>0</v>
      </c>
      <c r="K444" s="190"/>
      <c r="L444" s="155">
        <f t="shared" si="24"/>
        <v>0</v>
      </c>
    </row>
    <row r="445" spans="1:12" ht="31.5" hidden="1" x14ac:dyDescent="0.2">
      <c r="A445" s="153" t="str">
        <f>IF(B445&gt;0,VLOOKUP(B445,КВСР!A398:B1563,2),IF(C445&gt;0,VLOOKUP(C445,КФСР!A398:B1910,2),IF(D445&gt;0,VLOOKUP(D445,Программа!A$1:B$5100,2),IF(F445&gt;0,VLOOKUP(F445,КВР!A$1:B$5001,2),IF(E445&gt;0,VLOOKUP(E445,Направление!A$1:B$4830,2))))))</f>
        <v>Дополнительное образование детей</v>
      </c>
      <c r="B445" s="154"/>
      <c r="C445" s="149">
        <v>703</v>
      </c>
      <c r="D445" s="150"/>
      <c r="E445" s="149"/>
      <c r="F445" s="151"/>
      <c r="G445" s="500">
        <v>0</v>
      </c>
      <c r="H445" s="533">
        <f>H446</f>
        <v>0</v>
      </c>
      <c r="I445" s="155">
        <f t="shared" si="23"/>
        <v>0</v>
      </c>
      <c r="J445" s="500">
        <v>0</v>
      </c>
      <c r="K445" s="533">
        <f>K446</f>
        <v>0</v>
      </c>
      <c r="L445" s="155">
        <f t="shared" si="24"/>
        <v>0</v>
      </c>
    </row>
    <row r="446" spans="1:12" ht="94.5" hidden="1" x14ac:dyDescent="0.2">
      <c r="A446" s="153" t="str">
        <f>IF(B446&gt;0,VLOOKUP(B446,КВСР!A399:B1564,2),IF(C446&gt;0,VLOOKUP(C446,КФСР!A399:B1911,2),IF(D446&gt;0,VLOOKUP(D446,Программа!A$1:B$5100,2),IF(F446&gt;0,VLOOKUP(F446,КВР!A$1:B$5001,2),IF(E446&gt;0,VLOOKUP(E446,Направление!A$1:B$4830,2))))))</f>
        <v>Муниципальная программа "Обеспечение качественными коммунальными услугами населения Тутаевского муниципального района"</v>
      </c>
      <c r="B446" s="154"/>
      <c r="C446" s="149"/>
      <c r="D446" s="150" t="s">
        <v>849</v>
      </c>
      <c r="E446" s="149"/>
      <c r="F446" s="151"/>
      <c r="G446" s="500">
        <v>0</v>
      </c>
      <c r="H446" s="533">
        <f>H447</f>
        <v>0</v>
      </c>
      <c r="I446" s="155">
        <f t="shared" si="23"/>
        <v>0</v>
      </c>
      <c r="J446" s="500">
        <v>0</v>
      </c>
      <c r="K446" s="533">
        <f>K447</f>
        <v>0</v>
      </c>
      <c r="L446" s="155">
        <f t="shared" si="24"/>
        <v>0</v>
      </c>
    </row>
    <row r="447" spans="1:12" ht="110.25" hidden="1" x14ac:dyDescent="0.2">
      <c r="A447" s="153" t="str">
        <f>IF(B447&gt;0,VLOOKUP(B447,КВСР!A400:B1565,2),IF(C447&gt;0,VLOOKUP(C447,КФСР!A400:B1912,2),IF(D447&gt;0,VLOOKUP(D447,Программа!A$1:B$5100,2),IF(F447&gt;0,VLOOKUP(F447,КВР!A$1:B$5001,2),IF(E447&gt;0,VLOOKUP(E447,Направление!A$1:B$4830,2))))))</f>
        <v xml:space="preserve">Муниципальная целевая   программа «Комплексная программа модернизации и реформирования жилищно-коммунального хозяйства Тутаевского муниципального района» </v>
      </c>
      <c r="B447" s="154"/>
      <c r="C447" s="149"/>
      <c r="D447" s="150" t="s">
        <v>881</v>
      </c>
      <c r="E447" s="149"/>
      <c r="F447" s="151"/>
      <c r="G447" s="500">
        <v>0</v>
      </c>
      <c r="H447" s="533">
        <f>H448</f>
        <v>0</v>
      </c>
      <c r="I447" s="155">
        <f t="shared" si="23"/>
        <v>0</v>
      </c>
      <c r="J447" s="500">
        <v>0</v>
      </c>
      <c r="K447" s="533">
        <f>K448</f>
        <v>0</v>
      </c>
      <c r="L447" s="155">
        <f t="shared" si="24"/>
        <v>0</v>
      </c>
    </row>
    <row r="448" spans="1:12" ht="63" hidden="1" x14ac:dyDescent="0.2">
      <c r="A448" s="153" t="str">
        <f>IF(B448&gt;0,VLOOKUP(B448,КВСР!A401:B1566,2),IF(C448&gt;0,VLOOKUP(C448,КФСР!A401:B1913,2),IF(D448&gt;0,VLOOKUP(D448,Программа!A$1:B$5100,2),IF(F448&gt;0,VLOOKUP(F448,КВР!A$1:B$5001,2),IF(E448&gt;0,VLOOKUP(E448,Направление!A$1:B$4830,2))))))</f>
        <v>Повышение уровня газификации и модернизации объектов социальной сферы</v>
      </c>
      <c r="B448" s="154"/>
      <c r="C448" s="149"/>
      <c r="D448" s="150" t="s">
        <v>882</v>
      </c>
      <c r="E448" s="149"/>
      <c r="F448" s="151"/>
      <c r="G448" s="500">
        <v>0</v>
      </c>
      <c r="H448" s="533">
        <f>H449</f>
        <v>0</v>
      </c>
      <c r="I448" s="155">
        <f t="shared" si="23"/>
        <v>0</v>
      </c>
      <c r="J448" s="500">
        <v>0</v>
      </c>
      <c r="K448" s="533">
        <f>K449</f>
        <v>0</v>
      </c>
      <c r="L448" s="155">
        <f t="shared" si="24"/>
        <v>0</v>
      </c>
    </row>
    <row r="449" spans="1:13" ht="63" hidden="1" x14ac:dyDescent="0.2">
      <c r="A449" s="153" t="str">
        <f>IF(B449&gt;0,VLOOKUP(B449,КВСР!A402:B1567,2),IF(C449&gt;0,VLOOKUP(C449,КФСР!A402:B1914,2),IF(D449&gt;0,VLOOKUP(D449,Программа!A$1:B$5100,2),IF(F449&gt;0,VLOOKUP(F449,КВР!A$1:B$5001,2),IF(E449&gt;0,VLOOKUP(E449,Направление!A$1:B$4830,2))))))</f>
        <v>Обеспечение деятельности учреждений дополнительного образования</v>
      </c>
      <c r="B449" s="154"/>
      <c r="C449" s="149"/>
      <c r="D449" s="151"/>
      <c r="E449" s="149">
        <v>13210</v>
      </c>
      <c r="F449" s="151"/>
      <c r="G449" s="500">
        <v>0</v>
      </c>
      <c r="H449" s="533">
        <f>H450</f>
        <v>0</v>
      </c>
      <c r="I449" s="155">
        <f t="shared" si="23"/>
        <v>0</v>
      </c>
      <c r="J449" s="500">
        <v>0</v>
      </c>
      <c r="K449" s="533">
        <f>K450</f>
        <v>0</v>
      </c>
      <c r="L449" s="155">
        <f t="shared" si="24"/>
        <v>0</v>
      </c>
    </row>
    <row r="450" spans="1:13" ht="63" hidden="1" x14ac:dyDescent="0.2">
      <c r="A450" s="153" t="str">
        <f>IF(B450&gt;0,VLOOKUP(B450,КВСР!A401:B1566,2),IF(C450&gt;0,VLOOKUP(C450,КФСР!A401:B1913,2),IF(D450&gt;0,VLOOKUP(D450,Программа!A$1:B$5100,2),IF(F450&gt;0,VLOOKUP(F450,КВР!A$1:B$5001,2),IF(E450&gt;0,VLOOKUP(E450,Направление!A$1:B$4830,2))))))</f>
        <v>Капитальные вложения в объекты государственной (муниципальной) собственности</v>
      </c>
      <c r="B450" s="154"/>
      <c r="C450" s="149"/>
      <c r="D450" s="151"/>
      <c r="E450" s="149"/>
      <c r="F450" s="151">
        <v>400</v>
      </c>
      <c r="G450" s="491">
        <v>0</v>
      </c>
      <c r="H450" s="190"/>
      <c r="I450" s="155">
        <f t="shared" si="23"/>
        <v>0</v>
      </c>
      <c r="J450" s="491">
        <v>0</v>
      </c>
      <c r="K450" s="190"/>
      <c r="L450" s="155">
        <f t="shared" si="24"/>
        <v>0</v>
      </c>
    </row>
    <row r="451" spans="1:13" ht="31.5" x14ac:dyDescent="0.2">
      <c r="A451" s="153" t="str">
        <f>IF(B451&gt;0,VLOOKUP(B451,КВСР!A398:B1563,2),IF(C451&gt;0,VLOOKUP(C451,КФСР!A398:B1910,2),IF(D451&gt;0,VLOOKUP(D451,Программа!A$1:B$5100,2),IF(F451&gt;0,VLOOKUP(F451,КВР!A$1:B$5001,2),IF(E451&gt;0,VLOOKUP(E451,Направление!A$1:B$4830,2))))))</f>
        <v>Социальное обеспечение населения</v>
      </c>
      <c r="B451" s="154"/>
      <c r="C451" s="149">
        <v>1003</v>
      </c>
      <c r="D451" s="150"/>
      <c r="E451" s="149"/>
      <c r="F451" s="151"/>
      <c r="G451" s="491">
        <v>674000</v>
      </c>
      <c r="H451" s="491">
        <f>H452</f>
        <v>0</v>
      </c>
      <c r="I451" s="155">
        <f t="shared" si="23"/>
        <v>674000</v>
      </c>
      <c r="J451" s="491">
        <v>674000</v>
      </c>
      <c r="K451" s="491">
        <f>K452</f>
        <v>0</v>
      </c>
      <c r="L451" s="155">
        <f t="shared" si="24"/>
        <v>674000</v>
      </c>
    </row>
    <row r="452" spans="1:13" ht="99.75" customHeight="1" x14ac:dyDescent="0.2">
      <c r="A452" s="153" t="str">
        <f>IF(B452&gt;0,VLOOKUP(B452,КВСР!A399:B1564,2),IF(C452&gt;0,VLOOKUP(C452,КФСР!A399:B1911,2),IF(D452&gt;0,VLOOKUP(D452,Программа!A$1:B$5100,2),IF(F452&gt;0,VLOOKUP(F452,КВР!A$1:B$5001,2),IF(E452&gt;0,VLOOKUP(E452,Направление!A$1:B$4830,2))))))</f>
        <v>Муниципальная программа  "Организация перевозок автомобильным и речным транспортом на территории Тутаевского муниципального района"</v>
      </c>
      <c r="B452" s="154"/>
      <c r="C452" s="149"/>
      <c r="D452" s="150" t="s">
        <v>859</v>
      </c>
      <c r="E452" s="149"/>
      <c r="F452" s="151"/>
      <c r="G452" s="164">
        <v>674000</v>
      </c>
      <c r="H452" s="164">
        <f>H453+H456</f>
        <v>0</v>
      </c>
      <c r="I452" s="155">
        <f t="shared" si="23"/>
        <v>674000</v>
      </c>
      <c r="J452" s="164">
        <v>674000</v>
      </c>
      <c r="K452" s="164">
        <f>K453+K456</f>
        <v>0</v>
      </c>
      <c r="L452" s="155">
        <f t="shared" si="24"/>
        <v>674000</v>
      </c>
    </row>
    <row r="453" spans="1:13" ht="129.75" customHeight="1" x14ac:dyDescent="0.2">
      <c r="A453" s="153" t="str">
        <f>IF(B453&gt;0,VLOOKUP(B453,КВСР!A400:B1565,2),IF(C453&gt;0,VLOOKUP(C453,КФСР!A400:B1912,2),IF(D453&gt;0,VLOOKUP(D453,Программа!A$1:B$5100,2),IF(F453&gt;0,VLOOKUP(F453,КВР!A$1:B$5001,2),IF(E453&gt;0,VLOOKUP(E453,Направление!A$1:B$4830,2))))))</f>
        <v>Предоставление социальных услуг лицам, находящимся под диспансерным наблюдением в связи с туберкулезом, и больных туберкулезом  при проезде в транспорте общего пользования</v>
      </c>
      <c r="B453" s="154"/>
      <c r="C453" s="149"/>
      <c r="D453" s="150" t="s">
        <v>861</v>
      </c>
      <c r="E453" s="149"/>
      <c r="F453" s="151"/>
      <c r="G453" s="164">
        <v>15000</v>
      </c>
      <c r="H453" s="164">
        <f>H454</f>
        <v>0</v>
      </c>
      <c r="I453" s="155">
        <f t="shared" si="23"/>
        <v>15000</v>
      </c>
      <c r="J453" s="164">
        <v>15000</v>
      </c>
      <c r="K453" s="164">
        <f>K454</f>
        <v>0</v>
      </c>
      <c r="L453" s="155">
        <f t="shared" si="24"/>
        <v>15000</v>
      </c>
    </row>
    <row r="454" spans="1:13" ht="132" customHeight="1" x14ac:dyDescent="0.2">
      <c r="A454" s="153" t="str">
        <f>IF(B454&gt;0,VLOOKUP(B454,КВСР!A401:B1566,2),IF(C454&gt;0,VLOOKUP(C454,КФСР!A401:B1913,2),IF(D454&gt;0,VLOOKUP(D454,Программа!A$1:B$5100,2),IF(F454&gt;0,VLOOKUP(F454,КВР!A$1:B$5001,2),IF(E454&gt;0,VLOOKUP(E454,Направление!A$1:B$4830,2))))))</f>
        <v>Субсидия на предоставление бесплатного проезда лицам, находящимся под диспансерным наблюдением в связи с туберкулезом, и больным туберкулезом за счет средств областного бюджета</v>
      </c>
      <c r="B454" s="154"/>
      <c r="C454" s="149"/>
      <c r="D454" s="150"/>
      <c r="E454" s="149">
        <v>72550</v>
      </c>
      <c r="F454" s="151"/>
      <c r="G454" s="164">
        <v>15000</v>
      </c>
      <c r="H454" s="164">
        <f>H455</f>
        <v>0</v>
      </c>
      <c r="I454" s="155">
        <f t="shared" si="23"/>
        <v>15000</v>
      </c>
      <c r="J454" s="164">
        <v>15000</v>
      </c>
      <c r="K454" s="164">
        <f>K455</f>
        <v>0</v>
      </c>
      <c r="L454" s="155">
        <f t="shared" si="24"/>
        <v>15000</v>
      </c>
    </row>
    <row r="455" spans="1:13" ht="31.5" x14ac:dyDescent="0.2">
      <c r="A455" s="153" t="str">
        <f>IF(B455&gt;0,VLOOKUP(B455,КВСР!A402:B1567,2),IF(C455&gt;0,VLOOKUP(C455,КФСР!A402:B1914,2),IF(D455&gt;0,VLOOKUP(D455,Программа!A$1:B$5100,2),IF(F455&gt;0,VLOOKUP(F455,КВР!A$1:B$5001,2),IF(E455&gt;0,VLOOKUP(E455,Направление!A$1:B$4830,2))))))</f>
        <v>Иные бюджетные ассигнования</v>
      </c>
      <c r="B455" s="154"/>
      <c r="C455" s="149"/>
      <c r="D455" s="150"/>
      <c r="E455" s="149"/>
      <c r="F455" s="151">
        <v>800</v>
      </c>
      <c r="G455" s="491">
        <v>15000</v>
      </c>
      <c r="H455" s="190"/>
      <c r="I455" s="155">
        <f t="shared" si="23"/>
        <v>15000</v>
      </c>
      <c r="J455" s="491">
        <v>15000</v>
      </c>
      <c r="K455" s="190"/>
      <c r="L455" s="155">
        <f t="shared" si="24"/>
        <v>15000</v>
      </c>
    </row>
    <row r="456" spans="1:13" ht="126" x14ac:dyDescent="0.2">
      <c r="A456" s="153" t="str">
        <f>IF(B456&gt;0,VLOOKUP(B456,КВСР!A403:B1568,2),IF(C456&gt;0,VLOOKUP(C456,КФСР!A403:B1915,2),IF(D456&gt;0,VLOOKUP(D456,Программа!A$1:B$5100,2),IF(F456&gt;0,VLOOKUP(F456,КВР!A$1:B$5001,2),IF(E456&gt;0,VLOOKUP(E456,Направление!A$1:B$4830,2))))))</f>
        <v>Предоставление социальных услуг детям из многодетных семей, обучающихся в общеобразовательных организациях  при проезде в транспорте общего пользования</v>
      </c>
      <c r="B456" s="154"/>
      <c r="C456" s="149"/>
      <c r="D456" s="150" t="s">
        <v>863</v>
      </c>
      <c r="E456" s="149"/>
      <c r="F456" s="151"/>
      <c r="G456" s="164">
        <v>659000</v>
      </c>
      <c r="H456" s="164">
        <f>H457</f>
        <v>0</v>
      </c>
      <c r="I456" s="155">
        <f t="shared" si="23"/>
        <v>659000</v>
      </c>
      <c r="J456" s="164">
        <v>659000</v>
      </c>
      <c r="K456" s="164">
        <f>K457</f>
        <v>0</v>
      </c>
      <c r="L456" s="155">
        <f t="shared" si="24"/>
        <v>659000</v>
      </c>
    </row>
    <row r="457" spans="1:13" ht="114" customHeight="1" x14ac:dyDescent="0.2">
      <c r="A457" s="153" t="str">
        <f>IF(B457&gt;0,VLOOKUP(B457,КВСР!A404:B1569,2),IF(C457&gt;0,VLOOKUP(C457,КФСР!A404:B1916,2),IF(D457&gt;0,VLOOKUP(D457,Программа!A$1:B$5100,2),IF(F457&gt;0,VLOOKUP(F457,КВР!A$1:B$5001,2),IF(E457&gt;0,VLOOKUP(E457,Направление!A$1:B$4830,2))))))</f>
        <v>Субсидия на предоставление бесплатного проезда детям из многодетных семей, обучающимся в общеобразовательных учреждениях, за счет средств областного бюджета</v>
      </c>
      <c r="B457" s="154"/>
      <c r="C457" s="149"/>
      <c r="D457" s="150"/>
      <c r="E457" s="149">
        <v>72560</v>
      </c>
      <c r="F457" s="151"/>
      <c r="G457" s="164">
        <v>659000</v>
      </c>
      <c r="H457" s="164">
        <f>H458</f>
        <v>0</v>
      </c>
      <c r="I457" s="155">
        <f t="shared" si="23"/>
        <v>659000</v>
      </c>
      <c r="J457" s="164">
        <v>659000</v>
      </c>
      <c r="K457" s="164">
        <f>K458</f>
        <v>0</v>
      </c>
      <c r="L457" s="155">
        <f t="shared" si="24"/>
        <v>659000</v>
      </c>
    </row>
    <row r="458" spans="1:13" ht="31.5" x14ac:dyDescent="0.2">
      <c r="A458" s="153" t="str">
        <f>IF(B458&gt;0,VLOOKUP(B458,КВСР!A405:B1570,2),IF(C458&gt;0,VLOOKUP(C458,КФСР!A405:B1917,2),IF(D458&gt;0,VLOOKUP(D458,Программа!A$1:B$5100,2),IF(F458&gt;0,VLOOKUP(F458,КВР!A$1:B$5001,2),IF(E458&gt;0,VLOOKUP(E458,Направление!A$1:B$4830,2))))))</f>
        <v>Иные бюджетные ассигнования</v>
      </c>
      <c r="B458" s="154"/>
      <c r="C458" s="149"/>
      <c r="D458" s="150"/>
      <c r="E458" s="149"/>
      <c r="F458" s="151">
        <v>800</v>
      </c>
      <c r="G458" s="491">
        <v>659000</v>
      </c>
      <c r="H458" s="190"/>
      <c r="I458" s="155">
        <f t="shared" si="23"/>
        <v>659000</v>
      </c>
      <c r="J458" s="491">
        <v>659000</v>
      </c>
      <c r="K458" s="190"/>
      <c r="L458" s="155">
        <f t="shared" si="24"/>
        <v>659000</v>
      </c>
    </row>
    <row r="459" spans="1:13" ht="31.5" x14ac:dyDescent="0.2">
      <c r="A459" s="147" t="str">
        <f>IF(B459&gt;0,VLOOKUP(B459,КВСР!A415:B1580,2),IF(C459&gt;0,VLOOKUP(C459,КФСР!A415:B1927,2),IF(D459&gt;0,VLOOKUP(D459,Программа!A$1:B$5100,2),IF(F459&gt;0,VLOOKUP(F459,КВР!A$1:B$5001,2),IF(E459&gt;0,VLOOKUP(E459,Направление!A$1:B$4830,2))))))</f>
        <v>МУ Контрольно-счетная палата ТМР</v>
      </c>
      <c r="B459" s="148">
        <v>982</v>
      </c>
      <c r="C459" s="183"/>
      <c r="D459" s="184"/>
      <c r="E459" s="183"/>
      <c r="F459" s="185"/>
      <c r="G459" s="605">
        <v>1755903</v>
      </c>
      <c r="H459" s="152">
        <f>H460</f>
        <v>0</v>
      </c>
      <c r="I459" s="152">
        <f t="shared" si="23"/>
        <v>1755903</v>
      </c>
      <c r="J459" s="605">
        <v>1755903</v>
      </c>
      <c r="K459" s="152">
        <f>K460</f>
        <v>0</v>
      </c>
      <c r="L459" s="152">
        <f t="shared" si="24"/>
        <v>1755903</v>
      </c>
      <c r="M459" s="192"/>
    </row>
    <row r="460" spans="1:13" ht="94.5" x14ac:dyDescent="0.2">
      <c r="A460" s="153" t="str">
        <f>IF(B460&gt;0,VLOOKUP(B460,КВСР!A416:B1581,2),IF(C460&gt;0,VLOOKUP(C460,КФСР!A416:B1928,2),IF(D460&gt;0,VLOOKUP(D460,Программа!A$1:B$5100,2),IF(F460&gt;0,VLOOKUP(F460,КВР!A$1:B$5001,2),IF(E460&gt;0,VLOOKUP(E460,Направление!A$1:B$4830,2))))))</f>
        <v>Обеспечение деятельности финансовых, налоговых и таможенных органов и органов финансового (финансово-бюджетного) надзора</v>
      </c>
      <c r="B460" s="180"/>
      <c r="C460" s="149">
        <v>106</v>
      </c>
      <c r="D460" s="174"/>
      <c r="E460" s="175"/>
      <c r="F460" s="177"/>
      <c r="G460" s="500">
        <v>1755903</v>
      </c>
      <c r="H460" s="155">
        <f>H461</f>
        <v>0</v>
      </c>
      <c r="I460" s="155">
        <f t="shared" si="23"/>
        <v>1755903</v>
      </c>
      <c r="J460" s="500">
        <v>1755903</v>
      </c>
      <c r="K460" s="155">
        <f>K461</f>
        <v>0</v>
      </c>
      <c r="L460" s="155">
        <f t="shared" si="24"/>
        <v>1755903</v>
      </c>
    </row>
    <row r="461" spans="1:13" ht="31.5" x14ac:dyDescent="0.2">
      <c r="A461" s="153" t="str">
        <f>IF(B461&gt;0,VLOOKUP(B461,КВСР!A417:B1582,2),IF(C461&gt;0,VLOOKUP(C461,КФСР!A417:B1929,2),IF(D461&gt;0,VLOOKUP(D461,Программа!A$1:B$5100,2),IF(F461&gt;0,VLOOKUP(F461,КВР!A$1:B$5001,2),IF(E461&gt;0,VLOOKUP(E461,Направление!A$1:B$4830,2))))))</f>
        <v>Непрограммные расходы бюджета</v>
      </c>
      <c r="B461" s="180"/>
      <c r="C461" s="149"/>
      <c r="D461" s="174" t="s">
        <v>624</v>
      </c>
      <c r="E461" s="175"/>
      <c r="F461" s="177"/>
      <c r="G461" s="500">
        <v>1755903</v>
      </c>
      <c r="H461" s="155">
        <f>H462+H466+H468</f>
        <v>0</v>
      </c>
      <c r="I461" s="155">
        <f t="shared" si="23"/>
        <v>1755903</v>
      </c>
      <c r="J461" s="500">
        <v>1755903</v>
      </c>
      <c r="K461" s="155">
        <f>K462+K466+K468</f>
        <v>0</v>
      </c>
      <c r="L461" s="155">
        <f t="shared" si="24"/>
        <v>1755903</v>
      </c>
    </row>
    <row r="462" spans="1:13" ht="31.5" x14ac:dyDescent="0.2">
      <c r="A462" s="153" t="str">
        <f>IF(B462&gt;0,VLOOKUP(B462,КВСР!A418:B1583,2),IF(C462&gt;0,VLOOKUP(C462,КФСР!A418:B1930,2),IF(D462&gt;0,VLOOKUP(D462,Программа!A$1:B$5100,2),IF(F462&gt;0,VLOOKUP(F462,КВР!A$1:B$5001,2),IF(E462&gt;0,VLOOKUP(E462,Направление!A$1:B$4830,2))))))</f>
        <v>Содержание центрального аппарата</v>
      </c>
      <c r="B462" s="180"/>
      <c r="C462" s="175"/>
      <c r="D462" s="150"/>
      <c r="E462" s="149">
        <v>12010</v>
      </c>
      <c r="F462" s="177"/>
      <c r="G462" s="500">
        <v>960603</v>
      </c>
      <c r="H462" s="500">
        <f>H463+H464+H465</f>
        <v>0</v>
      </c>
      <c r="I462" s="500">
        <f>I463+I464+I465</f>
        <v>960603</v>
      </c>
      <c r="J462" s="500">
        <v>960603</v>
      </c>
      <c r="K462" s="500">
        <f>K463+K464+K465</f>
        <v>0</v>
      </c>
      <c r="L462" s="500">
        <f>L463+L464+L465</f>
        <v>960603</v>
      </c>
    </row>
    <row r="463" spans="1:13" ht="173.25" x14ac:dyDescent="0.2">
      <c r="A463" s="153" t="str">
        <f>IF(B463&gt;0,VLOOKUP(B463,КВСР!A419:B1584,2),IF(C463&gt;0,VLOOKUP(C463,КФСР!A419:B1931,2),IF(D463&gt;0,VLOOKUP(D463,Программа!A$1:B$5100,2),IF(F463&gt;0,VLOOKUP(F463,КВР!A$1:B$5001,2),IF(E463&gt;0,VLOOKUP(E463,Направление!A$1:B$4830,2))))))</f>
        <v xml:space="preserve">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
</v>
      </c>
      <c r="B463" s="180"/>
      <c r="C463" s="175"/>
      <c r="D463" s="174"/>
      <c r="E463" s="175"/>
      <c r="F463" s="177">
        <v>100</v>
      </c>
      <c r="G463" s="491">
        <v>941520</v>
      </c>
      <c r="H463" s="190"/>
      <c r="I463" s="155">
        <f t="shared" si="23"/>
        <v>941520</v>
      </c>
      <c r="J463" s="491">
        <v>941520</v>
      </c>
      <c r="K463" s="190"/>
      <c r="L463" s="155">
        <f t="shared" si="24"/>
        <v>941520</v>
      </c>
    </row>
    <row r="464" spans="1:13" ht="78.75" x14ac:dyDescent="0.2">
      <c r="A464" s="153" t="str">
        <f>IF(B464&gt;0,VLOOKUP(B464,КВСР!A420:B1585,2),IF(C464&gt;0,VLOOKUP(C464,КФСР!A420:B1932,2),IF(D464&gt;0,VLOOKUP(D464,Программа!A$1:B$5100,2),IF(F464&gt;0,VLOOKUP(F464,КВР!A$1:B$5001,2),IF(E464&gt;0,VLOOKUP(E464,Направление!A$1:B$4830,2))))))</f>
        <v xml:space="preserve">Закупка товаров, работ и услуг для обеспечения государственных (муниципальных) нужд
</v>
      </c>
      <c r="B464" s="180"/>
      <c r="C464" s="175"/>
      <c r="D464" s="174"/>
      <c r="E464" s="175"/>
      <c r="F464" s="177">
        <v>200</v>
      </c>
      <c r="G464" s="491">
        <v>18483</v>
      </c>
      <c r="H464" s="190"/>
      <c r="I464" s="155">
        <f t="shared" si="23"/>
        <v>18483</v>
      </c>
      <c r="J464" s="491">
        <v>18483</v>
      </c>
      <c r="K464" s="190"/>
      <c r="L464" s="155">
        <f t="shared" si="24"/>
        <v>18483</v>
      </c>
    </row>
    <row r="465" spans="1:12" ht="31.5" x14ac:dyDescent="0.2">
      <c r="A465" s="153" t="str">
        <f>IF(B465&gt;0,VLOOKUP(B465,КВСР!A421:B1586,2),IF(C465&gt;0,VLOOKUP(C465,КФСР!A421:B1933,2),IF(D465&gt;0,VLOOKUP(D465,Программа!A$1:B$5100,2),IF(F465&gt;0,VLOOKUP(F465,КВР!A$1:B$5001,2),IF(E465&gt;0,VLOOKUP(E465,Направление!A$1:B$4830,2))))))</f>
        <v>Иные бюджетные ассигнования</v>
      </c>
      <c r="B465" s="180"/>
      <c r="C465" s="175"/>
      <c r="D465" s="174"/>
      <c r="E465" s="175"/>
      <c r="F465" s="177">
        <v>800</v>
      </c>
      <c r="G465" s="491">
        <v>600</v>
      </c>
      <c r="H465" s="190"/>
      <c r="I465" s="155">
        <f t="shared" si="23"/>
        <v>600</v>
      </c>
      <c r="J465" s="491">
        <v>600</v>
      </c>
      <c r="K465" s="190"/>
      <c r="L465" s="155">
        <f t="shared" si="24"/>
        <v>600</v>
      </c>
    </row>
    <row r="466" spans="1:12" ht="78.75" x14ac:dyDescent="0.2">
      <c r="A466" s="153" t="str">
        <f>IF(B466&gt;0,VLOOKUP(B466,КВСР!A420:B1585,2),IF(C466&gt;0,VLOOKUP(C466,КФСР!A420:B1932,2),IF(D466&gt;0,VLOOKUP(D466,Программа!A$1:B$5100,2),IF(F466&gt;0,VLOOKUP(F466,КВР!A$1:B$5001,2),IF(E466&gt;0,VLOOKUP(E466,Направление!A$1:B$4830,2))))))</f>
        <v>Содержание руководителя контрольно-счетной палаты муниципального образования и его заместителей</v>
      </c>
      <c r="B466" s="180"/>
      <c r="C466" s="175"/>
      <c r="D466" s="174"/>
      <c r="E466" s="175">
        <v>12030</v>
      </c>
      <c r="F466" s="177"/>
      <c r="G466" s="500">
        <v>795300</v>
      </c>
      <c r="H466" s="155">
        <f>H467</f>
        <v>0</v>
      </c>
      <c r="I466" s="155">
        <f t="shared" si="23"/>
        <v>795300</v>
      </c>
      <c r="J466" s="500">
        <v>795300</v>
      </c>
      <c r="K466" s="155">
        <f>K467</f>
        <v>0</v>
      </c>
      <c r="L466" s="155">
        <f t="shared" si="24"/>
        <v>795300</v>
      </c>
    </row>
    <row r="467" spans="1:12" ht="173.25" x14ac:dyDescent="0.2">
      <c r="A467" s="153" t="str">
        <f>IF(B467&gt;0,VLOOKUP(B467,КВСР!A421:B1586,2),IF(C467&gt;0,VLOOKUP(C467,КФСР!A421:B1933,2),IF(D467&gt;0,VLOOKUP(D467,Программа!A$1:B$5100,2),IF(F467&gt;0,VLOOKUP(F467,КВР!A$1:B$5001,2),IF(E467&gt;0,VLOOKUP(E467,Направление!A$1:B$4830,2))))))</f>
        <v xml:space="preserve">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
</v>
      </c>
      <c r="B467" s="180"/>
      <c r="C467" s="175"/>
      <c r="D467" s="174"/>
      <c r="E467" s="175"/>
      <c r="F467" s="177">
        <v>100</v>
      </c>
      <c r="G467" s="491">
        <v>795300</v>
      </c>
      <c r="H467" s="190"/>
      <c r="I467" s="155">
        <f t="shared" si="23"/>
        <v>795300</v>
      </c>
      <c r="J467" s="491">
        <v>795300</v>
      </c>
      <c r="K467" s="190"/>
      <c r="L467" s="155">
        <f t="shared" si="24"/>
        <v>795300</v>
      </c>
    </row>
    <row r="468" spans="1:12" ht="47.25" hidden="1" x14ac:dyDescent="0.2">
      <c r="A468" s="153" t="str">
        <f>IF(B468&gt;0,VLOOKUP(B468,КВСР!A422:B1587,2),IF(C468&gt;0,VLOOKUP(C468,КФСР!A422:B1934,2),IF(D468&gt;0,VLOOKUP(D468,Программа!A$1:B$5100,2),IF(F468&gt;0,VLOOKUP(F468,КВР!A$1:B$5001,2),IF(E468&gt;0,VLOOKUP(E468,Направление!A$1:B$4830,2))))))</f>
        <v>Содержание органов местного самоуправления за счет средств поселений</v>
      </c>
      <c r="B468" s="180"/>
      <c r="C468" s="175"/>
      <c r="D468" s="174"/>
      <c r="E468" s="175">
        <v>29016</v>
      </c>
      <c r="F468" s="177"/>
      <c r="G468" s="500">
        <v>0</v>
      </c>
      <c r="H468" s="155">
        <f>H469+H470</f>
        <v>0</v>
      </c>
      <c r="I468" s="155">
        <f t="shared" si="23"/>
        <v>0</v>
      </c>
      <c r="J468" s="500">
        <v>0</v>
      </c>
      <c r="K468" s="155">
        <f>K469+K470</f>
        <v>0</v>
      </c>
      <c r="L468" s="155">
        <f t="shared" si="24"/>
        <v>0</v>
      </c>
    </row>
    <row r="469" spans="1:12" ht="173.25" hidden="1" x14ac:dyDescent="0.2">
      <c r="A469" s="153" t="str">
        <f>IF(B469&gt;0,VLOOKUP(B469,КВСР!A423:B1588,2),IF(C469&gt;0,VLOOKUP(C469,КФСР!A423:B1935,2),IF(D469&gt;0,VLOOKUP(D469,Программа!A$1:B$5100,2),IF(F469&gt;0,VLOOKUP(F469,КВР!A$1:B$5001,2),IF(E469&gt;0,VLOOKUP(E469,Направление!A$1:B$4830,2))))))</f>
        <v xml:space="preserve">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
</v>
      </c>
      <c r="B469" s="180"/>
      <c r="C469" s="175"/>
      <c r="D469" s="174"/>
      <c r="E469" s="175"/>
      <c r="F469" s="177">
        <v>100</v>
      </c>
      <c r="G469" s="491">
        <v>0</v>
      </c>
      <c r="H469" s="190"/>
      <c r="I469" s="155">
        <f t="shared" si="23"/>
        <v>0</v>
      </c>
      <c r="J469" s="491">
        <v>0</v>
      </c>
      <c r="K469" s="190"/>
      <c r="L469" s="155">
        <f t="shared" si="24"/>
        <v>0</v>
      </c>
    </row>
    <row r="470" spans="1:12" ht="78.75" hidden="1" x14ac:dyDescent="0.2">
      <c r="A470" s="153" t="str">
        <f>IF(B470&gt;0,VLOOKUP(B470,КВСР!A424:B1589,2),IF(C470&gt;0,VLOOKUP(C470,КФСР!A424:B1936,2),IF(D470&gt;0,VLOOKUP(D470,Программа!A$1:B$5100,2),IF(F470&gt;0,VLOOKUP(F470,КВР!A$1:B$5001,2),IF(E470&gt;0,VLOOKUP(E470,Направление!A$1:B$4830,2))))))</f>
        <v xml:space="preserve">Закупка товаров, работ и услуг для обеспечения государственных (муниципальных) нужд
</v>
      </c>
      <c r="B470" s="180"/>
      <c r="C470" s="175"/>
      <c r="D470" s="174"/>
      <c r="E470" s="175"/>
      <c r="F470" s="177">
        <v>200</v>
      </c>
      <c r="G470" s="491">
        <v>0</v>
      </c>
      <c r="H470" s="190"/>
      <c r="I470" s="155">
        <f t="shared" si="23"/>
        <v>0</v>
      </c>
      <c r="J470" s="491">
        <v>0</v>
      </c>
      <c r="K470" s="190"/>
      <c r="L470" s="155">
        <f t="shared" si="24"/>
        <v>0</v>
      </c>
    </row>
    <row r="471" spans="1:12" ht="15.75" x14ac:dyDescent="0.2">
      <c r="A471" s="196" t="s">
        <v>177</v>
      </c>
      <c r="B471" s="197"/>
      <c r="C471" s="197"/>
      <c r="D471" s="197"/>
      <c r="E471" s="198"/>
      <c r="F471" s="197"/>
      <c r="G471" s="591">
        <v>1537551836</v>
      </c>
      <c r="H471" s="20">
        <f>H10+H82+H98+H213+H322+H353+H398+H459</f>
        <v>0</v>
      </c>
      <c r="I471" s="152">
        <f t="shared" si="23"/>
        <v>1537551836</v>
      </c>
      <c r="J471" s="591">
        <v>1327526513</v>
      </c>
      <c r="K471" s="20">
        <f>K10+K82+K98+K213+K322+K353+K398+K459</f>
        <v>0</v>
      </c>
      <c r="L471" s="152">
        <f t="shared" si="24"/>
        <v>1327526513</v>
      </c>
    </row>
    <row r="472" spans="1:12" s="192" customFormat="1" ht="15.75" x14ac:dyDescent="0.25">
      <c r="A472" s="199" t="s">
        <v>305</v>
      </c>
      <c r="B472" s="199"/>
      <c r="C472" s="199"/>
      <c r="D472" s="200"/>
      <c r="E472" s="201"/>
      <c r="F472" s="199"/>
      <c r="G472" s="605">
        <v>14027500</v>
      </c>
      <c r="H472" s="152"/>
      <c r="I472" s="152">
        <f t="shared" si="23"/>
        <v>14027500</v>
      </c>
      <c r="J472" s="605">
        <v>17718500</v>
      </c>
      <c r="K472" s="152"/>
      <c r="L472" s="152">
        <f t="shared" si="24"/>
        <v>17718500</v>
      </c>
    </row>
    <row r="473" spans="1:12" s="192" customFormat="1" ht="15.75" x14ac:dyDescent="0.25">
      <c r="A473" s="199" t="s">
        <v>899</v>
      </c>
      <c r="B473" s="199"/>
      <c r="C473" s="199"/>
      <c r="D473" s="200"/>
      <c r="E473" s="201"/>
      <c r="F473" s="199"/>
      <c r="G473" s="605">
        <v>1551579336</v>
      </c>
      <c r="H473" s="152">
        <f>H471+H472</f>
        <v>0</v>
      </c>
      <c r="I473" s="152">
        <f t="shared" si="23"/>
        <v>1551579336</v>
      </c>
      <c r="J473" s="605">
        <f>J471+J472</f>
        <v>1345245013</v>
      </c>
      <c r="K473" s="152">
        <f>K471+K472</f>
        <v>0</v>
      </c>
      <c r="L473" s="152">
        <f t="shared" si="24"/>
        <v>1345245013</v>
      </c>
    </row>
    <row r="474" spans="1:12" x14ac:dyDescent="0.2">
      <c r="A474" s="78"/>
      <c r="B474" s="78"/>
      <c r="C474" s="78"/>
      <c r="D474" s="202"/>
      <c r="E474" s="203"/>
      <c r="F474" s="78"/>
    </row>
  </sheetData>
  <autoFilter ref="A8:L473">
    <filterColumn colId="3" showButton="0"/>
  </autoFilter>
  <mergeCells count="18">
    <mergeCell ref="A1:L1"/>
    <mergeCell ref="A2:L2"/>
    <mergeCell ref="A3:L3"/>
    <mergeCell ref="A4:L4"/>
    <mergeCell ref="A6:L6"/>
    <mergeCell ref="G5:L5"/>
    <mergeCell ref="G7:L7"/>
    <mergeCell ref="J8:J9"/>
    <mergeCell ref="A8:A9"/>
    <mergeCell ref="B8:B9"/>
    <mergeCell ref="C8:C9"/>
    <mergeCell ref="F8:F9"/>
    <mergeCell ref="G8:G9"/>
    <mergeCell ref="D8:E8"/>
    <mergeCell ref="H8:H9"/>
    <mergeCell ref="I8:I9"/>
    <mergeCell ref="K8:K9"/>
    <mergeCell ref="L8:L9"/>
  </mergeCells>
  <printOptions gridLinesSet="0"/>
  <pageMargins left="0.70866141732283472" right="0.70866141732283472" top="0.74803149606299213" bottom="0.74803149606299213" header="0.51181102362204722" footer="0.51181102362204722"/>
  <pageSetup paperSize="9" scale="55" fitToHeight="101" orientation="portrait" r:id="rId1"/>
  <headerFooter>
    <oddFooter>&amp;C&amp;P</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23"/>
  <sheetViews>
    <sheetView showGridLines="0" workbookViewId="0"/>
  </sheetViews>
  <sheetFormatPr defaultColWidth="9.140625" defaultRowHeight="12.75" x14ac:dyDescent="0.2"/>
  <cols>
    <col min="1" max="1" width="6.28515625" style="124" customWidth="1"/>
    <col min="2" max="2" width="42.28515625" style="124" customWidth="1"/>
    <col min="3" max="3" width="13.140625" style="124" customWidth="1"/>
    <col min="4" max="4" width="17.42578125" style="124" hidden="1" customWidth="1"/>
    <col min="5" max="5" width="17" style="124" hidden="1" customWidth="1"/>
    <col min="6" max="6" width="14.5703125" style="124" customWidth="1"/>
    <col min="7" max="7" width="15.85546875" style="124" hidden="1" customWidth="1"/>
    <col min="8" max="8" width="18.85546875" style="124" hidden="1" customWidth="1"/>
    <col min="9" max="9" width="17.28515625" style="124" customWidth="1"/>
    <col min="10" max="16384" width="9.140625" style="124"/>
  </cols>
  <sheetData>
    <row r="1" spans="1:9" ht="15.75" customHeight="1" x14ac:dyDescent="0.25">
      <c r="A1" s="1009" t="s">
        <v>615</v>
      </c>
      <c r="B1" s="1009"/>
      <c r="C1" s="1009"/>
      <c r="D1" s="1009"/>
      <c r="E1" s="1009"/>
      <c r="F1" s="1009"/>
      <c r="G1" s="1009"/>
      <c r="H1" s="1009"/>
      <c r="I1" s="1009"/>
    </row>
    <row r="2" spans="1:9" ht="15.75" customHeight="1" x14ac:dyDescent="0.25">
      <c r="A2" s="1009" t="s">
        <v>1</v>
      </c>
      <c r="B2" s="1009"/>
      <c r="C2" s="1009"/>
      <c r="D2" s="1009"/>
      <c r="E2" s="1009"/>
      <c r="F2" s="1009"/>
      <c r="G2" s="1009"/>
      <c r="H2" s="1009"/>
      <c r="I2" s="1009"/>
    </row>
    <row r="3" spans="1:9" ht="15.75" customHeight="1" x14ac:dyDescent="0.25">
      <c r="A3" s="1009" t="s">
        <v>2</v>
      </c>
      <c r="B3" s="1009"/>
      <c r="C3" s="1009"/>
      <c r="D3" s="1009"/>
      <c r="E3" s="1009"/>
      <c r="F3" s="1009"/>
      <c r="G3" s="1009"/>
      <c r="H3" s="1009"/>
      <c r="I3" s="1009"/>
    </row>
    <row r="4" spans="1:9" ht="15.75" customHeight="1" x14ac:dyDescent="0.25">
      <c r="A4" s="1009" t="s">
        <v>992</v>
      </c>
      <c r="B4" s="1009"/>
      <c r="C4" s="1009"/>
      <c r="D4" s="1009"/>
      <c r="E4" s="1009"/>
      <c r="F4" s="1009"/>
      <c r="G4" s="1009"/>
      <c r="H4" s="1009"/>
      <c r="I4" s="1009"/>
    </row>
    <row r="5" spans="1:9" ht="15.75" x14ac:dyDescent="0.25">
      <c r="A5" s="223"/>
      <c r="B5" s="224"/>
      <c r="C5" s="224"/>
      <c r="D5" s="224"/>
      <c r="E5" s="1010"/>
      <c r="F5" s="1010"/>
      <c r="G5" s="1010"/>
      <c r="H5" s="1010"/>
      <c r="I5" s="1010"/>
    </row>
    <row r="6" spans="1:9" ht="30" customHeight="1" x14ac:dyDescent="0.25">
      <c r="A6" s="901" t="s">
        <v>993</v>
      </c>
      <c r="B6" s="901"/>
      <c r="C6" s="901"/>
      <c r="D6" s="901"/>
      <c r="E6" s="901"/>
      <c r="F6" s="901"/>
      <c r="G6" s="901"/>
      <c r="H6" s="901"/>
      <c r="I6" s="901"/>
    </row>
    <row r="7" spans="1:9" ht="15.75" x14ac:dyDescent="0.25">
      <c r="A7" s="223"/>
      <c r="B7" s="224"/>
      <c r="C7" s="224"/>
      <c r="D7" s="224"/>
      <c r="E7" s="1011"/>
      <c r="F7" s="1011"/>
      <c r="G7" s="1011"/>
      <c r="H7" s="1011"/>
      <c r="I7" s="1011"/>
    </row>
    <row r="8" spans="1:9" x14ac:dyDescent="0.2">
      <c r="A8" s="984" t="s">
        <v>901</v>
      </c>
      <c r="B8" s="984" t="s">
        <v>902</v>
      </c>
      <c r="C8" s="984" t="s">
        <v>903</v>
      </c>
      <c r="D8" s="984" t="s">
        <v>994</v>
      </c>
      <c r="E8" s="984" t="s">
        <v>995</v>
      </c>
      <c r="F8" s="984" t="s">
        <v>996</v>
      </c>
      <c r="G8" s="984" t="s">
        <v>994</v>
      </c>
      <c r="H8" s="984" t="s">
        <v>995</v>
      </c>
      <c r="I8" s="984" t="s">
        <v>997</v>
      </c>
    </row>
    <row r="9" spans="1:9" ht="20.25" customHeight="1" x14ac:dyDescent="0.2">
      <c r="A9" s="984"/>
      <c r="B9" s="984"/>
      <c r="C9" s="1012"/>
      <c r="D9" s="984"/>
      <c r="E9" s="984"/>
      <c r="F9" s="984"/>
      <c r="G9" s="984"/>
      <c r="H9" s="984"/>
      <c r="I9" s="984"/>
    </row>
    <row r="10" spans="1:9" ht="15.75" x14ac:dyDescent="0.2">
      <c r="A10" s="218">
        <v>1</v>
      </c>
      <c r="B10" s="64" t="e">
        <f>IF(C10&gt;0,VLOOKUP(C10,Программа!A$2:B$5100,2))</f>
        <v>#N/A</v>
      </c>
      <c r="C10" s="225">
        <v>10</v>
      </c>
      <c r="D10" s="214" t="e">
        <f>SUMIFS(Пр.13!#REF!,Пр.13!$D$10:$D$1037,C10)</f>
        <v>#REF!</v>
      </c>
      <c r="E10" s="214">
        <f>SUMIFS(Пр.13!$G$10:$G$1037,Пр.13!$D$10:$D$1037,C10)</f>
        <v>0</v>
      </c>
      <c r="F10" s="214" t="e">
        <f>SUMIFS(Пр.13!#REF!,Пр.13!$D$10:$D$1037,C10)</f>
        <v>#REF!</v>
      </c>
      <c r="G10" s="214" t="e">
        <f>SUMIFS(Пр.13!#REF!,Пр.13!$D$10:$D$1037,C10)</f>
        <v>#REF!</v>
      </c>
      <c r="H10" s="214">
        <f>SUMIFS(Пр.13!$H$10:$H$1037,Пр.13!$D$10:$D$1037,C10)</f>
        <v>0</v>
      </c>
      <c r="I10" s="214" t="e">
        <f>SUMIFS(Пр.13!#REF!,Пр.13!$D$10:$D$1037,C10)</f>
        <v>#REF!</v>
      </c>
    </row>
    <row r="11" spans="1:9" ht="15.75" x14ac:dyDescent="0.2">
      <c r="A11" s="213" t="s">
        <v>904</v>
      </c>
      <c r="B11" s="64" t="e">
        <f>IF(C11&gt;0,VLOOKUP(C11,Программа!A$2:B$5100,2))</f>
        <v>#N/A</v>
      </c>
      <c r="C11" s="226">
        <v>11</v>
      </c>
      <c r="D11" s="214" t="e">
        <f>SUMIFS(Пр.13!#REF!,Пр.13!$D$10:$D$1037,C11)</f>
        <v>#REF!</v>
      </c>
      <c r="E11" s="214">
        <f>SUMIFS(Пр.13!$G$10:$G$1037,Пр.13!$D$10:$D$1037,C11)</f>
        <v>0</v>
      </c>
      <c r="F11" s="214" t="e">
        <f>SUMIFS(Пр.13!#REF!,Пр.13!$D$10:$D$1037,C11)</f>
        <v>#REF!</v>
      </c>
      <c r="G11" s="214" t="e">
        <f>SUMIFS(Пр.13!#REF!,Пр.13!$D$10:$D$1037,C11)</f>
        <v>#REF!</v>
      </c>
      <c r="H11" s="214">
        <f>SUMIFS(Пр.13!$H$10:$H$1037,Пр.13!$D$10:$D$1037,C11)</f>
        <v>0</v>
      </c>
      <c r="I11" s="214" t="e">
        <f>SUMIFS(Пр.13!#REF!,Пр.13!$D$10:$D$1037,C11)</f>
        <v>#REF!</v>
      </c>
    </row>
    <row r="12" spans="1:9" ht="15.75" x14ac:dyDescent="0.2">
      <c r="A12" s="213" t="s">
        <v>905</v>
      </c>
      <c r="B12" s="64" t="e">
        <f>IF(C12&gt;0,VLOOKUP(C12,Программа!A$2:B$5100,2))</f>
        <v>#N/A</v>
      </c>
      <c r="C12" s="226">
        <v>12</v>
      </c>
      <c r="D12" s="214" t="e">
        <f>SUMIFS(Пр.13!#REF!,Пр.13!$D$10:$D$1037,C12)</f>
        <v>#REF!</v>
      </c>
      <c r="E12" s="214">
        <f>SUMIFS(Пр.13!$G$10:$G$1037,Пр.13!$D$10:$D$1037,C12)</f>
        <v>0</v>
      </c>
      <c r="F12" s="214" t="e">
        <f>SUMIFS(Пр.13!#REF!,Пр.13!$D$10:$D$1037,C12)</f>
        <v>#REF!</v>
      </c>
      <c r="G12" s="214" t="e">
        <f>SUMIFS(Пр.13!#REF!,Пр.13!$D$10:$D$1037,C12)</f>
        <v>#REF!</v>
      </c>
      <c r="H12" s="214">
        <f>SUMIFS(Пр.13!$H$10:$H$1037,Пр.13!$D$10:$D$1037,C12)</f>
        <v>0</v>
      </c>
      <c r="I12" s="214" t="e">
        <f>SUMIFS(Пр.13!#REF!,Пр.13!$D$10:$D$1037,C12)</f>
        <v>#REF!</v>
      </c>
    </row>
    <row r="13" spans="1:9" ht="15.75" hidden="1" x14ac:dyDescent="0.2">
      <c r="A13" s="216" t="s">
        <v>998</v>
      </c>
      <c r="B13" s="64" t="e">
        <f>IF(C13&gt;0,VLOOKUP(C13,Программа!A$2:B$5100,2))</f>
        <v>#N/A</v>
      </c>
      <c r="C13" s="225">
        <v>13</v>
      </c>
      <c r="D13" s="214" t="e">
        <f>SUMIFS(Пр.13!#REF!,Пр.13!$D$10:$D$1037,C13)</f>
        <v>#REF!</v>
      </c>
      <c r="E13" s="214">
        <f>SUMIFS(Пр.13!$G$10:$G$1037,Пр.13!$D$10:$D$1037,C13)</f>
        <v>0</v>
      </c>
      <c r="F13" s="214" t="e">
        <f>SUMIFS(Пр.13!#REF!,Пр.13!$D$10:$D$1037,C13)</f>
        <v>#REF!</v>
      </c>
      <c r="G13" s="214" t="e">
        <f>SUMIFS(Пр.13!#REF!,Пр.13!$D$10:$D$1037,C13)</f>
        <v>#REF!</v>
      </c>
      <c r="H13" s="214">
        <f>SUMIFS(Пр.13!$H$10:$H$1037,Пр.13!$D$10:$D$1037,C13)</f>
        <v>0</v>
      </c>
      <c r="I13" s="214" t="e">
        <f>SUMIFS(Пр.13!#REF!,Пр.13!$D$10:$D$1037,C13)</f>
        <v>#REF!</v>
      </c>
    </row>
    <row r="14" spans="1:9" ht="15.75" x14ac:dyDescent="0.2">
      <c r="A14" s="218" t="s">
        <v>81</v>
      </c>
      <c r="B14" s="64" t="e">
        <f>IF(C14&gt;0,VLOOKUP(C14,Программа!A$2:B$5100,2))</f>
        <v>#N/A</v>
      </c>
      <c r="C14" s="225">
        <v>20</v>
      </c>
      <c r="D14" s="214" t="e">
        <f>SUMIFS(Пр.13!#REF!,Пр.13!$D$10:$D$1037,C14)</f>
        <v>#REF!</v>
      </c>
      <c r="E14" s="214">
        <f>SUMIFS(Пр.13!$G$10:$G$1037,Пр.13!$D$10:$D$1037,C14)</f>
        <v>0</v>
      </c>
      <c r="F14" s="214" t="e">
        <f>SUMIFS(Пр.13!#REF!,Пр.13!$D$10:$D$1037,C14)</f>
        <v>#REF!</v>
      </c>
      <c r="G14" s="214" t="e">
        <f>SUMIFS(Пр.13!#REF!,Пр.13!$D$10:$D$1037,C14)</f>
        <v>#REF!</v>
      </c>
      <c r="H14" s="214">
        <f>SUMIFS(Пр.13!$H$10:$H$1037,Пр.13!$D$10:$D$1037,C14)</f>
        <v>0</v>
      </c>
      <c r="I14" s="214" t="e">
        <f>SUMIFS(Пр.13!#REF!,Пр.13!$D$10:$D$1037,C14)</f>
        <v>#REF!</v>
      </c>
    </row>
    <row r="15" spans="1:9" ht="15.75" x14ac:dyDescent="0.2">
      <c r="A15" s="213" t="s">
        <v>908</v>
      </c>
      <c r="B15" s="64" t="e">
        <f>IF(C15&gt;0,VLOOKUP(C15,Программа!A$2:B$5100,2))</f>
        <v>#N/A</v>
      </c>
      <c r="C15" s="225">
        <v>21</v>
      </c>
      <c r="D15" s="214" t="e">
        <f>SUMIFS(Пр.13!#REF!,Пр.13!$D$10:$D$1037,C15)</f>
        <v>#REF!</v>
      </c>
      <c r="E15" s="214">
        <f>SUMIFS(Пр.13!$G$10:$G$1037,Пр.13!$D$10:$D$1037,C15)</f>
        <v>0</v>
      </c>
      <c r="F15" s="214" t="e">
        <f>SUMIFS(Пр.13!#REF!,Пр.13!$D$10:$D$1037,C15)</f>
        <v>#REF!</v>
      </c>
      <c r="G15" s="214" t="e">
        <f>SUMIFS(Пр.13!#REF!,Пр.13!$D$10:$D$1037,C15)</f>
        <v>#REF!</v>
      </c>
      <c r="H15" s="214">
        <f>SUMIFS(Пр.13!$H$10:$H$1037,Пр.13!$D$10:$D$1037,C15)</f>
        <v>0</v>
      </c>
      <c r="I15" s="214" t="e">
        <f>SUMIFS(Пр.13!#REF!,Пр.13!$D$10:$D$1037,C15)</f>
        <v>#REF!</v>
      </c>
    </row>
    <row r="16" spans="1:9" ht="15.75" x14ac:dyDescent="0.2">
      <c r="A16" s="213" t="s">
        <v>909</v>
      </c>
      <c r="B16" s="64" t="e">
        <f>IF(C16&gt;0,VLOOKUP(C16,Программа!A$2:B$5100,2))</f>
        <v>#N/A</v>
      </c>
      <c r="C16" s="225">
        <v>22</v>
      </c>
      <c r="D16" s="214" t="e">
        <f>SUMIFS(Пр.13!#REF!,Пр.13!$D$10:$D$1037,C16)</f>
        <v>#REF!</v>
      </c>
      <c r="E16" s="214">
        <f>SUMIFS(Пр.13!$G$10:$G$1037,Пр.13!$D$10:$D$1037,C16)</f>
        <v>0</v>
      </c>
      <c r="F16" s="214" t="e">
        <f>SUMIFS(Пр.13!#REF!,Пр.13!$D$10:$D$1037,C16)</f>
        <v>#REF!</v>
      </c>
      <c r="G16" s="214" t="e">
        <f>SUMIFS(Пр.13!#REF!,Пр.13!$D$10:$D$1037,C16)</f>
        <v>#REF!</v>
      </c>
      <c r="H16" s="214">
        <f>SUMIFS(Пр.13!$H$10:$H$1037,Пр.13!$D$10:$D$1037,C16)</f>
        <v>0</v>
      </c>
      <c r="I16" s="214" t="e">
        <f>SUMIFS(Пр.13!#REF!,Пр.13!$D$10:$D$1037,C16)</f>
        <v>#REF!</v>
      </c>
    </row>
    <row r="17" spans="1:9" ht="15.75" x14ac:dyDescent="0.2">
      <c r="A17" s="218" t="s">
        <v>912</v>
      </c>
      <c r="B17" s="64" t="e">
        <f>IF(C17&gt;0,VLOOKUP(C17,Программа!A$2:B$5100,2))</f>
        <v>#N/A</v>
      </c>
      <c r="C17" s="225">
        <v>30</v>
      </c>
      <c r="D17" s="214" t="e">
        <f>SUMIFS(Пр.13!#REF!,Пр.13!$D$10:$D$1037,C17)</f>
        <v>#REF!</v>
      </c>
      <c r="E17" s="214">
        <f>SUMIFS(Пр.13!$G$10:$G$1037,Пр.13!$D$10:$D$1037,C17)</f>
        <v>0</v>
      </c>
      <c r="F17" s="214" t="e">
        <f>SUMIFS(Пр.13!#REF!,Пр.13!$D$10:$D$1037,C17)</f>
        <v>#REF!</v>
      </c>
      <c r="G17" s="214" t="e">
        <f>SUMIFS(Пр.13!#REF!,Пр.13!$D$10:$D$1037,C17)</f>
        <v>#REF!</v>
      </c>
      <c r="H17" s="214">
        <f>SUMIFS(Пр.13!$H$10:$H$1037,Пр.13!$D$10:$D$1037,C17)</f>
        <v>0</v>
      </c>
      <c r="I17" s="214" t="e">
        <f>SUMIFS(Пр.13!#REF!,Пр.13!$D$10:$D$1037,C17)</f>
        <v>#REF!</v>
      </c>
    </row>
    <row r="18" spans="1:9" ht="15.75" x14ac:dyDescent="0.2">
      <c r="A18" s="213" t="s">
        <v>913</v>
      </c>
      <c r="B18" s="64" t="e">
        <f>IF(C18&gt;0,VLOOKUP(C18,Программа!A$2:B$5100,2))</f>
        <v>#N/A</v>
      </c>
      <c r="C18" s="225">
        <v>31</v>
      </c>
      <c r="D18" s="214" t="e">
        <f>SUMIFS(Пр.13!#REF!,Пр.13!$D$10:$D$1037,C18)</f>
        <v>#REF!</v>
      </c>
      <c r="E18" s="214">
        <f>SUMIFS(Пр.13!$G$10:$G$1037,Пр.13!$D$10:$D$1037,C18)</f>
        <v>0</v>
      </c>
      <c r="F18" s="214" t="e">
        <f>SUMIFS(Пр.13!#REF!,Пр.13!$D$10:$D$1037,C18)</f>
        <v>#REF!</v>
      </c>
      <c r="G18" s="214" t="e">
        <f>SUMIFS(Пр.13!#REF!,Пр.13!$D$10:$D$1037,C18)</f>
        <v>#REF!</v>
      </c>
      <c r="H18" s="214">
        <f>SUMIFS(Пр.13!$H$10:$H$1037,Пр.13!$D$10:$D$1037,C18)</f>
        <v>0</v>
      </c>
      <c r="I18" s="214" t="e">
        <f>SUMIFS(Пр.13!#REF!,Пр.13!$D$10:$D$1037,C18)</f>
        <v>#REF!</v>
      </c>
    </row>
    <row r="19" spans="1:9" ht="15.75" x14ac:dyDescent="0.2">
      <c r="A19" s="213" t="s">
        <v>999</v>
      </c>
      <c r="B19" s="64" t="e">
        <f>IF(C19&gt;0,VLOOKUP(C19,Программа!A$2:B$5100,2))</f>
        <v>#N/A</v>
      </c>
      <c r="C19" s="225">
        <v>32</v>
      </c>
      <c r="D19" s="214" t="e">
        <f>SUMIFS(Пр.13!#REF!,Пр.13!$D$10:$D$1037,C19)</f>
        <v>#REF!</v>
      </c>
      <c r="E19" s="214">
        <f>SUMIFS(Пр.13!$G$10:$G$1037,Пр.13!$D$10:$D$1037,C19)</f>
        <v>0</v>
      </c>
      <c r="F19" s="214" t="e">
        <f>SUMIFS(Пр.13!#REF!,Пр.13!$D$10:$D$1037,C19)</f>
        <v>#REF!</v>
      </c>
      <c r="G19" s="214" t="e">
        <f>SUMIFS(Пр.13!#REF!,Пр.13!$D$10:$D$1037,C19)</f>
        <v>#REF!</v>
      </c>
      <c r="H19" s="214">
        <f>SUMIFS(Пр.13!$H$10:$H$1037,Пр.13!$D$10:$D$1037,C19)</f>
        <v>0</v>
      </c>
      <c r="I19" s="214" t="e">
        <f>SUMIFS(Пр.13!#REF!,Пр.13!$D$10:$D$1037,C19)</f>
        <v>#REF!</v>
      </c>
    </row>
    <row r="20" spans="1:9" ht="15.75" x14ac:dyDescent="0.2">
      <c r="A20" s="218" t="s">
        <v>914</v>
      </c>
      <c r="B20" s="64" t="e">
        <f>IF(C20&gt;0,VLOOKUP(C20,Программа!A$2:B$5100,2))</f>
        <v>#N/A</v>
      </c>
      <c r="C20" s="225">
        <v>40</v>
      </c>
      <c r="D20" s="214" t="e">
        <f>SUMIFS(Пр.13!#REF!,Пр.13!$D$10:$D$1037,C20)</f>
        <v>#REF!</v>
      </c>
      <c r="E20" s="214">
        <f>SUMIFS(Пр.13!$G$10:$G$1037,Пр.13!$D$10:$D$1037,C20)</f>
        <v>0</v>
      </c>
      <c r="F20" s="214" t="e">
        <f>SUMIFS(Пр.13!#REF!,Пр.13!$D$10:$D$1037,C20)</f>
        <v>#REF!</v>
      </c>
      <c r="G20" s="214" t="e">
        <f>SUMIFS(Пр.13!#REF!,Пр.13!$D$10:$D$1037,C20)</f>
        <v>#REF!</v>
      </c>
      <c r="H20" s="214">
        <f>SUMIFS(Пр.13!$H$10:$H$1037,Пр.13!$D$10:$D$1037,C20)</f>
        <v>0</v>
      </c>
      <c r="I20" s="214" t="e">
        <f>SUMIFS(Пр.13!#REF!,Пр.13!$D$10:$D$1037,C20)</f>
        <v>#REF!</v>
      </c>
    </row>
    <row r="21" spans="1:9" ht="15.75" x14ac:dyDescent="0.2">
      <c r="A21" s="213" t="s">
        <v>915</v>
      </c>
      <c r="B21" s="64" t="e">
        <f>IF(C21&gt;0,VLOOKUP(C21,Программа!A$2:B$5100,2))</f>
        <v>#N/A</v>
      </c>
      <c r="C21" s="225">
        <v>41</v>
      </c>
      <c r="D21" s="214" t="e">
        <f>SUMIFS(Пр.13!#REF!,Пр.13!$D$10:$D$1037,C21)</f>
        <v>#REF!</v>
      </c>
      <c r="E21" s="214">
        <f>SUMIFS(Пр.13!$G$10:$G$1037,Пр.13!$D$10:$D$1037,C21)</f>
        <v>0</v>
      </c>
      <c r="F21" s="214" t="e">
        <f>SUMIFS(Пр.13!#REF!,Пр.13!$D$10:$D$1037,C21)</f>
        <v>#REF!</v>
      </c>
      <c r="G21" s="214" t="e">
        <f>SUMIFS(Пр.13!#REF!,Пр.13!$D$10:$D$1037,C21)</f>
        <v>#REF!</v>
      </c>
      <c r="H21" s="214">
        <f>SUMIFS(Пр.13!$H$10:$H$1037,Пр.13!$D$10:$D$1037,C21)</f>
        <v>0</v>
      </c>
      <c r="I21" s="214" t="e">
        <f>SUMIFS(Пр.13!#REF!,Пр.13!$D$10:$D$1037,C21)</f>
        <v>#REF!</v>
      </c>
    </row>
    <row r="22" spans="1:9" ht="15.75" x14ac:dyDescent="0.2">
      <c r="A22" s="218" t="s">
        <v>916</v>
      </c>
      <c r="B22" s="64" t="e">
        <f>IF(C22&gt;0,VLOOKUP(C22,Программа!A$2:B$5100,2))</f>
        <v>#N/A</v>
      </c>
      <c r="C22" s="225">
        <v>50</v>
      </c>
      <c r="D22" s="214" t="e">
        <f>SUMIFS(Пр.13!#REF!,Пр.13!$D$10:$D$1037,C22)</f>
        <v>#REF!</v>
      </c>
      <c r="E22" s="214">
        <f>SUMIFS(Пр.13!$G$10:$G$1037,Пр.13!$D$10:$D$1037,C22)</f>
        <v>0</v>
      </c>
      <c r="F22" s="214" t="e">
        <f>SUMIFS(Пр.13!#REF!,Пр.13!$D$10:$D$1037,C22)</f>
        <v>#REF!</v>
      </c>
      <c r="G22" s="214" t="e">
        <f>SUMIFS(Пр.13!#REF!,Пр.13!$D$10:$D$1037,C22)</f>
        <v>#REF!</v>
      </c>
      <c r="H22" s="214">
        <f>SUMIFS(Пр.13!$H$10:$H$1037,Пр.13!$D$10:$D$1037,C22)</f>
        <v>0</v>
      </c>
      <c r="I22" s="214" t="e">
        <f>SUMIFS(Пр.13!#REF!,Пр.13!$D$10:$D$1037,C22)</f>
        <v>#REF!</v>
      </c>
    </row>
    <row r="23" spans="1:9" ht="15.75" x14ac:dyDescent="0.2">
      <c r="A23" s="213" t="s">
        <v>917</v>
      </c>
      <c r="B23" s="64" t="e">
        <f>IF(C23&gt;0,VLOOKUP(C23,Программа!A$2:B$5100,2))</f>
        <v>#N/A</v>
      </c>
      <c r="C23" s="225">
        <v>51</v>
      </c>
      <c r="D23" s="214" t="e">
        <f>SUMIFS(Пр.13!#REF!,Пр.13!$D$10:$D$1037,C23)</f>
        <v>#REF!</v>
      </c>
      <c r="E23" s="214">
        <f>SUMIFS(Пр.13!$G$10:$G$1037,Пр.13!$D$10:$D$1037,C23)</f>
        <v>0</v>
      </c>
      <c r="F23" s="214" t="e">
        <f>SUMIFS(Пр.13!#REF!,Пр.13!$D$10:$D$1037,C23)</f>
        <v>#REF!</v>
      </c>
      <c r="G23" s="214" t="e">
        <f>SUMIFS(Пр.13!#REF!,Пр.13!$D$10:$D$1037,C23)</f>
        <v>#REF!</v>
      </c>
      <c r="H23" s="214">
        <f>SUMIFS(Пр.13!$H$10:$H$1037,Пр.13!$D$10:$D$1037,C23)</f>
        <v>0</v>
      </c>
      <c r="I23" s="214" t="e">
        <f>SUMIFS(Пр.13!#REF!,Пр.13!$D$10:$D$1037,C23)</f>
        <v>#REF!</v>
      </c>
    </row>
    <row r="24" spans="1:9" ht="15.75" x14ac:dyDescent="0.2">
      <c r="A24" s="218" t="s">
        <v>920</v>
      </c>
      <c r="B24" s="64" t="e">
        <f>IF(C24&gt;0,VLOOKUP(C24,Программа!A$2:B$5100,2))</f>
        <v>#N/A</v>
      </c>
      <c r="C24" s="225">
        <v>60</v>
      </c>
      <c r="D24" s="214" t="e">
        <f>SUMIFS(Пр.13!#REF!,Пр.13!$D$10:$D$1037,C24)</f>
        <v>#REF!</v>
      </c>
      <c r="E24" s="214">
        <f>SUMIFS(Пр.13!$G$10:$G$1037,Пр.13!$D$10:$D$1037,C24)</f>
        <v>0</v>
      </c>
      <c r="F24" s="214" t="e">
        <f>SUMIFS(Пр.13!#REF!,Пр.13!$D$10:$D$1037,C24)</f>
        <v>#REF!</v>
      </c>
      <c r="G24" s="214" t="e">
        <f>SUMIFS(Пр.13!#REF!,Пр.13!$D$10:$D$1037,C24)</f>
        <v>#REF!</v>
      </c>
      <c r="H24" s="214">
        <f>SUMIFS(Пр.13!$H$10:$H$1037,Пр.13!$D$10:$D$1037,C24)</f>
        <v>0</v>
      </c>
      <c r="I24" s="214" t="e">
        <f>SUMIFS(Пр.13!#REF!,Пр.13!$D$10:$D$1037,C24)</f>
        <v>#REF!</v>
      </c>
    </row>
    <row r="25" spans="1:9" ht="15.75" x14ac:dyDescent="0.2">
      <c r="A25" s="213" t="s">
        <v>921</v>
      </c>
      <c r="B25" s="64" t="e">
        <f>IF(C25&gt;0,VLOOKUP(C25,Программа!A$2:B$5100,2))</f>
        <v>#N/A</v>
      </c>
      <c r="C25" s="225">
        <v>61</v>
      </c>
      <c r="D25" s="214" t="e">
        <f>SUMIFS(Пр.13!#REF!,Пр.13!$D$10:$D$1037,C25)</f>
        <v>#REF!</v>
      </c>
      <c r="E25" s="214">
        <f>SUMIFS(Пр.13!$G$10:$G$1037,Пр.13!$D$10:$D$1037,C25)</f>
        <v>0</v>
      </c>
      <c r="F25" s="214" t="e">
        <f>SUMIFS(Пр.13!#REF!,Пр.13!$D$10:$D$1037,C25)</f>
        <v>#REF!</v>
      </c>
      <c r="G25" s="214" t="e">
        <f>SUMIFS(Пр.13!#REF!,Пр.13!$D$10:$D$1037,C25)</f>
        <v>#REF!</v>
      </c>
      <c r="H25" s="214">
        <f>SUMIFS(Пр.13!$H$10:$H$1037,Пр.13!$D$10:$D$1037,C25)</f>
        <v>0</v>
      </c>
      <c r="I25" s="214" t="e">
        <f>SUMIFS(Пр.13!#REF!,Пр.13!$D$10:$D$1037,C25)</f>
        <v>#REF!</v>
      </c>
    </row>
    <row r="26" spans="1:9" ht="15.75" x14ac:dyDescent="0.2">
      <c r="A26" s="218" t="s">
        <v>922</v>
      </c>
      <c r="B26" s="64" t="e">
        <f>IF(C26&gt;0,VLOOKUP(C26,Программа!A$2:B$5100,2))</f>
        <v>#N/A</v>
      </c>
      <c r="C26" s="225">
        <v>70</v>
      </c>
      <c r="D26" s="214" t="e">
        <f>SUMIFS(Пр.13!#REF!,Пр.13!$D$10:$D$1037,C26)</f>
        <v>#REF!</v>
      </c>
      <c r="E26" s="214">
        <f>SUMIFS(Пр.13!$G$10:$G$1037,Пр.13!$D$10:$D$1037,C26)</f>
        <v>0</v>
      </c>
      <c r="F26" s="214" t="e">
        <f>SUMIFS(Пр.13!#REF!,Пр.13!$D$10:$D$1037,C26)</f>
        <v>#REF!</v>
      </c>
      <c r="G26" s="214" t="e">
        <f>SUMIFS(Пр.13!#REF!,Пр.13!$D$10:$D$1037,C26)</f>
        <v>#REF!</v>
      </c>
      <c r="H26" s="214">
        <f>SUMIFS(Пр.13!$H$10:$H$1037,Пр.13!$D$10:$D$1037,C26)</f>
        <v>0</v>
      </c>
      <c r="I26" s="214" t="e">
        <f>SUMIFS(Пр.13!#REF!,Пр.13!$D$10:$D$1037,C26)</f>
        <v>#REF!</v>
      </c>
    </row>
    <row r="27" spans="1:9" ht="15.75" x14ac:dyDescent="0.2">
      <c r="A27" s="213" t="s">
        <v>923</v>
      </c>
      <c r="B27" s="64" t="e">
        <f>IF(C27&gt;0,VLOOKUP(C27,Программа!A$2:B$5100,2))</f>
        <v>#N/A</v>
      </c>
      <c r="C27" s="225">
        <v>71</v>
      </c>
      <c r="D27" s="214" t="e">
        <f>SUMIFS(Пр.13!#REF!,Пр.13!$D$10:$D$1037,C27)</f>
        <v>#REF!</v>
      </c>
      <c r="E27" s="214">
        <f>SUMIFS(Пр.13!$G$10:$G$1037,Пр.13!$D$10:$D$1037,C27)</f>
        <v>0</v>
      </c>
      <c r="F27" s="214" t="e">
        <f>SUMIFS(Пр.13!#REF!,Пр.13!$D$10:$D$1037,C27)</f>
        <v>#REF!</v>
      </c>
      <c r="G27" s="214" t="e">
        <f>SUMIFS(Пр.13!#REF!,Пр.13!$D$10:$D$1037,C27)</f>
        <v>#REF!</v>
      </c>
      <c r="H27" s="214">
        <f>SUMIFS(Пр.13!$H$10:$H$1037,Пр.13!$D$10:$D$1037,C27)</f>
        <v>0</v>
      </c>
      <c r="I27" s="214" t="e">
        <f>SUMIFS(Пр.13!#REF!,Пр.13!$D$10:$D$1037,C27)</f>
        <v>#REF!</v>
      </c>
    </row>
    <row r="28" spans="1:9" ht="15.75" x14ac:dyDescent="0.2">
      <c r="A28" s="213" t="s">
        <v>924</v>
      </c>
      <c r="B28" s="64" t="e">
        <f>IF(C28&gt;0,VLOOKUP(C28,Программа!A$2:B$5100,2))</f>
        <v>#N/A</v>
      </c>
      <c r="C28" s="225">
        <v>72</v>
      </c>
      <c r="D28" s="214" t="e">
        <f>SUMIFS(Пр.13!#REF!,Пр.13!$D$10:$D$1037,C28)</f>
        <v>#REF!</v>
      </c>
      <c r="E28" s="214">
        <f>SUMIFS(Пр.13!$G$10:$G$1037,Пр.13!$D$10:$D$1037,C28)</f>
        <v>0</v>
      </c>
      <c r="F28" s="214" t="e">
        <f>SUMIFS(Пр.13!#REF!,Пр.13!$D$10:$D$1037,C28)</f>
        <v>#REF!</v>
      </c>
      <c r="G28" s="214" t="e">
        <f>SUMIFS(Пр.13!#REF!,Пр.13!$D$10:$D$1037,C28)</f>
        <v>#REF!</v>
      </c>
      <c r="H28" s="214">
        <f>SUMIFS(Пр.13!$H$10:$H$1037,Пр.13!$D$10:$D$1037,C28)</f>
        <v>0</v>
      </c>
      <c r="I28" s="214" t="e">
        <f>SUMIFS(Пр.13!#REF!,Пр.13!$D$10:$D$1037,C28)</f>
        <v>#REF!</v>
      </c>
    </row>
    <row r="29" spans="1:9" ht="15.75" x14ac:dyDescent="0.2">
      <c r="A29" s="218" t="s">
        <v>945</v>
      </c>
      <c r="B29" s="64" t="e">
        <f>IF(C29&gt;0,VLOOKUP(C29,Программа!A$2:B$5100,2))</f>
        <v>#N/A</v>
      </c>
      <c r="C29" s="225">
        <v>80</v>
      </c>
      <c r="D29" s="214" t="e">
        <f>SUMIFS(Пр.13!#REF!,Пр.13!$D$10:$D$1037,C29)</f>
        <v>#REF!</v>
      </c>
      <c r="E29" s="214">
        <f>SUMIFS(Пр.13!$G$10:$G$1037,Пр.13!$D$10:$D$1037,C29)</f>
        <v>0</v>
      </c>
      <c r="F29" s="214" t="e">
        <f>SUMIFS(Пр.13!#REF!,Пр.13!$D$10:$D$1037,C29)</f>
        <v>#REF!</v>
      </c>
      <c r="G29" s="214" t="e">
        <f>SUMIFS(Пр.13!#REF!,Пр.13!$D$10:$D$1037,C29)</f>
        <v>#REF!</v>
      </c>
      <c r="H29" s="214">
        <f>SUMIFS(Пр.13!$H$10:$H$1037,Пр.13!$D$10:$D$1037,C29)</f>
        <v>0</v>
      </c>
      <c r="I29" s="214" t="e">
        <f>SUMIFS(Пр.13!#REF!,Пр.13!$D$10:$D$1037,C29)</f>
        <v>#REF!</v>
      </c>
    </row>
    <row r="30" spans="1:9" ht="15.75" x14ac:dyDescent="0.2">
      <c r="A30" s="213" t="s">
        <v>947</v>
      </c>
      <c r="B30" s="64" t="e">
        <f>IF(C30&gt;0,VLOOKUP(C30,Программа!A$2:B$5100,2))</f>
        <v>#N/A</v>
      </c>
      <c r="C30" s="225">
        <v>81</v>
      </c>
      <c r="D30" s="214" t="e">
        <f>SUMIFS(Пр.13!#REF!,Пр.13!$D$10:$D$1037,C30)</f>
        <v>#REF!</v>
      </c>
      <c r="E30" s="214">
        <f>SUMIFS(Пр.13!$G$10:$G$1037,Пр.13!$D$10:$D$1037,C30)</f>
        <v>0</v>
      </c>
      <c r="F30" s="214" t="e">
        <f>SUMIFS(Пр.13!#REF!,Пр.13!$D$10:$D$1037,C30)</f>
        <v>#REF!</v>
      </c>
      <c r="G30" s="214" t="e">
        <f>SUMIFS(Пр.13!#REF!,Пр.13!$D$10:$D$1037,C30)</f>
        <v>#REF!</v>
      </c>
      <c r="H30" s="214">
        <f>SUMIFS(Пр.13!$H$10:$H$1037,Пр.13!$D$10:$D$1037,C30)</f>
        <v>0</v>
      </c>
      <c r="I30" s="214" t="e">
        <f>SUMIFS(Пр.13!#REF!,Пр.13!$D$10:$D$1037,C30)</f>
        <v>#REF!</v>
      </c>
    </row>
    <row r="31" spans="1:9" ht="15.75" x14ac:dyDescent="0.2">
      <c r="A31" s="218" t="s">
        <v>948</v>
      </c>
      <c r="B31" s="64" t="e">
        <f>IF(C31&gt;0,VLOOKUP(C31,Программа!A$2:B$5100,2))</f>
        <v>#N/A</v>
      </c>
      <c r="C31" s="225">
        <v>90</v>
      </c>
      <c r="D31" s="214" t="e">
        <f>SUMIFS(Пр.13!#REF!,Пр.13!$D$10:$D$1037,C31)</f>
        <v>#REF!</v>
      </c>
      <c r="E31" s="214">
        <f>SUMIFS(Пр.13!$G$10:$G$1037,Пр.13!$D$10:$D$1037,C31)</f>
        <v>0</v>
      </c>
      <c r="F31" s="214" t="e">
        <f>SUMIFS(Пр.13!#REF!,Пр.13!$D$10:$D$1037,C31)</f>
        <v>#REF!</v>
      </c>
      <c r="G31" s="214" t="e">
        <f>SUMIFS(Пр.13!#REF!,Пр.13!$D$10:$D$1037,C31)</f>
        <v>#REF!</v>
      </c>
      <c r="H31" s="214">
        <f>SUMIFS(Пр.13!$H$10:$H$1037,Пр.13!$D$10:$D$1037,C31)</f>
        <v>0</v>
      </c>
      <c r="I31" s="214" t="e">
        <f>SUMIFS(Пр.13!#REF!,Пр.13!$D$10:$D$1037,C31)</f>
        <v>#REF!</v>
      </c>
    </row>
    <row r="32" spans="1:9" ht="15.75" x14ac:dyDescent="0.2">
      <c r="A32" s="213" t="s">
        <v>949</v>
      </c>
      <c r="B32" s="64" t="e">
        <f>IF(C32&gt;0,VLOOKUP(C32,Программа!A$2:B$5100,2))</f>
        <v>#N/A</v>
      </c>
      <c r="C32" s="225">
        <v>91</v>
      </c>
      <c r="D32" s="214" t="e">
        <f>SUMIFS(Пр.13!#REF!,Пр.13!$D$10:$D$1037,C32)</f>
        <v>#REF!</v>
      </c>
      <c r="E32" s="214">
        <f>SUMIFS(Пр.13!$G$10:$G$1037,Пр.13!$D$10:$D$1037,C32)</f>
        <v>0</v>
      </c>
      <c r="F32" s="214" t="e">
        <f>SUMIFS(Пр.13!#REF!,Пр.13!$D$10:$D$1037,C32)</f>
        <v>#REF!</v>
      </c>
      <c r="G32" s="214" t="e">
        <f>SUMIFS(Пр.13!#REF!,Пр.13!$D$10:$D$1037,C32)</f>
        <v>#REF!</v>
      </c>
      <c r="H32" s="214">
        <f>SUMIFS(Пр.13!$H$10:$H$1037,Пр.13!$D$10:$D$1037,C32)</f>
        <v>0</v>
      </c>
      <c r="I32" s="214" t="e">
        <f>SUMIFS(Пр.13!#REF!,Пр.13!$D$10:$D$1037,C32)</f>
        <v>#REF!</v>
      </c>
    </row>
    <row r="33" spans="1:9" ht="15.75" x14ac:dyDescent="0.2">
      <c r="A33" s="218" t="s">
        <v>73</v>
      </c>
      <c r="B33" s="64" t="e">
        <f>IF(C33&gt;0,VLOOKUP(C33,Программа!A$2:B$5100,2))</f>
        <v>#N/A</v>
      </c>
      <c r="C33" s="225">
        <v>100</v>
      </c>
      <c r="D33" s="214" t="e">
        <f>SUMIFS(Пр.13!#REF!,Пр.13!$D$10:$D$1037,C33)</f>
        <v>#REF!</v>
      </c>
      <c r="E33" s="214">
        <f>SUMIFS(Пр.13!$G$10:$G$1037,Пр.13!$D$10:$D$1037,C33)</f>
        <v>0</v>
      </c>
      <c r="F33" s="214" t="e">
        <f>SUMIFS(Пр.13!#REF!,Пр.13!$D$10:$D$1037,C33)</f>
        <v>#REF!</v>
      </c>
      <c r="G33" s="214" t="e">
        <f>SUMIFS(Пр.13!#REF!,Пр.13!$D$10:$D$1037,C33)</f>
        <v>#REF!</v>
      </c>
      <c r="H33" s="214">
        <f>SUMIFS(Пр.13!$H$10:$H$1037,Пр.13!$D$10:$D$1037,C33)</f>
        <v>0</v>
      </c>
      <c r="I33" s="214" t="e">
        <f>SUMIFS(Пр.13!#REF!,Пр.13!$D$10:$D$1037,C33)</f>
        <v>#REF!</v>
      </c>
    </row>
    <row r="34" spans="1:9" ht="15.75" x14ac:dyDescent="0.2">
      <c r="A34" s="213" t="s">
        <v>955</v>
      </c>
      <c r="B34" s="64" t="e">
        <f>IF(C34&gt;0,VLOOKUP(C34,Программа!A$2:B$5100,2))</f>
        <v>#N/A</v>
      </c>
      <c r="C34" s="225">
        <v>101</v>
      </c>
      <c r="D34" s="214" t="e">
        <f>SUMIFS(Пр.13!#REF!,Пр.13!$D$10:$D$1037,C34)</f>
        <v>#REF!</v>
      </c>
      <c r="E34" s="214">
        <f>SUMIFS(Пр.13!$G$10:$G$1037,Пр.13!$D$10:$D$1037,C34)</f>
        <v>0</v>
      </c>
      <c r="F34" s="214" t="e">
        <f>SUMIFS(Пр.13!#REF!,Пр.13!$D$10:$D$1037,C34)</f>
        <v>#REF!</v>
      </c>
      <c r="G34" s="214" t="e">
        <f>SUMIFS(Пр.13!#REF!,Пр.13!$D$10:$D$1037,C34)</f>
        <v>#REF!</v>
      </c>
      <c r="H34" s="214">
        <f>SUMIFS(Пр.13!$H$10:$H$1037,Пр.13!$D$10:$D$1037,C34)</f>
        <v>0</v>
      </c>
      <c r="I34" s="214" t="e">
        <f>SUMIFS(Пр.13!#REF!,Пр.13!$D$10:$D$1037,C34)</f>
        <v>#REF!</v>
      </c>
    </row>
    <row r="35" spans="1:9" ht="15.75" hidden="1" x14ac:dyDescent="0.2">
      <c r="A35" s="218" t="s">
        <v>44</v>
      </c>
      <c r="B35" s="64" t="e">
        <f>IF(C35&gt;0,VLOOKUP(C35,Программа!A$2:B$5100,2))</f>
        <v>#N/A</v>
      </c>
      <c r="C35" s="225">
        <v>110</v>
      </c>
      <c r="D35" s="214" t="e">
        <f>SUMIFS(Пр.13!#REF!,Пр.13!$D$10:$D$1037,C35)</f>
        <v>#REF!</v>
      </c>
      <c r="E35" s="214">
        <f>SUMIFS(Пр.13!$G$10:$G$1037,Пр.13!$D$10:$D$1037,C35)</f>
        <v>0</v>
      </c>
      <c r="F35" s="214" t="e">
        <f>SUMIFS(Пр.13!#REF!,Пр.13!$D$10:$D$1037,C35)</f>
        <v>#REF!</v>
      </c>
      <c r="G35" s="214" t="e">
        <f>SUMIFS(Пр.13!#REF!,Пр.13!$D$10:$D$1037,C35)</f>
        <v>#REF!</v>
      </c>
      <c r="H35" s="214">
        <f>SUMIFS(Пр.13!$H$10:$H$1037,Пр.13!$D$10:$D$1037,C35)</f>
        <v>0</v>
      </c>
      <c r="I35" s="214" t="e">
        <f>SUMIFS(Пр.13!#REF!,Пр.13!$D$10:$D$1037,C35)</f>
        <v>#REF!</v>
      </c>
    </row>
    <row r="36" spans="1:9" ht="15.75" hidden="1" x14ac:dyDescent="0.2">
      <c r="A36" s="213" t="s">
        <v>966</v>
      </c>
      <c r="B36" s="64" t="e">
        <f>IF(C36&gt;0,VLOOKUP(C36,Программа!A$2:B$5100,2))</f>
        <v>#N/A</v>
      </c>
      <c r="C36" s="225">
        <v>111</v>
      </c>
      <c r="D36" s="214" t="e">
        <f>SUMIFS(Пр.13!#REF!,Пр.13!$D$10:$D$1037,C36)</f>
        <v>#REF!</v>
      </c>
      <c r="E36" s="214">
        <f>SUMIFS(Пр.13!$G$10:$G$1037,Пр.13!$D$10:$D$1037,C36)</f>
        <v>0</v>
      </c>
      <c r="F36" s="214" t="e">
        <f>SUMIFS(Пр.13!#REF!,Пр.13!$D$10:$D$1037,C36)</f>
        <v>#REF!</v>
      </c>
      <c r="G36" s="214" t="e">
        <f>SUMIFS(Пр.13!#REF!,Пр.13!$D$10:$D$1037,C36)</f>
        <v>#REF!</v>
      </c>
      <c r="H36" s="214">
        <f>SUMIFS(Пр.13!$H$10:$H$1037,Пр.13!$D$10:$D$1037,C36)</f>
        <v>0</v>
      </c>
      <c r="I36" s="214" t="e">
        <f>SUMIFS(Пр.13!#REF!,Пр.13!$D$10:$D$1037,C36)</f>
        <v>#REF!</v>
      </c>
    </row>
    <row r="37" spans="1:9" ht="15.75" x14ac:dyDescent="0.2">
      <c r="A37" s="218" t="s">
        <v>56</v>
      </c>
      <c r="B37" s="64" t="e">
        <f>IF(C37&gt;0,VLOOKUP(C37,Программа!A$2:B$5100,2))</f>
        <v>#N/A</v>
      </c>
      <c r="C37" s="225">
        <v>120</v>
      </c>
      <c r="D37" s="214" t="e">
        <f>SUMIFS(Пр.13!#REF!,Пр.13!$D$10:$D$1037,C37)</f>
        <v>#REF!</v>
      </c>
      <c r="E37" s="214">
        <f>SUMIFS(Пр.13!$G$10:$G$1037,Пр.13!$D$10:$D$1037,C37)</f>
        <v>0</v>
      </c>
      <c r="F37" s="214" t="e">
        <f>SUMIFS(Пр.13!#REF!,Пр.13!$D$10:$D$1037,C37)</f>
        <v>#REF!</v>
      </c>
      <c r="G37" s="214" t="e">
        <f>SUMIFS(Пр.13!#REF!,Пр.13!$D$10:$D$1037,C37)</f>
        <v>#REF!</v>
      </c>
      <c r="H37" s="214">
        <f>SUMIFS(Пр.13!$H$10:$H$1037,Пр.13!$D$10:$D$1037,C37)</f>
        <v>0</v>
      </c>
      <c r="I37" s="214" t="e">
        <f>SUMIFS(Пр.13!#REF!,Пр.13!$D$10:$D$1037,C37)</f>
        <v>#REF!</v>
      </c>
    </row>
    <row r="38" spans="1:9" ht="15.75" x14ac:dyDescent="0.2">
      <c r="A38" s="218" t="s">
        <v>970</v>
      </c>
      <c r="B38" s="64" t="e">
        <f>IF(C38&gt;0,VLOOKUP(C38,Программа!A$2:B$5100,2))</f>
        <v>#N/A</v>
      </c>
      <c r="C38" s="225">
        <v>121</v>
      </c>
      <c r="D38" s="214" t="e">
        <f>SUMIFS(Пр.13!#REF!,Пр.13!$D$10:$D$1037,C38)</f>
        <v>#REF!</v>
      </c>
      <c r="E38" s="214">
        <f>SUMIFS(Пр.13!$G$10:$G$1037,Пр.13!$D$10:$D$1037,C38)</f>
        <v>0</v>
      </c>
      <c r="F38" s="214" t="e">
        <f>SUMIFS(Пр.13!#REF!,Пр.13!$D$10:$D$1037,C38)</f>
        <v>#REF!</v>
      </c>
      <c r="G38" s="214" t="e">
        <f>SUMIFS(Пр.13!#REF!,Пр.13!$D$10:$D$1037,C38)</f>
        <v>#REF!</v>
      </c>
      <c r="H38" s="214">
        <f>SUMIFS(Пр.13!$H$10:$H$1037,Пр.13!$D$10:$D$1037,C38)</f>
        <v>0</v>
      </c>
      <c r="I38" s="214" t="e">
        <f>SUMIFS(Пр.13!#REF!,Пр.13!$D$10:$D$1037,C38)</f>
        <v>#REF!</v>
      </c>
    </row>
    <row r="39" spans="1:9" ht="15.75" x14ac:dyDescent="0.2">
      <c r="A39" s="218" t="s">
        <v>61</v>
      </c>
      <c r="B39" s="64" t="e">
        <f>IF(C39&gt;0,VLOOKUP(C39,Программа!A$2:B$5100,2))</f>
        <v>#N/A</v>
      </c>
      <c r="C39" s="225">
        <v>130</v>
      </c>
      <c r="D39" s="214" t="e">
        <f>SUMIFS(Пр.13!#REF!,Пр.13!$D$10:$D$1037,C39)</f>
        <v>#REF!</v>
      </c>
      <c r="E39" s="214">
        <f>SUMIFS(Пр.13!$G$10:$G$1037,Пр.13!$D$10:$D$1037,C39)</f>
        <v>0</v>
      </c>
      <c r="F39" s="214" t="e">
        <f>SUMIFS(Пр.13!#REF!,Пр.13!$D$10:$D$1037,C39)</f>
        <v>#REF!</v>
      </c>
      <c r="G39" s="214" t="e">
        <f>SUMIFS(Пр.13!#REF!,Пр.13!$D$10:$D$1037,C39)</f>
        <v>#REF!</v>
      </c>
      <c r="H39" s="214">
        <f>SUMIFS(Пр.13!$H$10:$H$1037,Пр.13!$D$10:$D$1037,C39)</f>
        <v>0</v>
      </c>
      <c r="I39" s="214" t="e">
        <f>SUMIFS(Пр.13!#REF!,Пр.13!$D$10:$D$1037,C39)</f>
        <v>#REF!</v>
      </c>
    </row>
    <row r="40" spans="1:9" ht="15.75" x14ac:dyDescent="0.2">
      <c r="A40" s="213" t="s">
        <v>1000</v>
      </c>
      <c r="B40" s="64" t="e">
        <f>IF(C40&gt;0,VLOOKUP(C40,Программа!A$2:B$5100,2))</f>
        <v>#N/A</v>
      </c>
      <c r="C40" s="225">
        <v>131</v>
      </c>
      <c r="D40" s="214" t="e">
        <f>SUMIFS(Пр.13!#REF!,Пр.13!$D$10:$D$1037,C40)</f>
        <v>#REF!</v>
      </c>
      <c r="E40" s="214">
        <f>SUMIFS(Пр.13!$G$10:$G$1037,Пр.13!$D$10:$D$1037,C40)</f>
        <v>0</v>
      </c>
      <c r="F40" s="214" t="e">
        <f>SUMIFS(Пр.13!#REF!,Пр.13!$D$10:$D$1037,C40)</f>
        <v>#REF!</v>
      </c>
      <c r="G40" s="214" t="e">
        <f>SUMIFS(Пр.13!#REF!,Пр.13!$D$10:$D$1037,C40)</f>
        <v>#REF!</v>
      </c>
      <c r="H40" s="214">
        <f>SUMIFS(Пр.13!$H$10:$H$1037,Пр.13!$D$10:$D$1037,C40)</f>
        <v>0</v>
      </c>
      <c r="I40" s="214" t="e">
        <f>SUMIFS(Пр.13!#REF!,Пр.13!$D$10:$D$1037,C40)</f>
        <v>#REF!</v>
      </c>
    </row>
    <row r="41" spans="1:9" ht="15.75" x14ac:dyDescent="0.2">
      <c r="A41" s="218" t="s">
        <v>66</v>
      </c>
      <c r="B41" s="64" t="e">
        <f>IF(C41&gt;0,VLOOKUP(C41,Программа!A$2:B$5100,2))</f>
        <v>#N/A</v>
      </c>
      <c r="C41" s="225">
        <v>140</v>
      </c>
      <c r="D41" s="214" t="e">
        <f>SUMIFS(Пр.13!#REF!,Пр.13!$D$10:$D$1037,C41)</f>
        <v>#REF!</v>
      </c>
      <c r="E41" s="214">
        <f>SUMIFS(Пр.13!$G$10:$G$1037,Пр.13!$D$10:$D$1037,C41)</f>
        <v>0</v>
      </c>
      <c r="F41" s="214" t="e">
        <f>SUMIFS(Пр.13!#REF!,Пр.13!$D$10:$D$1037,C41)</f>
        <v>#REF!</v>
      </c>
      <c r="G41" s="214" t="e">
        <f>SUMIFS(Пр.13!#REF!,Пр.13!$D$10:$D$1037,C41)</f>
        <v>#REF!</v>
      </c>
      <c r="H41" s="214">
        <f>SUMIFS(Пр.13!$H$10:$H$1037,Пр.13!$D$10:$D$1037,C41)</f>
        <v>0</v>
      </c>
      <c r="I41" s="214" t="e">
        <f>SUMIFS(Пр.13!#REF!,Пр.13!$D$10:$D$1037,C41)</f>
        <v>#REF!</v>
      </c>
    </row>
    <row r="42" spans="1:9" ht="15.75" hidden="1" x14ac:dyDescent="0.2">
      <c r="A42" s="213" t="s">
        <v>1001</v>
      </c>
      <c r="B42" s="64" t="e">
        <f>IF(C42&gt;0,VLOOKUP(C42,Программа!A$2:B$5100,2))</f>
        <v>#N/A</v>
      </c>
      <c r="C42" s="225">
        <v>141</v>
      </c>
      <c r="D42" s="214" t="e">
        <f>SUMIFS(Пр.13!#REF!,Пр.13!$D$10:$D$1037,C42)</f>
        <v>#REF!</v>
      </c>
      <c r="E42" s="214">
        <f>SUMIFS(Пр.13!$G$10:$G$1037,Пр.13!$D$10:$D$1037,C42)</f>
        <v>0</v>
      </c>
      <c r="F42" s="214" t="e">
        <f>SUMIFS(Пр.13!#REF!,Пр.13!$D$10:$D$1037,C42)</f>
        <v>#REF!</v>
      </c>
      <c r="G42" s="214" t="e">
        <f>SUMIFS(Пр.13!#REF!,Пр.13!$D$10:$D$1037,C42)</f>
        <v>#REF!</v>
      </c>
      <c r="H42" s="214">
        <f>SUMIFS(Пр.13!$H$10:$H$1037,Пр.13!$D$10:$D$1037,C42)</f>
        <v>0</v>
      </c>
      <c r="I42" s="214" t="e">
        <f>SUMIFS(Пр.13!#REF!,Пр.13!$D$10:$D$1037,C42)</f>
        <v>#REF!</v>
      </c>
    </row>
    <row r="43" spans="1:9" ht="15.75" x14ac:dyDescent="0.2">
      <c r="A43" s="213" t="s">
        <v>1002</v>
      </c>
      <c r="B43" s="64" t="e">
        <f>IF(C43&gt;0,VLOOKUP(C43,Программа!A$2:B$5100,2))</f>
        <v>#N/A</v>
      </c>
      <c r="C43" s="225">
        <v>142</v>
      </c>
      <c r="D43" s="214" t="e">
        <f>SUMIFS(Пр.13!#REF!,Пр.13!$D$10:$D$1037,C43)</f>
        <v>#REF!</v>
      </c>
      <c r="E43" s="214">
        <f>SUMIFS(Пр.13!$G$10:$G$1037,Пр.13!$D$10:$D$1037,C43)</f>
        <v>0</v>
      </c>
      <c r="F43" s="214" t="e">
        <f>SUMIFS(Пр.13!#REF!,Пр.13!$D$10:$D$1037,C43)</f>
        <v>#REF!</v>
      </c>
      <c r="G43" s="214" t="e">
        <f>SUMIFS(Пр.13!#REF!,Пр.13!$D$10:$D$1037,C43)</f>
        <v>#REF!</v>
      </c>
      <c r="H43" s="214">
        <f>SUMIFS(Пр.13!$H$10:$H$1037,Пр.13!$D$10:$D$1037,C43)</f>
        <v>0</v>
      </c>
      <c r="I43" s="214" t="e">
        <f>SUMIFS(Пр.13!#REF!,Пр.13!$D$10:$D$1037,C43)</f>
        <v>#REF!</v>
      </c>
    </row>
    <row r="44" spans="1:9" ht="15.75" x14ac:dyDescent="0.2">
      <c r="A44" s="218" t="s">
        <v>1003</v>
      </c>
      <c r="B44" s="64" t="e">
        <f>IF(C44&gt;0,VLOOKUP(C44,Программа!A$2:B$5100,2))</f>
        <v>#N/A</v>
      </c>
      <c r="C44" s="225">
        <v>150</v>
      </c>
      <c r="D44" s="214" t="e">
        <f>SUMIFS(Пр.13!#REF!,Пр.13!$D$10:$D$1037,C44)</f>
        <v>#REF!</v>
      </c>
      <c r="E44" s="214">
        <f>SUMIFS(Пр.13!$G$10:$G$1037,Пр.13!$D$10:$D$1037,C44)</f>
        <v>0</v>
      </c>
      <c r="F44" s="214" t="e">
        <f>SUMIFS(Пр.13!#REF!,Пр.13!$D$10:$D$1037,C44)</f>
        <v>#REF!</v>
      </c>
      <c r="G44" s="214" t="e">
        <f>SUMIFS(Пр.13!#REF!,Пр.13!$D$10:$D$1037,C44)</f>
        <v>#REF!</v>
      </c>
      <c r="H44" s="214">
        <f>SUMIFS(Пр.13!$H$10:$H$1037,Пр.13!$D$10:$D$1037,C44)</f>
        <v>0</v>
      </c>
      <c r="I44" s="214" t="e">
        <f>SUMIFS(Пр.13!#REF!,Пр.13!$D$10:$D$1037,C44)</f>
        <v>#REF!</v>
      </c>
    </row>
    <row r="45" spans="1:9" ht="15.75" x14ac:dyDescent="0.2">
      <c r="A45" s="213" t="s">
        <v>1004</v>
      </c>
      <c r="B45" s="64" t="e">
        <f>IF(C45&gt;0,VLOOKUP(C45,Программа!A$2:B$5100,2))</f>
        <v>#N/A</v>
      </c>
      <c r="C45" s="225">
        <v>151</v>
      </c>
      <c r="D45" s="214" t="e">
        <f>SUMIFS(Пр.13!#REF!,Пр.13!$D$10:$D$1037,C45)</f>
        <v>#REF!</v>
      </c>
      <c r="E45" s="214">
        <f>SUMIFS(Пр.13!$G$10:$G$1037,Пр.13!$D$10:$D$1037,C45)</f>
        <v>0</v>
      </c>
      <c r="F45" s="214" t="e">
        <f>SUMIFS(Пр.13!#REF!,Пр.13!$D$10:$D$1037,C45)</f>
        <v>#REF!</v>
      </c>
      <c r="G45" s="214" t="e">
        <f>SUMIFS(Пр.13!#REF!,Пр.13!$D$10:$D$1037,C45)</f>
        <v>#REF!</v>
      </c>
      <c r="H45" s="214">
        <f>SUMIFS(Пр.13!$H$10:$H$1037,Пр.13!$D$10:$D$1037,C45)</f>
        <v>0</v>
      </c>
      <c r="I45" s="214" t="e">
        <f>SUMIFS(Пр.13!#REF!,Пр.13!$D$10:$D$1037,C45)</f>
        <v>#REF!</v>
      </c>
    </row>
    <row r="46" spans="1:9" ht="15.75" x14ac:dyDescent="0.2">
      <c r="A46" s="213" t="s">
        <v>1005</v>
      </c>
      <c r="B46" s="64" t="e">
        <f>IF(C46&gt;0,VLOOKUP(C46,Программа!A$2:B$5100,2))</f>
        <v>#N/A</v>
      </c>
      <c r="C46" s="225">
        <v>152</v>
      </c>
      <c r="D46" s="214" t="e">
        <f>SUMIFS(Пр.13!#REF!,Пр.13!$D$10:$D$1037,C46)</f>
        <v>#REF!</v>
      </c>
      <c r="E46" s="214">
        <f>SUMIFS(Пр.13!$G$10:$G$1037,Пр.13!$D$10:$D$1037,C46)</f>
        <v>0</v>
      </c>
      <c r="F46" s="214" t="e">
        <f>SUMIFS(Пр.13!#REF!,Пр.13!$D$10:$D$1037,C46)</f>
        <v>#REF!</v>
      </c>
      <c r="G46" s="214" t="e">
        <f>SUMIFS(Пр.13!#REF!,Пр.13!$D$10:$D$1037,C46)</f>
        <v>#REF!</v>
      </c>
      <c r="H46" s="214">
        <f>SUMIFS(Пр.13!$H$10:$H$1037,Пр.13!$D$10:$D$1037,C46)</f>
        <v>0</v>
      </c>
      <c r="I46" s="214" t="e">
        <f>SUMIFS(Пр.13!#REF!,Пр.13!$D$10:$D$1037,C46)</f>
        <v>#REF!</v>
      </c>
    </row>
    <row r="47" spans="1:9" ht="15.75" x14ac:dyDescent="0.2">
      <c r="A47" s="218" t="s">
        <v>77</v>
      </c>
      <c r="B47" s="64" t="e">
        <f>IF(C47&gt;0,VLOOKUP(C47,Программа!A$2:B$5100,2))</f>
        <v>#N/A</v>
      </c>
      <c r="C47" s="225">
        <v>160</v>
      </c>
      <c r="D47" s="214" t="e">
        <f>SUMIFS(Пр.13!#REF!,Пр.13!$D$10:$D$1037,C47)</f>
        <v>#REF!</v>
      </c>
      <c r="E47" s="214">
        <f>SUMIFS(Пр.13!$G$10:$G$1037,Пр.13!$D$10:$D$1037,C47)</f>
        <v>0</v>
      </c>
      <c r="F47" s="214" t="e">
        <f>SUMIFS(Пр.13!#REF!,Пр.13!$D$10:$D$1037,C47)</f>
        <v>#REF!</v>
      </c>
      <c r="G47" s="214" t="e">
        <f>SUMIFS(Пр.13!#REF!,Пр.13!$D$10:$D$1037,C47)</f>
        <v>#REF!</v>
      </c>
      <c r="H47" s="214">
        <f>SUMIFS(Пр.13!$H$10:$H$1037,Пр.13!$D$10:$D$1037,C47)</f>
        <v>0</v>
      </c>
      <c r="I47" s="214" t="e">
        <f>SUMIFS(Пр.13!#REF!,Пр.13!$D$10:$D$1037,C47)</f>
        <v>#REF!</v>
      </c>
    </row>
    <row r="48" spans="1:9" ht="15.75" x14ac:dyDescent="0.2">
      <c r="A48" s="213" t="s">
        <v>1006</v>
      </c>
      <c r="B48" s="64" t="e">
        <f>IF(C48&gt;0,VLOOKUP(C48,Программа!A$2:B$5100,2))</f>
        <v>#N/A</v>
      </c>
      <c r="C48" s="225">
        <v>161</v>
      </c>
      <c r="D48" s="214" t="e">
        <f>SUMIFS(Пр.13!#REF!,Пр.13!$D$10:$D$1037,C48)</f>
        <v>#REF!</v>
      </c>
      <c r="E48" s="214">
        <f>SUMIFS(Пр.13!$G$10:$G$1037,Пр.13!$D$10:$D$1037,C48)</f>
        <v>0</v>
      </c>
      <c r="F48" s="214" t="e">
        <f>SUMIFS(Пр.13!#REF!,Пр.13!$D$10:$D$1037,C48)</f>
        <v>#REF!</v>
      </c>
      <c r="G48" s="214" t="e">
        <f>SUMIFS(Пр.13!#REF!,Пр.13!$D$10:$D$1037,C48)</f>
        <v>#REF!</v>
      </c>
      <c r="H48" s="214">
        <f>SUMIFS(Пр.13!$H$10:$H$1037,Пр.13!$D$10:$D$1037,C48)</f>
        <v>0</v>
      </c>
      <c r="I48" s="214" t="e">
        <f>SUMIFS(Пр.13!#REF!,Пр.13!$D$10:$D$1037,C48)</f>
        <v>#REF!</v>
      </c>
    </row>
    <row r="49" spans="1:9" ht="15.75" x14ac:dyDescent="0.2">
      <c r="A49" s="213"/>
      <c r="B49" s="63" t="s">
        <v>177</v>
      </c>
      <c r="C49" s="227"/>
      <c r="D49" s="209" t="e">
        <f t="shared" ref="D49:I49" si="0">D10+D14+D17+D20+D22+D24+D26+D29+D31+D33+D35+D37+D39+D41+D44+D47</f>
        <v>#REF!</v>
      </c>
      <c r="E49" s="209">
        <f t="shared" si="0"/>
        <v>0</v>
      </c>
      <c r="F49" s="209" t="e">
        <f t="shared" si="0"/>
        <v>#REF!</v>
      </c>
      <c r="G49" s="209" t="e">
        <f t="shared" si="0"/>
        <v>#REF!</v>
      </c>
      <c r="H49" s="209">
        <f t="shared" si="0"/>
        <v>0</v>
      </c>
      <c r="I49" s="209" t="e">
        <f t="shared" si="0"/>
        <v>#REF!</v>
      </c>
    </row>
    <row r="50" spans="1:9" ht="31.5" customHeight="1" x14ac:dyDescent="0.2">
      <c r="A50" s="218" t="s">
        <v>989</v>
      </c>
      <c r="B50" s="64" t="e">
        <f>IF(C50&gt;0,VLOOKUP(C50,Программа!A$2:B$5100,2))</f>
        <v>#N/A</v>
      </c>
      <c r="C50" s="225">
        <v>409</v>
      </c>
      <c r="D50" s="214" t="e">
        <f>SUMIFS(Пр.13!#REF!,Пр.13!$D$10:$D$1037,C50)</f>
        <v>#REF!</v>
      </c>
      <c r="E50" s="214">
        <f>SUMIFS(Пр.13!$G$10:$G$1037,Пр.13!$D$10:$D$1037,C50)</f>
        <v>0</v>
      </c>
      <c r="F50" s="214" t="e">
        <f>SUMIFS(Пр.13!#REF!,Пр.13!$D$10:$D$1037,C50)</f>
        <v>#REF!</v>
      </c>
      <c r="G50" s="214" t="e">
        <f>SUMIFS(Пр.13!#REF!,Пр.13!$D$10:$D$1037,C50)</f>
        <v>#REF!</v>
      </c>
      <c r="H50" s="214">
        <f>SUMIFS(Пр.13!$H$10:$H$1037,Пр.13!$D$10:$D$1037,C50)</f>
        <v>0</v>
      </c>
      <c r="I50" s="214" t="e">
        <f>SUMIFS(Пр.13!#REF!,Пр.13!$D$10:$D$1037,C50)</f>
        <v>#REF!</v>
      </c>
    </row>
    <row r="51" spans="1:9" ht="15.75" x14ac:dyDescent="0.2">
      <c r="A51" s="218" t="s">
        <v>990</v>
      </c>
      <c r="B51" s="64" t="e">
        <f>IF(C51&gt;0,VLOOKUP(C51,Программа!A$2:B$5100,2))</f>
        <v>#N/A</v>
      </c>
      <c r="C51" s="225">
        <v>990</v>
      </c>
      <c r="D51" s="214" t="e">
        <f>SUMIFS(Пр.13!#REF!,Пр.13!$D$10:$D$1037,C51)</f>
        <v>#REF!</v>
      </c>
      <c r="E51" s="214">
        <f>SUMIFS(Пр.13!$G$10:$G$1037,Пр.13!$D$10:$D$1037,C51)</f>
        <v>0</v>
      </c>
      <c r="F51" s="214" t="e">
        <f>SUMIFS(Пр.13!#REF!,Пр.13!$D$10:$D$1037,C51)</f>
        <v>#REF!</v>
      </c>
      <c r="G51" s="214" t="e">
        <f>SUMIFS(Пр.13!#REF!,Пр.13!$D$10:$D$1037,C51)</f>
        <v>#REF!</v>
      </c>
      <c r="H51" s="214">
        <f>SUMIFS(Пр.13!$H$10:$H$1037,Пр.13!$D$10:$D$1037,C51)</f>
        <v>0</v>
      </c>
      <c r="I51" s="214" t="e">
        <f>SUMIFS(Пр.13!#REF!,Пр.13!$D$10:$D$1037,C51)</f>
        <v>#REF!</v>
      </c>
    </row>
    <row r="52" spans="1:9" ht="15.75" x14ac:dyDescent="0.2">
      <c r="A52" s="62"/>
      <c r="B52" s="63" t="s">
        <v>991</v>
      </c>
      <c r="C52" s="221"/>
      <c r="D52" s="209" t="e">
        <f t="shared" ref="D52:I52" si="1">D51+D50+D47+D44+D41+D39+D37+D35+D33+D31+D29+D26+D24+D22+D20+D17+D14+D10</f>
        <v>#REF!</v>
      </c>
      <c r="E52" s="209">
        <f t="shared" si="1"/>
        <v>0</v>
      </c>
      <c r="F52" s="209" t="e">
        <f t="shared" si="1"/>
        <v>#REF!</v>
      </c>
      <c r="G52" s="209" t="e">
        <f t="shared" si="1"/>
        <v>#REF!</v>
      </c>
      <c r="H52" s="209">
        <f t="shared" si="1"/>
        <v>0</v>
      </c>
      <c r="I52" s="209" t="e">
        <f t="shared" si="1"/>
        <v>#REF!</v>
      </c>
    </row>
    <row r="53" spans="1:9" x14ac:dyDescent="0.2">
      <c r="C53" s="222"/>
      <c r="D53" s="222"/>
    </row>
    <row r="54" spans="1:9" x14ac:dyDescent="0.2">
      <c r="C54" s="222"/>
      <c r="D54" s="222"/>
    </row>
    <row r="55" spans="1:9" x14ac:dyDescent="0.2">
      <c r="C55" s="222"/>
      <c r="D55" s="222"/>
    </row>
    <row r="56" spans="1:9" x14ac:dyDescent="0.2">
      <c r="C56" s="222"/>
      <c r="D56" s="222"/>
    </row>
    <row r="57" spans="1:9" x14ac:dyDescent="0.2">
      <c r="C57" s="222"/>
      <c r="D57" s="222"/>
    </row>
    <row r="58" spans="1:9" x14ac:dyDescent="0.2">
      <c r="C58" s="222"/>
      <c r="D58" s="222"/>
    </row>
    <row r="59" spans="1:9" x14ac:dyDescent="0.2">
      <c r="C59" s="222"/>
      <c r="D59" s="222"/>
    </row>
    <row r="60" spans="1:9" x14ac:dyDescent="0.2">
      <c r="C60" s="222"/>
      <c r="D60" s="222"/>
    </row>
    <row r="61" spans="1:9" x14ac:dyDescent="0.2">
      <c r="C61" s="222"/>
      <c r="D61" s="222"/>
    </row>
    <row r="62" spans="1:9" x14ac:dyDescent="0.2">
      <c r="C62" s="222"/>
      <c r="D62" s="222"/>
    </row>
    <row r="63" spans="1:9" x14ac:dyDescent="0.2">
      <c r="C63" s="222"/>
      <c r="D63" s="222"/>
    </row>
    <row r="64" spans="1:9" x14ac:dyDescent="0.2">
      <c r="C64" s="222"/>
      <c r="D64" s="222"/>
    </row>
    <row r="65" spans="3:4" x14ac:dyDescent="0.2">
      <c r="C65" s="222"/>
      <c r="D65" s="222"/>
    </row>
    <row r="66" spans="3:4" x14ac:dyDescent="0.2">
      <c r="C66" s="222"/>
      <c r="D66" s="222"/>
    </row>
    <row r="67" spans="3:4" x14ac:dyDescent="0.2">
      <c r="C67" s="222"/>
      <c r="D67" s="222"/>
    </row>
    <row r="68" spans="3:4" x14ac:dyDescent="0.2">
      <c r="C68" s="222"/>
      <c r="D68" s="222"/>
    </row>
    <row r="69" spans="3:4" x14ac:dyDescent="0.2">
      <c r="C69" s="222"/>
      <c r="D69" s="222"/>
    </row>
    <row r="70" spans="3:4" x14ac:dyDescent="0.2">
      <c r="C70" s="222"/>
      <c r="D70" s="222"/>
    </row>
    <row r="71" spans="3:4" x14ac:dyDescent="0.2">
      <c r="C71" s="222"/>
      <c r="D71" s="222"/>
    </row>
    <row r="72" spans="3:4" x14ac:dyDescent="0.2">
      <c r="C72" s="222"/>
      <c r="D72" s="222"/>
    </row>
    <row r="73" spans="3:4" x14ac:dyDescent="0.2">
      <c r="C73" s="222"/>
      <c r="D73" s="222"/>
    </row>
    <row r="74" spans="3:4" x14ac:dyDescent="0.2">
      <c r="C74" s="222"/>
      <c r="D74" s="222"/>
    </row>
    <row r="75" spans="3:4" x14ac:dyDescent="0.2">
      <c r="C75" s="222"/>
      <c r="D75" s="222"/>
    </row>
    <row r="76" spans="3:4" x14ac:dyDescent="0.2">
      <c r="C76" s="222"/>
      <c r="D76" s="222"/>
    </row>
    <row r="77" spans="3:4" x14ac:dyDescent="0.2">
      <c r="C77" s="222"/>
      <c r="D77" s="222"/>
    </row>
    <row r="78" spans="3:4" x14ac:dyDescent="0.2">
      <c r="C78" s="222"/>
      <c r="D78" s="222"/>
    </row>
    <row r="79" spans="3:4" x14ac:dyDescent="0.2">
      <c r="C79" s="222"/>
      <c r="D79" s="222"/>
    </row>
    <row r="80" spans="3:4" x14ac:dyDescent="0.2">
      <c r="C80" s="222"/>
      <c r="D80" s="222"/>
    </row>
    <row r="81" spans="3:4" x14ac:dyDescent="0.2">
      <c r="C81" s="222"/>
      <c r="D81" s="222"/>
    </row>
    <row r="82" spans="3:4" x14ac:dyDescent="0.2">
      <c r="C82" s="222"/>
      <c r="D82" s="222"/>
    </row>
    <row r="83" spans="3:4" x14ac:dyDescent="0.2">
      <c r="C83" s="222"/>
      <c r="D83" s="222"/>
    </row>
    <row r="84" spans="3:4" x14ac:dyDescent="0.2">
      <c r="C84" s="222"/>
      <c r="D84" s="222"/>
    </row>
    <row r="85" spans="3:4" x14ac:dyDescent="0.2">
      <c r="C85" s="222"/>
      <c r="D85" s="222"/>
    </row>
    <row r="86" spans="3:4" x14ac:dyDescent="0.2">
      <c r="C86" s="222"/>
      <c r="D86" s="222"/>
    </row>
    <row r="87" spans="3:4" x14ac:dyDescent="0.2">
      <c r="C87" s="222"/>
      <c r="D87" s="222"/>
    </row>
    <row r="88" spans="3:4" x14ac:dyDescent="0.2">
      <c r="C88" s="222"/>
      <c r="D88" s="222"/>
    </row>
    <row r="89" spans="3:4" x14ac:dyDescent="0.2">
      <c r="C89" s="222"/>
      <c r="D89" s="222"/>
    </row>
    <row r="90" spans="3:4" x14ac:dyDescent="0.2">
      <c r="C90" s="222"/>
      <c r="D90" s="222"/>
    </row>
    <row r="91" spans="3:4" x14ac:dyDescent="0.2">
      <c r="C91" s="222"/>
      <c r="D91" s="222"/>
    </row>
    <row r="92" spans="3:4" x14ac:dyDescent="0.2">
      <c r="C92" s="222"/>
      <c r="D92" s="222"/>
    </row>
    <row r="93" spans="3:4" x14ac:dyDescent="0.2">
      <c r="C93" s="222"/>
      <c r="D93" s="222"/>
    </row>
    <row r="94" spans="3:4" x14ac:dyDescent="0.2">
      <c r="C94" s="222"/>
      <c r="D94" s="222"/>
    </row>
    <row r="95" spans="3:4" x14ac:dyDescent="0.2">
      <c r="C95" s="222"/>
      <c r="D95" s="222"/>
    </row>
    <row r="96" spans="3:4" x14ac:dyDescent="0.2">
      <c r="C96" s="222"/>
      <c r="D96" s="222"/>
    </row>
    <row r="97" spans="3:4" x14ac:dyDescent="0.2">
      <c r="C97" s="222"/>
      <c r="D97" s="222"/>
    </row>
    <row r="98" spans="3:4" x14ac:dyDescent="0.2">
      <c r="C98" s="222"/>
      <c r="D98" s="222"/>
    </row>
    <row r="99" spans="3:4" x14ac:dyDescent="0.2">
      <c r="C99" s="222"/>
      <c r="D99" s="222"/>
    </row>
    <row r="100" spans="3:4" x14ac:dyDescent="0.2">
      <c r="C100" s="222"/>
      <c r="D100" s="222"/>
    </row>
    <row r="101" spans="3:4" x14ac:dyDescent="0.2">
      <c r="C101" s="222"/>
      <c r="D101" s="222"/>
    </row>
    <row r="102" spans="3:4" x14ac:dyDescent="0.2">
      <c r="C102" s="222"/>
      <c r="D102" s="222"/>
    </row>
    <row r="103" spans="3:4" x14ac:dyDescent="0.2">
      <c r="C103" s="222"/>
      <c r="D103" s="222"/>
    </row>
    <row r="104" spans="3:4" x14ac:dyDescent="0.2">
      <c r="C104" s="222"/>
      <c r="D104" s="222"/>
    </row>
    <row r="105" spans="3:4" x14ac:dyDescent="0.2">
      <c r="C105" s="222"/>
      <c r="D105" s="222"/>
    </row>
    <row r="106" spans="3:4" x14ac:dyDescent="0.2">
      <c r="C106" s="222"/>
      <c r="D106" s="222"/>
    </row>
    <row r="107" spans="3:4" x14ac:dyDescent="0.2">
      <c r="C107" s="222"/>
      <c r="D107" s="222"/>
    </row>
    <row r="108" spans="3:4" x14ac:dyDescent="0.2">
      <c r="C108" s="222"/>
      <c r="D108" s="222"/>
    </row>
    <row r="109" spans="3:4" x14ac:dyDescent="0.2">
      <c r="C109" s="222"/>
      <c r="D109" s="222"/>
    </row>
    <row r="110" spans="3:4" x14ac:dyDescent="0.2">
      <c r="C110" s="222"/>
      <c r="D110" s="222"/>
    </row>
    <row r="111" spans="3:4" x14ac:dyDescent="0.2">
      <c r="C111" s="222"/>
      <c r="D111" s="222"/>
    </row>
    <row r="112" spans="3:4" x14ac:dyDescent="0.2">
      <c r="C112" s="222"/>
      <c r="D112" s="222"/>
    </row>
    <row r="113" spans="3:4" x14ac:dyDescent="0.2">
      <c r="C113" s="222"/>
      <c r="D113" s="222"/>
    </row>
    <row r="114" spans="3:4" x14ac:dyDescent="0.2">
      <c r="C114" s="222"/>
      <c r="D114" s="222"/>
    </row>
    <row r="115" spans="3:4" x14ac:dyDescent="0.2">
      <c r="C115" s="222"/>
      <c r="D115" s="222"/>
    </row>
    <row r="116" spans="3:4" x14ac:dyDescent="0.2">
      <c r="C116" s="222"/>
      <c r="D116" s="222"/>
    </row>
    <row r="117" spans="3:4" x14ac:dyDescent="0.2">
      <c r="C117" s="222"/>
      <c r="D117" s="222"/>
    </row>
    <row r="118" spans="3:4" x14ac:dyDescent="0.2">
      <c r="C118" s="222"/>
      <c r="D118" s="222"/>
    </row>
    <row r="119" spans="3:4" x14ac:dyDescent="0.2">
      <c r="C119" s="222"/>
      <c r="D119" s="222"/>
    </row>
    <row r="120" spans="3:4" x14ac:dyDescent="0.2">
      <c r="C120" s="222"/>
      <c r="D120" s="222"/>
    </row>
    <row r="121" spans="3:4" x14ac:dyDescent="0.2">
      <c r="C121" s="222"/>
      <c r="D121" s="222"/>
    </row>
    <row r="122" spans="3:4" x14ac:dyDescent="0.2">
      <c r="C122" s="222"/>
      <c r="D122" s="222"/>
    </row>
    <row r="123" spans="3:4" x14ac:dyDescent="0.2">
      <c r="C123" s="222"/>
      <c r="D123" s="222"/>
    </row>
  </sheetData>
  <mergeCells count="16">
    <mergeCell ref="A6:I6"/>
    <mergeCell ref="E7:I7"/>
    <mergeCell ref="A8:A9"/>
    <mergeCell ref="B8:B9"/>
    <mergeCell ref="C8:C9"/>
    <mergeCell ref="I8:I9"/>
    <mergeCell ref="F8:F9"/>
    <mergeCell ref="D8:D9"/>
    <mergeCell ref="E8:E9"/>
    <mergeCell ref="G8:G9"/>
    <mergeCell ref="H8:H9"/>
    <mergeCell ref="A1:I1"/>
    <mergeCell ref="A2:I2"/>
    <mergeCell ref="A3:I3"/>
    <mergeCell ref="A4:I4"/>
    <mergeCell ref="E5:I5"/>
  </mergeCells>
  <printOptions gridLinesSet="0"/>
  <pageMargins left="0.70866141732283472" right="0.70866141732283472" top="0.74803149606299213" bottom="0.74803149606299213" header="0.5" footer="0.5"/>
  <pageSetup paperSize="9" orientation="portrai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9"/>
  <sheetViews>
    <sheetView workbookViewId="0"/>
  </sheetViews>
  <sheetFormatPr defaultRowHeight="12.75" x14ac:dyDescent="0.2"/>
  <cols>
    <col min="1" max="1" width="4.140625" bestFit="1" customWidth="1"/>
    <col min="2" max="2" width="65.28515625" customWidth="1"/>
    <col min="3" max="3" width="22.28515625" customWidth="1"/>
  </cols>
  <sheetData>
    <row r="1" spans="1:3" ht="15.75" x14ac:dyDescent="0.25">
      <c r="A1" s="890" t="s">
        <v>614</v>
      </c>
      <c r="B1" s="890"/>
      <c r="C1" s="890"/>
    </row>
    <row r="2" spans="1:3" ht="15.75" x14ac:dyDescent="0.25">
      <c r="A2" s="890" t="s">
        <v>1</v>
      </c>
      <c r="B2" s="890"/>
      <c r="C2" s="890"/>
    </row>
    <row r="3" spans="1:3" ht="15.75" x14ac:dyDescent="0.25">
      <c r="A3" s="890" t="s">
        <v>2</v>
      </c>
      <c r="B3" s="890"/>
      <c r="C3" s="890"/>
    </row>
    <row r="4" spans="1:3" ht="15.75" x14ac:dyDescent="0.25">
      <c r="A4" s="890" t="s">
        <v>1015</v>
      </c>
      <c r="B4" s="890"/>
      <c r="C4" s="890"/>
    </row>
    <row r="6" spans="1:3" ht="44.25" customHeight="1" x14ac:dyDescent="0.3">
      <c r="A6" s="1015" t="s">
        <v>1016</v>
      </c>
      <c r="B6" s="1015"/>
      <c r="C6" s="1015"/>
    </row>
    <row r="7" spans="1:3" ht="10.5" customHeight="1" x14ac:dyDescent="0.3">
      <c r="A7" s="113"/>
    </row>
    <row r="8" spans="1:3" ht="15.75" x14ac:dyDescent="0.2">
      <c r="A8" s="240" t="s">
        <v>1017</v>
      </c>
      <c r="B8" s="1013" t="s">
        <v>191</v>
      </c>
      <c r="C8" s="241" t="s">
        <v>1018</v>
      </c>
    </row>
    <row r="9" spans="1:3" ht="15.75" x14ac:dyDescent="0.2">
      <c r="A9" s="242" t="s">
        <v>1019</v>
      </c>
      <c r="B9" s="1014"/>
      <c r="C9" s="109" t="s">
        <v>1020</v>
      </c>
    </row>
    <row r="10" spans="1:3" ht="18.75" x14ac:dyDescent="0.2">
      <c r="A10" s="238">
        <v>1</v>
      </c>
      <c r="B10" s="243" t="s">
        <v>1021</v>
      </c>
      <c r="C10" s="244">
        <v>950</v>
      </c>
    </row>
    <row r="11" spans="1:3" ht="18.75" x14ac:dyDescent="0.2">
      <c r="A11" s="238">
        <v>2</v>
      </c>
      <c r="B11" s="243" t="s">
        <v>676</v>
      </c>
      <c r="C11" s="244">
        <v>952</v>
      </c>
    </row>
    <row r="12" spans="1:3" ht="18.75" x14ac:dyDescent="0.2">
      <c r="A12" s="238">
        <v>3</v>
      </c>
      <c r="B12" s="243" t="s">
        <v>682</v>
      </c>
      <c r="C12" s="244">
        <v>953</v>
      </c>
    </row>
    <row r="13" spans="1:3" ht="19.5" customHeight="1" x14ac:dyDescent="0.2">
      <c r="A13" s="238">
        <v>4</v>
      </c>
      <c r="B13" s="114" t="s">
        <v>1022</v>
      </c>
      <c r="C13" s="245">
        <v>954</v>
      </c>
    </row>
    <row r="14" spans="1:3" ht="18.75" x14ac:dyDescent="0.2">
      <c r="A14" s="238">
        <v>5</v>
      </c>
      <c r="B14" s="243" t="s">
        <v>793</v>
      </c>
      <c r="C14" s="244">
        <v>955</v>
      </c>
    </row>
    <row r="15" spans="1:3" ht="31.5" x14ac:dyDescent="0.2">
      <c r="A15" s="238">
        <v>6</v>
      </c>
      <c r="B15" s="243" t="s">
        <v>1023</v>
      </c>
      <c r="C15" s="244">
        <v>956</v>
      </c>
    </row>
    <row r="16" spans="1:3" ht="31.5" x14ac:dyDescent="0.2">
      <c r="A16" s="238">
        <v>7</v>
      </c>
      <c r="B16" s="243" t="s">
        <v>1024</v>
      </c>
      <c r="C16" s="244">
        <v>957</v>
      </c>
    </row>
    <row r="17" spans="1:3" ht="31.5" x14ac:dyDescent="0.2">
      <c r="A17" s="238">
        <v>8</v>
      </c>
      <c r="B17" s="243" t="s">
        <v>1025</v>
      </c>
      <c r="C17" s="244">
        <v>958</v>
      </c>
    </row>
    <row r="18" spans="1:3" ht="18.75" x14ac:dyDescent="0.2">
      <c r="A18" s="238">
        <v>9</v>
      </c>
      <c r="B18" s="243" t="s">
        <v>1026</v>
      </c>
      <c r="C18" s="244">
        <v>974</v>
      </c>
    </row>
    <row r="19" spans="1:3" ht="18.75" x14ac:dyDescent="0.2">
      <c r="A19" s="238">
        <v>10</v>
      </c>
      <c r="B19" s="114" t="s">
        <v>896</v>
      </c>
      <c r="C19" s="246">
        <v>982</v>
      </c>
    </row>
  </sheetData>
  <mergeCells count="6">
    <mergeCell ref="B8:B9"/>
    <mergeCell ref="A1:C1"/>
    <mergeCell ref="A2:C2"/>
    <mergeCell ref="A3:C3"/>
    <mergeCell ref="A4:C4"/>
    <mergeCell ref="A6:C6"/>
  </mergeCells>
  <printOptions gridLines="1"/>
  <pageMargins left="0.78740157480314954" right="0.39370078740157477" top="0.39370078740157477" bottom="0.39370078740157477" header="0.5" footer="0.5"/>
  <pageSetup paperSize="9" orientation="portrai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3"/>
  <sheetViews>
    <sheetView showGridLines="0" workbookViewId="0"/>
  </sheetViews>
  <sheetFormatPr defaultColWidth="9.140625" defaultRowHeight="12.75" x14ac:dyDescent="0.2"/>
  <cols>
    <col min="1" max="1" width="50.42578125" style="124" customWidth="1"/>
    <col min="2" max="2" width="18" style="124" customWidth="1"/>
    <col min="3" max="3" width="18.5703125" style="124" customWidth="1"/>
    <col min="4" max="4" width="0.28515625" style="124" customWidth="1"/>
    <col min="5" max="16384" width="9.140625" style="124"/>
  </cols>
  <sheetData>
    <row r="1" spans="1:4" ht="15.75" x14ac:dyDescent="0.25">
      <c r="A1" s="890" t="s">
        <v>898</v>
      </c>
      <c r="B1" s="890"/>
      <c r="C1" s="890"/>
      <c r="D1" s="890"/>
    </row>
    <row r="2" spans="1:4" ht="15.75" x14ac:dyDescent="0.25">
      <c r="A2" s="890" t="s">
        <v>1</v>
      </c>
      <c r="B2" s="890"/>
      <c r="C2" s="890"/>
      <c r="D2" s="890"/>
    </row>
    <row r="3" spans="1:4" ht="15.75" x14ac:dyDescent="0.25">
      <c r="A3" s="890" t="s">
        <v>2</v>
      </c>
      <c r="B3" s="890"/>
      <c r="C3" s="890"/>
      <c r="D3" s="890"/>
    </row>
    <row r="4" spans="1:4" ht="15.75" x14ac:dyDescent="0.25">
      <c r="A4" s="890" t="s">
        <v>1027</v>
      </c>
      <c r="B4" s="890"/>
      <c r="C4" s="890"/>
      <c r="D4" s="890"/>
    </row>
    <row r="5" spans="1:4" ht="15.75" x14ac:dyDescent="0.25">
      <c r="A5" s="5"/>
      <c r="B5" s="5"/>
      <c r="C5" s="5"/>
      <c r="D5" s="32"/>
    </row>
    <row r="6" spans="1:4" ht="15.75" x14ac:dyDescent="0.25">
      <c r="A6" s="32"/>
      <c r="B6" s="32"/>
      <c r="C6" s="32"/>
      <c r="D6" s="32"/>
    </row>
    <row r="7" spans="1:4" ht="38.25" customHeight="1" x14ac:dyDescent="0.2">
      <c r="A7" s="891" t="s">
        <v>1007</v>
      </c>
      <c r="B7" s="891"/>
      <c r="C7" s="891"/>
      <c r="D7" s="891"/>
    </row>
    <row r="8" spans="1:4" ht="15.75" x14ac:dyDescent="0.2">
      <c r="A8" s="6"/>
      <c r="B8" s="6"/>
      <c r="C8" s="6"/>
      <c r="D8" s="6"/>
    </row>
    <row r="9" spans="1:4" ht="34.5" customHeight="1" x14ac:dyDescent="0.2">
      <c r="A9" s="1018" t="s">
        <v>1008</v>
      </c>
      <c r="B9" s="1018"/>
      <c r="C9" s="1018"/>
      <c r="D9" s="891"/>
    </row>
    <row r="10" spans="1:4" ht="78.75" x14ac:dyDescent="0.2">
      <c r="A10" s="9" t="s">
        <v>1009</v>
      </c>
      <c r="B10" s="9" t="s">
        <v>1010</v>
      </c>
      <c r="C10" s="9" t="s">
        <v>1011</v>
      </c>
      <c r="D10" s="228"/>
    </row>
    <row r="11" spans="1:4" ht="15.75" x14ac:dyDescent="0.25">
      <c r="A11" s="229" t="s">
        <v>1012</v>
      </c>
      <c r="B11" s="230">
        <f>1670000+C11</f>
        <v>1830000</v>
      </c>
      <c r="C11" s="231">
        <v>160000</v>
      </c>
      <c r="D11" s="232"/>
    </row>
    <row r="12" spans="1:4" ht="15.75" x14ac:dyDescent="0.25">
      <c r="A12" s="229" t="s">
        <v>1013</v>
      </c>
      <c r="B12" s="230">
        <f>1810000+C12</f>
        <v>2184000</v>
      </c>
      <c r="C12" s="231">
        <v>374000</v>
      </c>
      <c r="D12" s="232"/>
    </row>
    <row r="13" spans="1:4" ht="15.75" x14ac:dyDescent="0.25">
      <c r="A13" s="233" t="s">
        <v>177</v>
      </c>
      <c r="B13" s="234">
        <f>SUM(B11:B12)</f>
        <v>4014000</v>
      </c>
      <c r="C13" s="234">
        <f>SUM(C11:C12)</f>
        <v>534000</v>
      </c>
      <c r="D13" s="235"/>
    </row>
    <row r="14" spans="1:4" ht="15.75" x14ac:dyDescent="0.25">
      <c r="A14" s="304"/>
      <c r="B14" s="235"/>
      <c r="C14" s="235"/>
      <c r="D14" s="235"/>
    </row>
    <row r="15" spans="1:4" ht="61.5" customHeight="1" x14ac:dyDescent="0.2">
      <c r="A15" s="1018" t="s">
        <v>1028</v>
      </c>
      <c r="B15" s="1018"/>
      <c r="C15" s="1018"/>
      <c r="D15" s="891"/>
    </row>
    <row r="16" spans="1:4" ht="15.75" x14ac:dyDescent="0.2">
      <c r="A16" s="9" t="s">
        <v>1009</v>
      </c>
      <c r="B16" s="1019" t="s">
        <v>1010</v>
      </c>
      <c r="C16" s="1020"/>
      <c r="D16" s="228"/>
    </row>
    <row r="17" spans="1:4" ht="15.75" x14ac:dyDescent="0.25">
      <c r="A17" s="229" t="s">
        <v>1029</v>
      </c>
      <c r="B17" s="1021">
        <v>335000</v>
      </c>
      <c r="C17" s="1022"/>
      <c r="D17" s="232"/>
    </row>
    <row r="18" spans="1:4" ht="15.75" x14ac:dyDescent="0.25">
      <c r="A18" s="229" t="s">
        <v>1030</v>
      </c>
      <c r="B18" s="1021">
        <v>1462000</v>
      </c>
      <c r="C18" s="1022"/>
      <c r="D18" s="232"/>
    </row>
    <row r="19" spans="1:4" ht="15.75" x14ac:dyDescent="0.25">
      <c r="A19" s="233" t="s">
        <v>177</v>
      </c>
      <c r="B19" s="1016">
        <f>SUM(B17:C18)</f>
        <v>1797000</v>
      </c>
      <c r="C19" s="1017"/>
      <c r="D19" s="235"/>
    </row>
    <row r="20" spans="1:4" ht="15.75" x14ac:dyDescent="0.25">
      <c r="A20" s="304"/>
      <c r="B20" s="235"/>
      <c r="C20" s="235"/>
      <c r="D20" s="235"/>
    </row>
    <row r="21" spans="1:4" ht="0.75" customHeight="1" x14ac:dyDescent="0.25">
      <c r="A21" s="304"/>
      <c r="B21" s="235"/>
      <c r="C21" s="235"/>
      <c r="D21" s="235"/>
    </row>
    <row r="22" spans="1:4" ht="15.75" hidden="1" x14ac:dyDescent="0.25">
      <c r="A22" s="304"/>
      <c r="B22" s="235"/>
      <c r="C22" s="235"/>
      <c r="D22" s="235"/>
    </row>
    <row r="23" spans="1:4" ht="15.75" hidden="1" x14ac:dyDescent="0.25">
      <c r="A23" s="32"/>
      <c r="B23" s="32"/>
      <c r="C23" s="32"/>
      <c r="D23" s="32"/>
    </row>
  </sheetData>
  <mergeCells count="11">
    <mergeCell ref="B19:C19"/>
    <mergeCell ref="A9:D9"/>
    <mergeCell ref="A15:D15"/>
    <mergeCell ref="B16:C16"/>
    <mergeCell ref="B17:C17"/>
    <mergeCell ref="B18:C18"/>
    <mergeCell ref="A1:D1"/>
    <mergeCell ref="A2:D2"/>
    <mergeCell ref="A3:D3"/>
    <mergeCell ref="A4:D4"/>
    <mergeCell ref="A7:D7"/>
  </mergeCells>
  <printOptions gridLinesSet="0"/>
  <pageMargins left="0.7" right="0.7" top="0.75" bottom="0.75" header="0.5" footer="0.5"/>
  <pageSetup paperSize="9" orientation="portrai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1"/>
  <sheetViews>
    <sheetView showGridLines="0" workbookViewId="0"/>
  </sheetViews>
  <sheetFormatPr defaultColWidth="9.140625" defaultRowHeight="15.75" x14ac:dyDescent="0.25"/>
  <cols>
    <col min="1" max="1" width="4.140625" style="305" customWidth="1"/>
    <col min="2" max="2" width="55.140625" style="305" customWidth="1"/>
    <col min="3" max="4" width="13.5703125" style="305" customWidth="1"/>
    <col min="5" max="7" width="9.140625" style="305"/>
    <col min="8" max="8" width="43.42578125" style="305" customWidth="1"/>
    <col min="9" max="16384" width="9.140625" style="305"/>
  </cols>
  <sheetData>
    <row r="1" spans="1:4" x14ac:dyDescent="0.25">
      <c r="A1" s="32"/>
      <c r="B1" s="890" t="s">
        <v>1031</v>
      </c>
      <c r="C1" s="890"/>
      <c r="D1" s="890"/>
    </row>
    <row r="2" spans="1:4" x14ac:dyDescent="0.25">
      <c r="A2" s="32"/>
      <c r="B2" s="890" t="s">
        <v>1</v>
      </c>
      <c r="C2" s="890"/>
      <c r="D2" s="890"/>
    </row>
    <row r="3" spans="1:4" x14ac:dyDescent="0.25">
      <c r="A3" s="32"/>
      <c r="B3" s="890" t="s">
        <v>2</v>
      </c>
      <c r="C3" s="890"/>
      <c r="D3" s="890"/>
    </row>
    <row r="4" spans="1:4" x14ac:dyDescent="0.25">
      <c r="A4" s="32"/>
      <c r="B4" s="890" t="s">
        <v>545</v>
      </c>
      <c r="C4" s="890"/>
      <c r="D4" s="890"/>
    </row>
    <row r="5" spans="1:4" ht="6.75" customHeight="1" x14ac:dyDescent="0.25">
      <c r="A5" s="32"/>
      <c r="B5" s="5"/>
      <c r="C5" s="32"/>
      <c r="D5" s="32"/>
    </row>
    <row r="6" spans="1:4" hidden="1" x14ac:dyDescent="0.25">
      <c r="A6" s="32"/>
      <c r="B6" s="32"/>
      <c r="C6" s="32"/>
      <c r="D6" s="32"/>
    </row>
    <row r="7" spans="1:4" ht="48.75" customHeight="1" x14ac:dyDescent="0.25">
      <c r="A7" s="891" t="s">
        <v>1032</v>
      </c>
      <c r="B7" s="891"/>
      <c r="C7" s="891"/>
      <c r="D7" s="911"/>
    </row>
    <row r="8" spans="1:4" ht="60" customHeight="1" x14ac:dyDescent="0.25">
      <c r="A8" s="1018" t="s">
        <v>1033</v>
      </c>
      <c r="B8" s="1018"/>
      <c r="C8" s="1018"/>
      <c r="D8" s="1018"/>
    </row>
    <row r="9" spans="1:4" ht="31.5" x14ac:dyDescent="0.25">
      <c r="A9" s="889" t="s">
        <v>1009</v>
      </c>
      <c r="B9" s="889"/>
      <c r="C9" s="9" t="s">
        <v>996</v>
      </c>
      <c r="D9" s="9" t="s">
        <v>997</v>
      </c>
    </row>
    <row r="10" spans="1:4" x14ac:dyDescent="0.25">
      <c r="A10" s="1023" t="s">
        <v>1034</v>
      </c>
      <c r="B10" s="1024"/>
      <c r="C10" s="230">
        <v>10400000</v>
      </c>
      <c r="D10" s="230">
        <v>6200000</v>
      </c>
    </row>
    <row r="11" spans="1:4" x14ac:dyDescent="0.25">
      <c r="A11" s="1025" t="s">
        <v>177</v>
      </c>
      <c r="B11" s="1026"/>
      <c r="C11" s="306">
        <f>C10</f>
        <v>10400000</v>
      </c>
      <c r="D11" s="306">
        <f>D10</f>
        <v>6200000</v>
      </c>
    </row>
    <row r="12" spans="1:4" ht="12.75" customHeight="1" x14ac:dyDescent="0.25">
      <c r="A12" s="1027" t="s">
        <v>1035</v>
      </c>
      <c r="B12" s="1027"/>
      <c r="C12" s="1027"/>
      <c r="D12" s="1027"/>
    </row>
    <row r="13" spans="1:4" ht="27.75" customHeight="1" x14ac:dyDescent="0.25">
      <c r="A13" s="1018"/>
      <c r="B13" s="1018"/>
      <c r="C13" s="1018"/>
      <c r="D13" s="1018"/>
    </row>
    <row r="14" spans="1:4" ht="31.5" x14ac:dyDescent="0.25">
      <c r="A14" s="889" t="s">
        <v>1009</v>
      </c>
      <c r="B14" s="889"/>
      <c r="C14" s="9" t="s">
        <v>996</v>
      </c>
      <c r="D14" s="9" t="s">
        <v>997</v>
      </c>
    </row>
    <row r="15" spans="1:4" x14ac:dyDescent="0.25">
      <c r="A15" s="1023" t="s">
        <v>1036</v>
      </c>
      <c r="B15" s="1024"/>
      <c r="C15" s="258">
        <v>1000000</v>
      </c>
      <c r="D15" s="258">
        <v>1500000</v>
      </c>
    </row>
    <row r="16" spans="1:4" x14ac:dyDescent="0.25">
      <c r="A16" s="1023" t="s">
        <v>1037</v>
      </c>
      <c r="B16" s="1024"/>
      <c r="C16" s="258">
        <v>500000</v>
      </c>
      <c r="D16" s="258">
        <v>500000</v>
      </c>
    </row>
    <row r="17" spans="1:4" x14ac:dyDescent="0.25">
      <c r="A17" s="1023" t="s">
        <v>1038</v>
      </c>
      <c r="B17" s="1024"/>
      <c r="C17" s="230">
        <v>1500000</v>
      </c>
      <c r="D17" s="230">
        <v>1500000</v>
      </c>
    </row>
    <row r="18" spans="1:4" x14ac:dyDescent="0.25">
      <c r="A18" s="1023" t="s">
        <v>1034</v>
      </c>
      <c r="B18" s="1024"/>
      <c r="C18" s="230">
        <v>18000000</v>
      </c>
      <c r="D18" s="230">
        <v>19500000</v>
      </c>
    </row>
    <row r="19" spans="1:4" x14ac:dyDescent="0.25">
      <c r="A19" s="1028" t="s">
        <v>177</v>
      </c>
      <c r="B19" s="1028"/>
      <c r="C19" s="20">
        <f>SUM(C15:C18)</f>
        <v>21000000</v>
      </c>
      <c r="D19" s="20">
        <f>SUM(D15:D18)</f>
        <v>23000000</v>
      </c>
    </row>
    <row r="20" spans="1:4" x14ac:dyDescent="0.25">
      <c r="A20" s="1027"/>
      <c r="B20" s="1027"/>
      <c r="C20" s="1027"/>
      <c r="D20" s="1029"/>
    </row>
    <row r="21" spans="1:4" ht="51" customHeight="1" x14ac:dyDescent="0.25">
      <c r="A21" s="1018" t="s">
        <v>1039</v>
      </c>
      <c r="B21" s="1018"/>
      <c r="C21" s="1018"/>
      <c r="D21" s="1018"/>
    </row>
    <row r="22" spans="1:4" ht="31.5" x14ac:dyDescent="0.25">
      <c r="A22" s="889" t="s">
        <v>1009</v>
      </c>
      <c r="B22" s="889"/>
      <c r="C22" s="9" t="s">
        <v>996</v>
      </c>
      <c r="D22" s="9" t="s">
        <v>997</v>
      </c>
    </row>
    <row r="23" spans="1:4" x14ac:dyDescent="0.25">
      <c r="A23" s="1023" t="s">
        <v>1034</v>
      </c>
      <c r="B23" s="1024"/>
      <c r="C23" s="230">
        <v>1000000</v>
      </c>
      <c r="D23" s="230">
        <v>2793765</v>
      </c>
    </row>
    <row r="24" spans="1:4" x14ac:dyDescent="0.25">
      <c r="A24" s="1025" t="s">
        <v>177</v>
      </c>
      <c r="B24" s="1026"/>
      <c r="C24" s="306">
        <f>C23</f>
        <v>1000000</v>
      </c>
      <c r="D24" s="306">
        <f>D23</f>
        <v>2793765</v>
      </c>
    </row>
    <row r="25" spans="1:4" x14ac:dyDescent="0.25">
      <c r="A25" s="307"/>
      <c r="B25" s="307"/>
      <c r="C25" s="307"/>
      <c r="D25" s="308"/>
    </row>
    <row r="26" spans="1:4" x14ac:dyDescent="0.25">
      <c r="A26" s="1027" t="s">
        <v>1040</v>
      </c>
      <c r="B26" s="1027"/>
      <c r="C26" s="1027"/>
      <c r="D26" s="1027"/>
    </row>
    <row r="27" spans="1:4" ht="54.75" customHeight="1" x14ac:dyDescent="0.25">
      <c r="A27" s="1018"/>
      <c r="B27" s="1018"/>
      <c r="C27" s="1018"/>
      <c r="D27" s="1018"/>
    </row>
    <row r="28" spans="1:4" ht="31.5" x14ac:dyDescent="0.25">
      <c r="A28" s="889" t="s">
        <v>1009</v>
      </c>
      <c r="B28" s="889"/>
      <c r="C28" s="9" t="s">
        <v>996</v>
      </c>
      <c r="D28" s="9" t="s">
        <v>997</v>
      </c>
    </row>
    <row r="29" spans="1:4" x14ac:dyDescent="0.25">
      <c r="A29" s="1023" t="s">
        <v>1012</v>
      </c>
      <c r="B29" s="1024"/>
      <c r="C29" s="258">
        <v>1424800</v>
      </c>
      <c r="D29" s="258">
        <v>0</v>
      </c>
    </row>
    <row r="30" spans="1:4" x14ac:dyDescent="0.25">
      <c r="A30" s="1028" t="s">
        <v>177</v>
      </c>
      <c r="B30" s="1028"/>
      <c r="C30" s="20">
        <f>SUM(C29:C29)</f>
        <v>1424800</v>
      </c>
      <c r="D30" s="20">
        <f>SUM(D29:D29)</f>
        <v>0</v>
      </c>
    </row>
    <row r="31" spans="1:4" ht="15.75" customHeight="1" x14ac:dyDescent="0.25">
      <c r="A31" s="1028" t="s">
        <v>899</v>
      </c>
      <c r="B31" s="1028"/>
      <c r="C31" s="309">
        <f>C11+C19+C24+C30</f>
        <v>33824800</v>
      </c>
      <c r="D31" s="309">
        <f>D11+D19+D24+D30</f>
        <v>31993765</v>
      </c>
    </row>
  </sheetData>
  <mergeCells count="26">
    <mergeCell ref="A31:B31"/>
    <mergeCell ref="A24:B24"/>
    <mergeCell ref="A26:D27"/>
    <mergeCell ref="A28:B28"/>
    <mergeCell ref="A29:B29"/>
    <mergeCell ref="A30:B30"/>
    <mergeCell ref="A19:B19"/>
    <mergeCell ref="A20:D20"/>
    <mergeCell ref="A21:D21"/>
    <mergeCell ref="A22:B22"/>
    <mergeCell ref="A23:B23"/>
    <mergeCell ref="A14:B14"/>
    <mergeCell ref="A15:B15"/>
    <mergeCell ref="A16:B16"/>
    <mergeCell ref="A17:B17"/>
    <mergeCell ref="A18:B18"/>
    <mergeCell ref="A8:D8"/>
    <mergeCell ref="A9:B9"/>
    <mergeCell ref="A10:B10"/>
    <mergeCell ref="A11:B11"/>
    <mergeCell ref="A12:D13"/>
    <mergeCell ref="B1:D1"/>
    <mergeCell ref="B2:D2"/>
    <mergeCell ref="B3:D3"/>
    <mergeCell ref="B4:D4"/>
    <mergeCell ref="A7:D7"/>
  </mergeCells>
  <printOptions gridLinesSet="0"/>
  <pageMargins left="0.70866141732283472" right="0.70866141732283472" top="0.74803149606299213" bottom="0.74803149606299213" header="0.5" footer="0.5"/>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04"/>
  <sheetViews>
    <sheetView showGridLines="0" view="pageBreakPreview" topLeftCell="A91" zoomScaleSheetLayoutView="100" workbookViewId="0">
      <selection activeCell="J14" sqref="J14"/>
    </sheetView>
  </sheetViews>
  <sheetFormatPr defaultColWidth="9.140625" defaultRowHeight="12.75" x14ac:dyDescent="0.2"/>
  <cols>
    <col min="1" max="1" width="5.140625" style="38" bestFit="1" customWidth="1"/>
    <col min="2" max="3" width="3" style="38" bestFit="1" customWidth="1"/>
    <col min="4" max="4" width="3" style="38" customWidth="1"/>
    <col min="5" max="5" width="5.42578125" style="38" customWidth="1"/>
    <col min="6" max="6" width="3" style="38" customWidth="1"/>
    <col min="7" max="7" width="5.85546875" style="38" customWidth="1"/>
    <col min="8" max="8" width="4.85546875" style="38" bestFit="1" customWidth="1"/>
    <col min="9" max="9" width="35.42578125" style="38" customWidth="1"/>
    <col min="10" max="10" width="14.85546875" style="38" customWidth="1"/>
    <col min="11" max="11" width="12" style="38" customWidth="1"/>
    <col min="12" max="12" width="14.28515625" style="38" customWidth="1"/>
    <col min="13" max="13" width="14.85546875" style="38" customWidth="1"/>
    <col min="14" max="14" width="13.85546875" style="38" customWidth="1"/>
    <col min="15" max="15" width="14.28515625" style="38" bestFit="1" customWidth="1"/>
    <col min="16" max="16384" width="9.140625" style="38"/>
  </cols>
  <sheetData>
    <row r="1" spans="1:15" ht="15.75" x14ac:dyDescent="0.25">
      <c r="A1" s="894" t="s">
        <v>178</v>
      </c>
      <c r="B1" s="894"/>
      <c r="C1" s="894"/>
      <c r="D1" s="894"/>
      <c r="E1" s="894"/>
      <c r="F1" s="894"/>
      <c r="G1" s="894"/>
      <c r="H1" s="894"/>
      <c r="I1" s="894"/>
      <c r="J1" s="894"/>
      <c r="K1" s="894"/>
      <c r="L1" s="894"/>
      <c r="M1" s="894"/>
      <c r="N1" s="894"/>
      <c r="O1" s="894"/>
    </row>
    <row r="2" spans="1:15" ht="15.75" x14ac:dyDescent="0.25">
      <c r="A2" s="894" t="s">
        <v>1</v>
      </c>
      <c r="B2" s="894"/>
      <c r="C2" s="894"/>
      <c r="D2" s="894"/>
      <c r="E2" s="894"/>
      <c r="F2" s="894"/>
      <c r="G2" s="894"/>
      <c r="H2" s="894"/>
      <c r="I2" s="894"/>
      <c r="J2" s="894"/>
      <c r="K2" s="894"/>
      <c r="L2" s="894"/>
      <c r="M2" s="894"/>
      <c r="N2" s="894"/>
      <c r="O2" s="894"/>
    </row>
    <row r="3" spans="1:15" ht="15.75" x14ac:dyDescent="0.25">
      <c r="A3" s="894" t="s">
        <v>2</v>
      </c>
      <c r="B3" s="894"/>
      <c r="C3" s="894"/>
      <c r="D3" s="894"/>
      <c r="E3" s="894"/>
      <c r="F3" s="894"/>
      <c r="G3" s="894"/>
      <c r="H3" s="894"/>
      <c r="I3" s="894"/>
      <c r="J3" s="894"/>
      <c r="K3" s="894"/>
      <c r="L3" s="894"/>
      <c r="M3" s="894"/>
      <c r="N3" s="894"/>
      <c r="O3" s="894"/>
    </row>
    <row r="4" spans="1:15" ht="15.75" x14ac:dyDescent="0.25">
      <c r="A4" s="894" t="s">
        <v>3129</v>
      </c>
      <c r="B4" s="894"/>
      <c r="C4" s="894"/>
      <c r="D4" s="894"/>
      <c r="E4" s="894"/>
      <c r="F4" s="894"/>
      <c r="G4" s="894"/>
      <c r="H4" s="894"/>
      <c r="I4" s="894"/>
      <c r="J4" s="894"/>
      <c r="K4" s="894"/>
      <c r="L4" s="894"/>
      <c r="M4" s="894"/>
      <c r="N4" s="894"/>
      <c r="O4" s="894"/>
    </row>
    <row r="5" spans="1:15" ht="15.75" x14ac:dyDescent="0.25">
      <c r="A5" s="578"/>
      <c r="B5" s="578"/>
      <c r="C5" s="578"/>
      <c r="D5" s="578"/>
      <c r="E5" s="578"/>
      <c r="F5" s="578"/>
      <c r="G5" s="579"/>
      <c r="H5" s="580"/>
      <c r="I5" s="893"/>
      <c r="J5" s="893"/>
      <c r="K5" s="893"/>
      <c r="L5" s="577"/>
      <c r="M5" s="577"/>
      <c r="N5" s="577"/>
      <c r="O5" s="577"/>
    </row>
    <row r="6" spans="1:15" ht="57.75" customHeight="1" x14ac:dyDescent="0.2">
      <c r="A6" s="896" t="s">
        <v>3124</v>
      </c>
      <c r="B6" s="896"/>
      <c r="C6" s="896"/>
      <c r="D6" s="896"/>
      <c r="E6" s="896"/>
      <c r="F6" s="896"/>
      <c r="G6" s="896"/>
      <c r="H6" s="896"/>
      <c r="I6" s="896"/>
      <c r="J6" s="896"/>
      <c r="K6" s="896"/>
      <c r="L6" s="896"/>
      <c r="M6" s="896"/>
      <c r="N6" s="896"/>
      <c r="O6" s="896"/>
    </row>
    <row r="7" spans="1:15" ht="18.75" x14ac:dyDescent="0.2">
      <c r="A7" s="578"/>
      <c r="B7" s="578"/>
      <c r="C7" s="578"/>
      <c r="D7" s="578"/>
      <c r="E7" s="578"/>
      <c r="F7" s="578"/>
      <c r="G7" s="504"/>
      <c r="H7" s="503"/>
      <c r="I7" s="897"/>
      <c r="J7" s="897"/>
      <c r="K7" s="897"/>
      <c r="L7" s="577"/>
      <c r="M7" s="577"/>
      <c r="N7" s="577"/>
      <c r="O7" s="577"/>
    </row>
    <row r="8" spans="1:15" ht="2.25" customHeight="1" x14ac:dyDescent="0.2">
      <c r="A8" s="578"/>
      <c r="B8" s="578"/>
      <c r="C8" s="578"/>
      <c r="D8" s="578"/>
      <c r="E8" s="578"/>
      <c r="F8" s="578"/>
      <c r="G8" s="504"/>
      <c r="H8" s="503"/>
      <c r="I8" s="898"/>
      <c r="J8" s="898"/>
      <c r="K8" s="898"/>
      <c r="L8" s="577"/>
      <c r="M8" s="577"/>
      <c r="N8" s="577"/>
      <c r="O8" s="577"/>
    </row>
    <row r="9" spans="1:15" ht="12.75" customHeight="1" x14ac:dyDescent="0.2">
      <c r="A9" s="899" t="s">
        <v>3</v>
      </c>
      <c r="B9" s="899"/>
      <c r="C9" s="899"/>
      <c r="D9" s="899"/>
      <c r="E9" s="899"/>
      <c r="F9" s="899"/>
      <c r="G9" s="899"/>
      <c r="H9" s="899"/>
      <c r="I9" s="895" t="s">
        <v>4</v>
      </c>
      <c r="J9" s="895" t="s">
        <v>341</v>
      </c>
      <c r="K9" s="895" t="s">
        <v>995</v>
      </c>
      <c r="L9" s="895" t="s">
        <v>341</v>
      </c>
      <c r="M9" s="895" t="s">
        <v>3131</v>
      </c>
      <c r="N9" s="895" t="s">
        <v>995</v>
      </c>
      <c r="O9" s="895" t="s">
        <v>3131</v>
      </c>
    </row>
    <row r="10" spans="1:15" ht="120.95" customHeight="1" x14ac:dyDescent="0.2">
      <c r="A10" s="581" t="s">
        <v>6</v>
      </c>
      <c r="B10" s="581" t="s">
        <v>7</v>
      </c>
      <c r="C10" s="581" t="s">
        <v>8</v>
      </c>
      <c r="D10" s="581" t="s">
        <v>180</v>
      </c>
      <c r="E10" s="582" t="s">
        <v>181</v>
      </c>
      <c r="F10" s="581" t="s">
        <v>182</v>
      </c>
      <c r="G10" s="583" t="s">
        <v>12</v>
      </c>
      <c r="H10" s="582" t="s">
        <v>13</v>
      </c>
      <c r="I10" s="895"/>
      <c r="J10" s="895"/>
      <c r="K10" s="895"/>
      <c r="L10" s="895"/>
      <c r="M10" s="895"/>
      <c r="N10" s="895"/>
      <c r="O10" s="895"/>
    </row>
    <row r="11" spans="1:15" ht="15.75" x14ac:dyDescent="0.2">
      <c r="A11" s="584" t="s">
        <v>14</v>
      </c>
      <c r="B11" s="584" t="s">
        <v>15</v>
      </c>
      <c r="C11" s="584" t="s">
        <v>16</v>
      </c>
      <c r="D11" s="584" t="s">
        <v>16</v>
      </c>
      <c r="E11" s="584" t="s">
        <v>14</v>
      </c>
      <c r="F11" s="584" t="s">
        <v>16</v>
      </c>
      <c r="G11" s="585" t="s">
        <v>17</v>
      </c>
      <c r="H11" s="585" t="s">
        <v>14</v>
      </c>
      <c r="I11" s="586" t="s">
        <v>18</v>
      </c>
      <c r="J11" s="587">
        <f>J12+J14+J16+J20+J24+J30+J33+J35+J40</f>
        <v>216740000</v>
      </c>
      <c r="K11" s="587">
        <f>K12+K14+K16+K20+K24+K30+K33+K35+K40</f>
        <v>0</v>
      </c>
      <c r="L11" s="587">
        <f>SUM(J11:K11)</f>
        <v>216740000</v>
      </c>
      <c r="M11" s="587">
        <f>M12+M14+M16+M20+M24+M30+M33+M35+M40</f>
        <v>225436000</v>
      </c>
      <c r="N11" s="587">
        <f>N12+N14+N16+N20+N24+N30+N33+N35+N40</f>
        <v>0</v>
      </c>
      <c r="O11" s="587">
        <f>SUM(M11:N11)</f>
        <v>225436000</v>
      </c>
    </row>
    <row r="12" spans="1:15" ht="20.25" customHeight="1" x14ac:dyDescent="0.2">
      <c r="A12" s="584" t="s">
        <v>14</v>
      </c>
      <c r="B12" s="584" t="s">
        <v>15</v>
      </c>
      <c r="C12" s="584" t="s">
        <v>19</v>
      </c>
      <c r="D12" s="584" t="s">
        <v>16</v>
      </c>
      <c r="E12" s="584" t="s">
        <v>14</v>
      </c>
      <c r="F12" s="584" t="s">
        <v>16</v>
      </c>
      <c r="G12" s="585" t="s">
        <v>17</v>
      </c>
      <c r="H12" s="585" t="s">
        <v>14</v>
      </c>
      <c r="I12" s="586" t="s">
        <v>20</v>
      </c>
      <c r="J12" s="587">
        <f>J13</f>
        <v>108254000</v>
      </c>
      <c r="K12" s="587">
        <f>K13</f>
        <v>0</v>
      </c>
      <c r="L12" s="587">
        <f>SUM(J12:K12)</f>
        <v>108254000</v>
      </c>
      <c r="M12" s="587">
        <f>M13</f>
        <v>113342000</v>
      </c>
      <c r="N12" s="587">
        <f>N13</f>
        <v>0</v>
      </c>
      <c r="O12" s="587">
        <f>SUM(M12:N12)</f>
        <v>113342000</v>
      </c>
    </row>
    <row r="13" spans="1:15" ht="21" customHeight="1" x14ac:dyDescent="0.2">
      <c r="A13" s="588" t="s">
        <v>21</v>
      </c>
      <c r="B13" s="588" t="s">
        <v>15</v>
      </c>
      <c r="C13" s="588" t="s">
        <v>19</v>
      </c>
      <c r="D13" s="588" t="s">
        <v>22</v>
      </c>
      <c r="E13" s="588" t="s">
        <v>14</v>
      </c>
      <c r="F13" s="588" t="s">
        <v>19</v>
      </c>
      <c r="G13" s="589" t="s">
        <v>17</v>
      </c>
      <c r="H13" s="589" t="s">
        <v>23</v>
      </c>
      <c r="I13" s="560" t="s">
        <v>24</v>
      </c>
      <c r="J13" s="590">
        <v>108254000</v>
      </c>
      <c r="K13" s="590"/>
      <c r="L13" s="590">
        <f>SUM(J13:K13)</f>
        <v>108254000</v>
      </c>
      <c r="M13" s="590">
        <v>113342000</v>
      </c>
      <c r="N13" s="590"/>
      <c r="O13" s="590">
        <f>SUM(M13:N13)</f>
        <v>113342000</v>
      </c>
    </row>
    <row r="14" spans="1:15" ht="64.5" customHeight="1" x14ac:dyDescent="0.2">
      <c r="A14" s="584" t="s">
        <v>14</v>
      </c>
      <c r="B14" s="584" t="s">
        <v>15</v>
      </c>
      <c r="C14" s="584" t="s">
        <v>25</v>
      </c>
      <c r="D14" s="584" t="s">
        <v>16</v>
      </c>
      <c r="E14" s="584" t="s">
        <v>14</v>
      </c>
      <c r="F14" s="584" t="s">
        <v>16</v>
      </c>
      <c r="G14" s="585" t="s">
        <v>17</v>
      </c>
      <c r="H14" s="585" t="s">
        <v>14</v>
      </c>
      <c r="I14" s="586" t="s">
        <v>26</v>
      </c>
      <c r="J14" s="587">
        <f>J15</f>
        <v>7132000</v>
      </c>
      <c r="K14" s="587">
        <f>K15</f>
        <v>0</v>
      </c>
      <c r="L14" s="590">
        <f t="shared" ref="L14:L75" si="0">SUM(J14:K14)</f>
        <v>7132000</v>
      </c>
      <c r="M14" s="587">
        <f>M15</f>
        <v>10843000</v>
      </c>
      <c r="N14" s="587">
        <f>N15</f>
        <v>0</v>
      </c>
      <c r="O14" s="590">
        <f t="shared" ref="O14:O75" si="1">SUM(M14:N14)</f>
        <v>10843000</v>
      </c>
    </row>
    <row r="15" spans="1:15" ht="57" customHeight="1" x14ac:dyDescent="0.2">
      <c r="A15" s="588" t="s">
        <v>27</v>
      </c>
      <c r="B15" s="588" t="s">
        <v>15</v>
      </c>
      <c r="C15" s="588" t="s">
        <v>25</v>
      </c>
      <c r="D15" s="588" t="s">
        <v>22</v>
      </c>
      <c r="E15" s="588" t="s">
        <v>14</v>
      </c>
      <c r="F15" s="588" t="s">
        <v>19</v>
      </c>
      <c r="G15" s="589" t="s">
        <v>17</v>
      </c>
      <c r="H15" s="589" t="s">
        <v>23</v>
      </c>
      <c r="I15" s="560" t="s">
        <v>28</v>
      </c>
      <c r="J15" s="590">
        <v>7132000</v>
      </c>
      <c r="K15" s="590"/>
      <c r="L15" s="590">
        <f t="shared" si="0"/>
        <v>7132000</v>
      </c>
      <c r="M15" s="590">
        <v>10843000</v>
      </c>
      <c r="N15" s="590"/>
      <c r="O15" s="590">
        <f t="shared" si="1"/>
        <v>10843000</v>
      </c>
    </row>
    <row r="16" spans="1:15" ht="15.75" x14ac:dyDescent="0.2">
      <c r="A16" s="584" t="s">
        <v>14</v>
      </c>
      <c r="B16" s="584" t="s">
        <v>15</v>
      </c>
      <c r="C16" s="584" t="s">
        <v>29</v>
      </c>
      <c r="D16" s="584" t="s">
        <v>16</v>
      </c>
      <c r="E16" s="584" t="s">
        <v>14</v>
      </c>
      <c r="F16" s="584" t="s">
        <v>16</v>
      </c>
      <c r="G16" s="585" t="s">
        <v>17</v>
      </c>
      <c r="H16" s="585" t="s">
        <v>14</v>
      </c>
      <c r="I16" s="586" t="s">
        <v>30</v>
      </c>
      <c r="J16" s="587">
        <f>J17+J18+J19</f>
        <v>14480000</v>
      </c>
      <c r="K16" s="587">
        <f>K17+K18+K19</f>
        <v>0</v>
      </c>
      <c r="L16" s="587">
        <f t="shared" si="0"/>
        <v>14480000</v>
      </c>
      <c r="M16" s="587">
        <f>M17+M18+M19</f>
        <v>14574000</v>
      </c>
      <c r="N16" s="587">
        <f>N17+N18+N19</f>
        <v>0</v>
      </c>
      <c r="O16" s="587">
        <f t="shared" si="1"/>
        <v>14574000</v>
      </c>
    </row>
    <row r="17" spans="1:15" ht="41.25" customHeight="1" x14ac:dyDescent="0.2">
      <c r="A17" s="588" t="s">
        <v>21</v>
      </c>
      <c r="B17" s="588" t="s">
        <v>15</v>
      </c>
      <c r="C17" s="588" t="s">
        <v>29</v>
      </c>
      <c r="D17" s="588" t="s">
        <v>22</v>
      </c>
      <c r="E17" s="588" t="s">
        <v>14</v>
      </c>
      <c r="F17" s="588" t="s">
        <v>22</v>
      </c>
      <c r="G17" s="589" t="s">
        <v>17</v>
      </c>
      <c r="H17" s="589" t="s">
        <v>23</v>
      </c>
      <c r="I17" s="560" t="s">
        <v>31</v>
      </c>
      <c r="J17" s="590">
        <v>13881000</v>
      </c>
      <c r="K17" s="590"/>
      <c r="L17" s="590">
        <f t="shared" si="0"/>
        <v>13881000</v>
      </c>
      <c r="M17" s="590">
        <v>13964000</v>
      </c>
      <c r="N17" s="590"/>
      <c r="O17" s="590">
        <f t="shared" si="1"/>
        <v>13964000</v>
      </c>
    </row>
    <row r="18" spans="1:15" ht="34.5" customHeight="1" x14ac:dyDescent="0.2">
      <c r="A18" s="588" t="s">
        <v>21</v>
      </c>
      <c r="B18" s="588" t="s">
        <v>15</v>
      </c>
      <c r="C18" s="588" t="s">
        <v>29</v>
      </c>
      <c r="D18" s="588" t="s">
        <v>25</v>
      </c>
      <c r="E18" s="588" t="s">
        <v>14</v>
      </c>
      <c r="F18" s="588" t="s">
        <v>19</v>
      </c>
      <c r="G18" s="589" t="s">
        <v>17</v>
      </c>
      <c r="H18" s="589" t="s">
        <v>23</v>
      </c>
      <c r="I18" s="560" t="s">
        <v>32</v>
      </c>
      <c r="J18" s="590">
        <v>399000</v>
      </c>
      <c r="K18" s="590"/>
      <c r="L18" s="590">
        <f t="shared" si="0"/>
        <v>399000</v>
      </c>
      <c r="M18" s="590">
        <v>410000</v>
      </c>
      <c r="N18" s="590"/>
      <c r="O18" s="590">
        <f t="shared" si="1"/>
        <v>410000</v>
      </c>
    </row>
    <row r="19" spans="1:15" ht="47.25" x14ac:dyDescent="0.2">
      <c r="A19" s="588" t="s">
        <v>21</v>
      </c>
      <c r="B19" s="588" t="s">
        <v>15</v>
      </c>
      <c r="C19" s="588" t="s">
        <v>29</v>
      </c>
      <c r="D19" s="588" t="s">
        <v>33</v>
      </c>
      <c r="E19" s="588" t="s">
        <v>14</v>
      </c>
      <c r="F19" s="588" t="s">
        <v>22</v>
      </c>
      <c r="G19" s="589" t="s">
        <v>17</v>
      </c>
      <c r="H19" s="589" t="s">
        <v>23</v>
      </c>
      <c r="I19" s="560" t="s">
        <v>34</v>
      </c>
      <c r="J19" s="590">
        <v>200000</v>
      </c>
      <c r="K19" s="590"/>
      <c r="L19" s="590">
        <f t="shared" si="0"/>
        <v>200000</v>
      </c>
      <c r="M19" s="590">
        <v>200000</v>
      </c>
      <c r="N19" s="590"/>
      <c r="O19" s="590">
        <f t="shared" si="1"/>
        <v>200000</v>
      </c>
    </row>
    <row r="20" spans="1:15" ht="19.5" customHeight="1" x14ac:dyDescent="0.2">
      <c r="A20" s="584" t="s">
        <v>14</v>
      </c>
      <c r="B20" s="584" t="s">
        <v>15</v>
      </c>
      <c r="C20" s="584" t="s">
        <v>35</v>
      </c>
      <c r="D20" s="584" t="s">
        <v>16</v>
      </c>
      <c r="E20" s="584" t="s">
        <v>14</v>
      </c>
      <c r="F20" s="584" t="s">
        <v>16</v>
      </c>
      <c r="G20" s="585" t="s">
        <v>17</v>
      </c>
      <c r="H20" s="585" t="s">
        <v>14</v>
      </c>
      <c r="I20" s="586" t="s">
        <v>36</v>
      </c>
      <c r="J20" s="587">
        <f>J21+J22</f>
        <v>5252000</v>
      </c>
      <c r="K20" s="587">
        <f>K21+K22</f>
        <v>0</v>
      </c>
      <c r="L20" s="587">
        <f t="shared" si="0"/>
        <v>5252000</v>
      </c>
      <c r="M20" s="587">
        <f>M21+M22</f>
        <v>5305000</v>
      </c>
      <c r="N20" s="587">
        <f>N21+N22</f>
        <v>0</v>
      </c>
      <c r="O20" s="587">
        <f t="shared" si="1"/>
        <v>5305000</v>
      </c>
    </row>
    <row r="21" spans="1:15" ht="64.5" customHeight="1" x14ac:dyDescent="0.2">
      <c r="A21" s="588" t="s">
        <v>21</v>
      </c>
      <c r="B21" s="588" t="s">
        <v>15</v>
      </c>
      <c r="C21" s="588" t="s">
        <v>35</v>
      </c>
      <c r="D21" s="588" t="s">
        <v>25</v>
      </c>
      <c r="E21" s="588" t="s">
        <v>14</v>
      </c>
      <c r="F21" s="588" t="s">
        <v>19</v>
      </c>
      <c r="G21" s="589" t="s">
        <v>17</v>
      </c>
      <c r="H21" s="589" t="s">
        <v>23</v>
      </c>
      <c r="I21" s="560" t="s">
        <v>37</v>
      </c>
      <c r="J21" s="590">
        <v>5252000</v>
      </c>
      <c r="K21" s="590"/>
      <c r="L21" s="590">
        <f t="shared" si="0"/>
        <v>5252000</v>
      </c>
      <c r="M21" s="590">
        <v>5305000</v>
      </c>
      <c r="N21" s="590"/>
      <c r="O21" s="590">
        <f t="shared" si="1"/>
        <v>5305000</v>
      </c>
    </row>
    <row r="22" spans="1:15" ht="71.25" hidden="1" customHeight="1" x14ac:dyDescent="0.2">
      <c r="A22" s="588" t="s">
        <v>38</v>
      </c>
      <c r="B22" s="588" t="s">
        <v>15</v>
      </c>
      <c r="C22" s="588" t="s">
        <v>35</v>
      </c>
      <c r="D22" s="588" t="s">
        <v>39</v>
      </c>
      <c r="E22" s="588" t="s">
        <v>14</v>
      </c>
      <c r="F22" s="588" t="s">
        <v>19</v>
      </c>
      <c r="G22" s="589" t="s">
        <v>17</v>
      </c>
      <c r="H22" s="589" t="s">
        <v>23</v>
      </c>
      <c r="I22" s="560" t="s">
        <v>40</v>
      </c>
      <c r="J22" s="590">
        <v>0</v>
      </c>
      <c r="K22" s="590"/>
      <c r="L22" s="590">
        <f t="shared" si="0"/>
        <v>0</v>
      </c>
      <c r="M22" s="590">
        <v>0</v>
      </c>
      <c r="N22" s="590"/>
      <c r="O22" s="590">
        <f t="shared" si="1"/>
        <v>0</v>
      </c>
    </row>
    <row r="23" spans="1:15" ht="47.25" hidden="1" customHeight="1" x14ac:dyDescent="0.2">
      <c r="A23" s="584" t="s">
        <v>21</v>
      </c>
      <c r="B23" s="584" t="s">
        <v>15</v>
      </c>
      <c r="C23" s="584" t="s">
        <v>41</v>
      </c>
      <c r="D23" s="584"/>
      <c r="E23" s="584" t="s">
        <v>42</v>
      </c>
      <c r="F23" s="584" t="s">
        <v>16</v>
      </c>
      <c r="G23" s="585" t="s">
        <v>17</v>
      </c>
      <c r="H23" s="585" t="s">
        <v>14</v>
      </c>
      <c r="I23" s="586" t="s">
        <v>43</v>
      </c>
      <c r="J23" s="587">
        <v>0</v>
      </c>
      <c r="K23" s="587">
        <v>0</v>
      </c>
      <c r="L23" s="590">
        <f t="shared" si="0"/>
        <v>0</v>
      </c>
      <c r="M23" s="587">
        <v>0</v>
      </c>
      <c r="N23" s="587">
        <v>0</v>
      </c>
      <c r="O23" s="590">
        <f t="shared" si="1"/>
        <v>0</v>
      </c>
    </row>
    <row r="24" spans="1:15" ht="79.5" customHeight="1" x14ac:dyDescent="0.2">
      <c r="A24" s="584" t="s">
        <v>14</v>
      </c>
      <c r="B24" s="584" t="s">
        <v>15</v>
      </c>
      <c r="C24" s="584" t="s">
        <v>44</v>
      </c>
      <c r="D24" s="584" t="s">
        <v>16</v>
      </c>
      <c r="E24" s="584" t="s">
        <v>14</v>
      </c>
      <c r="F24" s="584" t="s">
        <v>16</v>
      </c>
      <c r="G24" s="585" t="s">
        <v>17</v>
      </c>
      <c r="H24" s="585" t="s">
        <v>14</v>
      </c>
      <c r="I24" s="586" t="s">
        <v>45</v>
      </c>
      <c r="J24" s="591">
        <f>J25+J27</f>
        <v>11715000</v>
      </c>
      <c r="K24" s="591">
        <f>K25+K27</f>
        <v>0</v>
      </c>
      <c r="L24" s="587">
        <f t="shared" si="0"/>
        <v>11715000</v>
      </c>
      <c r="M24" s="591">
        <f>M25+M27</f>
        <v>11715000</v>
      </c>
      <c r="N24" s="591">
        <f>N25+N27</f>
        <v>0</v>
      </c>
      <c r="O24" s="587">
        <f t="shared" si="1"/>
        <v>11715000</v>
      </c>
    </row>
    <row r="25" spans="1:15" ht="158.25" customHeight="1" x14ac:dyDescent="0.2">
      <c r="A25" s="592" t="s">
        <v>46</v>
      </c>
      <c r="B25" s="592" t="s">
        <v>15</v>
      </c>
      <c r="C25" s="592" t="s">
        <v>44</v>
      </c>
      <c r="D25" s="592" t="s">
        <v>19</v>
      </c>
      <c r="E25" s="592" t="s">
        <v>14</v>
      </c>
      <c r="F25" s="592" t="s">
        <v>16</v>
      </c>
      <c r="G25" s="593" t="s">
        <v>17</v>
      </c>
      <c r="H25" s="593" t="s">
        <v>47</v>
      </c>
      <c r="I25" s="594" t="s">
        <v>48</v>
      </c>
      <c r="J25" s="595">
        <f>J26</f>
        <v>25000</v>
      </c>
      <c r="K25" s="595"/>
      <c r="L25" s="596">
        <f t="shared" si="0"/>
        <v>25000</v>
      </c>
      <c r="M25" s="595">
        <f>M26</f>
        <v>25000</v>
      </c>
      <c r="N25" s="595"/>
      <c r="O25" s="596">
        <f t="shared" si="1"/>
        <v>25000</v>
      </c>
    </row>
    <row r="26" spans="1:15" ht="147" customHeight="1" x14ac:dyDescent="0.2">
      <c r="A26" s="588" t="s">
        <v>46</v>
      </c>
      <c r="B26" s="588" t="s">
        <v>15</v>
      </c>
      <c r="C26" s="588" t="s">
        <v>44</v>
      </c>
      <c r="D26" s="588" t="s">
        <v>19</v>
      </c>
      <c r="E26" s="588" t="s">
        <v>49</v>
      </c>
      <c r="F26" s="588" t="s">
        <v>29</v>
      </c>
      <c r="G26" s="589" t="s">
        <v>17</v>
      </c>
      <c r="H26" s="589" t="s">
        <v>47</v>
      </c>
      <c r="I26" s="560" t="s">
        <v>183</v>
      </c>
      <c r="J26" s="590">
        <v>25000</v>
      </c>
      <c r="K26" s="590"/>
      <c r="L26" s="590">
        <f t="shared" si="0"/>
        <v>25000</v>
      </c>
      <c r="M26" s="590">
        <v>25000</v>
      </c>
      <c r="N26" s="590"/>
      <c r="O26" s="590">
        <f t="shared" si="1"/>
        <v>25000</v>
      </c>
    </row>
    <row r="27" spans="1:15" ht="160.5" customHeight="1" x14ac:dyDescent="0.2">
      <c r="A27" s="592" t="s">
        <v>14</v>
      </c>
      <c r="B27" s="592" t="s">
        <v>15</v>
      </c>
      <c r="C27" s="592" t="s">
        <v>44</v>
      </c>
      <c r="D27" s="592" t="s">
        <v>29</v>
      </c>
      <c r="E27" s="592" t="s">
        <v>14</v>
      </c>
      <c r="F27" s="592" t="s">
        <v>16</v>
      </c>
      <c r="G27" s="593" t="s">
        <v>17</v>
      </c>
      <c r="H27" s="593" t="s">
        <v>47</v>
      </c>
      <c r="I27" s="594" t="s">
        <v>51</v>
      </c>
      <c r="J27" s="596">
        <f>J28+J29</f>
        <v>11690000</v>
      </c>
      <c r="K27" s="596"/>
      <c r="L27" s="590">
        <f t="shared" si="0"/>
        <v>11690000</v>
      </c>
      <c r="M27" s="596">
        <f>M28+M29</f>
        <v>11690000</v>
      </c>
      <c r="N27" s="596"/>
      <c r="O27" s="590">
        <f t="shared" si="1"/>
        <v>11690000</v>
      </c>
    </row>
    <row r="28" spans="1:15" ht="131.25" customHeight="1" x14ac:dyDescent="0.2">
      <c r="A28" s="588" t="s">
        <v>14</v>
      </c>
      <c r="B28" s="588" t="s">
        <v>15</v>
      </c>
      <c r="C28" s="588" t="s">
        <v>44</v>
      </c>
      <c r="D28" s="588" t="s">
        <v>29</v>
      </c>
      <c r="E28" s="588" t="s">
        <v>52</v>
      </c>
      <c r="F28" s="588" t="s">
        <v>16</v>
      </c>
      <c r="G28" s="589" t="s">
        <v>17</v>
      </c>
      <c r="H28" s="589" t="s">
        <v>47</v>
      </c>
      <c r="I28" s="560" t="s">
        <v>53</v>
      </c>
      <c r="J28" s="590">
        <v>9190000</v>
      </c>
      <c r="K28" s="590"/>
      <c r="L28" s="590">
        <f t="shared" si="0"/>
        <v>9190000</v>
      </c>
      <c r="M28" s="590">
        <v>9190000</v>
      </c>
      <c r="N28" s="590"/>
      <c r="O28" s="590">
        <f t="shared" si="1"/>
        <v>9190000</v>
      </c>
    </row>
    <row r="29" spans="1:15" ht="71.25" customHeight="1" x14ac:dyDescent="0.2">
      <c r="A29" s="588" t="s">
        <v>46</v>
      </c>
      <c r="B29" s="588" t="s">
        <v>15</v>
      </c>
      <c r="C29" s="588" t="s">
        <v>44</v>
      </c>
      <c r="D29" s="588" t="s">
        <v>29</v>
      </c>
      <c r="E29" s="588" t="s">
        <v>54</v>
      </c>
      <c r="F29" s="588" t="s">
        <v>29</v>
      </c>
      <c r="G29" s="589" t="s">
        <v>17</v>
      </c>
      <c r="H29" s="589" t="s">
        <v>47</v>
      </c>
      <c r="I29" s="560" t="s">
        <v>55</v>
      </c>
      <c r="J29" s="590">
        <v>2500000</v>
      </c>
      <c r="K29" s="590"/>
      <c r="L29" s="590">
        <f t="shared" si="0"/>
        <v>2500000</v>
      </c>
      <c r="M29" s="590">
        <v>2500000</v>
      </c>
      <c r="N29" s="590"/>
      <c r="O29" s="590">
        <f t="shared" si="1"/>
        <v>2500000</v>
      </c>
    </row>
    <row r="30" spans="1:15" ht="33.75" customHeight="1" x14ac:dyDescent="0.2">
      <c r="A30" s="584" t="s">
        <v>14</v>
      </c>
      <c r="B30" s="584" t="s">
        <v>15</v>
      </c>
      <c r="C30" s="584" t="s">
        <v>56</v>
      </c>
      <c r="D30" s="584" t="s">
        <v>16</v>
      </c>
      <c r="E30" s="584" t="s">
        <v>14</v>
      </c>
      <c r="F30" s="584" t="s">
        <v>16</v>
      </c>
      <c r="G30" s="585" t="s">
        <v>17</v>
      </c>
      <c r="H30" s="585" t="s">
        <v>14</v>
      </c>
      <c r="I30" s="586" t="s">
        <v>57</v>
      </c>
      <c r="J30" s="591">
        <f>J31+J32</f>
        <v>2503000</v>
      </c>
      <c r="K30" s="591">
        <f>K31+K32</f>
        <v>0</v>
      </c>
      <c r="L30" s="587">
        <f t="shared" si="0"/>
        <v>2503000</v>
      </c>
      <c r="M30" s="591">
        <f>M31+M32</f>
        <v>2711000</v>
      </c>
      <c r="N30" s="591">
        <f>N31+N32</f>
        <v>0</v>
      </c>
      <c r="O30" s="587">
        <f t="shared" si="1"/>
        <v>2711000</v>
      </c>
    </row>
    <row r="31" spans="1:15" ht="45.75" customHeight="1" x14ac:dyDescent="0.2">
      <c r="A31" s="588" t="s">
        <v>184</v>
      </c>
      <c r="B31" s="588" t="s">
        <v>15</v>
      </c>
      <c r="C31" s="588" t="s">
        <v>56</v>
      </c>
      <c r="D31" s="588" t="s">
        <v>19</v>
      </c>
      <c r="E31" s="588" t="s">
        <v>14</v>
      </c>
      <c r="F31" s="588" t="s">
        <v>19</v>
      </c>
      <c r="G31" s="589" t="s">
        <v>17</v>
      </c>
      <c r="H31" s="589" t="s">
        <v>47</v>
      </c>
      <c r="I31" s="560" t="s">
        <v>58</v>
      </c>
      <c r="J31" s="590">
        <v>2503000</v>
      </c>
      <c r="K31" s="590"/>
      <c r="L31" s="590">
        <f t="shared" si="0"/>
        <v>2503000</v>
      </c>
      <c r="M31" s="590">
        <v>2711000</v>
      </c>
      <c r="N31" s="590"/>
      <c r="O31" s="590">
        <f t="shared" si="1"/>
        <v>2711000</v>
      </c>
    </row>
    <row r="32" spans="1:15" ht="0.75" customHeight="1" x14ac:dyDescent="0.2">
      <c r="A32" s="588" t="s">
        <v>21</v>
      </c>
      <c r="B32" s="588" t="s">
        <v>15</v>
      </c>
      <c r="C32" s="588" t="s">
        <v>56</v>
      </c>
      <c r="D32" s="588"/>
      <c r="E32" s="588" t="s">
        <v>59</v>
      </c>
      <c r="F32" s="588" t="s">
        <v>19</v>
      </c>
      <c r="G32" s="589" t="s">
        <v>17</v>
      </c>
      <c r="H32" s="589" t="s">
        <v>47</v>
      </c>
      <c r="I32" s="560" t="s">
        <v>60</v>
      </c>
      <c r="J32" s="590">
        <v>0</v>
      </c>
      <c r="K32" s="590">
        <v>0</v>
      </c>
      <c r="L32" s="590">
        <f t="shared" si="0"/>
        <v>0</v>
      </c>
      <c r="M32" s="590">
        <v>0</v>
      </c>
      <c r="N32" s="590">
        <v>0</v>
      </c>
      <c r="O32" s="590">
        <f t="shared" si="1"/>
        <v>0</v>
      </c>
    </row>
    <row r="33" spans="1:15" ht="63.75" customHeight="1" x14ac:dyDescent="0.2">
      <c r="A33" s="584" t="s">
        <v>14</v>
      </c>
      <c r="B33" s="584" t="s">
        <v>15</v>
      </c>
      <c r="C33" s="584" t="s">
        <v>61</v>
      </c>
      <c r="D33" s="584" t="s">
        <v>16</v>
      </c>
      <c r="E33" s="584" t="s">
        <v>14</v>
      </c>
      <c r="F33" s="584" t="s">
        <v>16</v>
      </c>
      <c r="G33" s="585" t="s">
        <v>17</v>
      </c>
      <c r="H33" s="585" t="s">
        <v>62</v>
      </c>
      <c r="I33" s="586" t="s">
        <v>63</v>
      </c>
      <c r="J33" s="587">
        <f>J34</f>
        <v>58162000</v>
      </c>
      <c r="K33" s="587">
        <f>K34</f>
        <v>0</v>
      </c>
      <c r="L33" s="587">
        <f t="shared" si="0"/>
        <v>58162000</v>
      </c>
      <c r="M33" s="587">
        <f>M34</f>
        <v>58162000</v>
      </c>
      <c r="N33" s="587">
        <f>N34</f>
        <v>0</v>
      </c>
      <c r="O33" s="587">
        <f t="shared" si="1"/>
        <v>58162000</v>
      </c>
    </row>
    <row r="34" spans="1:15" ht="70.5" customHeight="1" x14ac:dyDescent="0.2">
      <c r="A34" s="588" t="s">
        <v>101</v>
      </c>
      <c r="B34" s="588" t="s">
        <v>15</v>
      </c>
      <c r="C34" s="588" t="s">
        <v>61</v>
      </c>
      <c r="D34" s="588" t="s">
        <v>19</v>
      </c>
      <c r="E34" s="588" t="s">
        <v>64</v>
      </c>
      <c r="F34" s="588" t="s">
        <v>29</v>
      </c>
      <c r="G34" s="589" t="s">
        <v>17</v>
      </c>
      <c r="H34" s="589" t="s">
        <v>62</v>
      </c>
      <c r="I34" s="560" t="s">
        <v>65</v>
      </c>
      <c r="J34" s="590">
        <f>(5321000+52841000)</f>
        <v>58162000</v>
      </c>
      <c r="K34" s="590"/>
      <c r="L34" s="590">
        <f t="shared" si="0"/>
        <v>58162000</v>
      </c>
      <c r="M34" s="590">
        <f>(5321000+52841000)</f>
        <v>58162000</v>
      </c>
      <c r="N34" s="590"/>
      <c r="O34" s="590">
        <f t="shared" si="1"/>
        <v>58162000</v>
      </c>
    </row>
    <row r="35" spans="1:15" ht="48" customHeight="1" x14ac:dyDescent="0.2">
      <c r="A35" s="584" t="s">
        <v>14</v>
      </c>
      <c r="B35" s="584" t="s">
        <v>15</v>
      </c>
      <c r="C35" s="584" t="s">
        <v>66</v>
      </c>
      <c r="D35" s="584" t="s">
        <v>16</v>
      </c>
      <c r="E35" s="584" t="s">
        <v>14</v>
      </c>
      <c r="F35" s="584" t="s">
        <v>16</v>
      </c>
      <c r="G35" s="585" t="s">
        <v>17</v>
      </c>
      <c r="H35" s="585" t="s">
        <v>14</v>
      </c>
      <c r="I35" s="586" t="s">
        <v>67</v>
      </c>
      <c r="J35" s="591">
        <f>J36+J37</f>
        <v>7000000</v>
      </c>
      <c r="K35" s="591">
        <f>K36+K37</f>
        <v>0</v>
      </c>
      <c r="L35" s="587">
        <f t="shared" si="0"/>
        <v>7000000</v>
      </c>
      <c r="M35" s="591">
        <f>M36+M37</f>
        <v>6500000</v>
      </c>
      <c r="N35" s="591">
        <f>N36+N37</f>
        <v>0</v>
      </c>
      <c r="O35" s="587">
        <f t="shared" si="1"/>
        <v>6500000</v>
      </c>
    </row>
    <row r="36" spans="1:15" ht="152.25" customHeight="1" x14ac:dyDescent="0.2">
      <c r="A36" s="588" t="s">
        <v>14</v>
      </c>
      <c r="B36" s="588" t="s">
        <v>15</v>
      </c>
      <c r="C36" s="588" t="s">
        <v>66</v>
      </c>
      <c r="D36" s="588" t="s">
        <v>22</v>
      </c>
      <c r="E36" s="588" t="s">
        <v>14</v>
      </c>
      <c r="F36" s="588" t="s">
        <v>16</v>
      </c>
      <c r="G36" s="589" t="s">
        <v>17</v>
      </c>
      <c r="H36" s="589" t="s">
        <v>14</v>
      </c>
      <c r="I36" s="560" t="s">
        <v>68</v>
      </c>
      <c r="J36" s="590">
        <v>3000000</v>
      </c>
      <c r="K36" s="590"/>
      <c r="L36" s="590">
        <f t="shared" si="0"/>
        <v>3000000</v>
      </c>
      <c r="M36" s="590">
        <v>2500000</v>
      </c>
      <c r="N36" s="590"/>
      <c r="O36" s="590">
        <f t="shared" si="1"/>
        <v>2500000</v>
      </c>
    </row>
    <row r="37" spans="1:15" ht="66.75" customHeight="1" x14ac:dyDescent="0.2">
      <c r="A37" s="588" t="s">
        <v>14</v>
      </c>
      <c r="B37" s="588" t="s">
        <v>15</v>
      </c>
      <c r="C37" s="588" t="s">
        <v>66</v>
      </c>
      <c r="D37" s="588" t="s">
        <v>69</v>
      </c>
      <c r="E37" s="588" t="s">
        <v>14</v>
      </c>
      <c r="F37" s="588" t="s">
        <v>16</v>
      </c>
      <c r="G37" s="589" t="s">
        <v>17</v>
      </c>
      <c r="H37" s="589" t="s">
        <v>70</v>
      </c>
      <c r="I37" s="560" t="s">
        <v>185</v>
      </c>
      <c r="J37" s="597">
        <v>4000000</v>
      </c>
      <c r="K37" s="597"/>
      <c r="L37" s="590">
        <f t="shared" si="0"/>
        <v>4000000</v>
      </c>
      <c r="M37" s="597">
        <v>4000000</v>
      </c>
      <c r="N37" s="597"/>
      <c r="O37" s="590">
        <f t="shared" si="1"/>
        <v>4000000</v>
      </c>
    </row>
    <row r="38" spans="1:15" ht="94.5" hidden="1" x14ac:dyDescent="0.2">
      <c r="A38" s="588" t="s">
        <v>14</v>
      </c>
      <c r="B38" s="588" t="s">
        <v>15</v>
      </c>
      <c r="C38" s="588" t="s">
        <v>66</v>
      </c>
      <c r="D38" s="588" t="s">
        <v>69</v>
      </c>
      <c r="E38" s="588" t="s">
        <v>72</v>
      </c>
      <c r="F38" s="588" t="s">
        <v>61</v>
      </c>
      <c r="G38" s="589" t="s">
        <v>17</v>
      </c>
      <c r="H38" s="589" t="s">
        <v>70</v>
      </c>
      <c r="I38" s="560" t="s">
        <v>74</v>
      </c>
      <c r="J38" s="590">
        <v>0</v>
      </c>
      <c r="K38" s="590">
        <v>0</v>
      </c>
      <c r="L38" s="590">
        <f t="shared" si="0"/>
        <v>0</v>
      </c>
      <c r="M38" s="590">
        <v>0</v>
      </c>
      <c r="N38" s="590">
        <v>0</v>
      </c>
      <c r="O38" s="590">
        <f t="shared" si="1"/>
        <v>0</v>
      </c>
    </row>
    <row r="39" spans="1:15" ht="128.25" hidden="1" customHeight="1" x14ac:dyDescent="0.2">
      <c r="A39" s="588" t="s">
        <v>46</v>
      </c>
      <c r="B39" s="588" t="s">
        <v>15</v>
      </c>
      <c r="C39" s="588" t="s">
        <v>66</v>
      </c>
      <c r="D39" s="588" t="s">
        <v>69</v>
      </c>
      <c r="E39" s="588" t="s">
        <v>75</v>
      </c>
      <c r="F39" s="588" t="s">
        <v>29</v>
      </c>
      <c r="G39" s="589" t="s">
        <v>17</v>
      </c>
      <c r="H39" s="589" t="s">
        <v>70</v>
      </c>
      <c r="I39" s="560" t="s">
        <v>186</v>
      </c>
      <c r="J39" s="590">
        <v>0</v>
      </c>
      <c r="K39" s="590">
        <v>0</v>
      </c>
      <c r="L39" s="590">
        <f t="shared" si="0"/>
        <v>0</v>
      </c>
      <c r="M39" s="590">
        <v>0</v>
      </c>
      <c r="N39" s="590">
        <v>0</v>
      </c>
      <c r="O39" s="590">
        <f t="shared" si="1"/>
        <v>0</v>
      </c>
    </row>
    <row r="40" spans="1:15" ht="31.5" x14ac:dyDescent="0.2">
      <c r="A40" s="584" t="s">
        <v>14</v>
      </c>
      <c r="B40" s="584" t="s">
        <v>15</v>
      </c>
      <c r="C40" s="584" t="s">
        <v>77</v>
      </c>
      <c r="D40" s="584" t="s">
        <v>16</v>
      </c>
      <c r="E40" s="584" t="s">
        <v>14</v>
      </c>
      <c r="F40" s="584" t="s">
        <v>16</v>
      </c>
      <c r="G40" s="585" t="s">
        <v>17</v>
      </c>
      <c r="H40" s="585" t="s">
        <v>14</v>
      </c>
      <c r="I40" s="586" t="s">
        <v>78</v>
      </c>
      <c r="J40" s="587">
        <v>2242000</v>
      </c>
      <c r="K40" s="587"/>
      <c r="L40" s="587">
        <f t="shared" si="0"/>
        <v>2242000</v>
      </c>
      <c r="M40" s="587">
        <v>2284000</v>
      </c>
      <c r="N40" s="587"/>
      <c r="O40" s="587">
        <f t="shared" si="1"/>
        <v>2284000</v>
      </c>
    </row>
    <row r="41" spans="1:15" ht="28.5" hidden="1" customHeight="1" x14ac:dyDescent="0.2">
      <c r="A41" s="584" t="s">
        <v>14</v>
      </c>
      <c r="B41" s="584" t="s">
        <v>15</v>
      </c>
      <c r="C41" s="584" t="s">
        <v>79</v>
      </c>
      <c r="D41" s="584"/>
      <c r="E41" s="584" t="s">
        <v>42</v>
      </c>
      <c r="F41" s="584" t="s">
        <v>16</v>
      </c>
      <c r="G41" s="585" t="s">
        <v>17</v>
      </c>
      <c r="H41" s="585" t="s">
        <v>14</v>
      </c>
      <c r="I41" s="586" t="s">
        <v>80</v>
      </c>
      <c r="J41" s="587">
        <v>0</v>
      </c>
      <c r="K41" s="587">
        <v>0</v>
      </c>
      <c r="L41" s="590">
        <f t="shared" si="0"/>
        <v>0</v>
      </c>
      <c r="M41" s="587">
        <v>0</v>
      </c>
      <c r="N41" s="587">
        <v>0</v>
      </c>
      <c r="O41" s="590">
        <f t="shared" si="1"/>
        <v>0</v>
      </c>
    </row>
    <row r="42" spans="1:15" ht="20.25" customHeight="1" x14ac:dyDescent="0.2">
      <c r="A42" s="584" t="s">
        <v>14</v>
      </c>
      <c r="B42" s="584" t="s">
        <v>81</v>
      </c>
      <c r="C42" s="584" t="s">
        <v>16</v>
      </c>
      <c r="D42" s="584" t="s">
        <v>16</v>
      </c>
      <c r="E42" s="584" t="s">
        <v>14</v>
      </c>
      <c r="F42" s="584" t="s">
        <v>16</v>
      </c>
      <c r="G42" s="598" t="s">
        <v>17</v>
      </c>
      <c r="H42" s="598" t="s">
        <v>14</v>
      </c>
      <c r="I42" s="599" t="s">
        <v>82</v>
      </c>
      <c r="J42" s="591">
        <f>J43</f>
        <v>1334839336</v>
      </c>
      <c r="K42" s="591">
        <f>K43</f>
        <v>0</v>
      </c>
      <c r="L42" s="587">
        <f t="shared" si="0"/>
        <v>1334839336</v>
      </c>
      <c r="M42" s="591">
        <f>M43</f>
        <v>1119809013</v>
      </c>
      <c r="N42" s="591">
        <f>N43</f>
        <v>0</v>
      </c>
      <c r="O42" s="587">
        <f t="shared" si="1"/>
        <v>1119809013</v>
      </c>
    </row>
    <row r="43" spans="1:15" ht="55.5" customHeight="1" x14ac:dyDescent="0.2">
      <c r="A43" s="584" t="s">
        <v>14</v>
      </c>
      <c r="B43" s="584" t="s">
        <v>81</v>
      </c>
      <c r="C43" s="584" t="s">
        <v>22</v>
      </c>
      <c r="D43" s="584" t="s">
        <v>16</v>
      </c>
      <c r="E43" s="584" t="s">
        <v>14</v>
      </c>
      <c r="F43" s="584" t="s">
        <v>16</v>
      </c>
      <c r="G43" s="598" t="s">
        <v>17</v>
      </c>
      <c r="H43" s="598" t="s">
        <v>14</v>
      </c>
      <c r="I43" s="599" t="s">
        <v>83</v>
      </c>
      <c r="J43" s="591">
        <f>J44+J49+J55+J95</f>
        <v>1334839336</v>
      </c>
      <c r="K43" s="591">
        <f>K44+K49+K55+K95</f>
        <v>0</v>
      </c>
      <c r="L43" s="587">
        <f t="shared" si="0"/>
        <v>1334839336</v>
      </c>
      <c r="M43" s="591">
        <f>M44+M49+M55+M95</f>
        <v>1119809013</v>
      </c>
      <c r="N43" s="591">
        <f>N44+N49+N55+N95</f>
        <v>0</v>
      </c>
      <c r="O43" s="587">
        <f t="shared" si="1"/>
        <v>1119809013</v>
      </c>
    </row>
    <row r="44" spans="1:15" ht="51.75" customHeight="1" x14ac:dyDescent="0.2">
      <c r="A44" s="584" t="s">
        <v>86</v>
      </c>
      <c r="B44" s="584" t="s">
        <v>81</v>
      </c>
      <c r="C44" s="584" t="s">
        <v>22</v>
      </c>
      <c r="D44" s="584" t="s">
        <v>73</v>
      </c>
      <c r="E44" s="584" t="s">
        <v>14</v>
      </c>
      <c r="F44" s="584" t="s">
        <v>16</v>
      </c>
      <c r="G44" s="598" t="s">
        <v>17</v>
      </c>
      <c r="H44" s="598" t="s">
        <v>84</v>
      </c>
      <c r="I44" s="599" t="s">
        <v>85</v>
      </c>
      <c r="J44" s="591">
        <f>J45+J46+J47+J48</f>
        <v>344360000</v>
      </c>
      <c r="K44" s="591">
        <f>K45+K46+K47+K48</f>
        <v>0</v>
      </c>
      <c r="L44" s="587">
        <f t="shared" si="0"/>
        <v>344360000</v>
      </c>
      <c r="M44" s="591">
        <f>M45+M46+M47+M48</f>
        <v>128934000</v>
      </c>
      <c r="N44" s="591">
        <f>N45+N46+N47+N48</f>
        <v>0</v>
      </c>
      <c r="O44" s="587">
        <f t="shared" si="1"/>
        <v>128934000</v>
      </c>
    </row>
    <row r="45" spans="1:15" ht="65.25" customHeight="1" x14ac:dyDescent="0.2">
      <c r="A45" s="588" t="s">
        <v>86</v>
      </c>
      <c r="B45" s="588" t="s">
        <v>81</v>
      </c>
      <c r="C45" s="588" t="s">
        <v>22</v>
      </c>
      <c r="D45" s="588" t="s">
        <v>1003</v>
      </c>
      <c r="E45" s="588" t="s">
        <v>87</v>
      </c>
      <c r="F45" s="588" t="s">
        <v>29</v>
      </c>
      <c r="G45" s="600" t="s">
        <v>17</v>
      </c>
      <c r="H45" s="600" t="s">
        <v>84</v>
      </c>
      <c r="I45" s="601" t="s">
        <v>88</v>
      </c>
      <c r="J45" s="590">
        <v>344327000</v>
      </c>
      <c r="K45" s="590"/>
      <c r="L45" s="590">
        <f t="shared" si="0"/>
        <v>344327000</v>
      </c>
      <c r="M45" s="590">
        <v>128934000</v>
      </c>
      <c r="N45" s="590"/>
      <c r="O45" s="590">
        <f t="shared" si="1"/>
        <v>128934000</v>
      </c>
    </row>
    <row r="46" spans="1:15" ht="52.5" customHeight="1" x14ac:dyDescent="0.2">
      <c r="A46" s="588" t="s">
        <v>86</v>
      </c>
      <c r="B46" s="588" t="s">
        <v>81</v>
      </c>
      <c r="C46" s="588" t="s">
        <v>22</v>
      </c>
      <c r="D46" s="588" t="s">
        <v>1003</v>
      </c>
      <c r="E46" s="588" t="s">
        <v>87</v>
      </c>
      <c r="F46" s="588" t="s">
        <v>29</v>
      </c>
      <c r="G46" s="600" t="s">
        <v>17</v>
      </c>
      <c r="H46" s="600" t="s">
        <v>84</v>
      </c>
      <c r="I46" s="601" t="s">
        <v>89</v>
      </c>
      <c r="J46" s="590">
        <v>33000</v>
      </c>
      <c r="K46" s="590"/>
      <c r="L46" s="590">
        <f t="shared" si="0"/>
        <v>33000</v>
      </c>
      <c r="M46" s="590">
        <v>0</v>
      </c>
      <c r="N46" s="590"/>
      <c r="O46" s="590">
        <f t="shared" si="1"/>
        <v>0</v>
      </c>
    </row>
    <row r="47" spans="1:15" ht="69.75" hidden="1" customHeight="1" x14ac:dyDescent="0.2">
      <c r="A47" s="588" t="s">
        <v>86</v>
      </c>
      <c r="B47" s="588" t="s">
        <v>81</v>
      </c>
      <c r="C47" s="588" t="s">
        <v>22</v>
      </c>
      <c r="D47" s="588" t="s">
        <v>19</v>
      </c>
      <c r="E47" s="588" t="s">
        <v>90</v>
      </c>
      <c r="F47" s="588" t="s">
        <v>29</v>
      </c>
      <c r="G47" s="600" t="s">
        <v>17</v>
      </c>
      <c r="H47" s="600" t="s">
        <v>84</v>
      </c>
      <c r="I47" s="601" t="s">
        <v>91</v>
      </c>
      <c r="J47" s="590">
        <v>0</v>
      </c>
      <c r="K47" s="590">
        <v>0</v>
      </c>
      <c r="L47" s="590">
        <f t="shared" si="0"/>
        <v>0</v>
      </c>
      <c r="M47" s="590">
        <v>0</v>
      </c>
      <c r="N47" s="590">
        <v>0</v>
      </c>
      <c r="O47" s="590">
        <f t="shared" si="1"/>
        <v>0</v>
      </c>
    </row>
    <row r="48" spans="1:15" ht="71.25" hidden="1" customHeight="1" x14ac:dyDescent="0.2">
      <c r="A48" s="588"/>
      <c r="B48" s="588"/>
      <c r="C48" s="588"/>
      <c r="D48" s="588"/>
      <c r="E48" s="588"/>
      <c r="F48" s="588"/>
      <c r="G48" s="600"/>
      <c r="H48" s="600"/>
      <c r="I48" s="601"/>
      <c r="J48" s="590"/>
      <c r="K48" s="590"/>
      <c r="L48" s="590">
        <f t="shared" si="0"/>
        <v>0</v>
      </c>
      <c r="M48" s="590"/>
      <c r="N48" s="590"/>
      <c r="O48" s="590">
        <f t="shared" si="1"/>
        <v>0</v>
      </c>
    </row>
    <row r="49" spans="1:15" ht="76.5" customHeight="1" x14ac:dyDescent="0.2">
      <c r="A49" s="584" t="s">
        <v>14</v>
      </c>
      <c r="B49" s="584" t="s">
        <v>81</v>
      </c>
      <c r="C49" s="584" t="s">
        <v>22</v>
      </c>
      <c r="D49" s="584" t="s">
        <v>2962</v>
      </c>
      <c r="E49" s="584" t="s">
        <v>14</v>
      </c>
      <c r="F49" s="584" t="s">
        <v>16</v>
      </c>
      <c r="G49" s="598" t="s">
        <v>17</v>
      </c>
      <c r="H49" s="598" t="s">
        <v>84</v>
      </c>
      <c r="I49" s="599" t="s">
        <v>92</v>
      </c>
      <c r="J49" s="591">
        <f>SUM(J50:J54)</f>
        <v>891431</v>
      </c>
      <c r="K49" s="591">
        <f>SUM(K50:K54)</f>
        <v>0</v>
      </c>
      <c r="L49" s="587">
        <f t="shared" si="0"/>
        <v>891431</v>
      </c>
      <c r="M49" s="591">
        <f>SUM(M50:M54)</f>
        <v>891431</v>
      </c>
      <c r="N49" s="591">
        <f>SUM(N50:N54)</f>
        <v>0</v>
      </c>
      <c r="O49" s="587">
        <f t="shared" si="1"/>
        <v>891431</v>
      </c>
    </row>
    <row r="50" spans="1:15" ht="36.75" hidden="1" customHeight="1" x14ac:dyDescent="0.2">
      <c r="A50" s="588" t="s">
        <v>94</v>
      </c>
      <c r="B50" s="588" t="s">
        <v>81</v>
      </c>
      <c r="C50" s="588" t="s">
        <v>22</v>
      </c>
      <c r="D50" s="588" t="s">
        <v>2962</v>
      </c>
      <c r="E50" s="588" t="s">
        <v>95</v>
      </c>
      <c r="F50" s="588" t="s">
        <v>29</v>
      </c>
      <c r="G50" s="600" t="s">
        <v>17</v>
      </c>
      <c r="H50" s="600" t="s">
        <v>84</v>
      </c>
      <c r="I50" s="601" t="s">
        <v>96</v>
      </c>
      <c r="J50" s="590"/>
      <c r="K50" s="590"/>
      <c r="L50" s="590">
        <f t="shared" si="0"/>
        <v>0</v>
      </c>
      <c r="M50" s="590"/>
      <c r="N50" s="590"/>
      <c r="O50" s="590">
        <f t="shared" si="1"/>
        <v>0</v>
      </c>
    </row>
    <row r="51" spans="1:15" ht="66.75" hidden="1" customHeight="1" x14ac:dyDescent="0.2">
      <c r="A51" s="588" t="s">
        <v>98</v>
      </c>
      <c r="B51" s="588" t="s">
        <v>81</v>
      </c>
      <c r="C51" s="588" t="s">
        <v>22</v>
      </c>
      <c r="D51" s="588" t="s">
        <v>2963</v>
      </c>
      <c r="E51" s="588" t="s">
        <v>99</v>
      </c>
      <c r="F51" s="588" t="s">
        <v>29</v>
      </c>
      <c r="G51" s="600" t="s">
        <v>17</v>
      </c>
      <c r="H51" s="600" t="s">
        <v>84</v>
      </c>
      <c r="I51" s="601" t="s">
        <v>100</v>
      </c>
      <c r="J51" s="590"/>
      <c r="K51" s="590"/>
      <c r="L51" s="590">
        <f t="shared" si="0"/>
        <v>0</v>
      </c>
      <c r="M51" s="590"/>
      <c r="N51" s="590"/>
      <c r="O51" s="590">
        <f t="shared" si="1"/>
        <v>0</v>
      </c>
    </row>
    <row r="52" spans="1:15" ht="70.5" hidden="1" customHeight="1" x14ac:dyDescent="0.2">
      <c r="A52" s="588" t="s">
        <v>86</v>
      </c>
      <c r="B52" s="588" t="s">
        <v>81</v>
      </c>
      <c r="C52" s="588" t="s">
        <v>22</v>
      </c>
      <c r="D52" s="588" t="s">
        <v>22</v>
      </c>
      <c r="E52" s="588" t="s">
        <v>99</v>
      </c>
      <c r="F52" s="588" t="s">
        <v>29</v>
      </c>
      <c r="G52" s="600" t="s">
        <v>17</v>
      </c>
      <c r="H52" s="600" t="s">
        <v>84</v>
      </c>
      <c r="I52" s="601" t="s">
        <v>187</v>
      </c>
      <c r="J52" s="590"/>
      <c r="K52" s="590"/>
      <c r="L52" s="590">
        <f t="shared" si="0"/>
        <v>0</v>
      </c>
      <c r="M52" s="590">
        <v>0</v>
      </c>
      <c r="N52" s="590"/>
      <c r="O52" s="590">
        <f t="shared" si="1"/>
        <v>0</v>
      </c>
    </row>
    <row r="53" spans="1:15" ht="88.5" customHeight="1" x14ac:dyDescent="0.2">
      <c r="A53" s="588" t="s">
        <v>101</v>
      </c>
      <c r="B53" s="588" t="s">
        <v>81</v>
      </c>
      <c r="C53" s="588" t="s">
        <v>22</v>
      </c>
      <c r="D53" s="588" t="s">
        <v>2963</v>
      </c>
      <c r="E53" s="588" t="s">
        <v>99</v>
      </c>
      <c r="F53" s="588" t="s">
        <v>29</v>
      </c>
      <c r="G53" s="600" t="s">
        <v>17</v>
      </c>
      <c r="H53" s="600" t="s">
        <v>84</v>
      </c>
      <c r="I53" s="602" t="s">
        <v>104</v>
      </c>
      <c r="J53" s="590">
        <v>151581</v>
      </c>
      <c r="K53" s="590"/>
      <c r="L53" s="590">
        <f t="shared" si="0"/>
        <v>151581</v>
      </c>
      <c r="M53" s="590">
        <v>151581</v>
      </c>
      <c r="N53" s="590"/>
      <c r="O53" s="590">
        <f t="shared" si="1"/>
        <v>151581</v>
      </c>
    </row>
    <row r="54" spans="1:15" ht="96.75" customHeight="1" x14ac:dyDescent="0.2">
      <c r="A54" s="588" t="s">
        <v>101</v>
      </c>
      <c r="B54" s="588" t="s">
        <v>81</v>
      </c>
      <c r="C54" s="588" t="s">
        <v>22</v>
      </c>
      <c r="D54" s="588" t="s">
        <v>2963</v>
      </c>
      <c r="E54" s="588" t="s">
        <v>99</v>
      </c>
      <c r="F54" s="588" t="s">
        <v>29</v>
      </c>
      <c r="G54" s="600" t="s">
        <v>17</v>
      </c>
      <c r="H54" s="600" t="s">
        <v>84</v>
      </c>
      <c r="I54" s="602" t="s">
        <v>102</v>
      </c>
      <c r="J54" s="590">
        <v>739850</v>
      </c>
      <c r="K54" s="590"/>
      <c r="L54" s="590">
        <f t="shared" si="0"/>
        <v>739850</v>
      </c>
      <c r="M54" s="590">
        <v>739850</v>
      </c>
      <c r="N54" s="590"/>
      <c r="O54" s="590">
        <f t="shared" si="1"/>
        <v>739850</v>
      </c>
    </row>
    <row r="55" spans="1:15" ht="56.25" customHeight="1" x14ac:dyDescent="0.2">
      <c r="A55" s="584" t="s">
        <v>14</v>
      </c>
      <c r="B55" s="584" t="s">
        <v>81</v>
      </c>
      <c r="C55" s="584" t="s">
        <v>22</v>
      </c>
      <c r="D55" s="584" t="s">
        <v>2969</v>
      </c>
      <c r="E55" s="584" t="s">
        <v>14</v>
      </c>
      <c r="F55" s="584" t="s">
        <v>16</v>
      </c>
      <c r="G55" s="598" t="s">
        <v>17</v>
      </c>
      <c r="H55" s="598" t="s">
        <v>84</v>
      </c>
      <c r="I55" s="599" t="s">
        <v>105</v>
      </c>
      <c r="J55" s="591">
        <f t="shared" ref="J55:O55" si="2">SUM(J56:J94)</f>
        <v>989587905</v>
      </c>
      <c r="K55" s="591">
        <f t="shared" si="2"/>
        <v>0</v>
      </c>
      <c r="L55" s="591">
        <f t="shared" si="2"/>
        <v>989587905</v>
      </c>
      <c r="M55" s="591">
        <f t="shared" si="2"/>
        <v>989983582</v>
      </c>
      <c r="N55" s="591">
        <f t="shared" si="2"/>
        <v>0</v>
      </c>
      <c r="O55" s="591">
        <f t="shared" si="2"/>
        <v>989983582</v>
      </c>
    </row>
    <row r="56" spans="1:15" ht="97.5" customHeight="1" x14ac:dyDescent="0.2">
      <c r="A56" s="588" t="s">
        <v>94</v>
      </c>
      <c r="B56" s="588" t="s">
        <v>81</v>
      </c>
      <c r="C56" s="588" t="s">
        <v>22</v>
      </c>
      <c r="D56" s="588" t="s">
        <v>2969</v>
      </c>
      <c r="E56" s="588" t="s">
        <v>112</v>
      </c>
      <c r="F56" s="588" t="s">
        <v>29</v>
      </c>
      <c r="G56" s="600" t="s">
        <v>17</v>
      </c>
      <c r="H56" s="600" t="s">
        <v>84</v>
      </c>
      <c r="I56" s="560" t="s">
        <v>115</v>
      </c>
      <c r="J56" s="642">
        <v>15000</v>
      </c>
      <c r="K56" s="642"/>
      <c r="L56" s="642">
        <f>SUM(J56:K56)</f>
        <v>15000</v>
      </c>
      <c r="M56" s="642">
        <v>15000</v>
      </c>
      <c r="N56" s="642"/>
      <c r="O56" s="642">
        <f t="shared" ref="O56:O62" si="3">SUM(M56:N56)</f>
        <v>15000</v>
      </c>
    </row>
    <row r="57" spans="1:15" ht="67.5" customHeight="1" x14ac:dyDescent="0.2">
      <c r="A57" s="588" t="s">
        <v>94</v>
      </c>
      <c r="B57" s="588" t="s">
        <v>81</v>
      </c>
      <c r="C57" s="588" t="s">
        <v>22</v>
      </c>
      <c r="D57" s="588" t="s">
        <v>2969</v>
      </c>
      <c r="E57" s="588" t="s">
        <v>112</v>
      </c>
      <c r="F57" s="588" t="s">
        <v>29</v>
      </c>
      <c r="G57" s="600" t="s">
        <v>17</v>
      </c>
      <c r="H57" s="600" t="s">
        <v>84</v>
      </c>
      <c r="I57" s="560" t="s">
        <v>3175</v>
      </c>
      <c r="J57" s="643">
        <v>659000</v>
      </c>
      <c r="K57" s="643"/>
      <c r="L57" s="642">
        <f>SUM(J57:K57)</f>
        <v>659000</v>
      </c>
      <c r="M57" s="643">
        <v>659000</v>
      </c>
      <c r="N57" s="644"/>
      <c r="O57" s="642">
        <f t="shared" si="3"/>
        <v>659000</v>
      </c>
    </row>
    <row r="58" spans="1:15" ht="94.5" customHeight="1" x14ac:dyDescent="0.2">
      <c r="A58" s="588" t="s">
        <v>106</v>
      </c>
      <c r="B58" s="588" t="s">
        <v>81</v>
      </c>
      <c r="C58" s="588" t="s">
        <v>22</v>
      </c>
      <c r="D58" s="588" t="s">
        <v>2969</v>
      </c>
      <c r="E58" s="588" t="s">
        <v>112</v>
      </c>
      <c r="F58" s="588" t="s">
        <v>29</v>
      </c>
      <c r="G58" s="600" t="s">
        <v>17</v>
      </c>
      <c r="H58" s="600" t="s">
        <v>84</v>
      </c>
      <c r="I58" s="560" t="s">
        <v>116</v>
      </c>
      <c r="J58" s="643">
        <v>64064000</v>
      </c>
      <c r="K58" s="643"/>
      <c r="L58" s="642">
        <f>SUM(J58:K58)</f>
        <v>64064000</v>
      </c>
      <c r="M58" s="643">
        <v>64064000</v>
      </c>
      <c r="N58" s="644"/>
      <c r="O58" s="642">
        <f t="shared" si="3"/>
        <v>64064000</v>
      </c>
    </row>
    <row r="59" spans="1:15" ht="115.5" customHeight="1" x14ac:dyDescent="0.2">
      <c r="A59" s="588" t="s">
        <v>101</v>
      </c>
      <c r="B59" s="588" t="s">
        <v>81</v>
      </c>
      <c r="C59" s="588" t="s">
        <v>22</v>
      </c>
      <c r="D59" s="588" t="s">
        <v>2969</v>
      </c>
      <c r="E59" s="588" t="s">
        <v>112</v>
      </c>
      <c r="F59" s="588" t="s">
        <v>29</v>
      </c>
      <c r="G59" s="600" t="s">
        <v>17</v>
      </c>
      <c r="H59" s="600" t="s">
        <v>84</v>
      </c>
      <c r="I59" s="560" t="s">
        <v>3176</v>
      </c>
      <c r="J59" s="643">
        <v>4407000</v>
      </c>
      <c r="K59" s="643"/>
      <c r="L59" s="642">
        <f t="shared" ref="L59:L64" si="4">SUM(J59:K59)</f>
        <v>4407000</v>
      </c>
      <c r="M59" s="643">
        <v>4407000</v>
      </c>
      <c r="N59" s="644"/>
      <c r="O59" s="642">
        <f t="shared" si="3"/>
        <v>4407000</v>
      </c>
    </row>
    <row r="60" spans="1:15" ht="66.75" customHeight="1" x14ac:dyDescent="0.2">
      <c r="A60" s="588" t="s">
        <v>101</v>
      </c>
      <c r="B60" s="588" t="s">
        <v>81</v>
      </c>
      <c r="C60" s="588" t="s">
        <v>22</v>
      </c>
      <c r="D60" s="588" t="s">
        <v>2969</v>
      </c>
      <c r="E60" s="588" t="s">
        <v>112</v>
      </c>
      <c r="F60" s="588" t="s">
        <v>29</v>
      </c>
      <c r="G60" s="600" t="s">
        <v>17</v>
      </c>
      <c r="H60" s="600" t="s">
        <v>84</v>
      </c>
      <c r="I60" s="560" t="s">
        <v>130</v>
      </c>
      <c r="J60" s="643">
        <v>1143467</v>
      </c>
      <c r="K60" s="643"/>
      <c r="L60" s="642">
        <f t="shared" si="4"/>
        <v>1143467</v>
      </c>
      <c r="M60" s="643">
        <v>1143467</v>
      </c>
      <c r="N60" s="644"/>
      <c r="O60" s="642">
        <f t="shared" si="3"/>
        <v>1143467</v>
      </c>
    </row>
    <row r="61" spans="1:15" ht="102" customHeight="1" x14ac:dyDescent="0.2">
      <c r="A61" s="588" t="s">
        <v>101</v>
      </c>
      <c r="B61" s="588" t="s">
        <v>81</v>
      </c>
      <c r="C61" s="588" t="s">
        <v>22</v>
      </c>
      <c r="D61" s="588" t="s">
        <v>2969</v>
      </c>
      <c r="E61" s="588" t="s">
        <v>112</v>
      </c>
      <c r="F61" s="588" t="s">
        <v>29</v>
      </c>
      <c r="G61" s="600" t="s">
        <v>17</v>
      </c>
      <c r="H61" s="600" t="s">
        <v>84</v>
      </c>
      <c r="I61" s="560" t="s">
        <v>126</v>
      </c>
      <c r="J61" s="643">
        <v>1279700</v>
      </c>
      <c r="K61" s="643"/>
      <c r="L61" s="642">
        <f t="shared" si="4"/>
        <v>1279700</v>
      </c>
      <c r="M61" s="643">
        <v>1279700</v>
      </c>
      <c r="N61" s="644"/>
      <c r="O61" s="642">
        <f t="shared" si="3"/>
        <v>1279700</v>
      </c>
    </row>
    <row r="62" spans="1:15" ht="123.75" customHeight="1" x14ac:dyDescent="0.2">
      <c r="A62" s="588" t="s">
        <v>101</v>
      </c>
      <c r="B62" s="588" t="s">
        <v>81</v>
      </c>
      <c r="C62" s="588" t="s">
        <v>22</v>
      </c>
      <c r="D62" s="588" t="s">
        <v>2969</v>
      </c>
      <c r="E62" s="588" t="s">
        <v>112</v>
      </c>
      <c r="F62" s="588" t="s">
        <v>29</v>
      </c>
      <c r="G62" s="600" t="s">
        <v>17</v>
      </c>
      <c r="H62" s="600" t="s">
        <v>84</v>
      </c>
      <c r="I62" s="560" t="s">
        <v>128</v>
      </c>
      <c r="J62" s="642">
        <v>17978000</v>
      </c>
      <c r="K62" s="642"/>
      <c r="L62" s="642">
        <f t="shared" si="4"/>
        <v>17978000</v>
      </c>
      <c r="M62" s="642">
        <v>17978000</v>
      </c>
      <c r="N62" s="642"/>
      <c r="O62" s="642">
        <f t="shared" si="3"/>
        <v>17978000</v>
      </c>
    </row>
    <row r="63" spans="1:15" ht="40.5" customHeight="1" x14ac:dyDescent="0.2">
      <c r="A63" s="588" t="s">
        <v>101</v>
      </c>
      <c r="B63" s="588" t="s">
        <v>81</v>
      </c>
      <c r="C63" s="588" t="s">
        <v>22</v>
      </c>
      <c r="D63" s="588" t="s">
        <v>2969</v>
      </c>
      <c r="E63" s="588" t="s">
        <v>112</v>
      </c>
      <c r="F63" s="588" t="s">
        <v>29</v>
      </c>
      <c r="G63" s="600" t="s">
        <v>17</v>
      </c>
      <c r="H63" s="600" t="s">
        <v>84</v>
      </c>
      <c r="I63" s="560" t="s">
        <v>125</v>
      </c>
      <c r="J63" s="642">
        <v>3193301</v>
      </c>
      <c r="K63" s="642"/>
      <c r="L63" s="642">
        <f t="shared" si="4"/>
        <v>3193301</v>
      </c>
      <c r="M63" s="642">
        <v>3193301</v>
      </c>
      <c r="N63" s="642"/>
      <c r="O63" s="642">
        <f t="shared" si="1"/>
        <v>3193301</v>
      </c>
    </row>
    <row r="64" spans="1:15" ht="72" customHeight="1" x14ac:dyDescent="0.2">
      <c r="A64" s="588" t="s">
        <v>101</v>
      </c>
      <c r="B64" s="588" t="s">
        <v>81</v>
      </c>
      <c r="C64" s="588" t="s">
        <v>22</v>
      </c>
      <c r="D64" s="588" t="s">
        <v>2969</v>
      </c>
      <c r="E64" s="588" t="s">
        <v>112</v>
      </c>
      <c r="F64" s="588" t="s">
        <v>29</v>
      </c>
      <c r="G64" s="600" t="s">
        <v>17</v>
      </c>
      <c r="H64" s="600" t="s">
        <v>84</v>
      </c>
      <c r="I64" s="560" t="s">
        <v>113</v>
      </c>
      <c r="J64" s="642">
        <v>205459000</v>
      </c>
      <c r="K64" s="642"/>
      <c r="L64" s="642">
        <f t="shared" si="4"/>
        <v>205459000</v>
      </c>
      <c r="M64" s="642">
        <v>205459000</v>
      </c>
      <c r="N64" s="642"/>
      <c r="O64" s="642">
        <f t="shared" si="1"/>
        <v>205459000</v>
      </c>
    </row>
    <row r="65" spans="1:15" ht="72" customHeight="1" x14ac:dyDescent="0.2">
      <c r="A65" s="588" t="s">
        <v>101</v>
      </c>
      <c r="B65" s="588" t="s">
        <v>81</v>
      </c>
      <c r="C65" s="588" t="s">
        <v>22</v>
      </c>
      <c r="D65" s="588" t="s">
        <v>2969</v>
      </c>
      <c r="E65" s="588" t="s">
        <v>112</v>
      </c>
      <c r="F65" s="588" t="s">
        <v>29</v>
      </c>
      <c r="G65" s="600" t="s">
        <v>17</v>
      </c>
      <c r="H65" s="600" t="s">
        <v>84</v>
      </c>
      <c r="I65" s="560" t="s">
        <v>127</v>
      </c>
      <c r="J65" s="642">
        <v>330474000</v>
      </c>
      <c r="K65" s="642"/>
      <c r="L65" s="642">
        <f t="shared" si="0"/>
        <v>330474000</v>
      </c>
      <c r="M65" s="642">
        <v>330474000</v>
      </c>
      <c r="N65" s="642"/>
      <c r="O65" s="642">
        <f t="shared" si="1"/>
        <v>330474000</v>
      </c>
    </row>
    <row r="66" spans="1:15" ht="53.25" customHeight="1" x14ac:dyDescent="0.2">
      <c r="A66" s="588" t="s">
        <v>101</v>
      </c>
      <c r="B66" s="588" t="s">
        <v>81</v>
      </c>
      <c r="C66" s="588" t="s">
        <v>22</v>
      </c>
      <c r="D66" s="588" t="s">
        <v>2969</v>
      </c>
      <c r="E66" s="588" t="s">
        <v>112</v>
      </c>
      <c r="F66" s="588" t="s">
        <v>29</v>
      </c>
      <c r="G66" s="600" t="s">
        <v>17</v>
      </c>
      <c r="H66" s="600" t="s">
        <v>84</v>
      </c>
      <c r="I66" s="560" t="s">
        <v>114</v>
      </c>
      <c r="J66" s="642">
        <v>22942800</v>
      </c>
      <c r="K66" s="642"/>
      <c r="L66" s="642">
        <f t="shared" si="0"/>
        <v>22942800</v>
      </c>
      <c r="M66" s="642">
        <v>22942800</v>
      </c>
      <c r="N66" s="642"/>
      <c r="O66" s="642">
        <f t="shared" si="1"/>
        <v>22942800</v>
      </c>
    </row>
    <row r="67" spans="1:15" ht="79.5" customHeight="1" x14ac:dyDescent="0.2">
      <c r="A67" s="588" t="s">
        <v>101</v>
      </c>
      <c r="B67" s="588" t="s">
        <v>81</v>
      </c>
      <c r="C67" s="588" t="s">
        <v>22</v>
      </c>
      <c r="D67" s="588" t="s">
        <v>2969</v>
      </c>
      <c r="E67" s="588" t="s">
        <v>112</v>
      </c>
      <c r="F67" s="588" t="s">
        <v>29</v>
      </c>
      <c r="G67" s="600" t="s">
        <v>17</v>
      </c>
      <c r="H67" s="600" t="s">
        <v>84</v>
      </c>
      <c r="I67" s="560" t="s">
        <v>132</v>
      </c>
      <c r="J67" s="642">
        <v>24927509</v>
      </c>
      <c r="K67" s="642"/>
      <c r="L67" s="642">
        <f t="shared" si="0"/>
        <v>24927509</v>
      </c>
      <c r="M67" s="642">
        <v>24927509</v>
      </c>
      <c r="N67" s="642"/>
      <c r="O67" s="642">
        <f t="shared" si="1"/>
        <v>24927509</v>
      </c>
    </row>
    <row r="68" spans="1:15" ht="33" customHeight="1" x14ac:dyDescent="0.2">
      <c r="A68" s="588" t="s">
        <v>106</v>
      </c>
      <c r="B68" s="588" t="s">
        <v>81</v>
      </c>
      <c r="C68" s="588" t="s">
        <v>22</v>
      </c>
      <c r="D68" s="588" t="s">
        <v>2969</v>
      </c>
      <c r="E68" s="588" t="s">
        <v>112</v>
      </c>
      <c r="F68" s="588" t="s">
        <v>29</v>
      </c>
      <c r="G68" s="600" t="s">
        <v>17</v>
      </c>
      <c r="H68" s="600" t="s">
        <v>84</v>
      </c>
      <c r="I68" s="560" t="s">
        <v>121</v>
      </c>
      <c r="J68" s="642">
        <v>22000000</v>
      </c>
      <c r="K68" s="642"/>
      <c r="L68" s="642">
        <f t="shared" si="0"/>
        <v>22000000</v>
      </c>
      <c r="M68" s="642">
        <v>22000000</v>
      </c>
      <c r="N68" s="642"/>
      <c r="O68" s="642">
        <f t="shared" si="1"/>
        <v>22000000</v>
      </c>
    </row>
    <row r="69" spans="1:15" ht="165" customHeight="1" x14ac:dyDescent="0.2">
      <c r="A69" s="588" t="s">
        <v>106</v>
      </c>
      <c r="B69" s="588" t="s">
        <v>81</v>
      </c>
      <c r="C69" s="588" t="s">
        <v>22</v>
      </c>
      <c r="D69" s="588" t="s">
        <v>2969</v>
      </c>
      <c r="E69" s="588" t="s">
        <v>112</v>
      </c>
      <c r="F69" s="588" t="s">
        <v>29</v>
      </c>
      <c r="G69" s="600" t="s">
        <v>17</v>
      </c>
      <c r="H69" s="600" t="s">
        <v>84</v>
      </c>
      <c r="I69" s="560" t="s">
        <v>129</v>
      </c>
      <c r="J69" s="642">
        <v>63968211</v>
      </c>
      <c r="K69" s="642"/>
      <c r="L69" s="642">
        <f t="shared" si="0"/>
        <v>63968211</v>
      </c>
      <c r="M69" s="642">
        <v>63968211</v>
      </c>
      <c r="N69" s="642"/>
      <c r="O69" s="642">
        <f t="shared" si="1"/>
        <v>63968211</v>
      </c>
    </row>
    <row r="70" spans="1:15" ht="54" customHeight="1" x14ac:dyDescent="0.2">
      <c r="A70" s="588" t="s">
        <v>106</v>
      </c>
      <c r="B70" s="588" t="s">
        <v>81</v>
      </c>
      <c r="C70" s="588" t="s">
        <v>22</v>
      </c>
      <c r="D70" s="588" t="s">
        <v>2969</v>
      </c>
      <c r="E70" s="588" t="s">
        <v>112</v>
      </c>
      <c r="F70" s="588" t="s">
        <v>29</v>
      </c>
      <c r="G70" s="600" t="s">
        <v>17</v>
      </c>
      <c r="H70" s="600" t="s">
        <v>84</v>
      </c>
      <c r="I70" s="560" t="s">
        <v>122</v>
      </c>
      <c r="J70" s="642">
        <v>4760700</v>
      </c>
      <c r="K70" s="642"/>
      <c r="L70" s="642">
        <f t="shared" si="0"/>
        <v>4760700</v>
      </c>
      <c r="M70" s="642">
        <v>4760700</v>
      </c>
      <c r="N70" s="642"/>
      <c r="O70" s="642">
        <f t="shared" si="1"/>
        <v>4760700</v>
      </c>
    </row>
    <row r="71" spans="1:15" ht="69" customHeight="1" x14ac:dyDescent="0.2">
      <c r="A71" s="588" t="s">
        <v>106</v>
      </c>
      <c r="B71" s="588" t="s">
        <v>81</v>
      </c>
      <c r="C71" s="588" t="s">
        <v>22</v>
      </c>
      <c r="D71" s="588" t="s">
        <v>2969</v>
      </c>
      <c r="E71" s="588" t="s">
        <v>112</v>
      </c>
      <c r="F71" s="588" t="s">
        <v>29</v>
      </c>
      <c r="G71" s="600" t="s">
        <v>17</v>
      </c>
      <c r="H71" s="600" t="s">
        <v>84</v>
      </c>
      <c r="I71" s="560" t="s">
        <v>123</v>
      </c>
      <c r="J71" s="642">
        <v>35000000</v>
      </c>
      <c r="K71" s="642"/>
      <c r="L71" s="642">
        <f t="shared" si="0"/>
        <v>35000000</v>
      </c>
      <c r="M71" s="642">
        <v>35000000</v>
      </c>
      <c r="N71" s="642"/>
      <c r="O71" s="642">
        <f t="shared" si="1"/>
        <v>35000000</v>
      </c>
    </row>
    <row r="72" spans="1:15" ht="101.25" customHeight="1" x14ac:dyDescent="0.2">
      <c r="A72" s="588" t="s">
        <v>106</v>
      </c>
      <c r="B72" s="588" t="s">
        <v>81</v>
      </c>
      <c r="C72" s="588" t="s">
        <v>22</v>
      </c>
      <c r="D72" s="588" t="s">
        <v>2969</v>
      </c>
      <c r="E72" s="588" t="s">
        <v>112</v>
      </c>
      <c r="F72" s="588" t="s">
        <v>29</v>
      </c>
      <c r="G72" s="600" t="s">
        <v>17</v>
      </c>
      <c r="H72" s="600" t="s">
        <v>84</v>
      </c>
      <c r="I72" s="560" t="s">
        <v>124</v>
      </c>
      <c r="J72" s="642">
        <v>39775000</v>
      </c>
      <c r="K72" s="642"/>
      <c r="L72" s="642">
        <f t="shared" si="0"/>
        <v>39775000</v>
      </c>
      <c r="M72" s="642">
        <v>39775000</v>
      </c>
      <c r="N72" s="642"/>
      <c r="O72" s="642">
        <f t="shared" si="1"/>
        <v>39775000</v>
      </c>
    </row>
    <row r="73" spans="1:15" ht="120.75" customHeight="1" x14ac:dyDescent="0.2">
      <c r="A73" s="588" t="s">
        <v>38</v>
      </c>
      <c r="B73" s="588" t="s">
        <v>81</v>
      </c>
      <c r="C73" s="588" t="s">
        <v>22</v>
      </c>
      <c r="D73" s="588" t="s">
        <v>2969</v>
      </c>
      <c r="E73" s="588" t="s">
        <v>112</v>
      </c>
      <c r="F73" s="588" t="s">
        <v>29</v>
      </c>
      <c r="G73" s="600" t="s">
        <v>17</v>
      </c>
      <c r="H73" s="600" t="s">
        <v>84</v>
      </c>
      <c r="I73" s="560" t="s">
        <v>135</v>
      </c>
      <c r="J73" s="642">
        <v>5100</v>
      </c>
      <c r="K73" s="642"/>
      <c r="L73" s="642">
        <f t="shared" si="0"/>
        <v>5100</v>
      </c>
      <c r="M73" s="642">
        <v>5100</v>
      </c>
      <c r="N73" s="642"/>
      <c r="O73" s="642">
        <f t="shared" si="1"/>
        <v>5100</v>
      </c>
    </row>
    <row r="74" spans="1:15" ht="143.25" hidden="1" customHeight="1" x14ac:dyDescent="0.2">
      <c r="A74" s="588" t="s">
        <v>101</v>
      </c>
      <c r="B74" s="588" t="s">
        <v>81</v>
      </c>
      <c r="C74" s="588" t="s">
        <v>22</v>
      </c>
      <c r="D74" s="588" t="s">
        <v>25</v>
      </c>
      <c r="E74" s="588" t="s">
        <v>112</v>
      </c>
      <c r="F74" s="588" t="s">
        <v>29</v>
      </c>
      <c r="G74" s="600" t="s">
        <v>17</v>
      </c>
      <c r="H74" s="600" t="s">
        <v>84</v>
      </c>
      <c r="I74" s="560" t="s">
        <v>128</v>
      </c>
      <c r="J74" s="641">
        <v>0</v>
      </c>
      <c r="K74" s="641"/>
      <c r="L74" s="641">
        <f t="shared" si="0"/>
        <v>0</v>
      </c>
      <c r="M74" s="641">
        <v>0</v>
      </c>
      <c r="N74" s="641"/>
      <c r="O74" s="641">
        <f t="shared" si="1"/>
        <v>0</v>
      </c>
    </row>
    <row r="75" spans="1:15" ht="38.25" customHeight="1" x14ac:dyDescent="0.2">
      <c r="A75" s="588" t="s">
        <v>94</v>
      </c>
      <c r="B75" s="588" t="s">
        <v>81</v>
      </c>
      <c r="C75" s="588" t="s">
        <v>22</v>
      </c>
      <c r="D75" s="588" t="s">
        <v>2969</v>
      </c>
      <c r="E75" s="588" t="s">
        <v>112</v>
      </c>
      <c r="F75" s="588" t="s">
        <v>29</v>
      </c>
      <c r="G75" s="600" t="s">
        <v>17</v>
      </c>
      <c r="H75" s="600" t="s">
        <v>84</v>
      </c>
      <c r="I75" s="560" t="s">
        <v>134</v>
      </c>
      <c r="J75" s="642">
        <v>688375</v>
      </c>
      <c r="K75" s="642"/>
      <c r="L75" s="642">
        <f t="shared" si="0"/>
        <v>688375</v>
      </c>
      <c r="M75" s="642">
        <v>688375</v>
      </c>
      <c r="N75" s="642"/>
      <c r="O75" s="642">
        <f t="shared" si="1"/>
        <v>688375</v>
      </c>
    </row>
    <row r="76" spans="1:15" ht="81.75" customHeight="1" x14ac:dyDescent="0.2">
      <c r="A76" s="603">
        <v>950</v>
      </c>
      <c r="B76" s="604" t="s">
        <v>81</v>
      </c>
      <c r="C76" s="604" t="s">
        <v>22</v>
      </c>
      <c r="D76" s="604" t="s">
        <v>2969</v>
      </c>
      <c r="E76" s="604" t="s">
        <v>112</v>
      </c>
      <c r="F76" s="604" t="s">
        <v>29</v>
      </c>
      <c r="G76" s="604" t="s">
        <v>17</v>
      </c>
      <c r="H76" s="604" t="s">
        <v>84</v>
      </c>
      <c r="I76" s="560" t="s">
        <v>117</v>
      </c>
      <c r="J76" s="642">
        <v>2286641</v>
      </c>
      <c r="K76" s="642"/>
      <c r="L76" s="642">
        <f t="shared" ref="L76:L97" si="5">SUM(J76:K76)</f>
        <v>2286641</v>
      </c>
      <c r="M76" s="642">
        <v>2286641</v>
      </c>
      <c r="N76" s="642"/>
      <c r="O76" s="642">
        <f t="shared" ref="O76:O97" si="6">SUM(M76:N76)</f>
        <v>2286641</v>
      </c>
    </row>
    <row r="77" spans="1:15" ht="67.5" customHeight="1" x14ac:dyDescent="0.2">
      <c r="A77" s="588" t="s">
        <v>106</v>
      </c>
      <c r="B77" s="588" t="s">
        <v>81</v>
      </c>
      <c r="C77" s="588" t="s">
        <v>22</v>
      </c>
      <c r="D77" s="588" t="s">
        <v>2969</v>
      </c>
      <c r="E77" s="588" t="s">
        <v>112</v>
      </c>
      <c r="F77" s="588" t="s">
        <v>29</v>
      </c>
      <c r="G77" s="600" t="s">
        <v>17</v>
      </c>
      <c r="H77" s="600" t="s">
        <v>84</v>
      </c>
      <c r="I77" s="560" t="s">
        <v>118</v>
      </c>
      <c r="J77" s="642">
        <v>13412000</v>
      </c>
      <c r="K77" s="642"/>
      <c r="L77" s="642">
        <f t="shared" si="5"/>
        <v>13412000</v>
      </c>
      <c r="M77" s="642">
        <v>13412000</v>
      </c>
      <c r="N77" s="642"/>
      <c r="O77" s="642">
        <f t="shared" si="6"/>
        <v>13412000</v>
      </c>
    </row>
    <row r="78" spans="1:15" ht="49.5" customHeight="1" x14ac:dyDescent="0.2">
      <c r="A78" s="588" t="s">
        <v>101</v>
      </c>
      <c r="B78" s="588" t="s">
        <v>81</v>
      </c>
      <c r="C78" s="588" t="s">
        <v>22</v>
      </c>
      <c r="D78" s="588" t="s">
        <v>2969</v>
      </c>
      <c r="E78" s="588" t="s">
        <v>112</v>
      </c>
      <c r="F78" s="588" t="s">
        <v>29</v>
      </c>
      <c r="G78" s="600" t="s">
        <v>17</v>
      </c>
      <c r="H78" s="600" t="s">
        <v>84</v>
      </c>
      <c r="I78" s="560" t="s">
        <v>119</v>
      </c>
      <c r="J78" s="642">
        <v>3997994</v>
      </c>
      <c r="K78" s="642"/>
      <c r="L78" s="642">
        <f t="shared" si="5"/>
        <v>3997994</v>
      </c>
      <c r="M78" s="642">
        <v>3997994</v>
      </c>
      <c r="N78" s="642"/>
      <c r="O78" s="642">
        <f t="shared" si="6"/>
        <v>3997994</v>
      </c>
    </row>
    <row r="79" spans="1:15" ht="78.75" x14ac:dyDescent="0.2">
      <c r="A79" s="588" t="s">
        <v>38</v>
      </c>
      <c r="B79" s="588" t="s">
        <v>81</v>
      </c>
      <c r="C79" s="588" t="s">
        <v>22</v>
      </c>
      <c r="D79" s="588" t="s">
        <v>2969</v>
      </c>
      <c r="E79" s="588" t="s">
        <v>112</v>
      </c>
      <c r="F79" s="588" t="s">
        <v>29</v>
      </c>
      <c r="G79" s="600" t="s">
        <v>17</v>
      </c>
      <c r="H79" s="600" t="s">
        <v>84</v>
      </c>
      <c r="I79" s="560" t="s">
        <v>120</v>
      </c>
      <c r="J79" s="642">
        <v>238585</v>
      </c>
      <c r="K79" s="642"/>
      <c r="L79" s="642">
        <f t="shared" si="5"/>
        <v>238585</v>
      </c>
      <c r="M79" s="642">
        <v>238585</v>
      </c>
      <c r="N79" s="642"/>
      <c r="O79" s="642">
        <f t="shared" si="6"/>
        <v>238585</v>
      </c>
    </row>
    <row r="80" spans="1:15" ht="47.25" x14ac:dyDescent="0.2">
      <c r="A80" s="588" t="s">
        <v>101</v>
      </c>
      <c r="B80" s="588" t="s">
        <v>81</v>
      </c>
      <c r="C80" s="588" t="s">
        <v>22</v>
      </c>
      <c r="D80" s="588" t="s">
        <v>2969</v>
      </c>
      <c r="E80" s="588" t="s">
        <v>112</v>
      </c>
      <c r="F80" s="588" t="s">
        <v>29</v>
      </c>
      <c r="G80" s="600" t="s">
        <v>17</v>
      </c>
      <c r="H80" s="600" t="s">
        <v>84</v>
      </c>
      <c r="I80" s="560" t="s">
        <v>131</v>
      </c>
      <c r="J80" s="642">
        <v>250000</v>
      </c>
      <c r="K80" s="642"/>
      <c r="L80" s="642">
        <f t="shared" si="5"/>
        <v>250000</v>
      </c>
      <c r="M80" s="642">
        <v>250000</v>
      </c>
      <c r="N80" s="642"/>
      <c r="O80" s="642">
        <f t="shared" si="6"/>
        <v>250000</v>
      </c>
    </row>
    <row r="81" spans="1:15" ht="63" x14ac:dyDescent="0.2">
      <c r="A81" s="588" t="s">
        <v>106</v>
      </c>
      <c r="B81" s="588" t="s">
        <v>81</v>
      </c>
      <c r="C81" s="588" t="s">
        <v>22</v>
      </c>
      <c r="D81" s="588" t="s">
        <v>2969</v>
      </c>
      <c r="E81" s="588" t="s">
        <v>112</v>
      </c>
      <c r="F81" s="588" t="s">
        <v>29</v>
      </c>
      <c r="G81" s="600" t="s">
        <v>17</v>
      </c>
      <c r="H81" s="600" t="s">
        <v>84</v>
      </c>
      <c r="I81" s="560" t="s">
        <v>111</v>
      </c>
      <c r="J81" s="642">
        <v>25931000</v>
      </c>
      <c r="K81" s="642"/>
      <c r="L81" s="642">
        <f t="shared" si="5"/>
        <v>25931000</v>
      </c>
      <c r="M81" s="642">
        <v>25931000</v>
      </c>
      <c r="N81" s="642"/>
      <c r="O81" s="642">
        <f t="shared" si="6"/>
        <v>25931000</v>
      </c>
    </row>
    <row r="82" spans="1:15" ht="141.75" x14ac:dyDescent="0.2">
      <c r="A82" s="21" t="s">
        <v>106</v>
      </c>
      <c r="B82" s="21" t="s">
        <v>81</v>
      </c>
      <c r="C82" s="21" t="s">
        <v>22</v>
      </c>
      <c r="D82" s="21" t="s">
        <v>2969</v>
      </c>
      <c r="E82" s="21" t="s">
        <v>112</v>
      </c>
      <c r="F82" s="21" t="s">
        <v>29</v>
      </c>
      <c r="G82" s="27" t="s">
        <v>17</v>
      </c>
      <c r="H82" s="27" t="s">
        <v>84</v>
      </c>
      <c r="I82" s="16" t="s">
        <v>3171</v>
      </c>
      <c r="J82" s="642">
        <v>714000</v>
      </c>
      <c r="K82" s="642"/>
      <c r="L82" s="642">
        <f t="shared" si="5"/>
        <v>714000</v>
      </c>
      <c r="M82" s="642">
        <v>714000</v>
      </c>
      <c r="N82" s="642"/>
      <c r="O82" s="642">
        <f t="shared" si="6"/>
        <v>714000</v>
      </c>
    </row>
    <row r="83" spans="1:15" ht="94.5" x14ac:dyDescent="0.2">
      <c r="A83" s="21" t="s">
        <v>106</v>
      </c>
      <c r="B83" s="21" t="s">
        <v>81</v>
      </c>
      <c r="C83" s="21" t="s">
        <v>22</v>
      </c>
      <c r="D83" s="21" t="s">
        <v>2969</v>
      </c>
      <c r="E83" s="21" t="s">
        <v>112</v>
      </c>
      <c r="F83" s="21" t="s">
        <v>29</v>
      </c>
      <c r="G83" s="27" t="s">
        <v>17</v>
      </c>
      <c r="H83" s="27" t="s">
        <v>84</v>
      </c>
      <c r="I83" s="16" t="s">
        <v>3172</v>
      </c>
      <c r="J83" s="642">
        <v>17049</v>
      </c>
      <c r="K83" s="642"/>
      <c r="L83" s="642">
        <f t="shared" si="5"/>
        <v>17049</v>
      </c>
      <c r="M83" s="642">
        <v>17049</v>
      </c>
      <c r="N83" s="642"/>
      <c r="O83" s="642">
        <f t="shared" si="6"/>
        <v>17049</v>
      </c>
    </row>
    <row r="84" spans="1:15" ht="110.25" x14ac:dyDescent="0.2">
      <c r="A84" s="588" t="s">
        <v>106</v>
      </c>
      <c r="B84" s="588" t="s">
        <v>81</v>
      </c>
      <c r="C84" s="588" t="s">
        <v>22</v>
      </c>
      <c r="D84" s="588" t="s">
        <v>2964</v>
      </c>
      <c r="E84" s="588" t="s">
        <v>3168</v>
      </c>
      <c r="F84" s="588" t="s">
        <v>29</v>
      </c>
      <c r="G84" s="600" t="s">
        <v>17</v>
      </c>
      <c r="H84" s="600" t="s">
        <v>84</v>
      </c>
      <c r="I84" s="560" t="s">
        <v>188</v>
      </c>
      <c r="J84" s="642">
        <v>29907000</v>
      </c>
      <c r="K84" s="642"/>
      <c r="L84" s="642">
        <f t="shared" si="5"/>
        <v>29907000</v>
      </c>
      <c r="M84" s="642">
        <v>29907000</v>
      </c>
      <c r="N84" s="642"/>
      <c r="O84" s="642">
        <f t="shared" si="6"/>
        <v>29907000</v>
      </c>
    </row>
    <row r="85" spans="1:15" ht="63" x14ac:dyDescent="0.2">
      <c r="A85" s="588" t="s">
        <v>86</v>
      </c>
      <c r="B85" s="588" t="s">
        <v>81</v>
      </c>
      <c r="C85" s="588" t="s">
        <v>22</v>
      </c>
      <c r="D85" s="588" t="s">
        <v>2964</v>
      </c>
      <c r="E85" s="588" t="s">
        <v>2967</v>
      </c>
      <c r="F85" s="588" t="s">
        <v>29</v>
      </c>
      <c r="G85" s="600" t="s">
        <v>17</v>
      </c>
      <c r="H85" s="600" t="s">
        <v>84</v>
      </c>
      <c r="I85" s="560" t="s">
        <v>109</v>
      </c>
      <c r="J85" s="643">
        <v>747678</v>
      </c>
      <c r="K85" s="643"/>
      <c r="L85" s="642">
        <f>SUM(J85:K85)</f>
        <v>747678</v>
      </c>
      <c r="M85" s="643">
        <v>774994</v>
      </c>
      <c r="N85" s="643"/>
      <c r="O85" s="642">
        <f>SUM(M85:N85)</f>
        <v>774994</v>
      </c>
    </row>
    <row r="86" spans="1:15" ht="126" x14ac:dyDescent="0.2">
      <c r="A86" s="588" t="s">
        <v>106</v>
      </c>
      <c r="B86" s="588" t="s">
        <v>81</v>
      </c>
      <c r="C86" s="588" t="s">
        <v>22</v>
      </c>
      <c r="D86" s="588" t="s">
        <v>2964</v>
      </c>
      <c r="E86" s="588" t="s">
        <v>2973</v>
      </c>
      <c r="F86" s="588" t="s">
        <v>29</v>
      </c>
      <c r="G86" s="600" t="s">
        <v>17</v>
      </c>
      <c r="H86" s="600" t="s">
        <v>84</v>
      </c>
      <c r="I86" s="560" t="s">
        <v>140</v>
      </c>
      <c r="J86" s="642">
        <v>1700000</v>
      </c>
      <c r="K86" s="642"/>
      <c r="L86" s="642">
        <f>SUM(J86:K86)</f>
        <v>1700000</v>
      </c>
      <c r="M86" s="642">
        <v>1768000</v>
      </c>
      <c r="N86" s="642"/>
      <c r="O86" s="642">
        <f>SUM(M86:N86)</f>
        <v>1768000</v>
      </c>
    </row>
    <row r="87" spans="1:15" ht="126" x14ac:dyDescent="0.2">
      <c r="A87" s="588" t="s">
        <v>106</v>
      </c>
      <c r="B87" s="588" t="s">
        <v>81</v>
      </c>
      <c r="C87" s="588" t="s">
        <v>22</v>
      </c>
      <c r="D87" s="588" t="s">
        <v>2964</v>
      </c>
      <c r="E87" s="588" t="s">
        <v>2966</v>
      </c>
      <c r="F87" s="588" t="s">
        <v>29</v>
      </c>
      <c r="G87" s="600" t="s">
        <v>17</v>
      </c>
      <c r="H87" s="600" t="s">
        <v>84</v>
      </c>
      <c r="I87" s="560" t="s">
        <v>108</v>
      </c>
      <c r="J87" s="643">
        <v>5699000</v>
      </c>
      <c r="K87" s="643"/>
      <c r="L87" s="642">
        <f>SUM(J87:K87)</f>
        <v>5699000</v>
      </c>
      <c r="M87" s="643">
        <v>5927000</v>
      </c>
      <c r="N87" s="643"/>
      <c r="O87" s="642">
        <f>SUM(M87:N87)</f>
        <v>5927000</v>
      </c>
    </row>
    <row r="88" spans="1:15" ht="63" x14ac:dyDescent="0.2">
      <c r="A88" s="588" t="s">
        <v>106</v>
      </c>
      <c r="B88" s="588" t="s">
        <v>81</v>
      </c>
      <c r="C88" s="588" t="s">
        <v>22</v>
      </c>
      <c r="D88" s="588" t="s">
        <v>2964</v>
      </c>
      <c r="E88" s="588" t="s">
        <v>2965</v>
      </c>
      <c r="F88" s="588" t="s">
        <v>29</v>
      </c>
      <c r="G88" s="600" t="s">
        <v>17</v>
      </c>
      <c r="H88" s="600" t="s">
        <v>84</v>
      </c>
      <c r="I88" s="560" t="s">
        <v>107</v>
      </c>
      <c r="J88" s="643">
        <v>34824000</v>
      </c>
      <c r="K88" s="643"/>
      <c r="L88" s="642">
        <f>SUM(J88:K88)</f>
        <v>34824000</v>
      </c>
      <c r="M88" s="643">
        <v>34822000</v>
      </c>
      <c r="N88" s="643"/>
      <c r="O88" s="642">
        <f>SUM(M88:N88)</f>
        <v>34822000</v>
      </c>
    </row>
    <row r="89" spans="1:15" ht="94.5" x14ac:dyDescent="0.2">
      <c r="A89" s="588" t="s">
        <v>101</v>
      </c>
      <c r="B89" s="588" t="s">
        <v>81</v>
      </c>
      <c r="C89" s="588" t="s">
        <v>22</v>
      </c>
      <c r="D89" s="588" t="s">
        <v>2964</v>
      </c>
      <c r="E89" s="588" t="s">
        <v>2968</v>
      </c>
      <c r="F89" s="588" t="s">
        <v>29</v>
      </c>
      <c r="G89" s="600" t="s">
        <v>17</v>
      </c>
      <c r="H89" s="600" t="s">
        <v>84</v>
      </c>
      <c r="I89" s="560" t="s">
        <v>110</v>
      </c>
      <c r="J89" s="642">
        <v>546807</v>
      </c>
      <c r="K89" s="642"/>
      <c r="L89" s="642">
        <f>SUM(J89:K89)</f>
        <v>546807</v>
      </c>
      <c r="M89" s="642">
        <v>547976</v>
      </c>
      <c r="N89" s="642"/>
      <c r="O89" s="642">
        <f>SUM(M89:N89)</f>
        <v>547976</v>
      </c>
    </row>
    <row r="90" spans="1:15" ht="166.5" customHeight="1" x14ac:dyDescent="0.2">
      <c r="A90" s="588" t="s">
        <v>106</v>
      </c>
      <c r="B90" s="588" t="s">
        <v>81</v>
      </c>
      <c r="C90" s="588" t="s">
        <v>22</v>
      </c>
      <c r="D90" s="588" t="s">
        <v>2964</v>
      </c>
      <c r="E90" s="588" t="s">
        <v>2970</v>
      </c>
      <c r="F90" s="588" t="s">
        <v>29</v>
      </c>
      <c r="G90" s="600" t="s">
        <v>17</v>
      </c>
      <c r="H90" s="600" t="s">
        <v>84</v>
      </c>
      <c r="I90" s="560" t="s">
        <v>136</v>
      </c>
      <c r="J90" s="642">
        <v>487000</v>
      </c>
      <c r="K90" s="642"/>
      <c r="L90" s="642">
        <f t="shared" si="5"/>
        <v>487000</v>
      </c>
      <c r="M90" s="642">
        <v>506000</v>
      </c>
      <c r="N90" s="642"/>
      <c r="O90" s="642">
        <f t="shared" si="6"/>
        <v>506000</v>
      </c>
    </row>
    <row r="91" spans="1:15" ht="145.5" customHeight="1" x14ac:dyDescent="0.2">
      <c r="A91" s="588" t="s">
        <v>106</v>
      </c>
      <c r="B91" s="588" t="s">
        <v>81</v>
      </c>
      <c r="C91" s="588" t="s">
        <v>22</v>
      </c>
      <c r="D91" s="588" t="s">
        <v>2964</v>
      </c>
      <c r="E91" s="588" t="s">
        <v>2972</v>
      </c>
      <c r="F91" s="588" t="s">
        <v>29</v>
      </c>
      <c r="G91" s="600" t="s">
        <v>17</v>
      </c>
      <c r="H91" s="600" t="s">
        <v>84</v>
      </c>
      <c r="I91" s="560" t="s">
        <v>138</v>
      </c>
      <c r="J91" s="642">
        <v>20049000</v>
      </c>
      <c r="K91" s="642"/>
      <c r="L91" s="642">
        <f t="shared" si="5"/>
        <v>20049000</v>
      </c>
      <c r="M91" s="642">
        <v>20851000</v>
      </c>
      <c r="N91" s="642"/>
      <c r="O91" s="642">
        <f t="shared" si="6"/>
        <v>20851000</v>
      </c>
    </row>
    <row r="92" spans="1:15" ht="130.5" customHeight="1" x14ac:dyDescent="0.2">
      <c r="A92" s="588" t="s">
        <v>106</v>
      </c>
      <c r="B92" s="588" t="s">
        <v>81</v>
      </c>
      <c r="C92" s="588" t="s">
        <v>22</v>
      </c>
      <c r="D92" s="588" t="s">
        <v>2964</v>
      </c>
      <c r="E92" s="588" t="s">
        <v>2972</v>
      </c>
      <c r="F92" s="588" t="s">
        <v>29</v>
      </c>
      <c r="G92" s="600" t="s">
        <v>17</v>
      </c>
      <c r="H92" s="600" t="s">
        <v>84</v>
      </c>
      <c r="I92" s="560" t="s">
        <v>139</v>
      </c>
      <c r="J92" s="642">
        <v>2133000</v>
      </c>
      <c r="K92" s="642"/>
      <c r="L92" s="642">
        <f t="shared" si="5"/>
        <v>2133000</v>
      </c>
      <c r="M92" s="642">
        <v>2218000</v>
      </c>
      <c r="N92" s="642"/>
      <c r="O92" s="642">
        <f t="shared" si="6"/>
        <v>2218000</v>
      </c>
    </row>
    <row r="93" spans="1:15" ht="86.25" customHeight="1" x14ac:dyDescent="0.2">
      <c r="A93" s="29" t="s">
        <v>106</v>
      </c>
      <c r="B93" s="29" t="s">
        <v>81</v>
      </c>
      <c r="C93" s="29" t="s">
        <v>22</v>
      </c>
      <c r="D93" s="29" t="s">
        <v>2964</v>
      </c>
      <c r="E93" s="29" t="s">
        <v>2971</v>
      </c>
      <c r="F93" s="29" t="s">
        <v>29</v>
      </c>
      <c r="G93" s="35" t="s">
        <v>17</v>
      </c>
      <c r="H93" s="35" t="s">
        <v>84</v>
      </c>
      <c r="I93" s="30" t="s">
        <v>137</v>
      </c>
      <c r="J93" s="642">
        <v>477776</v>
      </c>
      <c r="K93" s="642"/>
      <c r="L93" s="642">
        <f t="shared" si="5"/>
        <v>477776</v>
      </c>
      <c r="M93" s="642">
        <v>477776</v>
      </c>
      <c r="N93" s="642"/>
      <c r="O93" s="642">
        <f t="shared" si="6"/>
        <v>477776</v>
      </c>
    </row>
    <row r="94" spans="1:15" s="647" customFormat="1" ht="86.25" customHeight="1" x14ac:dyDescent="0.2">
      <c r="A94" s="648" t="s">
        <v>38</v>
      </c>
      <c r="B94" s="648" t="s">
        <v>81</v>
      </c>
      <c r="C94" s="648" t="s">
        <v>22</v>
      </c>
      <c r="D94" s="648" t="s">
        <v>2964</v>
      </c>
      <c r="E94" s="648" t="s">
        <v>3173</v>
      </c>
      <c r="F94" s="648" t="s">
        <v>29</v>
      </c>
      <c r="G94" s="649" t="s">
        <v>17</v>
      </c>
      <c r="H94" s="649" t="s">
        <v>84</v>
      </c>
      <c r="I94" s="650" t="s">
        <v>3203</v>
      </c>
      <c r="J94" s="642">
        <v>3429212</v>
      </c>
      <c r="K94" s="642"/>
      <c r="L94" s="642">
        <f t="shared" si="5"/>
        <v>3429212</v>
      </c>
      <c r="M94" s="642">
        <v>2596404</v>
      </c>
      <c r="N94" s="642"/>
      <c r="O94" s="642">
        <f t="shared" si="6"/>
        <v>2596404</v>
      </c>
    </row>
    <row r="95" spans="1:15" ht="98.25" hidden="1" customHeight="1" x14ac:dyDescent="0.2">
      <c r="A95" s="584" t="s">
        <v>14</v>
      </c>
      <c r="B95" s="584" t="s">
        <v>81</v>
      </c>
      <c r="C95" s="584" t="s">
        <v>22</v>
      </c>
      <c r="D95" s="584" t="s">
        <v>33</v>
      </c>
      <c r="E95" s="584" t="s">
        <v>14</v>
      </c>
      <c r="F95" s="584" t="s">
        <v>16</v>
      </c>
      <c r="G95" s="598" t="s">
        <v>17</v>
      </c>
      <c r="H95" s="598" t="s">
        <v>84</v>
      </c>
      <c r="I95" s="599" t="s">
        <v>141</v>
      </c>
      <c r="J95" s="645">
        <f>J96</f>
        <v>0</v>
      </c>
      <c r="K95" s="645">
        <f>K96</f>
        <v>0</v>
      </c>
      <c r="L95" s="642">
        <f t="shared" si="5"/>
        <v>0</v>
      </c>
      <c r="M95" s="645">
        <f>M96</f>
        <v>0</v>
      </c>
      <c r="N95" s="645">
        <f>N96</f>
        <v>0</v>
      </c>
      <c r="O95" s="642">
        <f t="shared" si="6"/>
        <v>0</v>
      </c>
    </row>
    <row r="96" spans="1:15" ht="129" hidden="1" customHeight="1" x14ac:dyDescent="0.2">
      <c r="A96" s="588" t="s">
        <v>86</v>
      </c>
      <c r="B96" s="588" t="s">
        <v>93</v>
      </c>
      <c r="C96" s="588" t="s">
        <v>22</v>
      </c>
      <c r="D96" s="588" t="s">
        <v>33</v>
      </c>
      <c r="E96" s="588" t="s">
        <v>143</v>
      </c>
      <c r="F96" s="588" t="s">
        <v>29</v>
      </c>
      <c r="G96" s="600" t="s">
        <v>144</v>
      </c>
      <c r="H96" s="600" t="s">
        <v>84</v>
      </c>
      <c r="I96" s="560" t="s">
        <v>145</v>
      </c>
      <c r="J96" s="646">
        <v>0</v>
      </c>
      <c r="K96" s="646"/>
      <c r="L96" s="642">
        <f t="shared" si="5"/>
        <v>0</v>
      </c>
      <c r="M96" s="642">
        <v>0</v>
      </c>
      <c r="N96" s="642"/>
      <c r="O96" s="642">
        <f t="shared" si="6"/>
        <v>0</v>
      </c>
    </row>
    <row r="97" spans="1:15" ht="23.25" customHeight="1" x14ac:dyDescent="0.2">
      <c r="A97" s="588"/>
      <c r="B97" s="588"/>
      <c r="C97" s="588"/>
      <c r="D97" s="588"/>
      <c r="E97" s="588"/>
      <c r="F97" s="588"/>
      <c r="G97" s="600"/>
      <c r="H97" s="600"/>
      <c r="I97" s="586" t="s">
        <v>177</v>
      </c>
      <c r="J97" s="587">
        <f>J11+J42</f>
        <v>1551579336</v>
      </c>
      <c r="K97" s="587">
        <f>K11+K42</f>
        <v>0</v>
      </c>
      <c r="L97" s="587">
        <f t="shared" si="5"/>
        <v>1551579336</v>
      </c>
      <c r="M97" s="587">
        <f>M11+M42</f>
        <v>1345245013</v>
      </c>
      <c r="N97" s="587">
        <f>N11+N42</f>
        <v>0</v>
      </c>
      <c r="O97" s="587">
        <f t="shared" si="6"/>
        <v>1345245013</v>
      </c>
    </row>
    <row r="98" spans="1:15" ht="252.75" customHeight="1" x14ac:dyDescent="0.2">
      <c r="A98" s="39"/>
      <c r="B98" s="39"/>
      <c r="C98" s="39"/>
      <c r="D98" s="39"/>
      <c r="E98" s="39"/>
      <c r="F98" s="39"/>
      <c r="G98" s="40"/>
      <c r="H98" s="40"/>
      <c r="I98" s="37"/>
    </row>
    <row r="99" spans="1:15" ht="15.75" x14ac:dyDescent="0.2">
      <c r="A99" s="41"/>
      <c r="B99" s="41"/>
      <c r="C99" s="41"/>
      <c r="D99" s="41"/>
      <c r="E99" s="41"/>
      <c r="F99" s="41"/>
      <c r="G99" s="42"/>
      <c r="H99" s="42"/>
      <c r="I99" s="43"/>
    </row>
    <row r="100" spans="1:15" ht="25.5" customHeight="1" x14ac:dyDescent="0.2">
      <c r="A100" s="39"/>
      <c r="B100" s="39"/>
      <c r="C100" s="39"/>
      <c r="D100" s="39"/>
      <c r="E100" s="39"/>
      <c r="F100" s="39"/>
      <c r="G100" s="40"/>
      <c r="H100" s="40"/>
      <c r="I100" s="37"/>
    </row>
    <row r="101" spans="1:15" ht="79.5" customHeight="1" x14ac:dyDescent="0.2">
      <c r="A101" s="39"/>
      <c r="B101" s="39"/>
      <c r="C101" s="39"/>
      <c r="D101" s="39"/>
      <c r="E101" s="39"/>
      <c r="F101" s="39"/>
      <c r="G101" s="40"/>
      <c r="H101" s="40"/>
      <c r="I101" s="37"/>
    </row>
    <row r="102" spans="1:15" ht="54.75" customHeight="1" x14ac:dyDescent="0.2">
      <c r="A102" s="39"/>
      <c r="B102" s="39"/>
      <c r="C102" s="39"/>
      <c r="D102" s="39"/>
      <c r="E102" s="39"/>
      <c r="F102" s="39"/>
      <c r="G102" s="40"/>
      <c r="H102" s="40"/>
      <c r="I102" s="37"/>
    </row>
    <row r="103" spans="1:15" ht="95.25" customHeight="1" x14ac:dyDescent="0.2">
      <c r="A103" s="39"/>
      <c r="B103" s="39"/>
      <c r="C103" s="39"/>
      <c r="D103" s="39"/>
      <c r="E103" s="39"/>
      <c r="F103" s="39"/>
      <c r="G103" s="40"/>
      <c r="H103" s="40"/>
      <c r="I103" s="44"/>
    </row>
    <row r="104" spans="1:15" ht="16.5" customHeight="1" x14ac:dyDescent="0.25">
      <c r="A104" s="45"/>
      <c r="B104" s="45"/>
      <c r="C104" s="45"/>
      <c r="D104" s="45"/>
      <c r="E104" s="45"/>
      <c r="F104" s="45"/>
      <c r="G104" s="45"/>
      <c r="H104" s="45"/>
      <c r="I104" s="46"/>
    </row>
  </sheetData>
  <mergeCells count="16">
    <mergeCell ref="M9:M10"/>
    <mergeCell ref="A6:O6"/>
    <mergeCell ref="K9:K10"/>
    <mergeCell ref="L9:L10"/>
    <mergeCell ref="N9:N10"/>
    <mergeCell ref="O9:O10"/>
    <mergeCell ref="I7:K7"/>
    <mergeCell ref="I8:K8"/>
    <mergeCell ref="A9:H9"/>
    <mergeCell ref="I9:I10"/>
    <mergeCell ref="J9:J10"/>
    <mergeCell ref="I5:K5"/>
    <mergeCell ref="A1:O1"/>
    <mergeCell ref="A2:O2"/>
    <mergeCell ref="A3:O3"/>
    <mergeCell ref="A4:O4"/>
  </mergeCells>
  <printOptions gridLinesSet="0"/>
  <pageMargins left="0.70866141732283472" right="0.70866141732283472" top="0.74803149606299213" bottom="0.74803149606299213" header="0.51181102362204722" footer="0.51181102362204722"/>
  <pageSetup paperSize="9" scale="58" fitToHeight="39" orientation="portrait" r:id="rId1"/>
  <headerFooter>
    <oddFooter>&amp;C&amp;P</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7"/>
  <sheetViews>
    <sheetView workbookViewId="0"/>
  </sheetViews>
  <sheetFormatPr defaultRowHeight="12.75" x14ac:dyDescent="0.2"/>
  <cols>
    <col min="1" max="1" width="64" customWidth="1"/>
    <col min="2" max="2" width="12.85546875" hidden="1" customWidth="1"/>
    <col min="3" max="3" width="13.28515625" hidden="1" customWidth="1"/>
    <col min="4" max="4" width="18" customWidth="1"/>
    <col min="8" max="8" width="43.42578125" customWidth="1"/>
  </cols>
  <sheetData>
    <row r="1" spans="1:4" ht="15.75" x14ac:dyDescent="0.25">
      <c r="A1" s="890" t="s">
        <v>1041</v>
      </c>
      <c r="B1" s="890"/>
      <c r="C1" s="890"/>
      <c r="D1" s="890"/>
    </row>
    <row r="2" spans="1:4" ht="15.75" x14ac:dyDescent="0.25">
      <c r="A2" s="890" t="s">
        <v>1</v>
      </c>
      <c r="B2" s="890"/>
      <c r="C2" s="890"/>
      <c r="D2" s="890"/>
    </row>
    <row r="3" spans="1:4" ht="15.75" x14ac:dyDescent="0.25">
      <c r="A3" s="890" t="s">
        <v>2</v>
      </c>
      <c r="B3" s="890"/>
      <c r="C3" s="890"/>
      <c r="D3" s="890"/>
    </row>
    <row r="4" spans="1:4" ht="15.75" x14ac:dyDescent="0.25">
      <c r="A4" s="890" t="s">
        <v>545</v>
      </c>
      <c r="B4" s="890"/>
      <c r="C4" s="890"/>
      <c r="D4" s="890"/>
    </row>
    <row r="5" spans="1:4" x14ac:dyDescent="0.2">
      <c r="A5" s="80"/>
      <c r="B5" s="80"/>
      <c r="C5" s="80"/>
    </row>
    <row r="7" spans="1:4" ht="49.5" customHeight="1" x14ac:dyDescent="0.2">
      <c r="A7" s="891" t="s">
        <v>1042</v>
      </c>
      <c r="B7" s="891"/>
      <c r="C7" s="891"/>
      <c r="D7" s="891"/>
    </row>
    <row r="8" spans="1:4" ht="49.5" customHeight="1" x14ac:dyDescent="0.2">
      <c r="A8" s="8"/>
      <c r="B8" s="8"/>
      <c r="C8" s="8"/>
    </row>
    <row r="9" spans="1:4" ht="38.25" customHeight="1" x14ac:dyDescent="0.2">
      <c r="A9" s="891" t="s">
        <v>1043</v>
      </c>
      <c r="B9" s="891"/>
      <c r="C9" s="891"/>
      <c r="D9" s="891"/>
    </row>
    <row r="10" spans="1:4" ht="18.75" x14ac:dyDescent="0.2">
      <c r="A10" s="7"/>
      <c r="B10" s="7"/>
      <c r="C10" s="7"/>
    </row>
    <row r="11" spans="1:4" ht="18.75" x14ac:dyDescent="0.2">
      <c r="A11" s="7"/>
      <c r="B11" s="7"/>
      <c r="C11" s="7"/>
    </row>
    <row r="12" spans="1:4" ht="31.5" x14ac:dyDescent="0.2">
      <c r="A12" s="310" t="s">
        <v>1009</v>
      </c>
      <c r="B12" s="311" t="s">
        <v>1044</v>
      </c>
      <c r="C12" s="311" t="s">
        <v>1045</v>
      </c>
      <c r="D12" s="9" t="s">
        <v>1046</v>
      </c>
    </row>
    <row r="13" spans="1:4" ht="15.75" x14ac:dyDescent="0.25">
      <c r="A13" s="312" t="s">
        <v>1012</v>
      </c>
      <c r="B13" s="313">
        <v>59000</v>
      </c>
      <c r="C13" s="313"/>
      <c r="D13" s="314">
        <f>B13+C13</f>
        <v>59000</v>
      </c>
    </row>
    <row r="14" spans="1:4" ht="15.75" x14ac:dyDescent="0.25">
      <c r="A14" s="312" t="s">
        <v>1047</v>
      </c>
      <c r="B14" s="313">
        <v>59000</v>
      </c>
      <c r="C14" s="313"/>
      <c r="D14" s="314">
        <f>B14+C14</f>
        <v>59000</v>
      </c>
    </row>
    <row r="15" spans="1:4" ht="15.75" x14ac:dyDescent="0.25">
      <c r="A15" s="312" t="s">
        <v>1037</v>
      </c>
      <c r="B15" s="313">
        <v>388000</v>
      </c>
      <c r="C15" s="313"/>
      <c r="D15" s="314">
        <f>B15+C15</f>
        <v>388000</v>
      </c>
    </row>
    <row r="16" spans="1:4" ht="15.75" x14ac:dyDescent="0.25">
      <c r="A16" s="312" t="s">
        <v>1013</v>
      </c>
      <c r="B16" s="313">
        <v>194000</v>
      </c>
      <c r="C16" s="313"/>
      <c r="D16" s="314">
        <f>B16+C16</f>
        <v>194000</v>
      </c>
    </row>
    <row r="17" spans="1:4" ht="15.75" x14ac:dyDescent="0.25">
      <c r="A17" s="315" t="s">
        <v>177</v>
      </c>
      <c r="B17" s="316">
        <v>700000</v>
      </c>
      <c r="C17" s="316">
        <f>SUM(C13:C16)</f>
        <v>0</v>
      </c>
      <c r="D17" s="317">
        <f>B17+C17</f>
        <v>700000</v>
      </c>
    </row>
  </sheetData>
  <mergeCells count="6">
    <mergeCell ref="A9:D9"/>
    <mergeCell ref="A1:D1"/>
    <mergeCell ref="A2:D2"/>
    <mergeCell ref="A3:D3"/>
    <mergeCell ref="A4:D4"/>
    <mergeCell ref="A7:D7"/>
  </mergeCells>
  <printOptions gridLines="1"/>
  <pageMargins left="0.70866141732283472" right="0.70866141732283472" top="0.74803149606299213" bottom="0.74803149606299213" header="0.5" footer="0.5"/>
  <pageSetup paperSize="9" orientation="portrai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7"/>
  <sheetViews>
    <sheetView showGridLines="0" workbookViewId="0"/>
  </sheetViews>
  <sheetFormatPr defaultColWidth="9.140625" defaultRowHeight="15.75" x14ac:dyDescent="0.25"/>
  <cols>
    <col min="1" max="1" width="59" style="318" customWidth="1"/>
    <col min="2" max="3" width="0" style="318" hidden="1" customWidth="1"/>
    <col min="4" max="4" width="14.85546875" style="318" customWidth="1"/>
    <col min="5" max="5" width="14.42578125" style="318" customWidth="1"/>
    <col min="6" max="7" width="9.140625" style="318"/>
    <col min="8" max="8" width="43.42578125" style="318" customWidth="1"/>
    <col min="9" max="16384" width="9.140625" style="318"/>
  </cols>
  <sheetData>
    <row r="1" spans="1:5" x14ac:dyDescent="0.25">
      <c r="A1" s="890" t="s">
        <v>1048</v>
      </c>
      <c r="B1" s="890"/>
      <c r="C1" s="890"/>
      <c r="D1" s="890"/>
      <c r="E1" s="890"/>
    </row>
    <row r="2" spans="1:5" x14ac:dyDescent="0.25">
      <c r="A2" s="890" t="s">
        <v>1</v>
      </c>
      <c r="B2" s="890"/>
      <c r="C2" s="890"/>
      <c r="D2" s="890"/>
      <c r="E2" s="890"/>
    </row>
    <row r="3" spans="1:5" x14ac:dyDescent="0.25">
      <c r="A3" s="890" t="s">
        <v>2</v>
      </c>
      <c r="B3" s="890"/>
      <c r="C3" s="890"/>
      <c r="D3" s="890"/>
      <c r="E3" s="890"/>
    </row>
    <row r="4" spans="1:5" x14ac:dyDescent="0.25">
      <c r="A4" s="890" t="s">
        <v>545</v>
      </c>
      <c r="B4" s="890"/>
      <c r="C4" s="890"/>
      <c r="D4" s="890"/>
      <c r="E4" s="890"/>
    </row>
    <row r="5" spans="1:5" x14ac:dyDescent="0.25">
      <c r="A5" s="5"/>
      <c r="B5" s="5"/>
      <c r="C5" s="5"/>
      <c r="D5" s="32"/>
      <c r="E5" s="46"/>
    </row>
    <row r="6" spans="1:5" x14ac:dyDescent="0.25">
      <c r="A6" s="32"/>
      <c r="B6" s="32"/>
      <c r="C6" s="32"/>
      <c r="D6" s="32"/>
      <c r="E6" s="46"/>
    </row>
    <row r="7" spans="1:5" ht="42" customHeight="1" x14ac:dyDescent="0.25">
      <c r="A7" s="891" t="s">
        <v>1049</v>
      </c>
      <c r="B7" s="891"/>
      <c r="C7" s="891"/>
      <c r="D7" s="891"/>
      <c r="E7" s="911"/>
    </row>
    <row r="8" spans="1:5" x14ac:dyDescent="0.25">
      <c r="A8" s="6"/>
      <c r="B8" s="6"/>
      <c r="C8" s="6"/>
      <c r="D8" s="32"/>
      <c r="E8" s="46"/>
    </row>
    <row r="9" spans="1:5" ht="32.25" customHeight="1" x14ac:dyDescent="0.25">
      <c r="A9" s="891" t="s">
        <v>1043</v>
      </c>
      <c r="B9" s="891"/>
      <c r="C9" s="891"/>
      <c r="D9" s="891"/>
      <c r="E9" s="1030"/>
    </row>
    <row r="10" spans="1:5" x14ac:dyDescent="0.25">
      <c r="A10" s="319"/>
      <c r="B10" s="319"/>
      <c r="C10" s="319"/>
      <c r="D10" s="32"/>
      <c r="E10" s="46"/>
    </row>
    <row r="11" spans="1:5" hidden="1" x14ac:dyDescent="0.25">
      <c r="A11" s="319"/>
      <c r="B11" s="319"/>
      <c r="C11" s="319"/>
      <c r="D11" s="32"/>
      <c r="E11" s="46"/>
    </row>
    <row r="12" spans="1:5" ht="47.25" x14ac:dyDescent="0.25">
      <c r="A12" s="310" t="s">
        <v>1009</v>
      </c>
      <c r="B12" s="311" t="s">
        <v>1050</v>
      </c>
      <c r="C12" s="311" t="s">
        <v>1045</v>
      </c>
      <c r="D12" s="9" t="s">
        <v>996</v>
      </c>
      <c r="E12" s="9" t="s">
        <v>997</v>
      </c>
    </row>
    <row r="13" spans="1:5" x14ac:dyDescent="0.25">
      <c r="A13" s="312" t="s">
        <v>1012</v>
      </c>
      <c r="B13" s="320"/>
      <c r="C13" s="320"/>
      <c r="D13" s="321">
        <v>60000</v>
      </c>
      <c r="E13" s="321">
        <v>60000</v>
      </c>
    </row>
    <row r="14" spans="1:5" x14ac:dyDescent="0.25">
      <c r="A14" s="312" t="s">
        <v>1047</v>
      </c>
      <c r="B14" s="320"/>
      <c r="C14" s="320"/>
      <c r="D14" s="321">
        <v>60000</v>
      </c>
      <c r="E14" s="321">
        <v>60000</v>
      </c>
    </row>
    <row r="15" spans="1:5" x14ac:dyDescent="0.25">
      <c r="A15" s="312" t="s">
        <v>1037</v>
      </c>
      <c r="B15" s="320"/>
      <c r="C15" s="320"/>
      <c r="D15" s="321">
        <v>388000</v>
      </c>
      <c r="E15" s="321">
        <v>388000</v>
      </c>
    </row>
    <row r="16" spans="1:5" x14ac:dyDescent="0.25">
      <c r="A16" s="312" t="s">
        <v>1013</v>
      </c>
      <c r="B16" s="320"/>
      <c r="C16" s="320"/>
      <c r="D16" s="321">
        <v>194000</v>
      </c>
      <c r="E16" s="321">
        <v>194000</v>
      </c>
    </row>
    <row r="17" spans="1:5" x14ac:dyDescent="0.25">
      <c r="A17" s="315" t="s">
        <v>177</v>
      </c>
      <c r="B17" s="322">
        <f>SUM(B13:B16)</f>
        <v>0</v>
      </c>
      <c r="C17" s="322">
        <f>SUM(C13:C16)</f>
        <v>0</v>
      </c>
      <c r="D17" s="323">
        <f>SUM(D13:D16)</f>
        <v>702000</v>
      </c>
      <c r="E17" s="323">
        <f>SUM(E13:E16)</f>
        <v>702000</v>
      </c>
    </row>
  </sheetData>
  <mergeCells count="6">
    <mergeCell ref="A9:E9"/>
    <mergeCell ref="A1:E1"/>
    <mergeCell ref="A2:E2"/>
    <mergeCell ref="A3:E3"/>
    <mergeCell ref="A4:E4"/>
    <mergeCell ref="A7:E7"/>
  </mergeCells>
  <printOptions gridLinesSet="0"/>
  <pageMargins left="0.70866141732283472" right="0.70866141732283472" top="0.74803149606299213" bottom="0.74803149606299213" header="0.5" footer="0.5"/>
  <pageSetup paperSize="9" orientation="portrai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4"/>
  <sheetViews>
    <sheetView workbookViewId="0"/>
  </sheetViews>
  <sheetFormatPr defaultColWidth="9.140625" defaultRowHeight="12.75" x14ac:dyDescent="0.2"/>
  <cols>
    <col min="1" max="1" width="4.42578125" style="124" customWidth="1"/>
    <col min="2" max="2" width="43.28515625" style="124" customWidth="1"/>
    <col min="3" max="3" width="11.7109375" style="124" hidden="1" customWidth="1"/>
    <col min="4" max="4" width="12.7109375" style="124" hidden="1" customWidth="1"/>
    <col min="5" max="5" width="17.5703125" style="124" customWidth="1"/>
    <col min="6" max="16384" width="9.140625" style="124"/>
  </cols>
  <sheetData>
    <row r="1" spans="1:5" ht="18.75" x14ac:dyDescent="0.3">
      <c r="A1" s="1031" t="s">
        <v>1051</v>
      </c>
      <c r="B1" s="1032"/>
      <c r="C1" s="1032"/>
      <c r="D1" s="1033"/>
      <c r="E1" s="1033"/>
    </row>
    <row r="2" spans="1:5" ht="18.75" x14ac:dyDescent="0.3">
      <c r="A2" s="1031" t="s">
        <v>1</v>
      </c>
      <c r="B2" s="1032"/>
      <c r="C2" s="1032"/>
      <c r="D2" s="1033"/>
      <c r="E2" s="1033"/>
    </row>
    <row r="3" spans="1:5" ht="18.75" x14ac:dyDescent="0.3">
      <c r="A3" s="1031" t="s">
        <v>2</v>
      </c>
      <c r="B3" s="1032"/>
      <c r="C3" s="1032"/>
      <c r="D3" s="1033"/>
      <c r="E3" s="1033"/>
    </row>
    <row r="4" spans="1:5" ht="18.75" x14ac:dyDescent="0.3">
      <c r="A4" s="1031" t="s">
        <v>1052</v>
      </c>
      <c r="B4" s="1032"/>
      <c r="C4" s="1032"/>
      <c r="D4" s="1033"/>
      <c r="E4" s="1033"/>
    </row>
    <row r="5" spans="1:5" ht="18.75" x14ac:dyDescent="0.3">
      <c r="A5" s="324"/>
      <c r="D5" s="78"/>
      <c r="E5" s="78"/>
    </row>
    <row r="6" spans="1:5" ht="59.25" customHeight="1" x14ac:dyDescent="0.3">
      <c r="A6" s="1015" t="s">
        <v>1053</v>
      </c>
      <c r="B6" s="1034"/>
      <c r="C6" s="1034"/>
      <c r="D6" s="1035"/>
      <c r="E6" s="1035"/>
    </row>
    <row r="7" spans="1:5" ht="18.75" x14ac:dyDescent="0.3">
      <c r="A7" s="324"/>
      <c r="D7" s="78"/>
      <c r="E7" s="78"/>
    </row>
    <row r="8" spans="1:5" ht="12.75" customHeight="1" x14ac:dyDescent="0.2">
      <c r="A8" s="1038" t="s">
        <v>901</v>
      </c>
      <c r="B8" s="1040" t="s">
        <v>1054</v>
      </c>
      <c r="C8" s="1036" t="s">
        <v>1055</v>
      </c>
      <c r="D8" s="1036" t="s">
        <v>995</v>
      </c>
      <c r="E8" s="1036" t="s">
        <v>192</v>
      </c>
    </row>
    <row r="9" spans="1:5" ht="13.5" customHeight="1" x14ac:dyDescent="0.2">
      <c r="A9" s="1039"/>
      <c r="B9" s="1041"/>
      <c r="C9" s="1037"/>
      <c r="D9" s="1037"/>
      <c r="E9" s="1037"/>
    </row>
    <row r="10" spans="1:5" ht="47.25" customHeight="1" x14ac:dyDescent="0.25">
      <c r="A10" s="326">
        <v>1</v>
      </c>
      <c r="B10" s="327" t="s">
        <v>1056</v>
      </c>
      <c r="C10" s="328">
        <f>605000+337500+45000+120400</f>
        <v>1107900</v>
      </c>
      <c r="D10" s="329"/>
      <c r="E10" s="328">
        <f t="shared" ref="E10:E23" si="0">SUM(C10:D10)</f>
        <v>1107900</v>
      </c>
    </row>
    <row r="11" spans="1:5" ht="51.75" customHeight="1" x14ac:dyDescent="0.25">
      <c r="A11" s="326">
        <v>2</v>
      </c>
      <c r="B11" s="327" t="s">
        <v>1057</v>
      </c>
      <c r="C11" s="328">
        <v>1386000</v>
      </c>
      <c r="D11" s="329"/>
      <c r="E11" s="328">
        <f t="shared" si="0"/>
        <v>1386000</v>
      </c>
    </row>
    <row r="12" spans="1:5" ht="49.5" customHeight="1" x14ac:dyDescent="0.25">
      <c r="A12" s="326">
        <v>3</v>
      </c>
      <c r="B12" s="330" t="s">
        <v>1058</v>
      </c>
      <c r="C12" s="331">
        <f>8300+56000+24000</f>
        <v>88300</v>
      </c>
      <c r="D12" s="332"/>
      <c r="E12" s="328">
        <f t="shared" si="0"/>
        <v>88300</v>
      </c>
    </row>
    <row r="13" spans="1:5" ht="61.5" customHeight="1" x14ac:dyDescent="0.25">
      <c r="A13" s="333">
        <v>4</v>
      </c>
      <c r="B13" s="116" t="s">
        <v>1059</v>
      </c>
      <c r="C13" s="334">
        <v>600000</v>
      </c>
      <c r="D13" s="332">
        <v>1200000</v>
      </c>
      <c r="E13" s="328">
        <f t="shared" si="0"/>
        <v>1800000</v>
      </c>
    </row>
    <row r="14" spans="1:5" ht="33" customHeight="1" x14ac:dyDescent="0.25">
      <c r="A14" s="335">
        <v>5</v>
      </c>
      <c r="B14" s="116" t="s">
        <v>1060</v>
      </c>
      <c r="C14" s="331">
        <v>40503750</v>
      </c>
      <c r="D14" s="332">
        <v>1054000</v>
      </c>
      <c r="E14" s="328">
        <f t="shared" si="0"/>
        <v>41557750</v>
      </c>
    </row>
    <row r="15" spans="1:5" ht="48" customHeight="1" x14ac:dyDescent="0.25">
      <c r="A15" s="335">
        <v>6</v>
      </c>
      <c r="B15" s="116" t="s">
        <v>1061</v>
      </c>
      <c r="C15" s="331">
        <v>300000</v>
      </c>
      <c r="D15" s="332"/>
      <c r="E15" s="328">
        <f t="shared" si="0"/>
        <v>300000</v>
      </c>
    </row>
    <row r="16" spans="1:5" ht="63.75" customHeight="1" x14ac:dyDescent="0.25">
      <c r="A16" s="335">
        <v>7</v>
      </c>
      <c r="B16" s="116" t="s">
        <v>1062</v>
      </c>
      <c r="C16" s="331">
        <v>350000</v>
      </c>
      <c r="D16" s="332"/>
      <c r="E16" s="328">
        <f t="shared" si="0"/>
        <v>350000</v>
      </c>
    </row>
    <row r="17" spans="1:5" ht="36" customHeight="1" x14ac:dyDescent="0.25">
      <c r="A17" s="335">
        <v>8</v>
      </c>
      <c r="B17" s="330" t="s">
        <v>1063</v>
      </c>
      <c r="C17" s="331">
        <f>723000+464500+2201390</f>
        <v>3388890</v>
      </c>
      <c r="D17" s="332"/>
      <c r="E17" s="328">
        <f t="shared" si="0"/>
        <v>3388890</v>
      </c>
    </row>
    <row r="18" spans="1:5" ht="53.25" customHeight="1" x14ac:dyDescent="0.25">
      <c r="A18" s="335">
        <v>9</v>
      </c>
      <c r="B18" s="116" t="s">
        <v>1064</v>
      </c>
      <c r="C18" s="331">
        <v>700000</v>
      </c>
      <c r="D18" s="332"/>
      <c r="E18" s="328">
        <f t="shared" si="0"/>
        <v>700000</v>
      </c>
    </row>
    <row r="19" spans="1:5" ht="47.25" x14ac:dyDescent="0.25">
      <c r="A19" s="335">
        <v>10</v>
      </c>
      <c r="B19" s="116" t="s">
        <v>1065</v>
      </c>
      <c r="C19" s="331">
        <v>400000</v>
      </c>
      <c r="D19" s="332"/>
      <c r="E19" s="328">
        <f t="shared" si="0"/>
        <v>400000</v>
      </c>
    </row>
    <row r="20" spans="1:5" ht="62.25" customHeight="1" x14ac:dyDescent="0.25">
      <c r="A20" s="336">
        <v>11</v>
      </c>
      <c r="B20" s="330" t="s">
        <v>1066</v>
      </c>
      <c r="C20" s="331">
        <v>450000</v>
      </c>
      <c r="D20" s="332"/>
      <c r="E20" s="328">
        <f t="shared" si="0"/>
        <v>450000</v>
      </c>
    </row>
    <row r="21" spans="1:5" ht="33" customHeight="1" x14ac:dyDescent="0.25">
      <c r="A21" s="335">
        <v>12</v>
      </c>
      <c r="B21" s="116" t="s">
        <v>1067</v>
      </c>
      <c r="C21" s="331">
        <v>11111</v>
      </c>
      <c r="D21" s="332"/>
      <c r="E21" s="328">
        <f t="shared" si="0"/>
        <v>11111</v>
      </c>
    </row>
    <row r="22" spans="1:5" ht="64.5" customHeight="1" x14ac:dyDescent="0.25">
      <c r="A22" s="335">
        <v>13</v>
      </c>
      <c r="B22" s="330" t="s">
        <v>1068</v>
      </c>
      <c r="C22" s="331"/>
      <c r="D22" s="332">
        <v>1000000</v>
      </c>
      <c r="E22" s="328">
        <f t="shared" si="0"/>
        <v>1000000</v>
      </c>
    </row>
    <row r="23" spans="1:5" ht="0.75" customHeight="1" x14ac:dyDescent="0.25">
      <c r="A23" s="337"/>
      <c r="B23" s="338"/>
      <c r="C23" s="339"/>
      <c r="D23" s="340"/>
      <c r="E23" s="328">
        <f t="shared" si="0"/>
        <v>0</v>
      </c>
    </row>
    <row r="24" spans="1:5" ht="15.75" x14ac:dyDescent="0.25">
      <c r="A24" s="341"/>
      <c r="B24" s="342" t="s">
        <v>177</v>
      </c>
      <c r="C24" s="343">
        <f>SUM(C10:C23)</f>
        <v>49285951</v>
      </c>
      <c r="D24" s="343">
        <f>SUM(D10:D23)</f>
        <v>3254000</v>
      </c>
      <c r="E24" s="343">
        <f>SUM(E10:E23)</f>
        <v>52539951</v>
      </c>
    </row>
  </sheetData>
  <mergeCells count="10">
    <mergeCell ref="D8:D9"/>
    <mergeCell ref="E8:E9"/>
    <mergeCell ref="A8:A9"/>
    <mergeCell ref="B8:B9"/>
    <mergeCell ref="C8:C9"/>
    <mergeCell ref="A1:E1"/>
    <mergeCell ref="A2:E2"/>
    <mergeCell ref="A3:E3"/>
    <mergeCell ref="A4:E4"/>
    <mergeCell ref="A6:E6"/>
  </mergeCells>
  <printOptions gridLines="1"/>
  <pageMargins left="0.70866141732283472" right="0.39370078740157477" top="0.74803149606299213" bottom="0.74803149606299213" header="0.5" footer="0.5"/>
  <pageSetup paperSize="9" orientation="portrai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9"/>
  <sheetViews>
    <sheetView workbookViewId="0"/>
  </sheetViews>
  <sheetFormatPr defaultColWidth="9.140625" defaultRowHeight="12.75" x14ac:dyDescent="0.2"/>
  <cols>
    <col min="1" max="1" width="4.42578125" style="124" customWidth="1"/>
    <col min="2" max="2" width="49.5703125" style="124" customWidth="1"/>
    <col min="3" max="4" width="15" style="124" customWidth="1"/>
    <col min="5" max="16384" width="9.140625" style="124"/>
  </cols>
  <sheetData>
    <row r="1" spans="1:4" ht="18.75" x14ac:dyDescent="0.3">
      <c r="A1" s="1031" t="s">
        <v>1069</v>
      </c>
      <c r="B1" s="1032"/>
      <c r="C1" s="1032"/>
      <c r="D1" s="1033"/>
    </row>
    <row r="2" spans="1:4" ht="18.75" x14ac:dyDescent="0.3">
      <c r="A2" s="1031" t="s">
        <v>1</v>
      </c>
      <c r="B2" s="1032"/>
      <c r="C2" s="1032"/>
      <c r="D2" s="1033"/>
    </row>
    <row r="3" spans="1:4" ht="18.75" x14ac:dyDescent="0.3">
      <c r="A3" s="1031" t="s">
        <v>2</v>
      </c>
      <c r="B3" s="1032"/>
      <c r="C3" s="1032"/>
      <c r="D3" s="1033"/>
    </row>
    <row r="4" spans="1:4" ht="18.75" x14ac:dyDescent="0.3">
      <c r="A4" s="1031" t="s">
        <v>1070</v>
      </c>
      <c r="B4" s="1032"/>
      <c r="C4" s="1032"/>
      <c r="D4" s="1033"/>
    </row>
    <row r="5" spans="1:4" ht="18.75" x14ac:dyDescent="0.3">
      <c r="A5" s="324"/>
    </row>
    <row r="6" spans="1:4" ht="40.5" customHeight="1" x14ac:dyDescent="0.3">
      <c r="A6" s="1015" t="s">
        <v>1071</v>
      </c>
      <c r="B6" s="1034"/>
      <c r="C6" s="1034"/>
      <c r="D6" s="1035"/>
    </row>
    <row r="7" spans="1:4" ht="18.75" x14ac:dyDescent="0.3">
      <c r="A7" s="324"/>
    </row>
    <row r="8" spans="1:4" ht="12.75" customHeight="1" x14ac:dyDescent="0.2">
      <c r="A8" s="1042" t="s">
        <v>901</v>
      </c>
      <c r="B8" s="1042" t="s">
        <v>1054</v>
      </c>
      <c r="C8" s="1042" t="s">
        <v>1072</v>
      </c>
      <c r="D8" s="1042" t="s">
        <v>1073</v>
      </c>
    </row>
    <row r="9" spans="1:4" ht="13.5" customHeight="1" x14ac:dyDescent="0.2">
      <c r="A9" s="1043"/>
      <c r="B9" s="1043"/>
      <c r="C9" s="1043"/>
      <c r="D9" s="1043"/>
    </row>
    <row r="10" spans="1:4" ht="31.5" hidden="1" x14ac:dyDescent="0.25">
      <c r="A10" s="326">
        <v>1</v>
      </c>
      <c r="B10" s="327" t="s">
        <v>1056</v>
      </c>
      <c r="C10" s="328">
        <v>0</v>
      </c>
      <c r="D10" s="328">
        <v>0</v>
      </c>
    </row>
    <row r="11" spans="1:4" ht="47.25" x14ac:dyDescent="0.25">
      <c r="A11" s="333">
        <v>1</v>
      </c>
      <c r="B11" s="327" t="s">
        <v>1057</v>
      </c>
      <c r="C11" s="334">
        <v>1386000</v>
      </c>
      <c r="D11" s="334">
        <v>1386000</v>
      </c>
    </row>
    <row r="12" spans="1:4" ht="47.25" hidden="1" x14ac:dyDescent="0.25">
      <c r="A12" s="335">
        <v>3</v>
      </c>
      <c r="B12" s="330" t="s">
        <v>1058</v>
      </c>
      <c r="C12" s="331">
        <v>0</v>
      </c>
      <c r="D12" s="331">
        <v>0</v>
      </c>
    </row>
    <row r="13" spans="1:4" ht="31.5" x14ac:dyDescent="0.25">
      <c r="A13" s="335">
        <v>2</v>
      </c>
      <c r="B13" s="116" t="s">
        <v>1061</v>
      </c>
      <c r="C13" s="331">
        <v>300000</v>
      </c>
      <c r="D13" s="331">
        <v>300000</v>
      </c>
    </row>
    <row r="14" spans="1:4" ht="47.25" x14ac:dyDescent="0.25">
      <c r="A14" s="335">
        <v>3</v>
      </c>
      <c r="B14" s="116" t="s">
        <v>1062</v>
      </c>
      <c r="C14" s="331">
        <v>350000</v>
      </c>
      <c r="D14" s="331">
        <v>0</v>
      </c>
    </row>
    <row r="15" spans="1:4" ht="15.75" x14ac:dyDescent="0.25">
      <c r="A15" s="335">
        <v>4</v>
      </c>
      <c r="B15" s="330" t="s">
        <v>1063</v>
      </c>
      <c r="C15" s="331">
        <v>1696300</v>
      </c>
      <c r="D15" s="331">
        <v>611200</v>
      </c>
    </row>
    <row r="16" spans="1:4" ht="31.5" hidden="1" x14ac:dyDescent="0.25">
      <c r="A16" s="335">
        <v>8</v>
      </c>
      <c r="B16" s="116" t="s">
        <v>1064</v>
      </c>
      <c r="C16" s="331">
        <v>0</v>
      </c>
      <c r="D16" s="331">
        <v>0</v>
      </c>
    </row>
    <row r="17" spans="1:4" ht="47.25" hidden="1" x14ac:dyDescent="0.25">
      <c r="A17" s="335">
        <v>9</v>
      </c>
      <c r="B17" s="116" t="s">
        <v>1065</v>
      </c>
      <c r="C17" s="331"/>
      <c r="D17" s="331"/>
    </row>
    <row r="18" spans="1:4" ht="47.25" hidden="1" x14ac:dyDescent="0.25">
      <c r="A18" s="336">
        <v>10</v>
      </c>
      <c r="B18" s="330" t="s">
        <v>1066</v>
      </c>
      <c r="C18" s="331"/>
      <c r="D18" s="331"/>
    </row>
    <row r="19" spans="1:4" ht="15.75" x14ac:dyDescent="0.25">
      <c r="A19" s="344"/>
      <c r="B19" s="345" t="s">
        <v>177</v>
      </c>
      <c r="C19" s="346">
        <f>SUM(C10:C18)</f>
        <v>3732300</v>
      </c>
      <c r="D19" s="346">
        <f>SUM(D10:D18)</f>
        <v>2297200</v>
      </c>
    </row>
  </sheetData>
  <mergeCells count="9">
    <mergeCell ref="D8:D9"/>
    <mergeCell ref="A8:A9"/>
    <mergeCell ref="B8:B9"/>
    <mergeCell ref="C8:C9"/>
    <mergeCell ref="A1:D1"/>
    <mergeCell ref="A2:D2"/>
    <mergeCell ref="A3:D3"/>
    <mergeCell ref="A4:D4"/>
    <mergeCell ref="A6:D6"/>
  </mergeCells>
  <printOptions gridLines="1"/>
  <pageMargins left="0.70866141732283472" right="0.70866141732283472" top="0.74803149606299213" bottom="0.74803149606299213" header="0.5" footer="0.5"/>
  <pageSetup paperSize="9" orientation="portrai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6"/>
  <sheetViews>
    <sheetView workbookViewId="0"/>
  </sheetViews>
  <sheetFormatPr defaultColWidth="9.140625" defaultRowHeight="12.75" x14ac:dyDescent="0.2"/>
  <cols>
    <col min="1" max="1" width="17" style="347" bestFit="1" customWidth="1"/>
    <col min="2" max="2" width="45.7109375" style="347" customWidth="1"/>
    <col min="3" max="3" width="24" style="347" customWidth="1"/>
    <col min="4" max="16384" width="9.140625" style="347"/>
  </cols>
  <sheetData>
    <row r="1" spans="1:3" ht="18.75" x14ac:dyDescent="0.3">
      <c r="A1" s="1031" t="s">
        <v>1074</v>
      </c>
      <c r="B1" s="1032"/>
      <c r="C1" s="1032"/>
    </row>
    <row r="2" spans="1:3" ht="18.75" x14ac:dyDescent="0.3">
      <c r="A2" s="1031" t="s">
        <v>1</v>
      </c>
      <c r="B2" s="1032"/>
      <c r="C2" s="1032"/>
    </row>
    <row r="3" spans="1:3" ht="18.75" x14ac:dyDescent="0.3">
      <c r="A3" s="1031" t="s">
        <v>2</v>
      </c>
      <c r="B3" s="1032"/>
      <c r="C3" s="1032"/>
    </row>
    <row r="4" spans="1:3" ht="18.75" x14ac:dyDescent="0.3">
      <c r="A4" s="1031" t="s">
        <v>1070</v>
      </c>
      <c r="B4" s="1032"/>
      <c r="C4" s="1032"/>
    </row>
    <row r="5" spans="1:3" ht="18.75" x14ac:dyDescent="0.3">
      <c r="A5" s="324"/>
    </row>
    <row r="6" spans="1:3" ht="22.5" customHeight="1" x14ac:dyDescent="0.3">
      <c r="A6" s="1015" t="s">
        <v>1075</v>
      </c>
      <c r="B6" s="1015"/>
      <c r="C6" s="1015"/>
    </row>
    <row r="7" spans="1:3" ht="18.75" x14ac:dyDescent="0.3">
      <c r="A7" s="348"/>
      <c r="B7" s="349"/>
      <c r="C7" s="348"/>
    </row>
    <row r="8" spans="1:3" ht="45.75" customHeight="1" x14ac:dyDescent="0.25">
      <c r="A8" s="206" t="s">
        <v>1076</v>
      </c>
      <c r="B8" s="206" t="s">
        <v>191</v>
      </c>
      <c r="C8" s="206" t="s">
        <v>1077</v>
      </c>
    </row>
    <row r="9" spans="1:3" ht="31.5" x14ac:dyDescent="0.25">
      <c r="A9" s="206">
        <v>953</v>
      </c>
      <c r="B9" s="350" t="s">
        <v>682</v>
      </c>
      <c r="C9" s="351">
        <f>C10</f>
        <v>758141021</v>
      </c>
    </row>
    <row r="10" spans="1:3" ht="65.25" customHeight="1" x14ac:dyDescent="0.25">
      <c r="A10" s="352"/>
      <c r="B10" s="353" t="s">
        <v>1078</v>
      </c>
      <c r="C10" s="354">
        <v>758141021</v>
      </c>
    </row>
    <row r="11" spans="1:3" ht="31.5" x14ac:dyDescent="0.25">
      <c r="A11" s="117">
        <v>954</v>
      </c>
      <c r="B11" s="355" t="s">
        <v>1022</v>
      </c>
      <c r="C11" s="346">
        <f>C12</f>
        <v>250641233</v>
      </c>
    </row>
    <row r="12" spans="1:3" ht="63" x14ac:dyDescent="0.25">
      <c r="A12" s="356"/>
      <c r="B12" s="357" t="s">
        <v>1079</v>
      </c>
      <c r="C12" s="358">
        <v>250641233</v>
      </c>
    </row>
    <row r="13" spans="1:3" ht="47.25" x14ac:dyDescent="0.25">
      <c r="A13" s="359">
        <v>956</v>
      </c>
      <c r="B13" s="360" t="s">
        <v>1023</v>
      </c>
      <c r="C13" s="361">
        <f>C14+C15</f>
        <v>115474108</v>
      </c>
    </row>
    <row r="14" spans="1:3" ht="63" x14ac:dyDescent="0.25">
      <c r="A14" s="356"/>
      <c r="B14" s="357" t="s">
        <v>1080</v>
      </c>
      <c r="C14" s="358">
        <f>-C15+115474108</f>
        <v>101822800</v>
      </c>
    </row>
    <row r="15" spans="1:3" ht="31.5" x14ac:dyDescent="0.25">
      <c r="A15" s="359"/>
      <c r="B15" s="357" t="s">
        <v>1081</v>
      </c>
      <c r="C15" s="358">
        <v>13651308</v>
      </c>
    </row>
    <row r="16" spans="1:3" s="362" customFormat="1" ht="15.75" x14ac:dyDescent="0.25">
      <c r="A16" s="1044" t="s">
        <v>177</v>
      </c>
      <c r="B16" s="1045"/>
      <c r="C16" s="361">
        <f>C13+C11+C9</f>
        <v>1124256362</v>
      </c>
    </row>
  </sheetData>
  <mergeCells count="6">
    <mergeCell ref="A16:B16"/>
    <mergeCell ref="A1:C1"/>
    <mergeCell ref="A2:C2"/>
    <mergeCell ref="A3:C3"/>
    <mergeCell ref="A4:C4"/>
    <mergeCell ref="A6:C6"/>
  </mergeCells>
  <printOptions gridLines="1"/>
  <pageMargins left="0.70866141732283472" right="0.70866141732283472" top="0.74803149606299213" bottom="0.74803149606299213" header="0.5" footer="0.5"/>
  <pageSetup paperSize="9" orientation="portrai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7"/>
  <sheetViews>
    <sheetView workbookViewId="0"/>
  </sheetViews>
  <sheetFormatPr defaultColWidth="9.140625" defaultRowHeight="12.75" x14ac:dyDescent="0.2"/>
  <cols>
    <col min="1" max="1" width="18.28515625" style="124" customWidth="1"/>
    <col min="2" max="2" width="30.7109375" style="124" customWidth="1"/>
    <col min="3" max="3" width="20.28515625" style="124" customWidth="1"/>
    <col min="4" max="4" width="19.5703125" style="124" customWidth="1"/>
    <col min="5" max="16384" width="9.140625" style="124"/>
  </cols>
  <sheetData>
    <row r="1" spans="1:4" ht="18.75" x14ac:dyDescent="0.3">
      <c r="A1" s="1031" t="s">
        <v>1082</v>
      </c>
      <c r="B1" s="1032"/>
      <c r="C1" s="1032"/>
      <c r="D1" s="1033"/>
    </row>
    <row r="2" spans="1:4" ht="18.75" x14ac:dyDescent="0.3">
      <c r="A2" s="1031" t="s">
        <v>1</v>
      </c>
      <c r="B2" s="1032"/>
      <c r="C2" s="1032"/>
      <c r="D2" s="1032"/>
    </row>
    <row r="3" spans="1:4" ht="18.75" x14ac:dyDescent="0.3">
      <c r="A3" s="1031" t="s">
        <v>2</v>
      </c>
      <c r="B3" s="1032"/>
      <c r="C3" s="1032"/>
      <c r="D3" s="1033"/>
    </row>
    <row r="4" spans="1:4" ht="18.75" x14ac:dyDescent="0.3">
      <c r="A4" s="1031" t="s">
        <v>1083</v>
      </c>
      <c r="B4" s="1032"/>
      <c r="C4" s="1032"/>
      <c r="D4" s="1033"/>
    </row>
    <row r="5" spans="1:4" ht="18.75" x14ac:dyDescent="0.3">
      <c r="A5" s="324"/>
    </row>
    <row r="6" spans="1:4" ht="36.75" customHeight="1" x14ac:dyDescent="0.3">
      <c r="A6" s="1015" t="s">
        <v>1084</v>
      </c>
      <c r="B6" s="1015"/>
      <c r="C6" s="1015"/>
      <c r="D6" s="1033"/>
    </row>
    <row r="7" spans="1:4" ht="18.75" x14ac:dyDescent="0.3">
      <c r="A7" s="348"/>
      <c r="B7" s="349"/>
      <c r="C7" s="348"/>
      <c r="D7" s="348"/>
    </row>
    <row r="8" spans="1:4" ht="15.75" x14ac:dyDescent="0.25">
      <c r="A8" s="1046" t="s">
        <v>1076</v>
      </c>
      <c r="B8" s="1046" t="s">
        <v>191</v>
      </c>
      <c r="C8" s="206" t="s">
        <v>1085</v>
      </c>
      <c r="D8" s="206" t="s">
        <v>1086</v>
      </c>
    </row>
    <row r="9" spans="1:4" ht="30" customHeight="1" x14ac:dyDescent="0.25">
      <c r="A9" s="1047"/>
      <c r="B9" s="1047"/>
      <c r="C9" s="363" t="s">
        <v>1087</v>
      </c>
      <c r="D9" s="363" t="s">
        <v>1087</v>
      </c>
    </row>
    <row r="10" spans="1:4" ht="31.5" x14ac:dyDescent="0.25">
      <c r="A10" s="206">
        <v>953</v>
      </c>
      <c r="B10" s="350" t="s">
        <v>682</v>
      </c>
      <c r="C10" s="351">
        <f>C11</f>
        <v>792137427</v>
      </c>
      <c r="D10" s="351">
        <f>D11</f>
        <v>854898899</v>
      </c>
    </row>
    <row r="11" spans="1:4" ht="78.75" x14ac:dyDescent="0.25">
      <c r="A11" s="352"/>
      <c r="B11" s="353" t="s">
        <v>1078</v>
      </c>
      <c r="C11" s="354">
        <v>792137427</v>
      </c>
      <c r="D11" s="354">
        <v>854898899</v>
      </c>
    </row>
    <row r="12" spans="1:4" ht="47.25" x14ac:dyDescent="0.25">
      <c r="A12" s="117">
        <v>954</v>
      </c>
      <c r="B12" s="355" t="s">
        <v>1022</v>
      </c>
      <c r="C12" s="346">
        <f>C13</f>
        <v>269632006</v>
      </c>
      <c r="D12" s="346">
        <f>D13</f>
        <v>289328704</v>
      </c>
    </row>
    <row r="13" spans="1:4" ht="78.75" x14ac:dyDescent="0.25">
      <c r="A13" s="356"/>
      <c r="B13" s="357" t="s">
        <v>1079</v>
      </c>
      <c r="C13" s="358">
        <v>269632006</v>
      </c>
      <c r="D13" s="358">
        <v>289328704</v>
      </c>
    </row>
    <row r="14" spans="1:4" ht="63" x14ac:dyDescent="0.25">
      <c r="A14" s="359">
        <v>956</v>
      </c>
      <c r="B14" s="360" t="s">
        <v>1023</v>
      </c>
      <c r="C14" s="361">
        <f>C15+C16</f>
        <v>116923463</v>
      </c>
      <c r="D14" s="361">
        <f>D15+D16</f>
        <v>108467532</v>
      </c>
    </row>
    <row r="15" spans="1:4" ht="78.75" x14ac:dyDescent="0.25">
      <c r="A15" s="356"/>
      <c r="B15" s="357" t="s">
        <v>1080</v>
      </c>
      <c r="C15" s="358">
        <v>103088178</v>
      </c>
      <c r="D15" s="358">
        <v>94368983</v>
      </c>
    </row>
    <row r="16" spans="1:4" ht="47.25" x14ac:dyDescent="0.25">
      <c r="A16" s="359"/>
      <c r="B16" s="357" t="s">
        <v>1081</v>
      </c>
      <c r="C16" s="358">
        <v>13835285</v>
      </c>
      <c r="D16" s="358">
        <v>14098549</v>
      </c>
    </row>
    <row r="17" spans="1:4" ht="15.75" x14ac:dyDescent="0.25">
      <c r="A17" s="1044" t="s">
        <v>177</v>
      </c>
      <c r="B17" s="1045"/>
      <c r="C17" s="361">
        <f>C14+C12+C10</f>
        <v>1178692896</v>
      </c>
      <c r="D17" s="361">
        <f>D14+D12+D10</f>
        <v>1252695135</v>
      </c>
    </row>
  </sheetData>
  <mergeCells count="8">
    <mergeCell ref="A8:A9"/>
    <mergeCell ref="B8:B9"/>
    <mergeCell ref="A17:B17"/>
    <mergeCell ref="A1:D1"/>
    <mergeCell ref="A2:D2"/>
    <mergeCell ref="A3:D3"/>
    <mergeCell ref="A4:D4"/>
    <mergeCell ref="A6:D6"/>
  </mergeCells>
  <printOptions gridLines="1"/>
  <pageMargins left="0.70866141732283472" right="0.70866141732283472" top="0.74803149606299213" bottom="0.74803149606299213" header="0.5" footer="0.5"/>
  <pageSetup paperSize="9" orientation="portrait"/>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48"/>
  <sheetViews>
    <sheetView workbookViewId="0"/>
  </sheetViews>
  <sheetFormatPr defaultRowHeight="12.75" x14ac:dyDescent="0.2"/>
  <cols>
    <col min="7" max="7" width="24.140625" customWidth="1"/>
    <col min="9" max="9" width="14.7109375" customWidth="1"/>
    <col min="10" max="10" width="9.140625" hidden="1" customWidth="1"/>
  </cols>
  <sheetData>
    <row r="1" spans="1:10" ht="15.75" x14ac:dyDescent="0.25">
      <c r="A1" s="325"/>
      <c r="B1" s="325"/>
      <c r="C1" s="325"/>
      <c r="D1" s="325"/>
      <c r="E1" s="325"/>
      <c r="F1" s="325"/>
      <c r="G1" s="890" t="s">
        <v>544</v>
      </c>
      <c r="H1" s="890"/>
      <c r="I1" s="890"/>
      <c r="J1" s="890"/>
    </row>
    <row r="2" spans="1:10" ht="15.75" x14ac:dyDescent="0.25">
      <c r="A2" s="325"/>
      <c r="B2" s="325"/>
      <c r="C2" s="325"/>
      <c r="D2" s="325"/>
      <c r="E2" s="325"/>
      <c r="F2" s="325"/>
      <c r="G2" s="890" t="s">
        <v>1088</v>
      </c>
      <c r="H2" s="890"/>
      <c r="I2" s="890"/>
      <c r="J2" s="890"/>
    </row>
    <row r="3" spans="1:10" ht="15.75" x14ac:dyDescent="0.25">
      <c r="A3" s="325"/>
      <c r="B3" s="325"/>
      <c r="C3" s="325"/>
      <c r="D3" s="325"/>
      <c r="E3" s="325"/>
      <c r="F3" s="325"/>
      <c r="G3" s="890" t="s">
        <v>2</v>
      </c>
      <c r="H3" s="890"/>
      <c r="I3" s="890"/>
      <c r="J3" s="890"/>
    </row>
    <row r="4" spans="1:10" ht="15.75" x14ac:dyDescent="0.25">
      <c r="A4" s="325"/>
      <c r="B4" s="325"/>
      <c r="C4" s="325"/>
      <c r="D4" s="325"/>
      <c r="E4" s="325"/>
      <c r="F4" s="325"/>
      <c r="G4" s="890" t="s">
        <v>1089</v>
      </c>
      <c r="H4" s="890"/>
      <c r="I4" s="890"/>
      <c r="J4" s="890"/>
    </row>
    <row r="5" spans="1:10" ht="15.75" x14ac:dyDescent="0.25">
      <c r="A5" s="325"/>
      <c r="B5" s="325"/>
      <c r="C5" s="325"/>
      <c r="D5" s="325"/>
      <c r="E5" s="325"/>
      <c r="F5" s="325"/>
      <c r="G5" s="325"/>
      <c r="H5" s="325"/>
      <c r="I5" s="325"/>
      <c r="J5" s="50"/>
    </row>
    <row r="6" spans="1:10" ht="42" customHeight="1" x14ac:dyDescent="0.25">
      <c r="A6" s="901" t="s">
        <v>1090</v>
      </c>
      <c r="B6" s="901"/>
      <c r="C6" s="901"/>
      <c r="D6" s="901"/>
      <c r="E6" s="901"/>
      <c r="F6" s="901"/>
      <c r="G6" s="901"/>
      <c r="H6" s="901"/>
      <c r="I6" s="901"/>
      <c r="J6" s="901"/>
    </row>
    <row r="7" spans="1:10" ht="15.75" x14ac:dyDescent="0.25">
      <c r="A7" s="364"/>
      <c r="B7" s="325"/>
      <c r="C7" s="325"/>
      <c r="D7" s="325"/>
      <c r="E7" s="325"/>
      <c r="F7" s="325"/>
      <c r="G7" s="325"/>
      <c r="H7" s="325"/>
      <c r="I7" s="325"/>
      <c r="J7" s="325"/>
    </row>
    <row r="8" spans="1:10" ht="45" customHeight="1" x14ac:dyDescent="0.2">
      <c r="A8" s="1048" t="s">
        <v>1091</v>
      </c>
      <c r="B8" s="1048"/>
      <c r="C8" s="1048"/>
      <c r="D8" s="1048"/>
      <c r="E8" s="1048"/>
      <c r="F8" s="1048"/>
      <c r="G8" s="1048"/>
      <c r="H8" s="1048"/>
      <c r="I8" s="1048"/>
      <c r="J8" s="1048"/>
    </row>
    <row r="9" spans="1:10" ht="45" customHeight="1" x14ac:dyDescent="0.2">
      <c r="A9" s="1050" t="s">
        <v>1092</v>
      </c>
      <c r="B9" s="1050"/>
      <c r="C9" s="1050"/>
      <c r="D9" s="1050"/>
      <c r="E9" s="1050"/>
      <c r="F9" s="1050"/>
      <c r="G9" s="1050"/>
      <c r="H9" s="1050"/>
      <c r="I9" s="1050"/>
      <c r="J9" s="1050"/>
    </row>
    <row r="10" spans="1:10" ht="71.25" customHeight="1" x14ac:dyDescent="0.2">
      <c r="A10" s="1048"/>
      <c r="B10" s="1048"/>
      <c r="C10" s="1048"/>
      <c r="D10" s="1048"/>
      <c r="E10" s="1048"/>
      <c r="F10" s="1048"/>
      <c r="G10" s="1048"/>
      <c r="H10" s="1048"/>
      <c r="I10" s="1048"/>
      <c r="J10" s="1048"/>
    </row>
    <row r="11" spans="1:10" ht="46.5" hidden="1" customHeight="1" x14ac:dyDescent="0.2">
      <c r="A11" s="1050"/>
      <c r="B11" s="1050"/>
      <c r="C11" s="1050"/>
      <c r="D11" s="1050"/>
      <c r="E11" s="1050"/>
      <c r="F11" s="1050"/>
      <c r="G11" s="1050"/>
      <c r="H11" s="1050"/>
      <c r="I11" s="1050"/>
      <c r="J11" s="1050"/>
    </row>
    <row r="12" spans="1:10" ht="41.25" hidden="1" customHeight="1" x14ac:dyDescent="0.2">
      <c r="A12" s="1048"/>
      <c r="B12" s="1048"/>
      <c r="C12" s="1048"/>
      <c r="D12" s="1048"/>
      <c r="E12" s="1048"/>
      <c r="F12" s="1048"/>
      <c r="G12" s="1048"/>
      <c r="H12" s="1048"/>
      <c r="I12" s="1048"/>
      <c r="J12" s="1048"/>
    </row>
    <row r="13" spans="1:10" ht="18" hidden="1" customHeight="1" x14ac:dyDescent="0.2">
      <c r="C13" s="325"/>
    </row>
    <row r="14" spans="1:10" ht="78.75" hidden="1" customHeight="1" x14ac:dyDescent="0.2">
      <c r="A14" s="1048"/>
      <c r="B14" s="1048"/>
      <c r="C14" s="1048"/>
      <c r="D14" s="1048"/>
      <c r="E14" s="1048"/>
      <c r="F14" s="1048"/>
      <c r="G14" s="1048"/>
      <c r="H14" s="1048"/>
      <c r="I14" s="1048"/>
      <c r="J14" s="1048"/>
    </row>
    <row r="15" spans="1:10" ht="25.5" hidden="1" customHeight="1" x14ac:dyDescent="0.2">
      <c r="C15" s="325"/>
    </row>
    <row r="16" spans="1:10" hidden="1" x14ac:dyDescent="0.2"/>
    <row r="17" spans="1:11" ht="57.75" hidden="1" customHeight="1" x14ac:dyDescent="0.2">
      <c r="A17" s="1048"/>
      <c r="B17" s="1048"/>
      <c r="C17" s="1048"/>
      <c r="D17" s="1048"/>
      <c r="E17" s="1048"/>
      <c r="F17" s="1048"/>
      <c r="G17" s="1048"/>
      <c r="H17" s="1048"/>
      <c r="I17" s="1048"/>
      <c r="J17" s="1048"/>
    </row>
    <row r="18" spans="1:11" hidden="1" x14ac:dyDescent="0.2">
      <c r="C18" s="325"/>
    </row>
    <row r="19" spans="1:11" hidden="1" x14ac:dyDescent="0.2"/>
    <row r="20" spans="1:11" ht="58.5" hidden="1" customHeight="1" x14ac:dyDescent="0.2">
      <c r="A20" s="1048"/>
      <c r="B20" s="1048"/>
      <c r="C20" s="1048"/>
      <c r="D20" s="1048"/>
      <c r="E20" s="1048"/>
      <c r="F20" s="1048"/>
      <c r="G20" s="1048"/>
      <c r="H20" s="1048"/>
      <c r="I20" s="1048"/>
      <c r="J20" s="1048"/>
    </row>
    <row r="21" spans="1:11" hidden="1" x14ac:dyDescent="0.2">
      <c r="C21" s="325"/>
    </row>
    <row r="22" spans="1:11" hidden="1" x14ac:dyDescent="0.2"/>
    <row r="23" spans="1:11" hidden="1" x14ac:dyDescent="0.2"/>
    <row r="24" spans="1:11" hidden="1" x14ac:dyDescent="0.2"/>
    <row r="25" spans="1:11" hidden="1" x14ac:dyDescent="0.2"/>
    <row r="26" spans="1:11" hidden="1" x14ac:dyDescent="0.2"/>
    <row r="27" spans="1:11" hidden="1" x14ac:dyDescent="0.2"/>
    <row r="28" spans="1:11" hidden="1" x14ac:dyDescent="0.2"/>
    <row r="29" spans="1:11" hidden="1" x14ac:dyDescent="0.2"/>
    <row r="30" spans="1:11" hidden="1" x14ac:dyDescent="0.2">
      <c r="I30" s="78"/>
      <c r="K30" s="78"/>
    </row>
    <row r="31" spans="1:11" hidden="1" x14ac:dyDescent="0.2">
      <c r="A31" s="78"/>
      <c r="B31" s="78"/>
      <c r="C31" s="78"/>
      <c r="D31" s="78"/>
      <c r="I31" s="78"/>
      <c r="J31" s="78"/>
      <c r="K31" s="78"/>
    </row>
    <row r="32" spans="1:11" hidden="1" x14ac:dyDescent="0.2">
      <c r="A32" s="78"/>
      <c r="B32" s="78"/>
      <c r="C32" s="78"/>
      <c r="D32" s="78"/>
      <c r="I32" s="78"/>
      <c r="J32" s="78"/>
      <c r="K32" s="78"/>
    </row>
    <row r="33" spans="1:11" hidden="1" x14ac:dyDescent="0.2">
      <c r="A33" s="78"/>
      <c r="B33" s="78"/>
      <c r="C33" s="78"/>
      <c r="D33" s="78"/>
    </row>
    <row r="34" spans="1:11" ht="15.75" hidden="1" x14ac:dyDescent="0.25">
      <c r="A34" s="78"/>
      <c r="B34" s="365"/>
      <c r="C34" s="366"/>
      <c r="D34" s="366"/>
      <c r="K34" s="367"/>
    </row>
    <row r="35" spans="1:11" ht="15.75" hidden="1" x14ac:dyDescent="0.25">
      <c r="A35" s="1049"/>
      <c r="B35" s="1049"/>
      <c r="C35" s="368"/>
      <c r="D35" s="368"/>
      <c r="K35" s="367"/>
    </row>
    <row r="36" spans="1:11" hidden="1" x14ac:dyDescent="0.2"/>
    <row r="37" spans="1:11" hidden="1" x14ac:dyDescent="0.2"/>
    <row r="38" spans="1:11" hidden="1" x14ac:dyDescent="0.2"/>
    <row r="39" spans="1:11" hidden="1" x14ac:dyDescent="0.2"/>
    <row r="40" spans="1:11" hidden="1" x14ac:dyDescent="0.2"/>
    <row r="41" spans="1:11" hidden="1" x14ac:dyDescent="0.2"/>
    <row r="42" spans="1:11" hidden="1" x14ac:dyDescent="0.2"/>
    <row r="43" spans="1:11" hidden="1" x14ac:dyDescent="0.2"/>
    <row r="44" spans="1:11" hidden="1" x14ac:dyDescent="0.2"/>
    <row r="45" spans="1:11" hidden="1" x14ac:dyDescent="0.2"/>
    <row r="46" spans="1:11" hidden="1" x14ac:dyDescent="0.2"/>
    <row r="47" spans="1:11" hidden="1" x14ac:dyDescent="0.2"/>
    <row r="48" spans="1:11" hidden="1" x14ac:dyDescent="0.2"/>
    <row r="49" hidden="1" x14ac:dyDescent="0.2"/>
    <row r="50" hidden="1" x14ac:dyDescent="0.2"/>
    <row r="51" hidden="1" x14ac:dyDescent="0.2"/>
    <row r="52" hidden="1" x14ac:dyDescent="0.2"/>
    <row r="53" hidden="1" x14ac:dyDescent="0.2"/>
    <row r="54" hidden="1" x14ac:dyDescent="0.2"/>
    <row r="55" hidden="1" x14ac:dyDescent="0.2"/>
    <row r="56" hidden="1" x14ac:dyDescent="0.2"/>
    <row r="57" hidden="1" x14ac:dyDescent="0.2"/>
    <row r="58" hidden="1" x14ac:dyDescent="0.2"/>
    <row r="59" hidden="1" x14ac:dyDescent="0.2"/>
    <row r="60" hidden="1" x14ac:dyDescent="0.2"/>
    <row r="61" hidden="1" x14ac:dyDescent="0.2"/>
    <row r="62" hidden="1" x14ac:dyDescent="0.2"/>
    <row r="63" hidden="1" x14ac:dyDescent="0.2"/>
    <row r="64" hidden="1" x14ac:dyDescent="0.2"/>
    <row r="65" hidden="1" x14ac:dyDescent="0.2"/>
    <row r="66" hidden="1" x14ac:dyDescent="0.2"/>
    <row r="67" hidden="1" x14ac:dyDescent="0.2"/>
    <row r="68" hidden="1" x14ac:dyDescent="0.2"/>
    <row r="69" hidden="1" x14ac:dyDescent="0.2"/>
    <row r="70" hidden="1" x14ac:dyDescent="0.2"/>
    <row r="71" hidden="1" x14ac:dyDescent="0.2"/>
    <row r="72" hidden="1" x14ac:dyDescent="0.2"/>
    <row r="73" hidden="1" x14ac:dyDescent="0.2"/>
    <row r="74" hidden="1" x14ac:dyDescent="0.2"/>
    <row r="75" hidden="1" x14ac:dyDescent="0.2"/>
    <row r="76" hidden="1" x14ac:dyDescent="0.2"/>
    <row r="77" hidden="1" x14ac:dyDescent="0.2"/>
    <row r="78" hidden="1" x14ac:dyDescent="0.2"/>
    <row r="79" hidden="1" x14ac:dyDescent="0.2"/>
    <row r="80" hidden="1" x14ac:dyDescent="0.2"/>
    <row r="81" hidden="1" x14ac:dyDescent="0.2"/>
    <row r="82" hidden="1" x14ac:dyDescent="0.2"/>
    <row r="83" hidden="1" x14ac:dyDescent="0.2"/>
    <row r="84" hidden="1" x14ac:dyDescent="0.2"/>
    <row r="85" hidden="1" x14ac:dyDescent="0.2"/>
    <row r="86" hidden="1" x14ac:dyDescent="0.2"/>
    <row r="87" hidden="1" x14ac:dyDescent="0.2"/>
    <row r="88" hidden="1" x14ac:dyDescent="0.2"/>
    <row r="89" hidden="1" x14ac:dyDescent="0.2"/>
    <row r="90" hidden="1" x14ac:dyDescent="0.2"/>
    <row r="91" hidden="1" x14ac:dyDescent="0.2"/>
    <row r="92" hidden="1" x14ac:dyDescent="0.2"/>
    <row r="93" hidden="1" x14ac:dyDescent="0.2"/>
    <row r="94" hidden="1" x14ac:dyDescent="0.2"/>
    <row r="95" hidden="1" x14ac:dyDescent="0.2"/>
    <row r="96" hidden="1" x14ac:dyDescent="0.2"/>
    <row r="97" hidden="1" x14ac:dyDescent="0.2"/>
    <row r="98" hidden="1" x14ac:dyDescent="0.2"/>
    <row r="99" hidden="1" x14ac:dyDescent="0.2"/>
    <row r="100" hidden="1" x14ac:dyDescent="0.2"/>
    <row r="101" hidden="1" x14ac:dyDescent="0.2"/>
    <row r="102" hidden="1" x14ac:dyDescent="0.2"/>
    <row r="103" hidden="1" x14ac:dyDescent="0.2"/>
    <row r="104" hidden="1" x14ac:dyDescent="0.2"/>
    <row r="105" hidden="1" x14ac:dyDescent="0.2"/>
    <row r="106" hidden="1" x14ac:dyDescent="0.2"/>
    <row r="107" hidden="1" x14ac:dyDescent="0.2"/>
    <row r="108" hidden="1" x14ac:dyDescent="0.2"/>
    <row r="109" hidden="1" x14ac:dyDescent="0.2"/>
    <row r="110" hidden="1" x14ac:dyDescent="0.2"/>
    <row r="111" hidden="1" x14ac:dyDescent="0.2"/>
    <row r="112" hidden="1" x14ac:dyDescent="0.2"/>
    <row r="113" hidden="1" x14ac:dyDescent="0.2"/>
    <row r="114" hidden="1" x14ac:dyDescent="0.2"/>
    <row r="115" hidden="1" x14ac:dyDescent="0.2"/>
    <row r="116" hidden="1" x14ac:dyDescent="0.2"/>
    <row r="117" hidden="1" x14ac:dyDescent="0.2"/>
    <row r="118" hidden="1" x14ac:dyDescent="0.2"/>
    <row r="119" hidden="1" x14ac:dyDescent="0.2"/>
    <row r="120" hidden="1" x14ac:dyDescent="0.2"/>
    <row r="121" hidden="1" x14ac:dyDescent="0.2"/>
    <row r="122" hidden="1" x14ac:dyDescent="0.2"/>
    <row r="123" hidden="1" x14ac:dyDescent="0.2"/>
    <row r="124" hidden="1" x14ac:dyDescent="0.2"/>
    <row r="125" hidden="1" x14ac:dyDescent="0.2"/>
    <row r="126" hidden="1" x14ac:dyDescent="0.2"/>
    <row r="127" hidden="1" x14ac:dyDescent="0.2"/>
    <row r="128" hidden="1" x14ac:dyDescent="0.2"/>
    <row r="129" hidden="1" x14ac:dyDescent="0.2"/>
    <row r="130" hidden="1" x14ac:dyDescent="0.2"/>
    <row r="131" hidden="1" x14ac:dyDescent="0.2"/>
    <row r="132" hidden="1" x14ac:dyDescent="0.2"/>
    <row r="133" hidden="1" x14ac:dyDescent="0.2"/>
    <row r="134" hidden="1" x14ac:dyDescent="0.2"/>
    <row r="135" hidden="1" x14ac:dyDescent="0.2"/>
    <row r="136" hidden="1" x14ac:dyDescent="0.2"/>
    <row r="137" hidden="1" x14ac:dyDescent="0.2"/>
    <row r="138" hidden="1" x14ac:dyDescent="0.2"/>
    <row r="139" hidden="1" x14ac:dyDescent="0.2"/>
    <row r="140" hidden="1" x14ac:dyDescent="0.2"/>
    <row r="141" hidden="1" x14ac:dyDescent="0.2"/>
    <row r="142" hidden="1" x14ac:dyDescent="0.2"/>
    <row r="143" hidden="1" x14ac:dyDescent="0.2"/>
    <row r="144" hidden="1" x14ac:dyDescent="0.2"/>
    <row r="145" hidden="1" x14ac:dyDescent="0.2"/>
    <row r="146" hidden="1" x14ac:dyDescent="0.2"/>
    <row r="147" hidden="1" x14ac:dyDescent="0.2"/>
    <row r="148" hidden="1" x14ac:dyDescent="0.2"/>
  </sheetData>
  <mergeCells count="14">
    <mergeCell ref="A14:J14"/>
    <mergeCell ref="A17:J17"/>
    <mergeCell ref="A20:J20"/>
    <mergeCell ref="A35:B35"/>
    <mergeCell ref="A8:J8"/>
    <mergeCell ref="A9:J9"/>
    <mergeCell ref="A10:J10"/>
    <mergeCell ref="A11:J11"/>
    <mergeCell ref="A12:J12"/>
    <mergeCell ref="G1:J1"/>
    <mergeCell ref="G2:J2"/>
    <mergeCell ref="G3:J3"/>
    <mergeCell ref="G4:J4"/>
    <mergeCell ref="A6:J6"/>
  </mergeCells>
  <printOptions gridLines="1"/>
  <pageMargins left="0.78740157480314954" right="0.39370078740157477" top="0.39370078740157477" bottom="0.39370078740157477" header="0.5" footer="0.5"/>
  <pageSetup paperSize="9" orientation="portrait"/>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67"/>
  <sheetViews>
    <sheetView topLeftCell="A1000" workbookViewId="0"/>
  </sheetViews>
  <sheetFormatPr defaultRowHeight="12.75" x14ac:dyDescent="0.2"/>
  <cols>
    <col min="1" max="1" width="6.5703125" style="369" customWidth="1"/>
    <col min="2" max="2" width="85.7109375" style="325" customWidth="1"/>
  </cols>
  <sheetData>
    <row r="1" spans="1:2" hidden="1" x14ac:dyDescent="0.2">
      <c r="A1" s="369" t="s">
        <v>1093</v>
      </c>
      <c r="B1" s="325" t="s">
        <v>1094</v>
      </c>
    </row>
    <row r="2" spans="1:2" hidden="1" x14ac:dyDescent="0.2">
      <c r="A2" s="370" t="s">
        <v>1095</v>
      </c>
      <c r="B2" s="371" t="s">
        <v>1096</v>
      </c>
    </row>
    <row r="3" spans="1:2" hidden="1" x14ac:dyDescent="0.2"/>
    <row r="4" spans="1:2" hidden="1" x14ac:dyDescent="0.2"/>
    <row r="5" spans="1:2" hidden="1" x14ac:dyDescent="0.2"/>
    <row r="6" spans="1:2" hidden="1" x14ac:dyDescent="0.2"/>
    <row r="7" spans="1:2" hidden="1" x14ac:dyDescent="0.2"/>
    <row r="8" spans="1:2" hidden="1" x14ac:dyDescent="0.2"/>
    <row r="9" spans="1:2" hidden="1" x14ac:dyDescent="0.2"/>
    <row r="10" spans="1:2" hidden="1" x14ac:dyDescent="0.2"/>
    <row r="11" spans="1:2" hidden="1" x14ac:dyDescent="0.2"/>
    <row r="12" spans="1:2" hidden="1" x14ac:dyDescent="0.2"/>
    <row r="13" spans="1:2" hidden="1" x14ac:dyDescent="0.2"/>
    <row r="14" spans="1:2" hidden="1" x14ac:dyDescent="0.2"/>
    <row r="15" spans="1:2" hidden="1" x14ac:dyDescent="0.2"/>
    <row r="16" spans="1:2" hidden="1" x14ac:dyDescent="0.2"/>
    <row r="17" hidden="1" x14ac:dyDescent="0.2"/>
    <row r="18" hidden="1" x14ac:dyDescent="0.2"/>
    <row r="19" hidden="1" x14ac:dyDescent="0.2"/>
    <row r="20" hidden="1" x14ac:dyDescent="0.2"/>
    <row r="21" hidden="1" x14ac:dyDescent="0.2"/>
    <row r="22" hidden="1" x14ac:dyDescent="0.2"/>
    <row r="23" hidden="1" x14ac:dyDescent="0.2"/>
    <row r="24" hidden="1" x14ac:dyDescent="0.2"/>
    <row r="25" hidden="1" x14ac:dyDescent="0.2"/>
    <row r="26" hidden="1" x14ac:dyDescent="0.2"/>
    <row r="27" hidden="1" x14ac:dyDescent="0.2"/>
    <row r="28" hidden="1" x14ac:dyDescent="0.2"/>
    <row r="29" hidden="1" x14ac:dyDescent="0.2"/>
    <row r="30" hidden="1" x14ac:dyDescent="0.2"/>
    <row r="31" hidden="1" x14ac:dyDescent="0.2"/>
    <row r="32" hidden="1" x14ac:dyDescent="0.2"/>
    <row r="33" hidden="1" x14ac:dyDescent="0.2"/>
    <row r="34" hidden="1" x14ac:dyDescent="0.2"/>
    <row r="35" hidden="1" x14ac:dyDescent="0.2"/>
    <row r="36" hidden="1" x14ac:dyDescent="0.2"/>
    <row r="37" hidden="1" x14ac:dyDescent="0.2"/>
    <row r="38" hidden="1" x14ac:dyDescent="0.2"/>
    <row r="39" hidden="1" x14ac:dyDescent="0.2"/>
    <row r="40" hidden="1" x14ac:dyDescent="0.2"/>
    <row r="41" hidden="1" x14ac:dyDescent="0.2"/>
    <row r="42" hidden="1" x14ac:dyDescent="0.2"/>
    <row r="43" hidden="1" x14ac:dyDescent="0.2"/>
    <row r="44" hidden="1" x14ac:dyDescent="0.2"/>
    <row r="45" hidden="1" x14ac:dyDescent="0.2"/>
    <row r="46" hidden="1" x14ac:dyDescent="0.2"/>
    <row r="47" hidden="1" x14ac:dyDescent="0.2"/>
    <row r="48" hidden="1" x14ac:dyDescent="0.2"/>
    <row r="49" hidden="1" x14ac:dyDescent="0.2"/>
    <row r="50" hidden="1" x14ac:dyDescent="0.2"/>
    <row r="51" hidden="1" x14ac:dyDescent="0.2"/>
    <row r="52" hidden="1" x14ac:dyDescent="0.2"/>
    <row r="53" hidden="1" x14ac:dyDescent="0.2"/>
    <row r="54" hidden="1" x14ac:dyDescent="0.2"/>
    <row r="55" hidden="1" x14ac:dyDescent="0.2"/>
    <row r="56" hidden="1" x14ac:dyDescent="0.2"/>
    <row r="57" hidden="1" x14ac:dyDescent="0.2"/>
    <row r="58" hidden="1" x14ac:dyDescent="0.2"/>
    <row r="59" hidden="1" x14ac:dyDescent="0.2"/>
    <row r="60" hidden="1" x14ac:dyDescent="0.2"/>
    <row r="61" hidden="1" x14ac:dyDescent="0.2"/>
    <row r="62" hidden="1" x14ac:dyDescent="0.2"/>
    <row r="63" hidden="1" x14ac:dyDescent="0.2"/>
    <row r="64" hidden="1" x14ac:dyDescent="0.2"/>
    <row r="65" hidden="1" x14ac:dyDescent="0.2"/>
    <row r="66" hidden="1" x14ac:dyDescent="0.2"/>
    <row r="67" hidden="1" x14ac:dyDescent="0.2"/>
    <row r="68" hidden="1" x14ac:dyDescent="0.2"/>
    <row r="69" hidden="1" x14ac:dyDescent="0.2"/>
    <row r="70" hidden="1" x14ac:dyDescent="0.2"/>
    <row r="71" hidden="1" x14ac:dyDescent="0.2"/>
    <row r="72" hidden="1" x14ac:dyDescent="0.2"/>
    <row r="73" hidden="1" x14ac:dyDescent="0.2"/>
    <row r="74" hidden="1" x14ac:dyDescent="0.2"/>
    <row r="75" hidden="1" x14ac:dyDescent="0.2"/>
    <row r="76" hidden="1" x14ac:dyDescent="0.2"/>
    <row r="77" hidden="1" x14ac:dyDescent="0.2"/>
    <row r="78" hidden="1" x14ac:dyDescent="0.2"/>
    <row r="79" hidden="1" x14ac:dyDescent="0.2"/>
    <row r="80" hidden="1" x14ac:dyDescent="0.2"/>
    <row r="81" hidden="1" x14ac:dyDescent="0.2"/>
    <row r="82" hidden="1" x14ac:dyDescent="0.2"/>
    <row r="83" hidden="1" x14ac:dyDescent="0.2"/>
    <row r="84" hidden="1" x14ac:dyDescent="0.2"/>
    <row r="85" hidden="1" x14ac:dyDescent="0.2"/>
    <row r="86" hidden="1" x14ac:dyDescent="0.2"/>
    <row r="87" hidden="1" x14ac:dyDescent="0.2"/>
    <row r="88" hidden="1" x14ac:dyDescent="0.2"/>
    <row r="89" hidden="1" x14ac:dyDescent="0.2"/>
    <row r="90" hidden="1" x14ac:dyDescent="0.2"/>
    <row r="91" hidden="1" x14ac:dyDescent="0.2"/>
    <row r="92" hidden="1" x14ac:dyDescent="0.2"/>
    <row r="93" hidden="1" x14ac:dyDescent="0.2"/>
    <row r="94" hidden="1" x14ac:dyDescent="0.2"/>
    <row r="95" hidden="1" x14ac:dyDescent="0.2"/>
    <row r="96" hidden="1" x14ac:dyDescent="0.2"/>
    <row r="97" hidden="1" x14ac:dyDescent="0.2"/>
    <row r="98" hidden="1" x14ac:dyDescent="0.2"/>
    <row r="99" hidden="1" x14ac:dyDescent="0.2"/>
    <row r="100" hidden="1" x14ac:dyDescent="0.2"/>
    <row r="101" hidden="1" x14ac:dyDescent="0.2"/>
    <row r="102" hidden="1" x14ac:dyDescent="0.2"/>
    <row r="103" hidden="1" x14ac:dyDescent="0.2"/>
    <row r="104" hidden="1" x14ac:dyDescent="0.2"/>
    <row r="105" hidden="1" x14ac:dyDescent="0.2"/>
    <row r="106" hidden="1" x14ac:dyDescent="0.2"/>
    <row r="107" hidden="1" x14ac:dyDescent="0.2"/>
    <row r="108" hidden="1" x14ac:dyDescent="0.2"/>
    <row r="109" hidden="1" x14ac:dyDescent="0.2"/>
    <row r="110" hidden="1" x14ac:dyDescent="0.2"/>
    <row r="111" hidden="1" x14ac:dyDescent="0.2"/>
    <row r="112" hidden="1" x14ac:dyDescent="0.2"/>
    <row r="113" hidden="1" x14ac:dyDescent="0.2"/>
    <row r="114" hidden="1" x14ac:dyDescent="0.2"/>
    <row r="115" hidden="1" x14ac:dyDescent="0.2"/>
    <row r="116" hidden="1" x14ac:dyDescent="0.2"/>
    <row r="117" hidden="1" x14ac:dyDescent="0.2"/>
    <row r="118" hidden="1" x14ac:dyDescent="0.2"/>
    <row r="119" hidden="1" x14ac:dyDescent="0.2"/>
    <row r="120" hidden="1" x14ac:dyDescent="0.2"/>
    <row r="121" hidden="1" x14ac:dyDescent="0.2"/>
    <row r="122" hidden="1" x14ac:dyDescent="0.2"/>
    <row r="123" hidden="1" x14ac:dyDescent="0.2"/>
    <row r="124" hidden="1" x14ac:dyDescent="0.2"/>
    <row r="125" hidden="1" x14ac:dyDescent="0.2"/>
    <row r="126" hidden="1" x14ac:dyDescent="0.2"/>
    <row r="127" hidden="1" x14ac:dyDescent="0.2"/>
    <row r="128" hidden="1" x14ac:dyDescent="0.2"/>
    <row r="129" hidden="1" x14ac:dyDescent="0.2"/>
    <row r="130" hidden="1" x14ac:dyDescent="0.2"/>
    <row r="131" hidden="1" x14ac:dyDescent="0.2"/>
    <row r="132" hidden="1" x14ac:dyDescent="0.2"/>
    <row r="133" hidden="1" x14ac:dyDescent="0.2"/>
    <row r="134" hidden="1" x14ac:dyDescent="0.2"/>
    <row r="135" hidden="1" x14ac:dyDescent="0.2"/>
    <row r="136" hidden="1" x14ac:dyDescent="0.2"/>
    <row r="137" hidden="1" x14ac:dyDescent="0.2"/>
    <row r="138" hidden="1" x14ac:dyDescent="0.2"/>
    <row r="139" hidden="1" x14ac:dyDescent="0.2"/>
    <row r="140" hidden="1" x14ac:dyDescent="0.2"/>
    <row r="141" hidden="1" x14ac:dyDescent="0.2"/>
    <row r="142" hidden="1" x14ac:dyDescent="0.2"/>
    <row r="143" hidden="1" x14ac:dyDescent="0.2"/>
    <row r="144" hidden="1" x14ac:dyDescent="0.2"/>
    <row r="145" hidden="1" x14ac:dyDescent="0.2"/>
    <row r="146" hidden="1" x14ac:dyDescent="0.2"/>
    <row r="147" hidden="1" x14ac:dyDescent="0.2"/>
    <row r="148" hidden="1" x14ac:dyDescent="0.2"/>
    <row r="149" hidden="1" x14ac:dyDescent="0.2"/>
    <row r="150" hidden="1" x14ac:dyDescent="0.2"/>
    <row r="151" hidden="1" x14ac:dyDescent="0.2"/>
    <row r="152" hidden="1" x14ac:dyDescent="0.2"/>
    <row r="153" hidden="1" x14ac:dyDescent="0.2"/>
    <row r="154" hidden="1" x14ac:dyDescent="0.2"/>
    <row r="155" hidden="1" x14ac:dyDescent="0.2"/>
    <row r="156" hidden="1" x14ac:dyDescent="0.2"/>
    <row r="157" hidden="1" x14ac:dyDescent="0.2"/>
    <row r="158" hidden="1" x14ac:dyDescent="0.2"/>
    <row r="159" hidden="1" x14ac:dyDescent="0.2"/>
    <row r="160" hidden="1" x14ac:dyDescent="0.2"/>
    <row r="161" hidden="1" x14ac:dyDescent="0.2"/>
    <row r="162" hidden="1" x14ac:dyDescent="0.2"/>
    <row r="163" hidden="1" x14ac:dyDescent="0.2"/>
    <row r="164" hidden="1" x14ac:dyDescent="0.2"/>
    <row r="165" hidden="1" x14ac:dyDescent="0.2"/>
    <row r="166" hidden="1" x14ac:dyDescent="0.2"/>
    <row r="167" hidden="1" x14ac:dyDescent="0.2"/>
    <row r="168" hidden="1" x14ac:dyDescent="0.2"/>
    <row r="169" hidden="1" x14ac:dyDescent="0.2"/>
    <row r="170" hidden="1" x14ac:dyDescent="0.2"/>
    <row r="171" hidden="1" x14ac:dyDescent="0.2"/>
    <row r="172" hidden="1" x14ac:dyDescent="0.2"/>
    <row r="173" hidden="1" x14ac:dyDescent="0.2"/>
    <row r="174" hidden="1" x14ac:dyDescent="0.2"/>
    <row r="175" hidden="1" x14ac:dyDescent="0.2"/>
    <row r="176" hidden="1" x14ac:dyDescent="0.2"/>
    <row r="177" hidden="1" x14ac:dyDescent="0.2"/>
    <row r="178" hidden="1" x14ac:dyDescent="0.2"/>
    <row r="179" hidden="1" x14ac:dyDescent="0.2"/>
    <row r="180" hidden="1" x14ac:dyDescent="0.2"/>
    <row r="181" hidden="1" x14ac:dyDescent="0.2"/>
    <row r="182" hidden="1" x14ac:dyDescent="0.2"/>
    <row r="183" hidden="1" x14ac:dyDescent="0.2"/>
    <row r="184" hidden="1" x14ac:dyDescent="0.2"/>
    <row r="185" hidden="1" x14ac:dyDescent="0.2"/>
    <row r="186" hidden="1" x14ac:dyDescent="0.2"/>
    <row r="187" hidden="1" x14ac:dyDescent="0.2"/>
    <row r="188" hidden="1" x14ac:dyDescent="0.2"/>
    <row r="189" hidden="1" x14ac:dyDescent="0.2"/>
    <row r="190" hidden="1" x14ac:dyDescent="0.2"/>
    <row r="191" hidden="1" x14ac:dyDescent="0.2"/>
    <row r="192" hidden="1" x14ac:dyDescent="0.2"/>
    <row r="193" hidden="1" x14ac:dyDescent="0.2"/>
    <row r="194" hidden="1" x14ac:dyDescent="0.2"/>
    <row r="195" hidden="1" x14ac:dyDescent="0.2"/>
    <row r="196" hidden="1" x14ac:dyDescent="0.2"/>
    <row r="197" hidden="1" x14ac:dyDescent="0.2"/>
    <row r="198" hidden="1" x14ac:dyDescent="0.2"/>
    <row r="199" hidden="1" x14ac:dyDescent="0.2"/>
    <row r="200" hidden="1" x14ac:dyDescent="0.2"/>
    <row r="201" hidden="1" x14ac:dyDescent="0.2"/>
    <row r="202" hidden="1" x14ac:dyDescent="0.2"/>
    <row r="203" hidden="1" x14ac:dyDescent="0.2"/>
    <row r="204" hidden="1" x14ac:dyDescent="0.2"/>
    <row r="205" hidden="1" x14ac:dyDescent="0.2"/>
    <row r="206" hidden="1" x14ac:dyDescent="0.2"/>
    <row r="207" hidden="1" x14ac:dyDescent="0.2"/>
    <row r="208" hidden="1" x14ac:dyDescent="0.2"/>
    <row r="209" hidden="1" x14ac:dyDescent="0.2"/>
    <row r="210" hidden="1" x14ac:dyDescent="0.2"/>
    <row r="211" hidden="1" x14ac:dyDescent="0.2"/>
    <row r="212" hidden="1" x14ac:dyDescent="0.2"/>
    <row r="213" hidden="1" x14ac:dyDescent="0.2"/>
    <row r="214" hidden="1" x14ac:dyDescent="0.2"/>
    <row r="215" hidden="1" x14ac:dyDescent="0.2"/>
    <row r="216" hidden="1" x14ac:dyDescent="0.2"/>
    <row r="217" hidden="1" x14ac:dyDescent="0.2"/>
    <row r="218" hidden="1" x14ac:dyDescent="0.2"/>
    <row r="219" hidden="1" x14ac:dyDescent="0.2"/>
    <row r="220" hidden="1" x14ac:dyDescent="0.2"/>
    <row r="221" hidden="1" x14ac:dyDescent="0.2"/>
    <row r="222" hidden="1" x14ac:dyDescent="0.2"/>
    <row r="223" hidden="1" x14ac:dyDescent="0.2"/>
    <row r="224" hidden="1" x14ac:dyDescent="0.2"/>
    <row r="225" hidden="1" x14ac:dyDescent="0.2"/>
    <row r="226" hidden="1" x14ac:dyDescent="0.2"/>
    <row r="227" hidden="1" x14ac:dyDescent="0.2"/>
    <row r="228" hidden="1" x14ac:dyDescent="0.2"/>
    <row r="229" hidden="1" x14ac:dyDescent="0.2"/>
    <row r="230" hidden="1" x14ac:dyDescent="0.2"/>
    <row r="231" hidden="1" x14ac:dyDescent="0.2"/>
    <row r="232" hidden="1" x14ac:dyDescent="0.2"/>
    <row r="233" hidden="1" x14ac:dyDescent="0.2"/>
    <row r="234" hidden="1" x14ac:dyDescent="0.2"/>
    <row r="235" hidden="1" x14ac:dyDescent="0.2"/>
    <row r="236" hidden="1" x14ac:dyDescent="0.2"/>
    <row r="237" hidden="1" x14ac:dyDescent="0.2"/>
    <row r="238" hidden="1" x14ac:dyDescent="0.2"/>
    <row r="239" hidden="1" x14ac:dyDescent="0.2"/>
    <row r="240" hidden="1" x14ac:dyDescent="0.2"/>
    <row r="241" hidden="1" x14ac:dyDescent="0.2"/>
    <row r="242" hidden="1" x14ac:dyDescent="0.2"/>
    <row r="243" hidden="1" x14ac:dyDescent="0.2"/>
    <row r="244" hidden="1" x14ac:dyDescent="0.2"/>
    <row r="245" hidden="1" x14ac:dyDescent="0.2"/>
    <row r="246" hidden="1" x14ac:dyDescent="0.2"/>
    <row r="247" hidden="1" x14ac:dyDescent="0.2"/>
    <row r="248" hidden="1" x14ac:dyDescent="0.2"/>
    <row r="249" hidden="1" x14ac:dyDescent="0.2"/>
    <row r="250" hidden="1" x14ac:dyDescent="0.2"/>
    <row r="251" hidden="1" x14ac:dyDescent="0.2"/>
    <row r="252" hidden="1" x14ac:dyDescent="0.2"/>
    <row r="253" hidden="1" x14ac:dyDescent="0.2"/>
    <row r="254" hidden="1" x14ac:dyDescent="0.2"/>
    <row r="255" hidden="1" x14ac:dyDescent="0.2"/>
    <row r="256" hidden="1" x14ac:dyDescent="0.2"/>
    <row r="257" hidden="1" x14ac:dyDescent="0.2"/>
    <row r="258" hidden="1" x14ac:dyDescent="0.2"/>
    <row r="259" hidden="1" x14ac:dyDescent="0.2"/>
    <row r="260" hidden="1" x14ac:dyDescent="0.2"/>
    <row r="261" hidden="1" x14ac:dyDescent="0.2"/>
    <row r="262" hidden="1" x14ac:dyDescent="0.2"/>
    <row r="263" hidden="1" x14ac:dyDescent="0.2"/>
    <row r="264" hidden="1" x14ac:dyDescent="0.2"/>
    <row r="265" hidden="1" x14ac:dyDescent="0.2"/>
    <row r="266" hidden="1" x14ac:dyDescent="0.2"/>
    <row r="267" hidden="1" x14ac:dyDescent="0.2"/>
    <row r="268" hidden="1" x14ac:dyDescent="0.2"/>
    <row r="269" hidden="1" x14ac:dyDescent="0.2"/>
    <row r="270" hidden="1" x14ac:dyDescent="0.2"/>
    <row r="271" hidden="1" x14ac:dyDescent="0.2"/>
    <row r="272" hidden="1" x14ac:dyDescent="0.2"/>
    <row r="273" hidden="1" x14ac:dyDescent="0.2"/>
    <row r="274" hidden="1" x14ac:dyDescent="0.2"/>
    <row r="275" hidden="1" x14ac:dyDescent="0.2"/>
    <row r="276" hidden="1" x14ac:dyDescent="0.2"/>
    <row r="277" hidden="1" x14ac:dyDescent="0.2"/>
    <row r="278" hidden="1" x14ac:dyDescent="0.2"/>
    <row r="279" hidden="1" x14ac:dyDescent="0.2"/>
    <row r="280" hidden="1" x14ac:dyDescent="0.2"/>
    <row r="281" hidden="1" x14ac:dyDescent="0.2"/>
    <row r="282" hidden="1" x14ac:dyDescent="0.2"/>
    <row r="283" hidden="1" x14ac:dyDescent="0.2"/>
    <row r="284" hidden="1" x14ac:dyDescent="0.2"/>
    <row r="285" hidden="1" x14ac:dyDescent="0.2"/>
    <row r="286" hidden="1" x14ac:dyDescent="0.2"/>
    <row r="287" hidden="1" x14ac:dyDescent="0.2"/>
    <row r="288" hidden="1" x14ac:dyDescent="0.2"/>
    <row r="289" hidden="1" x14ac:dyDescent="0.2"/>
    <row r="290" hidden="1" x14ac:dyDescent="0.2"/>
    <row r="291" hidden="1" x14ac:dyDescent="0.2"/>
    <row r="292" hidden="1" x14ac:dyDescent="0.2"/>
    <row r="293" hidden="1" x14ac:dyDescent="0.2"/>
    <row r="294" hidden="1" x14ac:dyDescent="0.2"/>
    <row r="295" hidden="1" x14ac:dyDescent="0.2"/>
    <row r="296" hidden="1" x14ac:dyDescent="0.2"/>
    <row r="297" hidden="1" x14ac:dyDescent="0.2"/>
    <row r="298" hidden="1" x14ac:dyDescent="0.2"/>
    <row r="299" hidden="1" x14ac:dyDescent="0.2"/>
    <row r="300" hidden="1" x14ac:dyDescent="0.2"/>
    <row r="301" hidden="1" x14ac:dyDescent="0.2"/>
    <row r="302" hidden="1" x14ac:dyDescent="0.2"/>
    <row r="303" hidden="1" x14ac:dyDescent="0.2"/>
    <row r="304" hidden="1" x14ac:dyDescent="0.2"/>
    <row r="305" hidden="1" x14ac:dyDescent="0.2"/>
    <row r="306" hidden="1" x14ac:dyDescent="0.2"/>
    <row r="307" hidden="1" x14ac:dyDescent="0.2"/>
    <row r="308" hidden="1" x14ac:dyDescent="0.2"/>
    <row r="309" hidden="1" x14ac:dyDescent="0.2"/>
    <row r="310" hidden="1" x14ac:dyDescent="0.2"/>
    <row r="311" hidden="1" x14ac:dyDescent="0.2"/>
    <row r="312" hidden="1" x14ac:dyDescent="0.2"/>
    <row r="313" hidden="1" x14ac:dyDescent="0.2"/>
    <row r="314" hidden="1" x14ac:dyDescent="0.2"/>
    <row r="315" hidden="1" x14ac:dyDescent="0.2"/>
    <row r="316" hidden="1" x14ac:dyDescent="0.2"/>
    <row r="317" hidden="1" x14ac:dyDescent="0.2"/>
    <row r="318" hidden="1" x14ac:dyDescent="0.2"/>
    <row r="319" hidden="1" x14ac:dyDescent="0.2"/>
    <row r="320" hidden="1" x14ac:dyDescent="0.2"/>
    <row r="321" hidden="1" x14ac:dyDescent="0.2"/>
    <row r="322" hidden="1" x14ac:dyDescent="0.2"/>
    <row r="323" hidden="1" x14ac:dyDescent="0.2"/>
    <row r="324" hidden="1" x14ac:dyDescent="0.2"/>
    <row r="325" hidden="1" x14ac:dyDescent="0.2"/>
    <row r="326" hidden="1" x14ac:dyDescent="0.2"/>
    <row r="327" hidden="1" x14ac:dyDescent="0.2"/>
    <row r="328" hidden="1" x14ac:dyDescent="0.2"/>
    <row r="329" hidden="1" x14ac:dyDescent="0.2"/>
    <row r="330" hidden="1" x14ac:dyDescent="0.2"/>
    <row r="331" hidden="1" x14ac:dyDescent="0.2"/>
    <row r="332" hidden="1" x14ac:dyDescent="0.2"/>
    <row r="333" hidden="1" x14ac:dyDescent="0.2"/>
    <row r="334" hidden="1" x14ac:dyDescent="0.2"/>
    <row r="335" hidden="1" x14ac:dyDescent="0.2"/>
    <row r="336" hidden="1" x14ac:dyDescent="0.2"/>
    <row r="337" hidden="1" x14ac:dyDescent="0.2"/>
    <row r="338" hidden="1" x14ac:dyDescent="0.2"/>
    <row r="339" hidden="1" x14ac:dyDescent="0.2"/>
    <row r="340" hidden="1" x14ac:dyDescent="0.2"/>
    <row r="341" hidden="1" x14ac:dyDescent="0.2"/>
    <row r="342" hidden="1" x14ac:dyDescent="0.2"/>
    <row r="343" hidden="1" x14ac:dyDescent="0.2"/>
    <row r="344" hidden="1" x14ac:dyDescent="0.2"/>
    <row r="345" hidden="1" x14ac:dyDescent="0.2"/>
    <row r="346" hidden="1" x14ac:dyDescent="0.2"/>
    <row r="347" hidden="1" x14ac:dyDescent="0.2"/>
    <row r="348" hidden="1" x14ac:dyDescent="0.2"/>
    <row r="349" hidden="1" x14ac:dyDescent="0.2"/>
    <row r="350" hidden="1" x14ac:dyDescent="0.2"/>
    <row r="351" hidden="1" x14ac:dyDescent="0.2"/>
    <row r="352" hidden="1" x14ac:dyDescent="0.2"/>
    <row r="353" hidden="1" x14ac:dyDescent="0.2"/>
    <row r="354" hidden="1" x14ac:dyDescent="0.2"/>
    <row r="355" hidden="1" x14ac:dyDescent="0.2"/>
    <row r="356" hidden="1" x14ac:dyDescent="0.2"/>
    <row r="357" hidden="1" x14ac:dyDescent="0.2"/>
    <row r="358" hidden="1" x14ac:dyDescent="0.2"/>
    <row r="359" hidden="1" x14ac:dyDescent="0.2"/>
    <row r="360" hidden="1" x14ac:dyDescent="0.2"/>
    <row r="361" hidden="1" x14ac:dyDescent="0.2"/>
    <row r="362" hidden="1" x14ac:dyDescent="0.2"/>
    <row r="363" hidden="1" x14ac:dyDescent="0.2"/>
    <row r="364" hidden="1" x14ac:dyDescent="0.2"/>
    <row r="365" hidden="1" x14ac:dyDescent="0.2"/>
    <row r="366" hidden="1" x14ac:dyDescent="0.2"/>
    <row r="367" hidden="1" x14ac:dyDescent="0.2"/>
    <row r="368" hidden="1" x14ac:dyDescent="0.2"/>
    <row r="369" hidden="1" x14ac:dyDescent="0.2"/>
    <row r="370" hidden="1" x14ac:dyDescent="0.2"/>
    <row r="371" hidden="1" x14ac:dyDescent="0.2"/>
    <row r="372" hidden="1" x14ac:dyDescent="0.2"/>
    <row r="373" hidden="1" x14ac:dyDescent="0.2"/>
    <row r="374" hidden="1" x14ac:dyDescent="0.2"/>
    <row r="375" hidden="1" x14ac:dyDescent="0.2"/>
    <row r="376" hidden="1" x14ac:dyDescent="0.2"/>
    <row r="377" hidden="1" x14ac:dyDescent="0.2"/>
    <row r="378" hidden="1" x14ac:dyDescent="0.2"/>
    <row r="379" hidden="1" x14ac:dyDescent="0.2"/>
    <row r="380" hidden="1" x14ac:dyDescent="0.2"/>
    <row r="381" hidden="1" x14ac:dyDescent="0.2"/>
    <row r="382" hidden="1" x14ac:dyDescent="0.2"/>
    <row r="383" hidden="1" x14ac:dyDescent="0.2"/>
    <row r="384" hidden="1" x14ac:dyDescent="0.2"/>
    <row r="385" hidden="1" x14ac:dyDescent="0.2"/>
    <row r="386" hidden="1" x14ac:dyDescent="0.2"/>
    <row r="387" hidden="1" x14ac:dyDescent="0.2"/>
    <row r="388" hidden="1" x14ac:dyDescent="0.2"/>
    <row r="389" hidden="1" x14ac:dyDescent="0.2"/>
    <row r="390" hidden="1" x14ac:dyDescent="0.2"/>
    <row r="391" hidden="1" x14ac:dyDescent="0.2"/>
    <row r="392" hidden="1" x14ac:dyDescent="0.2"/>
    <row r="393" hidden="1" x14ac:dyDescent="0.2"/>
    <row r="394" hidden="1" x14ac:dyDescent="0.2"/>
    <row r="395" hidden="1" x14ac:dyDescent="0.2"/>
    <row r="396" hidden="1" x14ac:dyDescent="0.2"/>
    <row r="397" hidden="1" x14ac:dyDescent="0.2"/>
    <row r="398" hidden="1" x14ac:dyDescent="0.2"/>
    <row r="399" hidden="1" x14ac:dyDescent="0.2"/>
    <row r="400" hidden="1" x14ac:dyDescent="0.2"/>
    <row r="401" hidden="1" x14ac:dyDescent="0.2"/>
    <row r="402" hidden="1" x14ac:dyDescent="0.2"/>
    <row r="403" hidden="1" x14ac:dyDescent="0.2"/>
    <row r="404" hidden="1" x14ac:dyDescent="0.2"/>
    <row r="405" hidden="1" x14ac:dyDescent="0.2"/>
    <row r="406" hidden="1" x14ac:dyDescent="0.2"/>
    <row r="407" hidden="1" x14ac:dyDescent="0.2"/>
    <row r="408" hidden="1" x14ac:dyDescent="0.2"/>
    <row r="409" hidden="1" x14ac:dyDescent="0.2"/>
    <row r="410" hidden="1" x14ac:dyDescent="0.2"/>
    <row r="411" hidden="1" x14ac:dyDescent="0.2"/>
    <row r="412" hidden="1" x14ac:dyDescent="0.2"/>
    <row r="413" hidden="1" x14ac:dyDescent="0.2"/>
    <row r="414" hidden="1" x14ac:dyDescent="0.2"/>
    <row r="415" hidden="1" x14ac:dyDescent="0.2"/>
    <row r="416" hidden="1" x14ac:dyDescent="0.2"/>
    <row r="417" hidden="1" x14ac:dyDescent="0.2"/>
    <row r="418" hidden="1" x14ac:dyDescent="0.2"/>
    <row r="419" hidden="1" x14ac:dyDescent="0.2"/>
    <row r="420" hidden="1" x14ac:dyDescent="0.2"/>
    <row r="421" hidden="1" x14ac:dyDescent="0.2"/>
    <row r="422" hidden="1" x14ac:dyDescent="0.2"/>
    <row r="423" hidden="1" x14ac:dyDescent="0.2"/>
    <row r="424" hidden="1" x14ac:dyDescent="0.2"/>
    <row r="425" hidden="1" x14ac:dyDescent="0.2"/>
    <row r="426" hidden="1" x14ac:dyDescent="0.2"/>
    <row r="427" hidden="1" x14ac:dyDescent="0.2"/>
    <row r="428" hidden="1" x14ac:dyDescent="0.2"/>
    <row r="429" hidden="1" x14ac:dyDescent="0.2"/>
    <row r="430" hidden="1" x14ac:dyDescent="0.2"/>
    <row r="431" hidden="1" x14ac:dyDescent="0.2"/>
    <row r="432" hidden="1" x14ac:dyDescent="0.2"/>
    <row r="433" hidden="1" x14ac:dyDescent="0.2"/>
    <row r="434" hidden="1" x14ac:dyDescent="0.2"/>
    <row r="435" hidden="1" x14ac:dyDescent="0.2"/>
    <row r="436" hidden="1" x14ac:dyDescent="0.2"/>
    <row r="437" hidden="1" x14ac:dyDescent="0.2"/>
    <row r="438" hidden="1" x14ac:dyDescent="0.2"/>
    <row r="439" hidden="1" x14ac:dyDescent="0.2"/>
    <row r="440" hidden="1" x14ac:dyDescent="0.2"/>
    <row r="441" hidden="1" x14ac:dyDescent="0.2"/>
    <row r="442" hidden="1" x14ac:dyDescent="0.2"/>
    <row r="443" hidden="1" x14ac:dyDescent="0.2"/>
    <row r="444" hidden="1" x14ac:dyDescent="0.2"/>
    <row r="445" hidden="1" x14ac:dyDescent="0.2"/>
    <row r="446" hidden="1" x14ac:dyDescent="0.2"/>
    <row r="447" hidden="1" x14ac:dyDescent="0.2"/>
    <row r="448" hidden="1" x14ac:dyDescent="0.2"/>
    <row r="449" hidden="1" x14ac:dyDescent="0.2"/>
    <row r="450" hidden="1" x14ac:dyDescent="0.2"/>
    <row r="451" hidden="1" x14ac:dyDescent="0.2"/>
    <row r="452" hidden="1" x14ac:dyDescent="0.2"/>
    <row r="453" hidden="1" x14ac:dyDescent="0.2"/>
    <row r="454" hidden="1" x14ac:dyDescent="0.2"/>
    <row r="455" hidden="1" x14ac:dyDescent="0.2"/>
    <row r="456" hidden="1" x14ac:dyDescent="0.2"/>
    <row r="457" hidden="1" x14ac:dyDescent="0.2"/>
    <row r="458" hidden="1" x14ac:dyDescent="0.2"/>
    <row r="459" hidden="1" x14ac:dyDescent="0.2"/>
    <row r="460" hidden="1" x14ac:dyDescent="0.2"/>
    <row r="461" hidden="1" x14ac:dyDescent="0.2"/>
    <row r="462" hidden="1" x14ac:dyDescent="0.2"/>
    <row r="463" hidden="1" x14ac:dyDescent="0.2"/>
    <row r="464" hidden="1" x14ac:dyDescent="0.2"/>
    <row r="465" hidden="1" x14ac:dyDescent="0.2"/>
    <row r="466" hidden="1" x14ac:dyDescent="0.2"/>
    <row r="467" hidden="1" x14ac:dyDescent="0.2"/>
    <row r="468" hidden="1" x14ac:dyDescent="0.2"/>
    <row r="469" hidden="1" x14ac:dyDescent="0.2"/>
    <row r="470" hidden="1" x14ac:dyDescent="0.2"/>
    <row r="471" hidden="1" x14ac:dyDescent="0.2"/>
    <row r="472" hidden="1" x14ac:dyDescent="0.2"/>
    <row r="473" hidden="1" x14ac:dyDescent="0.2"/>
    <row r="474" hidden="1" x14ac:dyDescent="0.2"/>
    <row r="475" hidden="1" x14ac:dyDescent="0.2"/>
    <row r="476" hidden="1" x14ac:dyDescent="0.2"/>
    <row r="477" hidden="1" x14ac:dyDescent="0.2"/>
    <row r="478" hidden="1" x14ac:dyDescent="0.2"/>
    <row r="479" hidden="1" x14ac:dyDescent="0.2"/>
    <row r="480" hidden="1" x14ac:dyDescent="0.2"/>
    <row r="481" hidden="1" x14ac:dyDescent="0.2"/>
    <row r="482" hidden="1" x14ac:dyDescent="0.2"/>
    <row r="483" hidden="1" x14ac:dyDescent="0.2"/>
    <row r="484" hidden="1" x14ac:dyDescent="0.2"/>
    <row r="485" hidden="1" x14ac:dyDescent="0.2"/>
    <row r="486" hidden="1" x14ac:dyDescent="0.2"/>
    <row r="487" hidden="1" x14ac:dyDescent="0.2"/>
    <row r="488" hidden="1" x14ac:dyDescent="0.2"/>
    <row r="489" hidden="1" x14ac:dyDescent="0.2"/>
    <row r="490" hidden="1" x14ac:dyDescent="0.2"/>
    <row r="491" hidden="1" x14ac:dyDescent="0.2"/>
    <row r="492" hidden="1" x14ac:dyDescent="0.2"/>
    <row r="493" hidden="1" x14ac:dyDescent="0.2"/>
    <row r="494" hidden="1" x14ac:dyDescent="0.2"/>
    <row r="495" hidden="1" x14ac:dyDescent="0.2"/>
    <row r="496" hidden="1" x14ac:dyDescent="0.2"/>
    <row r="497" hidden="1" x14ac:dyDescent="0.2"/>
    <row r="498" hidden="1" x14ac:dyDescent="0.2"/>
    <row r="499" hidden="1" x14ac:dyDescent="0.2"/>
    <row r="500" hidden="1" x14ac:dyDescent="0.2"/>
    <row r="501" hidden="1" x14ac:dyDescent="0.2"/>
    <row r="502" hidden="1" x14ac:dyDescent="0.2"/>
    <row r="503" hidden="1" x14ac:dyDescent="0.2"/>
    <row r="504" hidden="1" x14ac:dyDescent="0.2"/>
    <row r="505" hidden="1" x14ac:dyDescent="0.2"/>
    <row r="506" hidden="1" x14ac:dyDescent="0.2"/>
    <row r="507" hidden="1" x14ac:dyDescent="0.2"/>
    <row r="508" hidden="1" x14ac:dyDescent="0.2"/>
    <row r="509" hidden="1" x14ac:dyDescent="0.2"/>
    <row r="510" hidden="1" x14ac:dyDescent="0.2"/>
    <row r="511" hidden="1" x14ac:dyDescent="0.2"/>
    <row r="512" hidden="1" x14ac:dyDescent="0.2"/>
    <row r="513" hidden="1" x14ac:dyDescent="0.2"/>
    <row r="514" hidden="1" x14ac:dyDescent="0.2"/>
    <row r="515" hidden="1" x14ac:dyDescent="0.2"/>
    <row r="516" hidden="1" x14ac:dyDescent="0.2"/>
    <row r="517" hidden="1" x14ac:dyDescent="0.2"/>
    <row r="518" hidden="1" x14ac:dyDescent="0.2"/>
    <row r="519" hidden="1" x14ac:dyDescent="0.2"/>
    <row r="520" hidden="1" x14ac:dyDescent="0.2"/>
    <row r="521" hidden="1" x14ac:dyDescent="0.2"/>
    <row r="522" hidden="1" x14ac:dyDescent="0.2"/>
    <row r="523" hidden="1" x14ac:dyDescent="0.2"/>
    <row r="524" hidden="1" x14ac:dyDescent="0.2"/>
    <row r="525" hidden="1" x14ac:dyDescent="0.2"/>
    <row r="526" hidden="1" x14ac:dyDescent="0.2"/>
    <row r="527" hidden="1" x14ac:dyDescent="0.2"/>
    <row r="528" hidden="1" x14ac:dyDescent="0.2"/>
    <row r="529" hidden="1" x14ac:dyDescent="0.2"/>
    <row r="530" hidden="1" x14ac:dyDescent="0.2"/>
    <row r="531" hidden="1" x14ac:dyDescent="0.2"/>
    <row r="532" hidden="1" x14ac:dyDescent="0.2"/>
    <row r="533" hidden="1" x14ac:dyDescent="0.2"/>
    <row r="534" hidden="1" x14ac:dyDescent="0.2"/>
    <row r="535" hidden="1" x14ac:dyDescent="0.2"/>
    <row r="536" hidden="1" x14ac:dyDescent="0.2"/>
    <row r="537" hidden="1" x14ac:dyDescent="0.2"/>
    <row r="538" hidden="1" x14ac:dyDescent="0.2"/>
    <row r="539" hidden="1" x14ac:dyDescent="0.2"/>
    <row r="540" hidden="1" x14ac:dyDescent="0.2"/>
    <row r="541" hidden="1" x14ac:dyDescent="0.2"/>
    <row r="542" hidden="1" x14ac:dyDescent="0.2"/>
    <row r="543" hidden="1" x14ac:dyDescent="0.2"/>
    <row r="544" hidden="1" x14ac:dyDescent="0.2"/>
    <row r="545" hidden="1" x14ac:dyDescent="0.2"/>
    <row r="546" hidden="1" x14ac:dyDescent="0.2"/>
    <row r="547" hidden="1" x14ac:dyDescent="0.2"/>
    <row r="548" hidden="1" x14ac:dyDescent="0.2"/>
    <row r="549" hidden="1" x14ac:dyDescent="0.2"/>
    <row r="550" hidden="1" x14ac:dyDescent="0.2"/>
    <row r="551" hidden="1" x14ac:dyDescent="0.2"/>
    <row r="552" hidden="1" x14ac:dyDescent="0.2"/>
    <row r="553" hidden="1" x14ac:dyDescent="0.2"/>
    <row r="554" hidden="1" x14ac:dyDescent="0.2"/>
    <row r="555" hidden="1" x14ac:dyDescent="0.2"/>
    <row r="556" hidden="1" x14ac:dyDescent="0.2"/>
    <row r="557" hidden="1" x14ac:dyDescent="0.2"/>
    <row r="558" hidden="1" x14ac:dyDescent="0.2"/>
    <row r="559" hidden="1" x14ac:dyDescent="0.2"/>
    <row r="560" hidden="1" x14ac:dyDescent="0.2"/>
    <row r="561" hidden="1" x14ac:dyDescent="0.2"/>
    <row r="562" hidden="1" x14ac:dyDescent="0.2"/>
    <row r="563" hidden="1" x14ac:dyDescent="0.2"/>
    <row r="564" hidden="1" x14ac:dyDescent="0.2"/>
    <row r="565" hidden="1" x14ac:dyDescent="0.2"/>
    <row r="566" hidden="1" x14ac:dyDescent="0.2"/>
    <row r="567" hidden="1" x14ac:dyDescent="0.2"/>
    <row r="568" hidden="1" x14ac:dyDescent="0.2"/>
    <row r="569" hidden="1" x14ac:dyDescent="0.2"/>
    <row r="570" hidden="1" x14ac:dyDescent="0.2"/>
    <row r="571" hidden="1" x14ac:dyDescent="0.2"/>
    <row r="572" hidden="1" x14ac:dyDescent="0.2"/>
    <row r="573" hidden="1" x14ac:dyDescent="0.2"/>
    <row r="574" hidden="1" x14ac:dyDescent="0.2"/>
    <row r="575" hidden="1" x14ac:dyDescent="0.2"/>
    <row r="576" hidden="1" x14ac:dyDescent="0.2"/>
    <row r="577" hidden="1" x14ac:dyDescent="0.2"/>
    <row r="578" hidden="1" x14ac:dyDescent="0.2"/>
    <row r="579" hidden="1" x14ac:dyDescent="0.2"/>
    <row r="580" hidden="1" x14ac:dyDescent="0.2"/>
    <row r="581" hidden="1" x14ac:dyDescent="0.2"/>
    <row r="582" hidden="1" x14ac:dyDescent="0.2"/>
    <row r="583" hidden="1" x14ac:dyDescent="0.2"/>
    <row r="584" hidden="1" x14ac:dyDescent="0.2"/>
    <row r="585" hidden="1" x14ac:dyDescent="0.2"/>
    <row r="586" hidden="1" x14ac:dyDescent="0.2"/>
    <row r="587" hidden="1" x14ac:dyDescent="0.2"/>
    <row r="588" hidden="1" x14ac:dyDescent="0.2"/>
    <row r="589" hidden="1" x14ac:dyDescent="0.2"/>
    <row r="590" hidden="1" x14ac:dyDescent="0.2"/>
    <row r="591" hidden="1" x14ac:dyDescent="0.2"/>
    <row r="592" hidden="1" x14ac:dyDescent="0.2"/>
    <row r="593" hidden="1" x14ac:dyDescent="0.2"/>
    <row r="594" hidden="1" x14ac:dyDescent="0.2"/>
    <row r="595" hidden="1" x14ac:dyDescent="0.2"/>
    <row r="596" hidden="1" x14ac:dyDescent="0.2"/>
    <row r="597" hidden="1" x14ac:dyDescent="0.2"/>
    <row r="598" hidden="1" x14ac:dyDescent="0.2"/>
    <row r="599" hidden="1" x14ac:dyDescent="0.2"/>
    <row r="600" hidden="1" x14ac:dyDescent="0.2"/>
    <row r="601" hidden="1" x14ac:dyDescent="0.2"/>
    <row r="602" hidden="1" x14ac:dyDescent="0.2"/>
    <row r="603" hidden="1" x14ac:dyDescent="0.2"/>
    <row r="604" hidden="1" x14ac:dyDescent="0.2"/>
    <row r="605" hidden="1" x14ac:dyDescent="0.2"/>
    <row r="606" hidden="1" x14ac:dyDescent="0.2"/>
    <row r="607" hidden="1" x14ac:dyDescent="0.2"/>
    <row r="608" hidden="1" x14ac:dyDescent="0.2"/>
    <row r="609" hidden="1" x14ac:dyDescent="0.2"/>
    <row r="610" hidden="1" x14ac:dyDescent="0.2"/>
    <row r="611" hidden="1" x14ac:dyDescent="0.2"/>
    <row r="612" hidden="1" x14ac:dyDescent="0.2"/>
    <row r="613" hidden="1" x14ac:dyDescent="0.2"/>
    <row r="614" hidden="1" x14ac:dyDescent="0.2"/>
    <row r="615" hidden="1" x14ac:dyDescent="0.2"/>
    <row r="616" hidden="1" x14ac:dyDescent="0.2"/>
    <row r="617" hidden="1" x14ac:dyDescent="0.2"/>
    <row r="618" hidden="1" x14ac:dyDescent="0.2"/>
    <row r="619" hidden="1" x14ac:dyDescent="0.2"/>
    <row r="620" hidden="1" x14ac:dyDescent="0.2"/>
    <row r="621" hidden="1" x14ac:dyDescent="0.2"/>
    <row r="622" hidden="1" x14ac:dyDescent="0.2"/>
    <row r="623" hidden="1" x14ac:dyDescent="0.2"/>
    <row r="624" hidden="1" x14ac:dyDescent="0.2"/>
    <row r="625" hidden="1" x14ac:dyDescent="0.2"/>
    <row r="626" hidden="1" x14ac:dyDescent="0.2"/>
    <row r="627" hidden="1" x14ac:dyDescent="0.2"/>
    <row r="628" hidden="1" x14ac:dyDescent="0.2"/>
    <row r="629" hidden="1" x14ac:dyDescent="0.2"/>
    <row r="630" hidden="1" x14ac:dyDescent="0.2"/>
    <row r="631" hidden="1" x14ac:dyDescent="0.2"/>
    <row r="632" hidden="1" x14ac:dyDescent="0.2"/>
    <row r="633" hidden="1" x14ac:dyDescent="0.2"/>
    <row r="634" hidden="1" x14ac:dyDescent="0.2"/>
    <row r="635" hidden="1" x14ac:dyDescent="0.2"/>
    <row r="636" hidden="1" x14ac:dyDescent="0.2"/>
    <row r="637" hidden="1" x14ac:dyDescent="0.2"/>
    <row r="638" hidden="1" x14ac:dyDescent="0.2"/>
    <row r="639" hidden="1" x14ac:dyDescent="0.2"/>
    <row r="640" hidden="1" x14ac:dyDescent="0.2"/>
    <row r="641" hidden="1" x14ac:dyDescent="0.2"/>
    <row r="642" hidden="1" x14ac:dyDescent="0.2"/>
    <row r="643" hidden="1" x14ac:dyDescent="0.2"/>
    <row r="644" hidden="1" x14ac:dyDescent="0.2"/>
    <row r="645" hidden="1" x14ac:dyDescent="0.2"/>
    <row r="646" hidden="1" x14ac:dyDescent="0.2"/>
    <row r="647" hidden="1" x14ac:dyDescent="0.2"/>
    <row r="648" hidden="1" x14ac:dyDescent="0.2"/>
    <row r="649" hidden="1" x14ac:dyDescent="0.2"/>
    <row r="650" hidden="1" x14ac:dyDescent="0.2"/>
    <row r="651" hidden="1" x14ac:dyDescent="0.2"/>
    <row r="652" hidden="1" x14ac:dyDescent="0.2"/>
    <row r="653" hidden="1" x14ac:dyDescent="0.2"/>
    <row r="654" hidden="1" x14ac:dyDescent="0.2"/>
    <row r="655" hidden="1" x14ac:dyDescent="0.2"/>
    <row r="656" hidden="1" x14ac:dyDescent="0.2"/>
    <row r="657" hidden="1" x14ac:dyDescent="0.2"/>
    <row r="658" hidden="1" x14ac:dyDescent="0.2"/>
    <row r="659" hidden="1" x14ac:dyDescent="0.2"/>
    <row r="660" hidden="1" x14ac:dyDescent="0.2"/>
    <row r="661" hidden="1" x14ac:dyDescent="0.2"/>
    <row r="662" hidden="1" x14ac:dyDescent="0.2"/>
    <row r="663" hidden="1" x14ac:dyDescent="0.2"/>
    <row r="664" hidden="1" x14ac:dyDescent="0.2"/>
    <row r="665" hidden="1" x14ac:dyDescent="0.2"/>
    <row r="666" hidden="1" x14ac:dyDescent="0.2"/>
    <row r="667" hidden="1" x14ac:dyDescent="0.2"/>
    <row r="668" hidden="1" x14ac:dyDescent="0.2"/>
    <row r="669" hidden="1" x14ac:dyDescent="0.2"/>
    <row r="670" hidden="1" x14ac:dyDescent="0.2"/>
    <row r="671" hidden="1" x14ac:dyDescent="0.2"/>
    <row r="672" hidden="1" x14ac:dyDescent="0.2"/>
    <row r="673" hidden="1" x14ac:dyDescent="0.2"/>
    <row r="674" hidden="1" x14ac:dyDescent="0.2"/>
    <row r="675" hidden="1" x14ac:dyDescent="0.2"/>
    <row r="676" hidden="1" x14ac:dyDescent="0.2"/>
    <row r="677" hidden="1" x14ac:dyDescent="0.2"/>
    <row r="678" hidden="1" x14ac:dyDescent="0.2"/>
    <row r="679" hidden="1" x14ac:dyDescent="0.2"/>
    <row r="680" hidden="1" x14ac:dyDescent="0.2"/>
    <row r="681" hidden="1" x14ac:dyDescent="0.2"/>
    <row r="682" hidden="1" x14ac:dyDescent="0.2"/>
    <row r="683" hidden="1" x14ac:dyDescent="0.2"/>
    <row r="684" hidden="1" x14ac:dyDescent="0.2"/>
    <row r="685" hidden="1" x14ac:dyDescent="0.2"/>
    <row r="686" hidden="1" x14ac:dyDescent="0.2"/>
    <row r="687" hidden="1" x14ac:dyDescent="0.2"/>
    <row r="688" hidden="1" x14ac:dyDescent="0.2"/>
    <row r="689" hidden="1" x14ac:dyDescent="0.2"/>
    <row r="690" hidden="1" x14ac:dyDescent="0.2"/>
    <row r="691" hidden="1" x14ac:dyDescent="0.2"/>
    <row r="692" hidden="1" x14ac:dyDescent="0.2"/>
    <row r="693" hidden="1" x14ac:dyDescent="0.2"/>
    <row r="694" hidden="1" x14ac:dyDescent="0.2"/>
    <row r="695" hidden="1" x14ac:dyDescent="0.2"/>
    <row r="696" hidden="1" x14ac:dyDescent="0.2"/>
    <row r="697" hidden="1" x14ac:dyDescent="0.2"/>
    <row r="698" hidden="1" x14ac:dyDescent="0.2"/>
    <row r="699" hidden="1" x14ac:dyDescent="0.2"/>
    <row r="700" hidden="1" x14ac:dyDescent="0.2"/>
    <row r="701" hidden="1" x14ac:dyDescent="0.2"/>
    <row r="702" hidden="1" x14ac:dyDescent="0.2"/>
    <row r="703" hidden="1" x14ac:dyDescent="0.2"/>
    <row r="704" hidden="1" x14ac:dyDescent="0.2"/>
    <row r="705" hidden="1" x14ac:dyDescent="0.2"/>
    <row r="706" hidden="1" x14ac:dyDescent="0.2"/>
    <row r="707" hidden="1" x14ac:dyDescent="0.2"/>
    <row r="708" hidden="1" x14ac:dyDescent="0.2"/>
    <row r="709" hidden="1" x14ac:dyDescent="0.2"/>
    <row r="710" hidden="1" x14ac:dyDescent="0.2"/>
    <row r="711" hidden="1" x14ac:dyDescent="0.2"/>
    <row r="712" hidden="1" x14ac:dyDescent="0.2"/>
    <row r="713" hidden="1" x14ac:dyDescent="0.2"/>
    <row r="714" hidden="1" x14ac:dyDescent="0.2"/>
    <row r="715" hidden="1" x14ac:dyDescent="0.2"/>
    <row r="716" hidden="1" x14ac:dyDescent="0.2"/>
    <row r="717" hidden="1" x14ac:dyDescent="0.2"/>
    <row r="718" hidden="1" x14ac:dyDescent="0.2"/>
    <row r="719" hidden="1" x14ac:dyDescent="0.2"/>
    <row r="720" hidden="1" x14ac:dyDescent="0.2"/>
    <row r="721" hidden="1" x14ac:dyDescent="0.2"/>
    <row r="722" hidden="1" x14ac:dyDescent="0.2"/>
    <row r="723" hidden="1" x14ac:dyDescent="0.2"/>
    <row r="724" hidden="1" x14ac:dyDescent="0.2"/>
    <row r="725" hidden="1" x14ac:dyDescent="0.2"/>
    <row r="726" hidden="1" x14ac:dyDescent="0.2"/>
    <row r="727" hidden="1" x14ac:dyDescent="0.2"/>
    <row r="728" hidden="1" x14ac:dyDescent="0.2"/>
    <row r="729" hidden="1" x14ac:dyDescent="0.2"/>
    <row r="730" hidden="1" x14ac:dyDescent="0.2"/>
    <row r="731" hidden="1" x14ac:dyDescent="0.2"/>
    <row r="732" hidden="1" x14ac:dyDescent="0.2"/>
    <row r="733" hidden="1" x14ac:dyDescent="0.2"/>
    <row r="734" hidden="1" x14ac:dyDescent="0.2"/>
    <row r="735" hidden="1" x14ac:dyDescent="0.2"/>
    <row r="736" hidden="1" x14ac:dyDescent="0.2"/>
    <row r="737" hidden="1" x14ac:dyDescent="0.2"/>
    <row r="738" hidden="1" x14ac:dyDescent="0.2"/>
    <row r="739" hidden="1" x14ac:dyDescent="0.2"/>
    <row r="740" hidden="1" x14ac:dyDescent="0.2"/>
    <row r="741" hidden="1" x14ac:dyDescent="0.2"/>
    <row r="742" hidden="1" x14ac:dyDescent="0.2"/>
    <row r="743" hidden="1" x14ac:dyDescent="0.2"/>
    <row r="744" hidden="1" x14ac:dyDescent="0.2"/>
    <row r="745" hidden="1" x14ac:dyDescent="0.2"/>
    <row r="746" hidden="1" x14ac:dyDescent="0.2"/>
    <row r="747" hidden="1" x14ac:dyDescent="0.2"/>
    <row r="748" hidden="1" x14ac:dyDescent="0.2"/>
    <row r="749" hidden="1" x14ac:dyDescent="0.2"/>
    <row r="750" hidden="1" x14ac:dyDescent="0.2"/>
    <row r="751" hidden="1" x14ac:dyDescent="0.2"/>
    <row r="752" hidden="1" x14ac:dyDescent="0.2"/>
    <row r="753" hidden="1" x14ac:dyDescent="0.2"/>
    <row r="754" hidden="1" x14ac:dyDescent="0.2"/>
    <row r="755" hidden="1" x14ac:dyDescent="0.2"/>
    <row r="756" hidden="1" x14ac:dyDescent="0.2"/>
    <row r="757" hidden="1" x14ac:dyDescent="0.2"/>
    <row r="758" hidden="1" x14ac:dyDescent="0.2"/>
    <row r="759" hidden="1" x14ac:dyDescent="0.2"/>
    <row r="760" hidden="1" x14ac:dyDescent="0.2"/>
    <row r="761" hidden="1" x14ac:dyDescent="0.2"/>
    <row r="762" hidden="1" x14ac:dyDescent="0.2"/>
    <row r="763" hidden="1" x14ac:dyDescent="0.2"/>
    <row r="764" hidden="1" x14ac:dyDescent="0.2"/>
    <row r="765" hidden="1" x14ac:dyDescent="0.2"/>
    <row r="766" hidden="1" x14ac:dyDescent="0.2"/>
    <row r="767" hidden="1" x14ac:dyDescent="0.2"/>
    <row r="768" hidden="1" x14ac:dyDescent="0.2"/>
    <row r="769" hidden="1" x14ac:dyDescent="0.2"/>
    <row r="770" hidden="1" x14ac:dyDescent="0.2"/>
    <row r="771" hidden="1" x14ac:dyDescent="0.2"/>
    <row r="772" hidden="1" x14ac:dyDescent="0.2"/>
    <row r="773" hidden="1" x14ac:dyDescent="0.2"/>
    <row r="774" hidden="1" x14ac:dyDescent="0.2"/>
    <row r="775" hidden="1" x14ac:dyDescent="0.2"/>
    <row r="776" hidden="1" x14ac:dyDescent="0.2"/>
    <row r="777" hidden="1" x14ac:dyDescent="0.2"/>
    <row r="778" hidden="1" x14ac:dyDescent="0.2"/>
    <row r="779" hidden="1" x14ac:dyDescent="0.2"/>
    <row r="780" hidden="1" x14ac:dyDescent="0.2"/>
    <row r="781" hidden="1" x14ac:dyDescent="0.2"/>
    <row r="782" hidden="1" x14ac:dyDescent="0.2"/>
    <row r="783" hidden="1" x14ac:dyDescent="0.2"/>
    <row r="784" hidden="1" x14ac:dyDescent="0.2"/>
    <row r="785" hidden="1" x14ac:dyDescent="0.2"/>
    <row r="786" hidden="1" x14ac:dyDescent="0.2"/>
    <row r="787" hidden="1" x14ac:dyDescent="0.2"/>
    <row r="788" hidden="1" x14ac:dyDescent="0.2"/>
    <row r="789" hidden="1" x14ac:dyDescent="0.2"/>
    <row r="790" hidden="1" x14ac:dyDescent="0.2"/>
    <row r="791" hidden="1" x14ac:dyDescent="0.2"/>
    <row r="792" hidden="1" x14ac:dyDescent="0.2"/>
    <row r="793" hidden="1" x14ac:dyDescent="0.2"/>
    <row r="794" hidden="1" x14ac:dyDescent="0.2"/>
    <row r="795" hidden="1" x14ac:dyDescent="0.2"/>
    <row r="796" hidden="1" x14ac:dyDescent="0.2"/>
    <row r="797" hidden="1" x14ac:dyDescent="0.2"/>
    <row r="798" hidden="1" x14ac:dyDescent="0.2"/>
    <row r="799" hidden="1" x14ac:dyDescent="0.2"/>
    <row r="800" hidden="1" x14ac:dyDescent="0.2"/>
    <row r="801" hidden="1" x14ac:dyDescent="0.2"/>
    <row r="802" hidden="1" x14ac:dyDescent="0.2"/>
    <row r="803" hidden="1" x14ac:dyDescent="0.2"/>
    <row r="804" hidden="1" x14ac:dyDescent="0.2"/>
    <row r="805" hidden="1" x14ac:dyDescent="0.2"/>
    <row r="806" hidden="1" x14ac:dyDescent="0.2"/>
    <row r="807" hidden="1" x14ac:dyDescent="0.2"/>
    <row r="808" hidden="1" x14ac:dyDescent="0.2"/>
    <row r="809" hidden="1" x14ac:dyDescent="0.2"/>
    <row r="810" hidden="1" x14ac:dyDescent="0.2"/>
    <row r="811" hidden="1" x14ac:dyDescent="0.2"/>
    <row r="812" hidden="1" x14ac:dyDescent="0.2"/>
    <row r="813" hidden="1" x14ac:dyDescent="0.2"/>
    <row r="814" hidden="1" x14ac:dyDescent="0.2"/>
    <row r="815" hidden="1" x14ac:dyDescent="0.2"/>
    <row r="816" hidden="1" x14ac:dyDescent="0.2"/>
    <row r="817" hidden="1" x14ac:dyDescent="0.2"/>
    <row r="818" hidden="1" x14ac:dyDescent="0.2"/>
    <row r="819" hidden="1" x14ac:dyDescent="0.2"/>
    <row r="820" hidden="1" x14ac:dyDescent="0.2"/>
    <row r="821" hidden="1" x14ac:dyDescent="0.2"/>
    <row r="822" hidden="1" x14ac:dyDescent="0.2"/>
    <row r="823" hidden="1" x14ac:dyDescent="0.2"/>
    <row r="824" hidden="1" x14ac:dyDescent="0.2"/>
    <row r="825" hidden="1" x14ac:dyDescent="0.2"/>
    <row r="826" hidden="1" x14ac:dyDescent="0.2"/>
    <row r="827" hidden="1" x14ac:dyDescent="0.2"/>
    <row r="828" hidden="1" x14ac:dyDescent="0.2"/>
    <row r="829" hidden="1" x14ac:dyDescent="0.2"/>
    <row r="830" hidden="1" x14ac:dyDescent="0.2"/>
    <row r="831" hidden="1" x14ac:dyDescent="0.2"/>
    <row r="832" hidden="1" x14ac:dyDescent="0.2"/>
    <row r="833" hidden="1" x14ac:dyDescent="0.2"/>
    <row r="834" hidden="1" x14ac:dyDescent="0.2"/>
    <row r="835" hidden="1" x14ac:dyDescent="0.2"/>
    <row r="836" hidden="1" x14ac:dyDescent="0.2"/>
    <row r="837" hidden="1" x14ac:dyDescent="0.2"/>
    <row r="838" hidden="1" x14ac:dyDescent="0.2"/>
    <row r="839" hidden="1" x14ac:dyDescent="0.2"/>
    <row r="840" hidden="1" x14ac:dyDescent="0.2"/>
    <row r="841" hidden="1" x14ac:dyDescent="0.2"/>
    <row r="842" hidden="1" x14ac:dyDescent="0.2"/>
    <row r="843" hidden="1" x14ac:dyDescent="0.2"/>
    <row r="844" hidden="1" x14ac:dyDescent="0.2"/>
    <row r="845" hidden="1" x14ac:dyDescent="0.2"/>
    <row r="846" hidden="1" x14ac:dyDescent="0.2"/>
    <row r="847" hidden="1" x14ac:dyDescent="0.2"/>
    <row r="848" hidden="1" x14ac:dyDescent="0.2"/>
    <row r="849" hidden="1" x14ac:dyDescent="0.2"/>
    <row r="850" hidden="1" x14ac:dyDescent="0.2"/>
    <row r="851" hidden="1" x14ac:dyDescent="0.2"/>
    <row r="852" hidden="1" x14ac:dyDescent="0.2"/>
    <row r="853" hidden="1" x14ac:dyDescent="0.2"/>
    <row r="854" hidden="1" x14ac:dyDescent="0.2"/>
    <row r="855" hidden="1" x14ac:dyDescent="0.2"/>
    <row r="856" hidden="1" x14ac:dyDescent="0.2"/>
    <row r="857" hidden="1" x14ac:dyDescent="0.2"/>
    <row r="858" hidden="1" x14ac:dyDescent="0.2"/>
    <row r="859" hidden="1" x14ac:dyDescent="0.2"/>
    <row r="860" hidden="1" x14ac:dyDescent="0.2"/>
    <row r="861" hidden="1" x14ac:dyDescent="0.2"/>
    <row r="862" hidden="1" x14ac:dyDescent="0.2"/>
    <row r="863" hidden="1" x14ac:dyDescent="0.2"/>
    <row r="864" hidden="1" x14ac:dyDescent="0.2"/>
    <row r="865" hidden="1" x14ac:dyDescent="0.2"/>
    <row r="866" hidden="1" x14ac:dyDescent="0.2"/>
    <row r="867" hidden="1" x14ac:dyDescent="0.2"/>
    <row r="868" hidden="1" x14ac:dyDescent="0.2"/>
    <row r="869" hidden="1" x14ac:dyDescent="0.2"/>
    <row r="870" hidden="1" x14ac:dyDescent="0.2"/>
    <row r="871" hidden="1" x14ac:dyDescent="0.2"/>
    <row r="872" hidden="1" x14ac:dyDescent="0.2"/>
    <row r="873" hidden="1" x14ac:dyDescent="0.2"/>
    <row r="874" hidden="1" x14ac:dyDescent="0.2"/>
    <row r="875" hidden="1" x14ac:dyDescent="0.2"/>
    <row r="876" hidden="1" x14ac:dyDescent="0.2"/>
    <row r="877" hidden="1" x14ac:dyDescent="0.2"/>
    <row r="878" hidden="1" x14ac:dyDescent="0.2"/>
    <row r="879" hidden="1" x14ac:dyDescent="0.2"/>
    <row r="880" hidden="1" x14ac:dyDescent="0.2"/>
    <row r="881" hidden="1" x14ac:dyDescent="0.2"/>
    <row r="882" hidden="1" x14ac:dyDescent="0.2"/>
    <row r="883" hidden="1" x14ac:dyDescent="0.2"/>
    <row r="884" hidden="1" x14ac:dyDescent="0.2"/>
    <row r="885" hidden="1" x14ac:dyDescent="0.2"/>
    <row r="886" hidden="1" x14ac:dyDescent="0.2"/>
    <row r="887" hidden="1" x14ac:dyDescent="0.2"/>
    <row r="888" hidden="1" x14ac:dyDescent="0.2"/>
    <row r="889" hidden="1" x14ac:dyDescent="0.2"/>
    <row r="890" hidden="1" x14ac:dyDescent="0.2"/>
    <row r="891" hidden="1" x14ac:dyDescent="0.2"/>
    <row r="892" hidden="1" x14ac:dyDescent="0.2"/>
    <row r="893" hidden="1" x14ac:dyDescent="0.2"/>
    <row r="894" hidden="1" x14ac:dyDescent="0.2"/>
    <row r="895" hidden="1" x14ac:dyDescent="0.2"/>
    <row r="896" hidden="1" x14ac:dyDescent="0.2"/>
    <row r="897" hidden="1" x14ac:dyDescent="0.2"/>
    <row r="898" hidden="1" x14ac:dyDescent="0.2"/>
    <row r="899" hidden="1" x14ac:dyDescent="0.2"/>
    <row r="900" hidden="1" x14ac:dyDescent="0.2"/>
    <row r="901" hidden="1" x14ac:dyDescent="0.2"/>
    <row r="902" hidden="1" x14ac:dyDescent="0.2"/>
    <row r="903" hidden="1" x14ac:dyDescent="0.2"/>
    <row r="904" hidden="1" x14ac:dyDescent="0.2"/>
    <row r="905" hidden="1" x14ac:dyDescent="0.2"/>
    <row r="906" hidden="1" x14ac:dyDescent="0.2"/>
    <row r="907" hidden="1" x14ac:dyDescent="0.2"/>
    <row r="908" hidden="1" x14ac:dyDescent="0.2"/>
    <row r="909" hidden="1" x14ac:dyDescent="0.2"/>
    <row r="910" hidden="1" x14ac:dyDescent="0.2"/>
    <row r="911" hidden="1" x14ac:dyDescent="0.2"/>
    <row r="912" hidden="1" x14ac:dyDescent="0.2"/>
    <row r="913" hidden="1" x14ac:dyDescent="0.2"/>
    <row r="914" hidden="1" x14ac:dyDescent="0.2"/>
    <row r="915" hidden="1" x14ac:dyDescent="0.2"/>
    <row r="916" hidden="1" x14ac:dyDescent="0.2"/>
    <row r="917" hidden="1" x14ac:dyDescent="0.2"/>
    <row r="918" hidden="1" x14ac:dyDescent="0.2"/>
    <row r="919" hidden="1" x14ac:dyDescent="0.2"/>
    <row r="920" hidden="1" x14ac:dyDescent="0.2"/>
    <row r="921" hidden="1" x14ac:dyDescent="0.2"/>
    <row r="922" hidden="1" x14ac:dyDescent="0.2"/>
    <row r="923" hidden="1" x14ac:dyDescent="0.2"/>
    <row r="924" hidden="1" x14ac:dyDescent="0.2"/>
    <row r="925" hidden="1" x14ac:dyDescent="0.2"/>
    <row r="926" hidden="1" x14ac:dyDescent="0.2"/>
    <row r="927" hidden="1" x14ac:dyDescent="0.2"/>
    <row r="928" hidden="1" x14ac:dyDescent="0.2"/>
    <row r="929" hidden="1" x14ac:dyDescent="0.2"/>
    <row r="930" hidden="1" x14ac:dyDescent="0.2"/>
    <row r="931" hidden="1" x14ac:dyDescent="0.2"/>
    <row r="932" hidden="1" x14ac:dyDescent="0.2"/>
    <row r="933" hidden="1" x14ac:dyDescent="0.2"/>
    <row r="934" hidden="1" x14ac:dyDescent="0.2"/>
    <row r="935" hidden="1" x14ac:dyDescent="0.2"/>
    <row r="936" hidden="1" x14ac:dyDescent="0.2"/>
    <row r="937" hidden="1" x14ac:dyDescent="0.2"/>
    <row r="938" hidden="1" x14ac:dyDescent="0.2"/>
    <row r="939" hidden="1" x14ac:dyDescent="0.2"/>
    <row r="940" hidden="1" x14ac:dyDescent="0.2"/>
    <row r="941" hidden="1" x14ac:dyDescent="0.2"/>
    <row r="942" hidden="1" x14ac:dyDescent="0.2"/>
    <row r="943" hidden="1" x14ac:dyDescent="0.2"/>
    <row r="944" hidden="1" x14ac:dyDescent="0.2"/>
    <row r="945" hidden="1" x14ac:dyDescent="0.2"/>
    <row r="946" hidden="1" x14ac:dyDescent="0.2"/>
    <row r="947" hidden="1" x14ac:dyDescent="0.2"/>
    <row r="948" hidden="1" x14ac:dyDescent="0.2"/>
    <row r="949" hidden="1" x14ac:dyDescent="0.2"/>
    <row r="950" hidden="1" x14ac:dyDescent="0.2"/>
    <row r="951" hidden="1" x14ac:dyDescent="0.2"/>
    <row r="952" hidden="1" x14ac:dyDescent="0.2"/>
    <row r="953" hidden="1" x14ac:dyDescent="0.2"/>
    <row r="954" hidden="1" x14ac:dyDescent="0.2"/>
    <row r="955" hidden="1" x14ac:dyDescent="0.2"/>
    <row r="956" hidden="1" x14ac:dyDescent="0.2"/>
    <row r="957" hidden="1" x14ac:dyDescent="0.2"/>
    <row r="958" hidden="1" x14ac:dyDescent="0.2"/>
    <row r="959" hidden="1" x14ac:dyDescent="0.2"/>
    <row r="960" hidden="1" x14ac:dyDescent="0.2"/>
    <row r="961" hidden="1" x14ac:dyDescent="0.2"/>
    <row r="962" hidden="1" x14ac:dyDescent="0.2"/>
    <row r="963" hidden="1" x14ac:dyDescent="0.2"/>
    <row r="964" hidden="1" x14ac:dyDescent="0.2"/>
    <row r="965" hidden="1" x14ac:dyDescent="0.2"/>
    <row r="966" hidden="1" x14ac:dyDescent="0.2"/>
    <row r="967" hidden="1" x14ac:dyDescent="0.2"/>
    <row r="968" hidden="1" x14ac:dyDescent="0.2"/>
    <row r="969" hidden="1" x14ac:dyDescent="0.2"/>
    <row r="970" hidden="1" x14ac:dyDescent="0.2"/>
    <row r="971" hidden="1" x14ac:dyDescent="0.2"/>
    <row r="972" hidden="1" x14ac:dyDescent="0.2"/>
    <row r="973" hidden="1" x14ac:dyDescent="0.2"/>
    <row r="974" hidden="1" x14ac:dyDescent="0.2"/>
    <row r="975" hidden="1" x14ac:dyDescent="0.2"/>
    <row r="976" hidden="1" x14ac:dyDescent="0.2"/>
    <row r="977" hidden="1" x14ac:dyDescent="0.2"/>
    <row r="978" hidden="1" x14ac:dyDescent="0.2"/>
    <row r="979" hidden="1" x14ac:dyDescent="0.2"/>
    <row r="980" hidden="1" x14ac:dyDescent="0.2"/>
    <row r="981" hidden="1" x14ac:dyDescent="0.2"/>
    <row r="982" hidden="1" x14ac:dyDescent="0.2"/>
    <row r="983" hidden="1" x14ac:dyDescent="0.2"/>
    <row r="984" hidden="1" x14ac:dyDescent="0.2"/>
    <row r="985" hidden="1" x14ac:dyDescent="0.2"/>
    <row r="986" hidden="1" x14ac:dyDescent="0.2"/>
    <row r="987" hidden="1" x14ac:dyDescent="0.2"/>
    <row r="988" hidden="1" x14ac:dyDescent="0.2"/>
    <row r="989" hidden="1" x14ac:dyDescent="0.2"/>
    <row r="990" hidden="1" x14ac:dyDescent="0.2"/>
    <row r="991" hidden="1" x14ac:dyDescent="0.2"/>
    <row r="992" hidden="1" x14ac:dyDescent="0.2"/>
    <row r="993" spans="1:2" hidden="1" x14ac:dyDescent="0.2"/>
    <row r="994" spans="1:2" hidden="1" x14ac:dyDescent="0.2"/>
    <row r="995" spans="1:2" hidden="1" x14ac:dyDescent="0.2"/>
    <row r="996" spans="1:2" hidden="1" x14ac:dyDescent="0.2"/>
    <row r="997" spans="1:2" ht="13.5" hidden="1" customHeight="1" x14ac:dyDescent="0.2"/>
    <row r="998" spans="1:2" hidden="1" x14ac:dyDescent="0.2"/>
    <row r="999" spans="1:2" hidden="1" x14ac:dyDescent="0.2"/>
    <row r="1000" spans="1:2" x14ac:dyDescent="0.2">
      <c r="A1000" s="372">
        <v>0</v>
      </c>
      <c r="B1000" s="373" t="s">
        <v>1097</v>
      </c>
    </row>
    <row r="1001" spans="1:2" x14ac:dyDescent="0.2">
      <c r="A1001" s="372">
        <v>4</v>
      </c>
      <c r="B1001" s="373" t="s">
        <v>1098</v>
      </c>
    </row>
    <row r="1002" spans="1:2" x14ac:dyDescent="0.2">
      <c r="A1002" s="372">
        <v>20</v>
      </c>
      <c r="B1002" s="373" t="s">
        <v>1099</v>
      </c>
    </row>
    <row r="1003" spans="1:2" x14ac:dyDescent="0.2">
      <c r="A1003" s="372">
        <v>22</v>
      </c>
      <c r="B1003" s="373" t="s">
        <v>1100</v>
      </c>
    </row>
    <row r="1004" spans="1:2" x14ac:dyDescent="0.2">
      <c r="A1004" s="372">
        <v>29</v>
      </c>
      <c r="B1004" s="373" t="s">
        <v>1101</v>
      </c>
    </row>
    <row r="1005" spans="1:2" x14ac:dyDescent="0.2">
      <c r="A1005" s="372">
        <v>48</v>
      </c>
      <c r="B1005" s="373" t="s">
        <v>1102</v>
      </c>
    </row>
    <row r="1006" spans="1:2" x14ac:dyDescent="0.2">
      <c r="A1006" s="372">
        <v>50</v>
      </c>
      <c r="B1006" s="373" t="s">
        <v>1103</v>
      </c>
    </row>
    <row r="1007" spans="1:2" x14ac:dyDescent="0.2">
      <c r="A1007" s="372">
        <v>53</v>
      </c>
      <c r="B1007" s="373" t="s">
        <v>1104</v>
      </c>
    </row>
    <row r="1008" spans="1:2" x14ac:dyDescent="0.2">
      <c r="A1008" s="372">
        <v>54</v>
      </c>
      <c r="B1008" s="373" t="s">
        <v>1105</v>
      </c>
    </row>
    <row r="1009" spans="1:2" x14ac:dyDescent="0.2">
      <c r="A1009" s="372">
        <v>56</v>
      </c>
      <c r="B1009" s="373" t="s">
        <v>1106</v>
      </c>
    </row>
    <row r="1010" spans="1:2" x14ac:dyDescent="0.2">
      <c r="A1010" s="372">
        <v>58</v>
      </c>
      <c r="B1010" s="373" t="s">
        <v>1107</v>
      </c>
    </row>
    <row r="1011" spans="1:2" x14ac:dyDescent="0.2">
      <c r="A1011" s="372">
        <v>70</v>
      </c>
      <c r="B1011" s="373" t="s">
        <v>1108</v>
      </c>
    </row>
    <row r="1012" spans="1:2" x14ac:dyDescent="0.2">
      <c r="A1012" s="372">
        <v>71</v>
      </c>
      <c r="B1012" s="373" t="s">
        <v>1109</v>
      </c>
    </row>
    <row r="1013" spans="1:2" x14ac:dyDescent="0.2">
      <c r="A1013" s="372">
        <v>72</v>
      </c>
      <c r="B1013" s="373" t="s">
        <v>1110</v>
      </c>
    </row>
    <row r="1014" spans="1:2" x14ac:dyDescent="0.2">
      <c r="A1014" s="372">
        <v>75</v>
      </c>
      <c r="B1014" s="373" t="s">
        <v>1111</v>
      </c>
    </row>
    <row r="1015" spans="1:2" x14ac:dyDescent="0.2">
      <c r="A1015" s="372">
        <v>76</v>
      </c>
      <c r="B1015" s="373" t="s">
        <v>1112</v>
      </c>
    </row>
    <row r="1016" spans="1:2" x14ac:dyDescent="0.2">
      <c r="A1016" s="372">
        <v>78</v>
      </c>
      <c r="B1016" s="373" t="s">
        <v>1113</v>
      </c>
    </row>
    <row r="1017" spans="1:2" x14ac:dyDescent="0.2">
      <c r="A1017" s="372">
        <v>81</v>
      </c>
      <c r="B1017" s="373" t="s">
        <v>1114</v>
      </c>
    </row>
    <row r="1018" spans="1:2" x14ac:dyDescent="0.2">
      <c r="A1018" s="372">
        <v>82</v>
      </c>
      <c r="B1018" s="373" t="s">
        <v>1115</v>
      </c>
    </row>
    <row r="1019" spans="1:2" x14ac:dyDescent="0.2">
      <c r="A1019" s="372">
        <v>83</v>
      </c>
      <c r="B1019" s="373" t="s">
        <v>1116</v>
      </c>
    </row>
    <row r="1020" spans="1:2" x14ac:dyDescent="0.2">
      <c r="A1020" s="372">
        <v>85</v>
      </c>
      <c r="B1020" s="373" t="s">
        <v>1117</v>
      </c>
    </row>
    <row r="1021" spans="1:2" x14ac:dyDescent="0.2">
      <c r="A1021" s="372">
        <v>89</v>
      </c>
      <c r="B1021" s="373" t="s">
        <v>1118</v>
      </c>
    </row>
    <row r="1022" spans="1:2" x14ac:dyDescent="0.2">
      <c r="A1022" s="372">
        <v>92</v>
      </c>
      <c r="B1022" s="373" t="s">
        <v>1119</v>
      </c>
    </row>
    <row r="1023" spans="1:2" x14ac:dyDescent="0.2">
      <c r="A1023" s="372">
        <v>99</v>
      </c>
      <c r="B1023" s="373" t="s">
        <v>1120</v>
      </c>
    </row>
    <row r="1024" spans="1:2" x14ac:dyDescent="0.2">
      <c r="A1024" s="372">
        <v>104</v>
      </c>
      <c r="B1024" s="373" t="s">
        <v>1121</v>
      </c>
    </row>
    <row r="1025" spans="1:2" x14ac:dyDescent="0.2">
      <c r="A1025" s="372">
        <v>125</v>
      </c>
      <c r="B1025" s="373" t="s">
        <v>1122</v>
      </c>
    </row>
    <row r="1026" spans="1:2" x14ac:dyDescent="0.2">
      <c r="A1026" s="372">
        <v>126</v>
      </c>
      <c r="B1026" s="373" t="s">
        <v>1123</v>
      </c>
    </row>
    <row r="1027" spans="1:2" x14ac:dyDescent="0.2">
      <c r="A1027" s="372">
        <v>128</v>
      </c>
      <c r="B1027" s="373" t="s">
        <v>1124</v>
      </c>
    </row>
    <row r="1028" spans="1:2" x14ac:dyDescent="0.2">
      <c r="A1028" s="372">
        <v>129</v>
      </c>
      <c r="B1028" s="373" t="s">
        <v>1125</v>
      </c>
    </row>
    <row r="1029" spans="1:2" ht="25.5" x14ac:dyDescent="0.2">
      <c r="A1029" s="372">
        <v>133</v>
      </c>
      <c r="B1029" s="373" t="s">
        <v>1126</v>
      </c>
    </row>
    <row r="1030" spans="1:2" ht="25.5" x14ac:dyDescent="0.2">
      <c r="A1030" s="372">
        <v>134</v>
      </c>
      <c r="B1030" s="373" t="s">
        <v>1127</v>
      </c>
    </row>
    <row r="1031" spans="1:2" x14ac:dyDescent="0.2">
      <c r="A1031" s="372">
        <v>136</v>
      </c>
      <c r="B1031" s="373" t="s">
        <v>1128</v>
      </c>
    </row>
    <row r="1032" spans="1:2" x14ac:dyDescent="0.2">
      <c r="A1032" s="372">
        <v>139</v>
      </c>
      <c r="B1032" s="373" t="s">
        <v>1129</v>
      </c>
    </row>
    <row r="1033" spans="1:2" x14ac:dyDescent="0.2">
      <c r="A1033" s="372">
        <v>140</v>
      </c>
      <c r="B1033" s="373" t="s">
        <v>1130</v>
      </c>
    </row>
    <row r="1034" spans="1:2" x14ac:dyDescent="0.2">
      <c r="A1034" s="372">
        <v>141</v>
      </c>
      <c r="B1034" s="373" t="s">
        <v>1131</v>
      </c>
    </row>
    <row r="1035" spans="1:2" x14ac:dyDescent="0.2">
      <c r="A1035" s="372">
        <v>142</v>
      </c>
      <c r="B1035" s="373" t="s">
        <v>1132</v>
      </c>
    </row>
    <row r="1036" spans="1:2" x14ac:dyDescent="0.2">
      <c r="A1036" s="372">
        <v>148</v>
      </c>
      <c r="B1036" s="373" t="s">
        <v>1133</v>
      </c>
    </row>
    <row r="1037" spans="1:2" x14ac:dyDescent="0.2">
      <c r="A1037" s="372">
        <v>149</v>
      </c>
      <c r="B1037" s="373" t="s">
        <v>1134</v>
      </c>
    </row>
    <row r="1038" spans="1:2" x14ac:dyDescent="0.2">
      <c r="A1038" s="372">
        <v>152</v>
      </c>
      <c r="B1038" s="373" t="s">
        <v>1135</v>
      </c>
    </row>
    <row r="1039" spans="1:2" x14ac:dyDescent="0.2">
      <c r="A1039" s="372">
        <v>153</v>
      </c>
      <c r="B1039" s="373" t="s">
        <v>1136</v>
      </c>
    </row>
    <row r="1040" spans="1:2" x14ac:dyDescent="0.2">
      <c r="A1040" s="372">
        <v>154</v>
      </c>
      <c r="B1040" s="373" t="s">
        <v>1137</v>
      </c>
    </row>
    <row r="1041" spans="1:2" x14ac:dyDescent="0.2">
      <c r="A1041" s="372">
        <v>156</v>
      </c>
      <c r="B1041" s="373" t="s">
        <v>1138</v>
      </c>
    </row>
    <row r="1042" spans="1:2" x14ac:dyDescent="0.2">
      <c r="A1042" s="372">
        <v>157</v>
      </c>
      <c r="B1042" s="373" t="s">
        <v>1139</v>
      </c>
    </row>
    <row r="1043" spans="1:2" x14ac:dyDescent="0.2">
      <c r="A1043" s="372">
        <v>158</v>
      </c>
      <c r="B1043" s="373" t="s">
        <v>1140</v>
      </c>
    </row>
    <row r="1044" spans="1:2" x14ac:dyDescent="0.2">
      <c r="A1044" s="372">
        <v>159</v>
      </c>
      <c r="B1044" s="373" t="s">
        <v>1141</v>
      </c>
    </row>
    <row r="1045" spans="1:2" x14ac:dyDescent="0.2">
      <c r="A1045" s="372">
        <v>160</v>
      </c>
      <c r="B1045" s="373" t="s">
        <v>1142</v>
      </c>
    </row>
    <row r="1046" spans="1:2" x14ac:dyDescent="0.2">
      <c r="A1046" s="372">
        <v>162</v>
      </c>
      <c r="B1046" s="373" t="s">
        <v>1143</v>
      </c>
    </row>
    <row r="1047" spans="1:2" x14ac:dyDescent="0.2">
      <c r="A1047" s="372">
        <v>163</v>
      </c>
      <c r="B1047" s="373" t="s">
        <v>1144</v>
      </c>
    </row>
    <row r="1048" spans="1:2" x14ac:dyDescent="0.2">
      <c r="A1048" s="372">
        <v>164</v>
      </c>
      <c r="B1048" s="373" t="s">
        <v>1145</v>
      </c>
    </row>
    <row r="1049" spans="1:2" x14ac:dyDescent="0.2">
      <c r="A1049" s="372">
        <v>165</v>
      </c>
      <c r="B1049" s="373" t="s">
        <v>1146</v>
      </c>
    </row>
    <row r="1050" spans="1:2" ht="25.5" x14ac:dyDescent="0.2">
      <c r="A1050" s="372">
        <v>166</v>
      </c>
      <c r="B1050" s="373" t="s">
        <v>1147</v>
      </c>
    </row>
    <row r="1051" spans="1:2" ht="25.5" x14ac:dyDescent="0.2">
      <c r="A1051" s="372">
        <v>177</v>
      </c>
      <c r="B1051" s="373" t="s">
        <v>1148</v>
      </c>
    </row>
    <row r="1052" spans="1:2" x14ac:dyDescent="0.2">
      <c r="A1052" s="372">
        <v>181</v>
      </c>
      <c r="B1052" s="373" t="s">
        <v>1149</v>
      </c>
    </row>
    <row r="1053" spans="1:2" x14ac:dyDescent="0.2">
      <c r="A1053" s="372">
        <v>182</v>
      </c>
      <c r="B1053" s="373" t="s">
        <v>1150</v>
      </c>
    </row>
    <row r="1054" spans="1:2" x14ac:dyDescent="0.2">
      <c r="A1054" s="372">
        <v>184</v>
      </c>
      <c r="B1054" s="373" t="s">
        <v>1151</v>
      </c>
    </row>
    <row r="1055" spans="1:2" x14ac:dyDescent="0.2">
      <c r="A1055" s="372">
        <v>186</v>
      </c>
      <c r="B1055" s="373" t="s">
        <v>1152</v>
      </c>
    </row>
    <row r="1056" spans="1:2" x14ac:dyDescent="0.2">
      <c r="A1056" s="372">
        <v>187</v>
      </c>
      <c r="B1056" s="373" t="s">
        <v>1153</v>
      </c>
    </row>
    <row r="1057" spans="1:2" x14ac:dyDescent="0.2">
      <c r="A1057" s="372">
        <v>188</v>
      </c>
      <c r="B1057" s="373" t="s">
        <v>1154</v>
      </c>
    </row>
    <row r="1058" spans="1:2" x14ac:dyDescent="0.2">
      <c r="A1058" s="372">
        <v>189</v>
      </c>
      <c r="B1058" s="373" t="s">
        <v>1155</v>
      </c>
    </row>
    <row r="1059" spans="1:2" x14ac:dyDescent="0.2">
      <c r="A1059" s="372">
        <v>190</v>
      </c>
      <c r="B1059" s="373" t="s">
        <v>1156</v>
      </c>
    </row>
    <row r="1060" spans="1:2" x14ac:dyDescent="0.2">
      <c r="A1060" s="372">
        <v>192</v>
      </c>
      <c r="B1060" s="373" t="s">
        <v>1157</v>
      </c>
    </row>
    <row r="1061" spans="1:2" x14ac:dyDescent="0.2">
      <c r="A1061" s="372">
        <v>197</v>
      </c>
      <c r="B1061" s="373" t="s">
        <v>1158</v>
      </c>
    </row>
    <row r="1062" spans="1:2" x14ac:dyDescent="0.2">
      <c r="A1062" s="372">
        <v>202</v>
      </c>
      <c r="B1062" s="373" t="s">
        <v>1159</v>
      </c>
    </row>
    <row r="1063" spans="1:2" ht="25.5" x14ac:dyDescent="0.2">
      <c r="A1063" s="372">
        <v>206</v>
      </c>
      <c r="B1063" s="373" t="s">
        <v>1160</v>
      </c>
    </row>
    <row r="1064" spans="1:2" x14ac:dyDescent="0.2">
      <c r="A1064" s="372">
        <v>207</v>
      </c>
      <c r="B1064" s="373" t="s">
        <v>1161</v>
      </c>
    </row>
    <row r="1065" spans="1:2" x14ac:dyDescent="0.2">
      <c r="A1065" s="372">
        <v>226</v>
      </c>
      <c r="B1065" s="373" t="s">
        <v>1162</v>
      </c>
    </row>
    <row r="1066" spans="1:2" x14ac:dyDescent="0.2">
      <c r="A1066" s="372">
        <v>258</v>
      </c>
      <c r="B1066" s="373" t="s">
        <v>1163</v>
      </c>
    </row>
    <row r="1067" spans="1:2" x14ac:dyDescent="0.2">
      <c r="A1067" s="372">
        <v>262</v>
      </c>
      <c r="B1067" s="373" t="s">
        <v>1164</v>
      </c>
    </row>
    <row r="1068" spans="1:2" x14ac:dyDescent="0.2">
      <c r="A1068" s="372">
        <v>263</v>
      </c>
      <c r="B1068" s="373" t="s">
        <v>1165</v>
      </c>
    </row>
    <row r="1069" spans="1:2" x14ac:dyDescent="0.2">
      <c r="A1069" s="372">
        <v>279</v>
      </c>
      <c r="B1069" s="373" t="s">
        <v>1166</v>
      </c>
    </row>
    <row r="1070" spans="1:2" x14ac:dyDescent="0.2">
      <c r="A1070" s="372">
        <v>302</v>
      </c>
      <c r="B1070" s="373" t="s">
        <v>1167</v>
      </c>
    </row>
    <row r="1071" spans="1:2" x14ac:dyDescent="0.2">
      <c r="A1071" s="372">
        <v>303</v>
      </c>
      <c r="B1071" s="373" t="s">
        <v>1168</v>
      </c>
    </row>
    <row r="1072" spans="1:2" x14ac:dyDescent="0.2">
      <c r="A1072" s="372">
        <v>304</v>
      </c>
      <c r="B1072" s="373" t="s">
        <v>1169</v>
      </c>
    </row>
    <row r="1073" spans="1:2" x14ac:dyDescent="0.2">
      <c r="A1073" s="372">
        <v>305</v>
      </c>
      <c r="B1073" s="373" t="s">
        <v>1170</v>
      </c>
    </row>
    <row r="1074" spans="1:2" x14ac:dyDescent="0.2">
      <c r="A1074" s="372">
        <v>306</v>
      </c>
      <c r="B1074" s="373" t="s">
        <v>1171</v>
      </c>
    </row>
    <row r="1075" spans="1:2" x14ac:dyDescent="0.2">
      <c r="A1075" s="372">
        <v>308</v>
      </c>
      <c r="B1075" s="373" t="s">
        <v>1172</v>
      </c>
    </row>
    <row r="1076" spans="1:2" x14ac:dyDescent="0.2">
      <c r="A1076" s="372">
        <v>310</v>
      </c>
      <c r="B1076" s="373" t="s">
        <v>1173</v>
      </c>
    </row>
    <row r="1077" spans="1:2" x14ac:dyDescent="0.2">
      <c r="A1077" s="372">
        <v>316</v>
      </c>
      <c r="B1077" s="373" t="s">
        <v>1174</v>
      </c>
    </row>
    <row r="1078" spans="1:2" x14ac:dyDescent="0.2">
      <c r="A1078" s="372">
        <v>318</v>
      </c>
      <c r="B1078" s="373" t="s">
        <v>1175</v>
      </c>
    </row>
    <row r="1079" spans="1:2" x14ac:dyDescent="0.2">
      <c r="A1079" s="372">
        <v>319</v>
      </c>
      <c r="B1079" s="373" t="s">
        <v>1176</v>
      </c>
    </row>
    <row r="1080" spans="1:2" x14ac:dyDescent="0.2">
      <c r="A1080" s="372">
        <v>320</v>
      </c>
      <c r="B1080" s="373" t="s">
        <v>1177</v>
      </c>
    </row>
    <row r="1081" spans="1:2" x14ac:dyDescent="0.2">
      <c r="A1081" s="372">
        <v>321</v>
      </c>
      <c r="B1081" s="373" t="s">
        <v>1178</v>
      </c>
    </row>
    <row r="1082" spans="1:2" x14ac:dyDescent="0.2">
      <c r="A1082" s="372">
        <v>322</v>
      </c>
      <c r="B1082" s="373" t="s">
        <v>1179</v>
      </c>
    </row>
    <row r="1083" spans="1:2" x14ac:dyDescent="0.2">
      <c r="A1083" s="372">
        <v>330</v>
      </c>
      <c r="B1083" s="373" t="s">
        <v>1180</v>
      </c>
    </row>
    <row r="1084" spans="1:2" x14ac:dyDescent="0.2">
      <c r="A1084" s="372">
        <v>333</v>
      </c>
      <c r="B1084" s="373" t="s">
        <v>1181</v>
      </c>
    </row>
    <row r="1085" spans="1:2" x14ac:dyDescent="0.2">
      <c r="A1085" s="372">
        <v>352</v>
      </c>
      <c r="B1085" s="373" t="s">
        <v>1182</v>
      </c>
    </row>
    <row r="1086" spans="1:2" x14ac:dyDescent="0.2">
      <c r="A1086" s="372">
        <v>386</v>
      </c>
      <c r="B1086" s="373" t="s">
        <v>1183</v>
      </c>
    </row>
    <row r="1087" spans="1:2" ht="25.5" x14ac:dyDescent="0.2">
      <c r="A1087" s="372">
        <v>387</v>
      </c>
      <c r="B1087" s="373" t="s">
        <v>1184</v>
      </c>
    </row>
    <row r="1088" spans="1:2" x14ac:dyDescent="0.2">
      <c r="A1088" s="372">
        <v>392</v>
      </c>
      <c r="B1088" s="373" t="s">
        <v>1185</v>
      </c>
    </row>
    <row r="1089" spans="1:2" x14ac:dyDescent="0.2">
      <c r="A1089" s="372">
        <v>393</v>
      </c>
      <c r="B1089" s="373" t="s">
        <v>1186</v>
      </c>
    </row>
    <row r="1090" spans="1:2" x14ac:dyDescent="0.2">
      <c r="A1090" s="372">
        <v>397</v>
      </c>
      <c r="B1090" s="373" t="s">
        <v>1187</v>
      </c>
    </row>
    <row r="1091" spans="1:2" x14ac:dyDescent="0.2">
      <c r="A1091" s="372">
        <v>401</v>
      </c>
      <c r="B1091" s="373" t="s">
        <v>1188</v>
      </c>
    </row>
    <row r="1092" spans="1:2" x14ac:dyDescent="0.2">
      <c r="A1092" s="372">
        <v>409</v>
      </c>
      <c r="B1092" s="373" t="s">
        <v>1189</v>
      </c>
    </row>
    <row r="1093" spans="1:2" x14ac:dyDescent="0.2">
      <c r="A1093" s="372">
        <v>415</v>
      </c>
      <c r="B1093" s="373" t="s">
        <v>1190</v>
      </c>
    </row>
    <row r="1094" spans="1:2" x14ac:dyDescent="0.2">
      <c r="A1094" s="372">
        <v>423</v>
      </c>
      <c r="B1094" s="373" t="s">
        <v>1191</v>
      </c>
    </row>
    <row r="1095" spans="1:2" x14ac:dyDescent="0.2">
      <c r="A1095" s="372">
        <v>424</v>
      </c>
      <c r="B1095" s="373" t="s">
        <v>1192</v>
      </c>
    </row>
    <row r="1096" spans="1:2" x14ac:dyDescent="0.2">
      <c r="A1096" s="372">
        <v>425</v>
      </c>
      <c r="B1096" s="373" t="s">
        <v>1193</v>
      </c>
    </row>
    <row r="1097" spans="1:2" x14ac:dyDescent="0.2">
      <c r="A1097" s="372">
        <v>434</v>
      </c>
      <c r="B1097" s="373" t="s">
        <v>1194</v>
      </c>
    </row>
    <row r="1098" spans="1:2" x14ac:dyDescent="0.2">
      <c r="A1098" s="372">
        <v>436</v>
      </c>
      <c r="B1098" s="373" t="s">
        <v>1195</v>
      </c>
    </row>
    <row r="1099" spans="1:2" x14ac:dyDescent="0.2">
      <c r="A1099" s="372">
        <v>437</v>
      </c>
      <c r="B1099" s="373" t="s">
        <v>1196</v>
      </c>
    </row>
    <row r="1100" spans="1:2" x14ac:dyDescent="0.2">
      <c r="A1100" s="372">
        <v>438</v>
      </c>
      <c r="B1100" s="373" t="s">
        <v>1197</v>
      </c>
    </row>
    <row r="1101" spans="1:2" x14ac:dyDescent="0.2">
      <c r="A1101" s="372">
        <v>464</v>
      </c>
      <c r="B1101" s="373" t="s">
        <v>1198</v>
      </c>
    </row>
    <row r="1102" spans="1:2" x14ac:dyDescent="0.2">
      <c r="A1102" s="372">
        <v>486</v>
      </c>
      <c r="B1102" s="373" t="s">
        <v>1199</v>
      </c>
    </row>
    <row r="1103" spans="1:2" x14ac:dyDescent="0.2">
      <c r="A1103" s="372">
        <v>494</v>
      </c>
      <c r="B1103" s="373" t="s">
        <v>1200</v>
      </c>
    </row>
    <row r="1104" spans="1:2" x14ac:dyDescent="0.2">
      <c r="A1104" s="372">
        <v>497</v>
      </c>
      <c r="B1104" s="373" t="s">
        <v>1201</v>
      </c>
    </row>
    <row r="1105" spans="1:2" x14ac:dyDescent="0.2">
      <c r="A1105" s="372">
        <v>498</v>
      </c>
      <c r="B1105" s="373" t="s">
        <v>1202</v>
      </c>
    </row>
    <row r="1106" spans="1:2" x14ac:dyDescent="0.2">
      <c r="A1106" s="372">
        <v>520</v>
      </c>
      <c r="B1106" s="373" t="s">
        <v>1203</v>
      </c>
    </row>
    <row r="1107" spans="1:2" x14ac:dyDescent="0.2">
      <c r="A1107" s="372">
        <v>573</v>
      </c>
      <c r="B1107" s="373" t="s">
        <v>1204</v>
      </c>
    </row>
    <row r="1108" spans="1:2" x14ac:dyDescent="0.2">
      <c r="A1108" s="372">
        <v>588</v>
      </c>
      <c r="B1108" s="373" t="s">
        <v>1205</v>
      </c>
    </row>
    <row r="1109" spans="1:2" x14ac:dyDescent="0.2">
      <c r="A1109" s="372">
        <v>589</v>
      </c>
      <c r="B1109" s="373" t="s">
        <v>1206</v>
      </c>
    </row>
    <row r="1110" spans="1:2" x14ac:dyDescent="0.2">
      <c r="A1110" s="372">
        <v>591</v>
      </c>
      <c r="B1110" s="373" t="s">
        <v>1207</v>
      </c>
    </row>
    <row r="1111" spans="1:2" x14ac:dyDescent="0.2">
      <c r="A1111" s="372">
        <v>597</v>
      </c>
      <c r="B1111" s="373" t="s">
        <v>1208</v>
      </c>
    </row>
    <row r="1112" spans="1:2" x14ac:dyDescent="0.2">
      <c r="A1112" s="372">
        <v>653</v>
      </c>
      <c r="B1112" s="373" t="s">
        <v>1209</v>
      </c>
    </row>
    <row r="1113" spans="1:2" x14ac:dyDescent="0.2">
      <c r="A1113" s="372">
        <v>665</v>
      </c>
      <c r="B1113" s="373" t="s">
        <v>1210</v>
      </c>
    </row>
    <row r="1114" spans="1:2" x14ac:dyDescent="0.2">
      <c r="A1114" s="372">
        <v>677</v>
      </c>
      <c r="B1114" s="373" t="s">
        <v>1211</v>
      </c>
    </row>
    <row r="1115" spans="1:2" x14ac:dyDescent="0.2">
      <c r="A1115" s="372">
        <v>693</v>
      </c>
      <c r="B1115" s="373" t="s">
        <v>1212</v>
      </c>
    </row>
    <row r="1116" spans="1:2" x14ac:dyDescent="0.2">
      <c r="A1116" s="372">
        <v>720</v>
      </c>
      <c r="B1116" s="373" t="s">
        <v>1213</v>
      </c>
    </row>
    <row r="1117" spans="1:2" x14ac:dyDescent="0.2">
      <c r="A1117" s="372">
        <v>721</v>
      </c>
      <c r="B1117" s="373" t="s">
        <v>1214</v>
      </c>
    </row>
    <row r="1118" spans="1:2" ht="25.5" x14ac:dyDescent="0.2">
      <c r="A1118" s="372">
        <v>722</v>
      </c>
      <c r="B1118" s="373" t="s">
        <v>1215</v>
      </c>
    </row>
    <row r="1119" spans="1:2" x14ac:dyDescent="0.2">
      <c r="A1119" s="372">
        <v>801</v>
      </c>
      <c r="B1119" s="373" t="s">
        <v>1216</v>
      </c>
    </row>
    <row r="1120" spans="1:2" x14ac:dyDescent="0.2">
      <c r="A1120" s="372">
        <v>804</v>
      </c>
      <c r="B1120" s="373" t="s">
        <v>1217</v>
      </c>
    </row>
    <row r="1121" spans="1:2" ht="25.5" x14ac:dyDescent="0.2">
      <c r="A1121" s="372">
        <v>807</v>
      </c>
      <c r="B1121" s="373" t="s">
        <v>1218</v>
      </c>
    </row>
    <row r="1122" spans="1:2" x14ac:dyDescent="0.2">
      <c r="A1122" s="372">
        <v>812</v>
      </c>
      <c r="B1122" s="373" t="s">
        <v>1219</v>
      </c>
    </row>
    <row r="1123" spans="1:2" x14ac:dyDescent="0.2">
      <c r="A1123" s="372">
        <v>905</v>
      </c>
      <c r="B1123" s="373" t="s">
        <v>1220</v>
      </c>
    </row>
    <row r="1124" spans="1:2" x14ac:dyDescent="0.2">
      <c r="A1124" s="372">
        <v>906</v>
      </c>
      <c r="B1124" s="373" t="s">
        <v>1221</v>
      </c>
    </row>
    <row r="1125" spans="1:2" x14ac:dyDescent="0.2">
      <c r="A1125" s="372">
        <v>914</v>
      </c>
      <c r="B1125" s="373" t="s">
        <v>1222</v>
      </c>
    </row>
    <row r="1126" spans="1:2" x14ac:dyDescent="0.2">
      <c r="A1126" s="372">
        <v>932</v>
      </c>
      <c r="B1126" s="373" t="s">
        <v>1223</v>
      </c>
    </row>
    <row r="1127" spans="1:2" x14ac:dyDescent="0.2">
      <c r="A1127" s="372">
        <v>950</v>
      </c>
      <c r="B1127" s="373" t="s">
        <v>622</v>
      </c>
    </row>
    <row r="1128" spans="1:2" x14ac:dyDescent="0.2">
      <c r="A1128" s="372">
        <v>951</v>
      </c>
      <c r="B1128" s="373" t="s">
        <v>1224</v>
      </c>
    </row>
    <row r="1129" spans="1:2" x14ac:dyDescent="0.2">
      <c r="A1129" s="372">
        <v>952</v>
      </c>
      <c r="B1129" s="373" t="s">
        <v>676</v>
      </c>
    </row>
    <row r="1130" spans="1:2" x14ac:dyDescent="0.2">
      <c r="A1130" s="372">
        <v>953</v>
      </c>
      <c r="B1130" s="373" t="s">
        <v>682</v>
      </c>
    </row>
    <row r="1131" spans="1:2" x14ac:dyDescent="0.2">
      <c r="A1131" s="372">
        <v>954</v>
      </c>
      <c r="B1131" s="373" t="s">
        <v>764</v>
      </c>
    </row>
    <row r="1132" spans="1:2" x14ac:dyDescent="0.2">
      <c r="A1132" s="372">
        <v>955</v>
      </c>
      <c r="B1132" s="373" t="s">
        <v>793</v>
      </c>
    </row>
    <row r="1133" spans="1:2" x14ac:dyDescent="0.2">
      <c r="A1133" s="372">
        <v>956</v>
      </c>
      <c r="B1133" s="373" t="s">
        <v>810</v>
      </c>
    </row>
    <row r="1134" spans="1:2" x14ac:dyDescent="0.2">
      <c r="A1134" s="372">
        <v>957</v>
      </c>
      <c r="B1134" s="373" t="s">
        <v>1225</v>
      </c>
    </row>
    <row r="1135" spans="1:2" x14ac:dyDescent="0.2">
      <c r="A1135" s="372">
        <v>958</v>
      </c>
      <c r="B1135" s="373" t="s">
        <v>847</v>
      </c>
    </row>
    <row r="1136" spans="1:2" x14ac:dyDescent="0.2">
      <c r="A1136" s="372">
        <v>959</v>
      </c>
      <c r="B1136" s="373" t="s">
        <v>1226</v>
      </c>
    </row>
    <row r="1137" spans="1:2" x14ac:dyDescent="0.2">
      <c r="A1137" s="372">
        <v>960</v>
      </c>
      <c r="B1137" s="373" t="s">
        <v>1227</v>
      </c>
    </row>
    <row r="1138" spans="1:2" x14ac:dyDescent="0.2">
      <c r="A1138" s="372">
        <v>961</v>
      </c>
      <c r="B1138" s="373" t="s">
        <v>1228</v>
      </c>
    </row>
    <row r="1139" spans="1:2" x14ac:dyDescent="0.2">
      <c r="A1139" s="372">
        <v>962</v>
      </c>
      <c r="B1139" s="373" t="s">
        <v>1229</v>
      </c>
    </row>
    <row r="1140" spans="1:2" x14ac:dyDescent="0.2">
      <c r="A1140" s="372">
        <v>963</v>
      </c>
      <c r="B1140" s="373" t="s">
        <v>1230</v>
      </c>
    </row>
    <row r="1141" spans="1:2" x14ac:dyDescent="0.2">
      <c r="A1141" s="372">
        <v>964</v>
      </c>
      <c r="B1141" s="373" t="s">
        <v>1231</v>
      </c>
    </row>
    <row r="1142" spans="1:2" x14ac:dyDescent="0.2">
      <c r="A1142" s="372">
        <v>965</v>
      </c>
      <c r="B1142" s="373" t="s">
        <v>1232</v>
      </c>
    </row>
    <row r="1143" spans="1:2" x14ac:dyDescent="0.2">
      <c r="A1143" s="372">
        <v>966</v>
      </c>
      <c r="B1143" s="373" t="s">
        <v>1233</v>
      </c>
    </row>
    <row r="1144" spans="1:2" x14ac:dyDescent="0.2">
      <c r="A1144" s="372">
        <v>967</v>
      </c>
      <c r="B1144" s="373" t="s">
        <v>1234</v>
      </c>
    </row>
    <row r="1145" spans="1:2" x14ac:dyDescent="0.2">
      <c r="A1145" s="372">
        <v>968</v>
      </c>
      <c r="B1145" s="373" t="s">
        <v>1235</v>
      </c>
    </row>
    <row r="1146" spans="1:2" x14ac:dyDescent="0.2">
      <c r="A1146" s="372">
        <v>969</v>
      </c>
      <c r="B1146" s="373" t="s">
        <v>1236</v>
      </c>
    </row>
    <row r="1147" spans="1:2" x14ac:dyDescent="0.2">
      <c r="A1147" s="372">
        <v>970</v>
      </c>
      <c r="B1147" s="373" t="s">
        <v>1237</v>
      </c>
    </row>
    <row r="1148" spans="1:2" x14ac:dyDescent="0.2">
      <c r="A1148" s="372">
        <v>971</v>
      </c>
      <c r="B1148" s="373" t="s">
        <v>1238</v>
      </c>
    </row>
    <row r="1149" spans="1:2" x14ac:dyDescent="0.2">
      <c r="A1149" s="372">
        <v>972</v>
      </c>
      <c r="B1149" s="373" t="s">
        <v>1239</v>
      </c>
    </row>
    <row r="1150" spans="1:2" x14ac:dyDescent="0.2">
      <c r="A1150" s="372">
        <v>973</v>
      </c>
      <c r="B1150" s="373" t="s">
        <v>1240</v>
      </c>
    </row>
    <row r="1151" spans="1:2" x14ac:dyDescent="0.2">
      <c r="A1151" s="372">
        <v>974</v>
      </c>
      <c r="B1151" s="373" t="s">
        <v>1241</v>
      </c>
    </row>
    <row r="1152" spans="1:2" x14ac:dyDescent="0.2">
      <c r="A1152" s="372">
        <v>975</v>
      </c>
      <c r="B1152" s="373" t="s">
        <v>1242</v>
      </c>
    </row>
    <row r="1153" spans="1:2" x14ac:dyDescent="0.2">
      <c r="A1153" s="372">
        <v>976</v>
      </c>
      <c r="B1153" s="373" t="s">
        <v>1243</v>
      </c>
    </row>
    <row r="1154" spans="1:2" x14ac:dyDescent="0.2">
      <c r="A1154" s="372">
        <v>977</v>
      </c>
      <c r="B1154" s="373" t="s">
        <v>1244</v>
      </c>
    </row>
    <row r="1155" spans="1:2" x14ac:dyDescent="0.2">
      <c r="A1155" s="372">
        <v>978</v>
      </c>
      <c r="B1155" s="373" t="s">
        <v>1245</v>
      </c>
    </row>
    <row r="1156" spans="1:2" x14ac:dyDescent="0.2">
      <c r="A1156" s="372">
        <v>979</v>
      </c>
      <c r="B1156" s="373" t="s">
        <v>1246</v>
      </c>
    </row>
    <row r="1157" spans="1:2" x14ac:dyDescent="0.2">
      <c r="A1157" s="372">
        <v>980</v>
      </c>
      <c r="B1157" s="373" t="s">
        <v>1247</v>
      </c>
    </row>
    <row r="1158" spans="1:2" x14ac:dyDescent="0.2">
      <c r="A1158" s="372">
        <v>981</v>
      </c>
      <c r="B1158" s="373" t="s">
        <v>1248</v>
      </c>
    </row>
    <row r="1159" spans="1:2" x14ac:dyDescent="0.2">
      <c r="A1159" s="372">
        <v>982</v>
      </c>
      <c r="B1159" s="373" t="s">
        <v>896</v>
      </c>
    </row>
    <row r="1160" spans="1:2" x14ac:dyDescent="0.2">
      <c r="A1160" s="372">
        <v>983</v>
      </c>
      <c r="B1160" s="373" t="s">
        <v>1249</v>
      </c>
    </row>
    <row r="1161" spans="1:2" x14ac:dyDescent="0.2">
      <c r="A1161" s="372">
        <v>984</v>
      </c>
      <c r="B1161" s="373" t="s">
        <v>1250</v>
      </c>
    </row>
    <row r="1162" spans="1:2" x14ac:dyDescent="0.2">
      <c r="A1162" s="372">
        <v>985</v>
      </c>
      <c r="B1162" s="373" t="s">
        <v>1251</v>
      </c>
    </row>
    <row r="1163" spans="1:2" x14ac:dyDescent="0.2">
      <c r="A1163" s="372">
        <v>986</v>
      </c>
      <c r="B1163" s="373" t="s">
        <v>1252</v>
      </c>
    </row>
    <row r="1164" spans="1:2" x14ac:dyDescent="0.2">
      <c r="A1164" s="372">
        <v>987</v>
      </c>
      <c r="B1164" s="373" t="s">
        <v>1253</v>
      </c>
    </row>
    <row r="1165" spans="1:2" x14ac:dyDescent="0.2">
      <c r="A1165" s="372">
        <v>988</v>
      </c>
      <c r="B1165" s="373" t="s">
        <v>1254</v>
      </c>
    </row>
    <row r="1166" spans="1:2" x14ac:dyDescent="0.2">
      <c r="A1166" s="372">
        <v>989</v>
      </c>
      <c r="B1166" s="373" t="s">
        <v>1255</v>
      </c>
    </row>
    <row r="1167" spans="1:2" x14ac:dyDescent="0.2">
      <c r="A1167" s="369">
        <v>995</v>
      </c>
      <c r="B1167" s="325" t="s">
        <v>1252</v>
      </c>
    </row>
  </sheetData>
  <printOptions gridLines="1"/>
  <pageMargins left="0.75" right="0.75" top="1" bottom="1" header="0.5" footer="0.5"/>
  <pageSetup paperSize="9" orientation="portrait"/>
  <tableParts count="1">
    <tablePart r:id="rId1"/>
  </tablePart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991"/>
  <sheetViews>
    <sheetView showGridLines="0" topLeftCell="A2034" workbookViewId="0"/>
  </sheetViews>
  <sheetFormatPr defaultColWidth="9.140625" defaultRowHeight="12.75" x14ac:dyDescent="0.2"/>
  <cols>
    <col min="1" max="1" width="11.85546875" style="374" customWidth="1"/>
    <col min="2" max="2" width="110.5703125" style="375" customWidth="1"/>
    <col min="3" max="16384" width="9.140625" style="78"/>
  </cols>
  <sheetData>
    <row r="1" hidden="1" x14ac:dyDescent="0.2"/>
    <row r="2" hidden="1" x14ac:dyDescent="0.2"/>
    <row r="3" hidden="1" x14ac:dyDescent="0.2"/>
    <row r="4" hidden="1" x14ac:dyDescent="0.2"/>
    <row r="5" hidden="1" x14ac:dyDescent="0.2"/>
    <row r="6" hidden="1" x14ac:dyDescent="0.2"/>
    <row r="7" hidden="1" x14ac:dyDescent="0.2"/>
    <row r="8" hidden="1" x14ac:dyDescent="0.2"/>
    <row r="9" hidden="1" x14ac:dyDescent="0.2"/>
    <row r="10" hidden="1" x14ac:dyDescent="0.2"/>
    <row r="11" hidden="1" x14ac:dyDescent="0.2"/>
    <row r="12" hidden="1" x14ac:dyDescent="0.2"/>
    <row r="13" hidden="1" x14ac:dyDescent="0.2"/>
    <row r="14" hidden="1" x14ac:dyDescent="0.2"/>
    <row r="15" hidden="1" x14ac:dyDescent="0.2"/>
    <row r="16" hidden="1" x14ac:dyDescent="0.2"/>
    <row r="17" hidden="1" x14ac:dyDescent="0.2"/>
    <row r="18" hidden="1" x14ac:dyDescent="0.2"/>
    <row r="19" hidden="1" x14ac:dyDescent="0.2"/>
    <row r="20" hidden="1" x14ac:dyDescent="0.2"/>
    <row r="21" hidden="1" x14ac:dyDescent="0.2"/>
    <row r="22" hidden="1" x14ac:dyDescent="0.2"/>
    <row r="23" hidden="1" x14ac:dyDescent="0.2"/>
    <row r="24" hidden="1" x14ac:dyDescent="0.2"/>
    <row r="25" hidden="1" x14ac:dyDescent="0.2"/>
    <row r="26" hidden="1" x14ac:dyDescent="0.2"/>
    <row r="27" hidden="1" x14ac:dyDescent="0.2"/>
    <row r="28" hidden="1" x14ac:dyDescent="0.2"/>
    <row r="29" hidden="1" x14ac:dyDescent="0.2"/>
    <row r="30" hidden="1" x14ac:dyDescent="0.2"/>
    <row r="31" hidden="1" x14ac:dyDescent="0.2"/>
    <row r="32" hidden="1" x14ac:dyDescent="0.2"/>
    <row r="33" hidden="1" x14ac:dyDescent="0.2"/>
    <row r="34" hidden="1" x14ac:dyDescent="0.2"/>
    <row r="35" hidden="1" x14ac:dyDescent="0.2"/>
    <row r="36" hidden="1" x14ac:dyDescent="0.2"/>
    <row r="37" hidden="1" x14ac:dyDescent="0.2"/>
    <row r="38" hidden="1" x14ac:dyDescent="0.2"/>
    <row r="39" hidden="1" x14ac:dyDescent="0.2"/>
    <row r="40" hidden="1" x14ac:dyDescent="0.2"/>
    <row r="41" hidden="1" x14ac:dyDescent="0.2"/>
    <row r="42" hidden="1" x14ac:dyDescent="0.2"/>
    <row r="43" hidden="1" x14ac:dyDescent="0.2"/>
    <row r="44" hidden="1" x14ac:dyDescent="0.2"/>
    <row r="45" hidden="1" x14ac:dyDescent="0.2"/>
    <row r="46" hidden="1" x14ac:dyDescent="0.2"/>
    <row r="47" hidden="1" x14ac:dyDescent="0.2"/>
    <row r="48" hidden="1" x14ac:dyDescent="0.2"/>
    <row r="49" hidden="1" x14ac:dyDescent="0.2"/>
    <row r="50" hidden="1" x14ac:dyDescent="0.2"/>
    <row r="51" hidden="1" x14ac:dyDescent="0.2"/>
    <row r="52" hidden="1" x14ac:dyDescent="0.2"/>
    <row r="53" hidden="1" x14ac:dyDescent="0.2"/>
    <row r="54" hidden="1" x14ac:dyDescent="0.2"/>
    <row r="55" hidden="1" x14ac:dyDescent="0.2"/>
    <row r="56" hidden="1" x14ac:dyDescent="0.2"/>
    <row r="57" hidden="1" x14ac:dyDescent="0.2"/>
    <row r="58" hidden="1" x14ac:dyDescent="0.2"/>
    <row r="59" hidden="1" x14ac:dyDescent="0.2"/>
    <row r="60" hidden="1" x14ac:dyDescent="0.2"/>
    <row r="61" hidden="1" x14ac:dyDescent="0.2"/>
    <row r="62" hidden="1" x14ac:dyDescent="0.2"/>
    <row r="63" hidden="1" x14ac:dyDescent="0.2"/>
    <row r="64" hidden="1" x14ac:dyDescent="0.2"/>
    <row r="65" hidden="1" x14ac:dyDescent="0.2"/>
    <row r="66" hidden="1" x14ac:dyDescent="0.2"/>
    <row r="67" hidden="1" x14ac:dyDescent="0.2"/>
    <row r="68" hidden="1" x14ac:dyDescent="0.2"/>
    <row r="69" hidden="1" x14ac:dyDescent="0.2"/>
    <row r="70" hidden="1" x14ac:dyDescent="0.2"/>
    <row r="71" hidden="1" x14ac:dyDescent="0.2"/>
    <row r="72" hidden="1" x14ac:dyDescent="0.2"/>
    <row r="73" hidden="1" x14ac:dyDescent="0.2"/>
    <row r="74" hidden="1" x14ac:dyDescent="0.2"/>
    <row r="75" hidden="1" x14ac:dyDescent="0.2"/>
    <row r="76" hidden="1" x14ac:dyDescent="0.2"/>
    <row r="77" hidden="1" x14ac:dyDescent="0.2"/>
    <row r="78" hidden="1" x14ac:dyDescent="0.2"/>
    <row r="79" hidden="1" x14ac:dyDescent="0.2"/>
    <row r="80" hidden="1" x14ac:dyDescent="0.2"/>
    <row r="81" hidden="1" x14ac:dyDescent="0.2"/>
    <row r="82" hidden="1" x14ac:dyDescent="0.2"/>
    <row r="83" hidden="1" x14ac:dyDescent="0.2"/>
    <row r="84" hidden="1" x14ac:dyDescent="0.2"/>
    <row r="85" hidden="1" x14ac:dyDescent="0.2"/>
    <row r="86" hidden="1" x14ac:dyDescent="0.2"/>
    <row r="87" hidden="1" x14ac:dyDescent="0.2"/>
    <row r="88" hidden="1" x14ac:dyDescent="0.2"/>
    <row r="89" hidden="1" x14ac:dyDescent="0.2"/>
    <row r="90" hidden="1" x14ac:dyDescent="0.2"/>
    <row r="91" hidden="1" x14ac:dyDescent="0.2"/>
    <row r="92" hidden="1" x14ac:dyDescent="0.2"/>
    <row r="93" hidden="1" x14ac:dyDescent="0.2"/>
    <row r="94" hidden="1" x14ac:dyDescent="0.2"/>
    <row r="95" hidden="1" x14ac:dyDescent="0.2"/>
    <row r="96" hidden="1" x14ac:dyDescent="0.2"/>
    <row r="97" hidden="1" x14ac:dyDescent="0.2"/>
    <row r="98" hidden="1" x14ac:dyDescent="0.2"/>
    <row r="99" hidden="1" x14ac:dyDescent="0.2"/>
    <row r="100" hidden="1" x14ac:dyDescent="0.2"/>
    <row r="101" hidden="1" x14ac:dyDescent="0.2"/>
    <row r="102" hidden="1" x14ac:dyDescent="0.2"/>
    <row r="103" hidden="1" x14ac:dyDescent="0.2"/>
    <row r="104" hidden="1" x14ac:dyDescent="0.2"/>
    <row r="105" hidden="1" x14ac:dyDescent="0.2"/>
    <row r="106" hidden="1" x14ac:dyDescent="0.2"/>
    <row r="107" hidden="1" x14ac:dyDescent="0.2"/>
    <row r="108" hidden="1" x14ac:dyDescent="0.2"/>
    <row r="109" hidden="1" x14ac:dyDescent="0.2"/>
    <row r="110" hidden="1" x14ac:dyDescent="0.2"/>
    <row r="111" hidden="1" x14ac:dyDescent="0.2"/>
    <row r="112" hidden="1" x14ac:dyDescent="0.2"/>
    <row r="113" hidden="1" x14ac:dyDescent="0.2"/>
    <row r="114" hidden="1" x14ac:dyDescent="0.2"/>
    <row r="115" hidden="1" x14ac:dyDescent="0.2"/>
    <row r="116" hidden="1" x14ac:dyDescent="0.2"/>
    <row r="117" hidden="1" x14ac:dyDescent="0.2"/>
    <row r="118" hidden="1" x14ac:dyDescent="0.2"/>
    <row r="119" hidden="1" x14ac:dyDescent="0.2"/>
    <row r="120" hidden="1" x14ac:dyDescent="0.2"/>
    <row r="121" hidden="1" x14ac:dyDescent="0.2"/>
    <row r="122" hidden="1" x14ac:dyDescent="0.2"/>
    <row r="123" hidden="1" x14ac:dyDescent="0.2"/>
    <row r="124" hidden="1" x14ac:dyDescent="0.2"/>
    <row r="125" hidden="1" x14ac:dyDescent="0.2"/>
    <row r="126" hidden="1" x14ac:dyDescent="0.2"/>
    <row r="127" hidden="1" x14ac:dyDescent="0.2"/>
    <row r="128" hidden="1" x14ac:dyDescent="0.2"/>
    <row r="129" hidden="1" x14ac:dyDescent="0.2"/>
    <row r="130" hidden="1" x14ac:dyDescent="0.2"/>
    <row r="131" hidden="1" x14ac:dyDescent="0.2"/>
    <row r="132" hidden="1" x14ac:dyDescent="0.2"/>
    <row r="133" hidden="1" x14ac:dyDescent="0.2"/>
    <row r="134" hidden="1" x14ac:dyDescent="0.2"/>
    <row r="135" hidden="1" x14ac:dyDescent="0.2"/>
    <row r="136" hidden="1" x14ac:dyDescent="0.2"/>
    <row r="137" hidden="1" x14ac:dyDescent="0.2"/>
    <row r="138" hidden="1" x14ac:dyDescent="0.2"/>
    <row r="139" hidden="1" x14ac:dyDescent="0.2"/>
    <row r="140" hidden="1" x14ac:dyDescent="0.2"/>
    <row r="141" hidden="1" x14ac:dyDescent="0.2"/>
    <row r="142" hidden="1" x14ac:dyDescent="0.2"/>
    <row r="143" hidden="1" x14ac:dyDescent="0.2"/>
    <row r="144" hidden="1" x14ac:dyDescent="0.2"/>
    <row r="145" hidden="1" x14ac:dyDescent="0.2"/>
    <row r="146" hidden="1" x14ac:dyDescent="0.2"/>
    <row r="147" hidden="1" x14ac:dyDescent="0.2"/>
    <row r="148" hidden="1" x14ac:dyDescent="0.2"/>
    <row r="149" hidden="1" x14ac:dyDescent="0.2"/>
    <row r="150" hidden="1" x14ac:dyDescent="0.2"/>
    <row r="151" hidden="1" x14ac:dyDescent="0.2"/>
    <row r="152" hidden="1" x14ac:dyDescent="0.2"/>
    <row r="153" hidden="1" x14ac:dyDescent="0.2"/>
    <row r="154" hidden="1" x14ac:dyDescent="0.2"/>
    <row r="155" hidden="1" x14ac:dyDescent="0.2"/>
    <row r="156" hidden="1" x14ac:dyDescent="0.2"/>
    <row r="157" hidden="1" x14ac:dyDescent="0.2"/>
    <row r="158" hidden="1" x14ac:dyDescent="0.2"/>
    <row r="159" hidden="1" x14ac:dyDescent="0.2"/>
    <row r="160" hidden="1" x14ac:dyDescent="0.2"/>
    <row r="161" hidden="1" x14ac:dyDescent="0.2"/>
    <row r="162" hidden="1" x14ac:dyDescent="0.2"/>
    <row r="163" hidden="1" x14ac:dyDescent="0.2"/>
    <row r="164" hidden="1" x14ac:dyDescent="0.2"/>
    <row r="165" hidden="1" x14ac:dyDescent="0.2"/>
    <row r="166" hidden="1" x14ac:dyDescent="0.2"/>
    <row r="167" hidden="1" x14ac:dyDescent="0.2"/>
    <row r="168" hidden="1" x14ac:dyDescent="0.2"/>
    <row r="169" hidden="1" x14ac:dyDescent="0.2"/>
    <row r="170" hidden="1" x14ac:dyDescent="0.2"/>
    <row r="171" hidden="1" x14ac:dyDescent="0.2"/>
    <row r="172" hidden="1" x14ac:dyDescent="0.2"/>
    <row r="173" hidden="1" x14ac:dyDescent="0.2"/>
    <row r="174" hidden="1" x14ac:dyDescent="0.2"/>
    <row r="175" hidden="1" x14ac:dyDescent="0.2"/>
    <row r="176" hidden="1" x14ac:dyDescent="0.2"/>
    <row r="177" hidden="1" x14ac:dyDescent="0.2"/>
    <row r="178" hidden="1" x14ac:dyDescent="0.2"/>
    <row r="179" hidden="1" x14ac:dyDescent="0.2"/>
    <row r="180" hidden="1" x14ac:dyDescent="0.2"/>
    <row r="181" hidden="1" x14ac:dyDescent="0.2"/>
    <row r="182" hidden="1" x14ac:dyDescent="0.2"/>
    <row r="183" hidden="1" x14ac:dyDescent="0.2"/>
    <row r="184" hidden="1" x14ac:dyDescent="0.2"/>
    <row r="185" hidden="1" x14ac:dyDescent="0.2"/>
    <row r="186" hidden="1" x14ac:dyDescent="0.2"/>
    <row r="187" hidden="1" x14ac:dyDescent="0.2"/>
    <row r="188" hidden="1" x14ac:dyDescent="0.2"/>
    <row r="189" hidden="1" x14ac:dyDescent="0.2"/>
    <row r="190" hidden="1" x14ac:dyDescent="0.2"/>
    <row r="191" hidden="1" x14ac:dyDescent="0.2"/>
    <row r="192" hidden="1" x14ac:dyDescent="0.2"/>
    <row r="193" hidden="1" x14ac:dyDescent="0.2"/>
    <row r="194" hidden="1" x14ac:dyDescent="0.2"/>
    <row r="195" hidden="1" x14ac:dyDescent="0.2"/>
    <row r="196" hidden="1" x14ac:dyDescent="0.2"/>
    <row r="197" hidden="1" x14ac:dyDescent="0.2"/>
    <row r="198" hidden="1" x14ac:dyDescent="0.2"/>
    <row r="199" hidden="1" x14ac:dyDescent="0.2"/>
    <row r="200" hidden="1" x14ac:dyDescent="0.2"/>
    <row r="201" hidden="1" x14ac:dyDescent="0.2"/>
    <row r="202" hidden="1" x14ac:dyDescent="0.2"/>
    <row r="203" hidden="1" x14ac:dyDescent="0.2"/>
    <row r="204" hidden="1" x14ac:dyDescent="0.2"/>
    <row r="205" hidden="1" x14ac:dyDescent="0.2"/>
    <row r="206" hidden="1" x14ac:dyDescent="0.2"/>
    <row r="207" hidden="1" x14ac:dyDescent="0.2"/>
    <row r="208" hidden="1" x14ac:dyDescent="0.2"/>
    <row r="209" hidden="1" x14ac:dyDescent="0.2"/>
    <row r="210" hidden="1" x14ac:dyDescent="0.2"/>
    <row r="211" hidden="1" x14ac:dyDescent="0.2"/>
    <row r="212" hidden="1" x14ac:dyDescent="0.2"/>
    <row r="213" hidden="1" x14ac:dyDescent="0.2"/>
    <row r="214" hidden="1" x14ac:dyDescent="0.2"/>
    <row r="215" hidden="1" x14ac:dyDescent="0.2"/>
    <row r="216" hidden="1" x14ac:dyDescent="0.2"/>
    <row r="217" hidden="1" x14ac:dyDescent="0.2"/>
    <row r="218" hidden="1" x14ac:dyDescent="0.2"/>
    <row r="219" hidden="1" x14ac:dyDescent="0.2"/>
    <row r="220" hidden="1" x14ac:dyDescent="0.2"/>
    <row r="221" hidden="1" x14ac:dyDescent="0.2"/>
    <row r="222" hidden="1" x14ac:dyDescent="0.2"/>
    <row r="223" hidden="1" x14ac:dyDescent="0.2"/>
    <row r="224" hidden="1" x14ac:dyDescent="0.2"/>
    <row r="225" hidden="1" x14ac:dyDescent="0.2"/>
    <row r="226" hidden="1" x14ac:dyDescent="0.2"/>
    <row r="227" hidden="1" x14ac:dyDescent="0.2"/>
    <row r="228" hidden="1" x14ac:dyDescent="0.2"/>
    <row r="229" hidden="1" x14ac:dyDescent="0.2"/>
    <row r="230" hidden="1" x14ac:dyDescent="0.2"/>
    <row r="231" hidden="1" x14ac:dyDescent="0.2"/>
    <row r="232" hidden="1" x14ac:dyDescent="0.2"/>
    <row r="233" hidden="1" x14ac:dyDescent="0.2"/>
    <row r="234" hidden="1" x14ac:dyDescent="0.2"/>
    <row r="235" hidden="1" x14ac:dyDescent="0.2"/>
    <row r="236" hidden="1" x14ac:dyDescent="0.2"/>
    <row r="237" hidden="1" x14ac:dyDescent="0.2"/>
    <row r="238" hidden="1" x14ac:dyDescent="0.2"/>
    <row r="239" hidden="1" x14ac:dyDescent="0.2"/>
    <row r="240" hidden="1" x14ac:dyDescent="0.2"/>
    <row r="241" hidden="1" x14ac:dyDescent="0.2"/>
    <row r="242" hidden="1" x14ac:dyDescent="0.2"/>
    <row r="243" hidden="1" x14ac:dyDescent="0.2"/>
    <row r="244" hidden="1" x14ac:dyDescent="0.2"/>
    <row r="245" hidden="1" x14ac:dyDescent="0.2"/>
    <row r="246" hidden="1" x14ac:dyDescent="0.2"/>
    <row r="247" hidden="1" x14ac:dyDescent="0.2"/>
    <row r="248" hidden="1" x14ac:dyDescent="0.2"/>
    <row r="249" hidden="1" x14ac:dyDescent="0.2"/>
    <row r="250" hidden="1" x14ac:dyDescent="0.2"/>
    <row r="251" hidden="1" x14ac:dyDescent="0.2"/>
    <row r="252" hidden="1" x14ac:dyDescent="0.2"/>
    <row r="253" hidden="1" x14ac:dyDescent="0.2"/>
    <row r="254" hidden="1" x14ac:dyDescent="0.2"/>
    <row r="255" hidden="1" x14ac:dyDescent="0.2"/>
    <row r="256" hidden="1" x14ac:dyDescent="0.2"/>
    <row r="257" hidden="1" x14ac:dyDescent="0.2"/>
    <row r="258" hidden="1" x14ac:dyDescent="0.2"/>
    <row r="259" hidden="1" x14ac:dyDescent="0.2"/>
    <row r="260" hidden="1" x14ac:dyDescent="0.2"/>
    <row r="261" hidden="1" x14ac:dyDescent="0.2"/>
    <row r="262" hidden="1" x14ac:dyDescent="0.2"/>
    <row r="263" hidden="1" x14ac:dyDescent="0.2"/>
    <row r="264" hidden="1" x14ac:dyDescent="0.2"/>
    <row r="265" hidden="1" x14ac:dyDescent="0.2"/>
    <row r="266" hidden="1" x14ac:dyDescent="0.2"/>
    <row r="267" hidden="1" x14ac:dyDescent="0.2"/>
    <row r="268" hidden="1" x14ac:dyDescent="0.2"/>
    <row r="269" hidden="1" x14ac:dyDescent="0.2"/>
    <row r="270" hidden="1" x14ac:dyDescent="0.2"/>
    <row r="271" hidden="1" x14ac:dyDescent="0.2"/>
    <row r="272" hidden="1" x14ac:dyDescent="0.2"/>
    <row r="273" hidden="1" x14ac:dyDescent="0.2"/>
    <row r="274" hidden="1" x14ac:dyDescent="0.2"/>
    <row r="275" hidden="1" x14ac:dyDescent="0.2"/>
    <row r="276" hidden="1" x14ac:dyDescent="0.2"/>
    <row r="277" hidden="1" x14ac:dyDescent="0.2"/>
    <row r="278" hidden="1" x14ac:dyDescent="0.2"/>
    <row r="279" hidden="1" x14ac:dyDescent="0.2"/>
    <row r="280" hidden="1" x14ac:dyDescent="0.2"/>
    <row r="281" hidden="1" x14ac:dyDescent="0.2"/>
    <row r="282" hidden="1" x14ac:dyDescent="0.2"/>
    <row r="283" hidden="1" x14ac:dyDescent="0.2"/>
    <row r="284" hidden="1" x14ac:dyDescent="0.2"/>
    <row r="285" hidden="1" x14ac:dyDescent="0.2"/>
    <row r="286" hidden="1" x14ac:dyDescent="0.2"/>
    <row r="287" hidden="1" x14ac:dyDescent="0.2"/>
    <row r="288" hidden="1" x14ac:dyDescent="0.2"/>
    <row r="289" hidden="1" x14ac:dyDescent="0.2"/>
    <row r="290" hidden="1" x14ac:dyDescent="0.2"/>
    <row r="291" hidden="1" x14ac:dyDescent="0.2"/>
    <row r="292" hidden="1" x14ac:dyDescent="0.2"/>
    <row r="293" hidden="1" x14ac:dyDescent="0.2"/>
    <row r="294" hidden="1" x14ac:dyDescent="0.2"/>
    <row r="295" hidden="1" x14ac:dyDescent="0.2"/>
    <row r="296" hidden="1" x14ac:dyDescent="0.2"/>
    <row r="297" hidden="1" x14ac:dyDescent="0.2"/>
    <row r="298" hidden="1" x14ac:dyDescent="0.2"/>
    <row r="299" hidden="1" x14ac:dyDescent="0.2"/>
    <row r="300" hidden="1" x14ac:dyDescent="0.2"/>
    <row r="301" hidden="1" x14ac:dyDescent="0.2"/>
    <row r="302" hidden="1" x14ac:dyDescent="0.2"/>
    <row r="303" hidden="1" x14ac:dyDescent="0.2"/>
    <row r="304" hidden="1" x14ac:dyDescent="0.2"/>
    <row r="305" hidden="1" x14ac:dyDescent="0.2"/>
    <row r="306" hidden="1" x14ac:dyDescent="0.2"/>
    <row r="307" hidden="1" x14ac:dyDescent="0.2"/>
    <row r="308" hidden="1" x14ac:dyDescent="0.2"/>
    <row r="309" hidden="1" x14ac:dyDescent="0.2"/>
    <row r="310" hidden="1" x14ac:dyDescent="0.2"/>
    <row r="311" hidden="1" x14ac:dyDescent="0.2"/>
    <row r="312" hidden="1" x14ac:dyDescent="0.2"/>
    <row r="313" hidden="1" x14ac:dyDescent="0.2"/>
    <row r="314" hidden="1" x14ac:dyDescent="0.2"/>
    <row r="315" hidden="1" x14ac:dyDescent="0.2"/>
    <row r="316" hidden="1" x14ac:dyDescent="0.2"/>
    <row r="317" hidden="1" x14ac:dyDescent="0.2"/>
    <row r="318" hidden="1" x14ac:dyDescent="0.2"/>
    <row r="319" hidden="1" x14ac:dyDescent="0.2"/>
    <row r="320" hidden="1" x14ac:dyDescent="0.2"/>
    <row r="321" hidden="1" x14ac:dyDescent="0.2"/>
    <row r="322" hidden="1" x14ac:dyDescent="0.2"/>
    <row r="323" hidden="1" x14ac:dyDescent="0.2"/>
    <row r="324" hidden="1" x14ac:dyDescent="0.2"/>
    <row r="325" hidden="1" x14ac:dyDescent="0.2"/>
    <row r="326" hidden="1" x14ac:dyDescent="0.2"/>
    <row r="327" hidden="1" x14ac:dyDescent="0.2"/>
    <row r="328" hidden="1" x14ac:dyDescent="0.2"/>
    <row r="329" hidden="1" x14ac:dyDescent="0.2"/>
    <row r="330" hidden="1" x14ac:dyDescent="0.2"/>
    <row r="331" hidden="1" x14ac:dyDescent="0.2"/>
    <row r="332" hidden="1" x14ac:dyDescent="0.2"/>
    <row r="333" hidden="1" x14ac:dyDescent="0.2"/>
    <row r="334" hidden="1" x14ac:dyDescent="0.2"/>
    <row r="335" hidden="1" x14ac:dyDescent="0.2"/>
    <row r="336" hidden="1" x14ac:dyDescent="0.2"/>
    <row r="337" hidden="1" x14ac:dyDescent="0.2"/>
    <row r="338" hidden="1" x14ac:dyDescent="0.2"/>
    <row r="339" hidden="1" x14ac:dyDescent="0.2"/>
    <row r="340" hidden="1" x14ac:dyDescent="0.2"/>
    <row r="341" hidden="1" x14ac:dyDescent="0.2"/>
    <row r="342" hidden="1" x14ac:dyDescent="0.2"/>
    <row r="343" hidden="1" x14ac:dyDescent="0.2"/>
    <row r="344" hidden="1" x14ac:dyDescent="0.2"/>
    <row r="345" hidden="1" x14ac:dyDescent="0.2"/>
    <row r="346" hidden="1" x14ac:dyDescent="0.2"/>
    <row r="347" hidden="1" x14ac:dyDescent="0.2"/>
    <row r="348" hidden="1" x14ac:dyDescent="0.2"/>
    <row r="349" hidden="1" x14ac:dyDescent="0.2"/>
    <row r="350" hidden="1" x14ac:dyDescent="0.2"/>
    <row r="351" hidden="1" x14ac:dyDescent="0.2"/>
    <row r="352" hidden="1" x14ac:dyDescent="0.2"/>
    <row r="353" hidden="1" x14ac:dyDescent="0.2"/>
    <row r="354" hidden="1" x14ac:dyDescent="0.2"/>
    <row r="355" hidden="1" x14ac:dyDescent="0.2"/>
    <row r="356" hidden="1" x14ac:dyDescent="0.2"/>
    <row r="357" hidden="1" x14ac:dyDescent="0.2"/>
    <row r="358" hidden="1" x14ac:dyDescent="0.2"/>
    <row r="359" hidden="1" x14ac:dyDescent="0.2"/>
    <row r="360" hidden="1" x14ac:dyDescent="0.2"/>
    <row r="361" hidden="1" x14ac:dyDescent="0.2"/>
    <row r="362" hidden="1" x14ac:dyDescent="0.2"/>
    <row r="363" hidden="1" x14ac:dyDescent="0.2"/>
    <row r="364" hidden="1" x14ac:dyDescent="0.2"/>
    <row r="365" hidden="1" x14ac:dyDescent="0.2"/>
    <row r="366" hidden="1" x14ac:dyDescent="0.2"/>
    <row r="367" hidden="1" x14ac:dyDescent="0.2"/>
    <row r="368" hidden="1" x14ac:dyDescent="0.2"/>
    <row r="369" hidden="1" x14ac:dyDescent="0.2"/>
    <row r="370" hidden="1" x14ac:dyDescent="0.2"/>
    <row r="371" hidden="1" x14ac:dyDescent="0.2"/>
    <row r="372" hidden="1" x14ac:dyDescent="0.2"/>
    <row r="373" hidden="1" x14ac:dyDescent="0.2"/>
    <row r="374" hidden="1" x14ac:dyDescent="0.2"/>
    <row r="375" hidden="1" x14ac:dyDescent="0.2"/>
    <row r="376" hidden="1" x14ac:dyDescent="0.2"/>
    <row r="377" hidden="1" x14ac:dyDescent="0.2"/>
    <row r="378" hidden="1" x14ac:dyDescent="0.2"/>
    <row r="379" hidden="1" x14ac:dyDescent="0.2"/>
    <row r="380" hidden="1" x14ac:dyDescent="0.2"/>
    <row r="381" hidden="1" x14ac:dyDescent="0.2"/>
    <row r="382" hidden="1" x14ac:dyDescent="0.2"/>
    <row r="383" hidden="1" x14ac:dyDescent="0.2"/>
    <row r="384" hidden="1" x14ac:dyDescent="0.2"/>
    <row r="385" hidden="1" x14ac:dyDescent="0.2"/>
    <row r="386" hidden="1" x14ac:dyDescent="0.2"/>
    <row r="387" hidden="1" x14ac:dyDescent="0.2"/>
    <row r="388" hidden="1" x14ac:dyDescent="0.2"/>
    <row r="389" hidden="1" x14ac:dyDescent="0.2"/>
    <row r="390" hidden="1" x14ac:dyDescent="0.2"/>
    <row r="391" hidden="1" x14ac:dyDescent="0.2"/>
    <row r="392" hidden="1" x14ac:dyDescent="0.2"/>
    <row r="393" hidden="1" x14ac:dyDescent="0.2"/>
    <row r="394" hidden="1" x14ac:dyDescent="0.2"/>
    <row r="395" hidden="1" x14ac:dyDescent="0.2"/>
    <row r="396" hidden="1" x14ac:dyDescent="0.2"/>
    <row r="397" hidden="1" x14ac:dyDescent="0.2"/>
    <row r="398" hidden="1" x14ac:dyDescent="0.2"/>
    <row r="399" hidden="1" x14ac:dyDescent="0.2"/>
    <row r="400" hidden="1" x14ac:dyDescent="0.2"/>
    <row r="401" hidden="1" x14ac:dyDescent="0.2"/>
    <row r="402" hidden="1" x14ac:dyDescent="0.2"/>
    <row r="403" hidden="1" x14ac:dyDescent="0.2"/>
    <row r="404" hidden="1" x14ac:dyDescent="0.2"/>
    <row r="405" hidden="1" x14ac:dyDescent="0.2"/>
    <row r="406" hidden="1" x14ac:dyDescent="0.2"/>
    <row r="407" hidden="1" x14ac:dyDescent="0.2"/>
    <row r="408" hidden="1" x14ac:dyDescent="0.2"/>
    <row r="409" hidden="1" x14ac:dyDescent="0.2"/>
    <row r="410" hidden="1" x14ac:dyDescent="0.2"/>
    <row r="411" hidden="1" x14ac:dyDescent="0.2"/>
    <row r="412" hidden="1" x14ac:dyDescent="0.2"/>
    <row r="413" hidden="1" x14ac:dyDescent="0.2"/>
    <row r="414" hidden="1" x14ac:dyDescent="0.2"/>
    <row r="415" hidden="1" x14ac:dyDescent="0.2"/>
    <row r="416" hidden="1" x14ac:dyDescent="0.2"/>
    <row r="417" hidden="1" x14ac:dyDescent="0.2"/>
    <row r="418" hidden="1" x14ac:dyDescent="0.2"/>
    <row r="419" hidden="1" x14ac:dyDescent="0.2"/>
    <row r="420" hidden="1" x14ac:dyDescent="0.2"/>
    <row r="421" hidden="1" x14ac:dyDescent="0.2"/>
    <row r="422" hidden="1" x14ac:dyDescent="0.2"/>
    <row r="423" hidden="1" x14ac:dyDescent="0.2"/>
    <row r="424" hidden="1" x14ac:dyDescent="0.2"/>
    <row r="425" hidden="1" x14ac:dyDescent="0.2"/>
    <row r="426" hidden="1" x14ac:dyDescent="0.2"/>
    <row r="427" hidden="1" x14ac:dyDescent="0.2"/>
    <row r="428" hidden="1" x14ac:dyDescent="0.2"/>
    <row r="429" hidden="1" x14ac:dyDescent="0.2"/>
    <row r="430" hidden="1" x14ac:dyDescent="0.2"/>
    <row r="431" hidden="1" x14ac:dyDescent="0.2"/>
    <row r="432" hidden="1" x14ac:dyDescent="0.2"/>
    <row r="433" hidden="1" x14ac:dyDescent="0.2"/>
    <row r="434" hidden="1" x14ac:dyDescent="0.2"/>
    <row r="435" hidden="1" x14ac:dyDescent="0.2"/>
    <row r="436" hidden="1" x14ac:dyDescent="0.2"/>
    <row r="437" hidden="1" x14ac:dyDescent="0.2"/>
    <row r="438" hidden="1" x14ac:dyDescent="0.2"/>
    <row r="439" hidden="1" x14ac:dyDescent="0.2"/>
    <row r="440" hidden="1" x14ac:dyDescent="0.2"/>
    <row r="441" hidden="1" x14ac:dyDescent="0.2"/>
    <row r="442" hidden="1" x14ac:dyDescent="0.2"/>
    <row r="443" hidden="1" x14ac:dyDescent="0.2"/>
    <row r="444" hidden="1" x14ac:dyDescent="0.2"/>
    <row r="445" hidden="1" x14ac:dyDescent="0.2"/>
    <row r="446" hidden="1" x14ac:dyDescent="0.2"/>
    <row r="447" hidden="1" x14ac:dyDescent="0.2"/>
    <row r="448" hidden="1" x14ac:dyDescent="0.2"/>
    <row r="449" hidden="1" x14ac:dyDescent="0.2"/>
    <row r="450" hidden="1" x14ac:dyDescent="0.2"/>
    <row r="451" hidden="1" x14ac:dyDescent="0.2"/>
    <row r="452" hidden="1" x14ac:dyDescent="0.2"/>
    <row r="453" hidden="1" x14ac:dyDescent="0.2"/>
    <row r="454" hidden="1" x14ac:dyDescent="0.2"/>
    <row r="455" hidden="1" x14ac:dyDescent="0.2"/>
    <row r="456" hidden="1" x14ac:dyDescent="0.2"/>
    <row r="457" hidden="1" x14ac:dyDescent="0.2"/>
    <row r="458" hidden="1" x14ac:dyDescent="0.2"/>
    <row r="459" hidden="1" x14ac:dyDescent="0.2"/>
    <row r="460" hidden="1" x14ac:dyDescent="0.2"/>
    <row r="461" hidden="1" x14ac:dyDescent="0.2"/>
    <row r="462" hidden="1" x14ac:dyDescent="0.2"/>
    <row r="463" hidden="1" x14ac:dyDescent="0.2"/>
    <row r="464" hidden="1" x14ac:dyDescent="0.2"/>
    <row r="465" hidden="1" x14ac:dyDescent="0.2"/>
    <row r="466" hidden="1" x14ac:dyDescent="0.2"/>
    <row r="467" hidden="1" x14ac:dyDescent="0.2"/>
    <row r="468" hidden="1" x14ac:dyDescent="0.2"/>
    <row r="469" hidden="1" x14ac:dyDescent="0.2"/>
    <row r="470" hidden="1" x14ac:dyDescent="0.2"/>
    <row r="471" hidden="1" x14ac:dyDescent="0.2"/>
    <row r="472" hidden="1" x14ac:dyDescent="0.2"/>
    <row r="473" hidden="1" x14ac:dyDescent="0.2"/>
    <row r="474" hidden="1" x14ac:dyDescent="0.2"/>
    <row r="475" hidden="1" x14ac:dyDescent="0.2"/>
    <row r="476" hidden="1" x14ac:dyDescent="0.2"/>
    <row r="477" hidden="1" x14ac:dyDescent="0.2"/>
    <row r="478" hidden="1" x14ac:dyDescent="0.2"/>
    <row r="479" hidden="1" x14ac:dyDescent="0.2"/>
    <row r="480" hidden="1" x14ac:dyDescent="0.2"/>
    <row r="481" hidden="1" x14ac:dyDescent="0.2"/>
    <row r="482" hidden="1" x14ac:dyDescent="0.2"/>
    <row r="483" hidden="1" x14ac:dyDescent="0.2"/>
    <row r="484" hidden="1" x14ac:dyDescent="0.2"/>
    <row r="485" hidden="1" x14ac:dyDescent="0.2"/>
    <row r="486" hidden="1" x14ac:dyDescent="0.2"/>
    <row r="487" hidden="1" x14ac:dyDescent="0.2"/>
    <row r="488" hidden="1" x14ac:dyDescent="0.2"/>
    <row r="489" hidden="1" x14ac:dyDescent="0.2"/>
    <row r="490" hidden="1" x14ac:dyDescent="0.2"/>
    <row r="491" hidden="1" x14ac:dyDescent="0.2"/>
    <row r="492" hidden="1" x14ac:dyDescent="0.2"/>
    <row r="493" hidden="1" x14ac:dyDescent="0.2"/>
    <row r="494" hidden="1" x14ac:dyDescent="0.2"/>
    <row r="495" hidden="1" x14ac:dyDescent="0.2"/>
    <row r="496" hidden="1" x14ac:dyDescent="0.2"/>
    <row r="497" hidden="1" x14ac:dyDescent="0.2"/>
    <row r="498" hidden="1" x14ac:dyDescent="0.2"/>
    <row r="499" hidden="1" x14ac:dyDescent="0.2"/>
    <row r="500" hidden="1" x14ac:dyDescent="0.2"/>
    <row r="501" hidden="1" x14ac:dyDescent="0.2"/>
    <row r="502" hidden="1" x14ac:dyDescent="0.2"/>
    <row r="503" hidden="1" x14ac:dyDescent="0.2"/>
    <row r="504" hidden="1" x14ac:dyDescent="0.2"/>
    <row r="505" hidden="1" x14ac:dyDescent="0.2"/>
    <row r="506" hidden="1" x14ac:dyDescent="0.2"/>
    <row r="507" hidden="1" x14ac:dyDescent="0.2"/>
    <row r="508" hidden="1" x14ac:dyDescent="0.2"/>
    <row r="509" hidden="1" x14ac:dyDescent="0.2"/>
    <row r="510" hidden="1" x14ac:dyDescent="0.2"/>
    <row r="511" hidden="1" x14ac:dyDescent="0.2"/>
    <row r="512" hidden="1" x14ac:dyDescent="0.2"/>
    <row r="513" hidden="1" x14ac:dyDescent="0.2"/>
    <row r="514" hidden="1" x14ac:dyDescent="0.2"/>
    <row r="515" hidden="1" x14ac:dyDescent="0.2"/>
    <row r="516" hidden="1" x14ac:dyDescent="0.2"/>
    <row r="517" hidden="1" x14ac:dyDescent="0.2"/>
    <row r="518" hidden="1" x14ac:dyDescent="0.2"/>
    <row r="519" hidden="1" x14ac:dyDescent="0.2"/>
    <row r="520" hidden="1" x14ac:dyDescent="0.2"/>
    <row r="521" hidden="1" x14ac:dyDescent="0.2"/>
    <row r="522" hidden="1" x14ac:dyDescent="0.2"/>
    <row r="523" hidden="1" x14ac:dyDescent="0.2"/>
    <row r="524" hidden="1" x14ac:dyDescent="0.2"/>
    <row r="525" hidden="1" x14ac:dyDescent="0.2"/>
    <row r="526" hidden="1" x14ac:dyDescent="0.2"/>
    <row r="527" hidden="1" x14ac:dyDescent="0.2"/>
    <row r="528" hidden="1" x14ac:dyDescent="0.2"/>
    <row r="529" hidden="1" x14ac:dyDescent="0.2"/>
    <row r="530" hidden="1" x14ac:dyDescent="0.2"/>
    <row r="531" hidden="1" x14ac:dyDescent="0.2"/>
    <row r="532" hidden="1" x14ac:dyDescent="0.2"/>
    <row r="533" hidden="1" x14ac:dyDescent="0.2"/>
    <row r="534" hidden="1" x14ac:dyDescent="0.2"/>
    <row r="535" hidden="1" x14ac:dyDescent="0.2"/>
    <row r="536" hidden="1" x14ac:dyDescent="0.2"/>
    <row r="537" hidden="1" x14ac:dyDescent="0.2"/>
    <row r="538" hidden="1" x14ac:dyDescent="0.2"/>
    <row r="539" hidden="1" x14ac:dyDescent="0.2"/>
    <row r="540" hidden="1" x14ac:dyDescent="0.2"/>
    <row r="541" hidden="1" x14ac:dyDescent="0.2"/>
    <row r="542" hidden="1" x14ac:dyDescent="0.2"/>
    <row r="543" hidden="1" x14ac:dyDescent="0.2"/>
    <row r="544" hidden="1" x14ac:dyDescent="0.2"/>
    <row r="545" hidden="1" x14ac:dyDescent="0.2"/>
    <row r="546" hidden="1" x14ac:dyDescent="0.2"/>
    <row r="547" hidden="1" x14ac:dyDescent="0.2"/>
    <row r="548" hidden="1" x14ac:dyDescent="0.2"/>
    <row r="549" hidden="1" x14ac:dyDescent="0.2"/>
    <row r="550" hidden="1" x14ac:dyDescent="0.2"/>
    <row r="551" hidden="1" x14ac:dyDescent="0.2"/>
    <row r="552" hidden="1" x14ac:dyDescent="0.2"/>
    <row r="553" hidden="1" x14ac:dyDescent="0.2"/>
    <row r="554" hidden="1" x14ac:dyDescent="0.2"/>
    <row r="555" hidden="1" x14ac:dyDescent="0.2"/>
    <row r="556" hidden="1" x14ac:dyDescent="0.2"/>
    <row r="557" hidden="1" x14ac:dyDescent="0.2"/>
    <row r="558" hidden="1" x14ac:dyDescent="0.2"/>
    <row r="559" hidden="1" x14ac:dyDescent="0.2"/>
    <row r="560" hidden="1" x14ac:dyDescent="0.2"/>
    <row r="561" hidden="1" x14ac:dyDescent="0.2"/>
    <row r="562" hidden="1" x14ac:dyDescent="0.2"/>
    <row r="563" hidden="1" x14ac:dyDescent="0.2"/>
    <row r="564" hidden="1" x14ac:dyDescent="0.2"/>
    <row r="565" hidden="1" x14ac:dyDescent="0.2"/>
    <row r="566" hidden="1" x14ac:dyDescent="0.2"/>
    <row r="567" hidden="1" x14ac:dyDescent="0.2"/>
    <row r="568" hidden="1" x14ac:dyDescent="0.2"/>
    <row r="569" hidden="1" x14ac:dyDescent="0.2"/>
    <row r="570" hidden="1" x14ac:dyDescent="0.2"/>
    <row r="571" hidden="1" x14ac:dyDescent="0.2"/>
    <row r="572" hidden="1" x14ac:dyDescent="0.2"/>
    <row r="573" hidden="1" x14ac:dyDescent="0.2"/>
    <row r="574" hidden="1" x14ac:dyDescent="0.2"/>
    <row r="575" hidden="1" x14ac:dyDescent="0.2"/>
    <row r="576" hidden="1" x14ac:dyDescent="0.2"/>
    <row r="577" hidden="1" x14ac:dyDescent="0.2"/>
    <row r="578" hidden="1" x14ac:dyDescent="0.2"/>
    <row r="579" hidden="1" x14ac:dyDescent="0.2"/>
    <row r="580" hidden="1" x14ac:dyDescent="0.2"/>
    <row r="581" hidden="1" x14ac:dyDescent="0.2"/>
    <row r="582" hidden="1" x14ac:dyDescent="0.2"/>
    <row r="583" hidden="1" x14ac:dyDescent="0.2"/>
    <row r="584" hidden="1" x14ac:dyDescent="0.2"/>
    <row r="585" hidden="1" x14ac:dyDescent="0.2"/>
    <row r="586" hidden="1" x14ac:dyDescent="0.2"/>
    <row r="587" hidden="1" x14ac:dyDescent="0.2"/>
    <row r="588" hidden="1" x14ac:dyDescent="0.2"/>
    <row r="589" hidden="1" x14ac:dyDescent="0.2"/>
    <row r="590" hidden="1" x14ac:dyDescent="0.2"/>
    <row r="591" hidden="1" x14ac:dyDescent="0.2"/>
    <row r="592" hidden="1" x14ac:dyDescent="0.2"/>
    <row r="593" hidden="1" x14ac:dyDescent="0.2"/>
    <row r="594" hidden="1" x14ac:dyDescent="0.2"/>
    <row r="595" hidden="1" x14ac:dyDescent="0.2"/>
    <row r="596" hidden="1" x14ac:dyDescent="0.2"/>
    <row r="597" hidden="1" x14ac:dyDescent="0.2"/>
    <row r="598" hidden="1" x14ac:dyDescent="0.2"/>
    <row r="599" hidden="1" x14ac:dyDescent="0.2"/>
    <row r="600" hidden="1" x14ac:dyDescent="0.2"/>
    <row r="601" hidden="1" x14ac:dyDescent="0.2"/>
    <row r="602" hidden="1" x14ac:dyDescent="0.2"/>
    <row r="603" hidden="1" x14ac:dyDescent="0.2"/>
    <row r="604" hidden="1" x14ac:dyDescent="0.2"/>
    <row r="605" hidden="1" x14ac:dyDescent="0.2"/>
    <row r="606" hidden="1" x14ac:dyDescent="0.2"/>
    <row r="607" hidden="1" x14ac:dyDescent="0.2"/>
    <row r="608" hidden="1" x14ac:dyDescent="0.2"/>
    <row r="609" hidden="1" x14ac:dyDescent="0.2"/>
    <row r="610" hidden="1" x14ac:dyDescent="0.2"/>
    <row r="611" hidden="1" x14ac:dyDescent="0.2"/>
    <row r="612" hidden="1" x14ac:dyDescent="0.2"/>
    <row r="613" hidden="1" x14ac:dyDescent="0.2"/>
    <row r="614" hidden="1" x14ac:dyDescent="0.2"/>
    <row r="615" hidden="1" x14ac:dyDescent="0.2"/>
    <row r="616" hidden="1" x14ac:dyDescent="0.2"/>
    <row r="617" hidden="1" x14ac:dyDescent="0.2"/>
    <row r="618" hidden="1" x14ac:dyDescent="0.2"/>
    <row r="619" hidden="1" x14ac:dyDescent="0.2"/>
    <row r="620" hidden="1" x14ac:dyDescent="0.2"/>
    <row r="621" hidden="1" x14ac:dyDescent="0.2"/>
    <row r="622" hidden="1" x14ac:dyDescent="0.2"/>
    <row r="623" hidden="1" x14ac:dyDescent="0.2"/>
    <row r="624" hidden="1" x14ac:dyDescent="0.2"/>
    <row r="625" hidden="1" x14ac:dyDescent="0.2"/>
    <row r="626" hidden="1" x14ac:dyDescent="0.2"/>
    <row r="627" hidden="1" x14ac:dyDescent="0.2"/>
    <row r="628" hidden="1" x14ac:dyDescent="0.2"/>
    <row r="629" hidden="1" x14ac:dyDescent="0.2"/>
    <row r="630" hidden="1" x14ac:dyDescent="0.2"/>
    <row r="631" hidden="1" x14ac:dyDescent="0.2"/>
    <row r="632" hidden="1" x14ac:dyDescent="0.2"/>
    <row r="633" hidden="1" x14ac:dyDescent="0.2"/>
    <row r="634" hidden="1" x14ac:dyDescent="0.2"/>
    <row r="635" hidden="1" x14ac:dyDescent="0.2"/>
    <row r="636" hidden="1" x14ac:dyDescent="0.2"/>
    <row r="637" hidden="1" x14ac:dyDescent="0.2"/>
    <row r="638" hidden="1" x14ac:dyDescent="0.2"/>
    <row r="639" hidden="1" x14ac:dyDescent="0.2"/>
    <row r="640" hidden="1" x14ac:dyDescent="0.2"/>
    <row r="641" hidden="1" x14ac:dyDescent="0.2"/>
    <row r="642" hidden="1" x14ac:dyDescent="0.2"/>
    <row r="643" hidden="1" x14ac:dyDescent="0.2"/>
    <row r="644" hidden="1" x14ac:dyDescent="0.2"/>
    <row r="645" hidden="1" x14ac:dyDescent="0.2"/>
    <row r="646" hidden="1" x14ac:dyDescent="0.2"/>
    <row r="647" hidden="1" x14ac:dyDescent="0.2"/>
    <row r="648" hidden="1" x14ac:dyDescent="0.2"/>
    <row r="649" hidden="1" x14ac:dyDescent="0.2"/>
    <row r="650" hidden="1" x14ac:dyDescent="0.2"/>
    <row r="651" hidden="1" x14ac:dyDescent="0.2"/>
    <row r="652" hidden="1" x14ac:dyDescent="0.2"/>
    <row r="653" hidden="1" x14ac:dyDescent="0.2"/>
    <row r="654" hidden="1" x14ac:dyDescent="0.2"/>
    <row r="655" hidden="1" x14ac:dyDescent="0.2"/>
    <row r="656" hidden="1" x14ac:dyDescent="0.2"/>
    <row r="657" hidden="1" x14ac:dyDescent="0.2"/>
    <row r="658" hidden="1" x14ac:dyDescent="0.2"/>
    <row r="659" hidden="1" x14ac:dyDescent="0.2"/>
    <row r="660" hidden="1" x14ac:dyDescent="0.2"/>
    <row r="661" hidden="1" x14ac:dyDescent="0.2"/>
    <row r="662" hidden="1" x14ac:dyDescent="0.2"/>
    <row r="663" hidden="1" x14ac:dyDescent="0.2"/>
    <row r="664" hidden="1" x14ac:dyDescent="0.2"/>
    <row r="665" hidden="1" x14ac:dyDescent="0.2"/>
    <row r="666" hidden="1" x14ac:dyDescent="0.2"/>
    <row r="667" hidden="1" x14ac:dyDescent="0.2"/>
    <row r="668" hidden="1" x14ac:dyDescent="0.2"/>
    <row r="669" hidden="1" x14ac:dyDescent="0.2"/>
    <row r="670" hidden="1" x14ac:dyDescent="0.2"/>
    <row r="671" hidden="1" x14ac:dyDescent="0.2"/>
    <row r="672" hidden="1" x14ac:dyDescent="0.2"/>
    <row r="673" hidden="1" x14ac:dyDescent="0.2"/>
    <row r="674" hidden="1" x14ac:dyDescent="0.2"/>
    <row r="675" hidden="1" x14ac:dyDescent="0.2"/>
    <row r="676" hidden="1" x14ac:dyDescent="0.2"/>
    <row r="677" hidden="1" x14ac:dyDescent="0.2"/>
    <row r="678" hidden="1" x14ac:dyDescent="0.2"/>
    <row r="679" hidden="1" x14ac:dyDescent="0.2"/>
    <row r="680" hidden="1" x14ac:dyDescent="0.2"/>
    <row r="681" hidden="1" x14ac:dyDescent="0.2"/>
    <row r="682" hidden="1" x14ac:dyDescent="0.2"/>
    <row r="683" hidden="1" x14ac:dyDescent="0.2"/>
    <row r="684" hidden="1" x14ac:dyDescent="0.2"/>
    <row r="685" hidden="1" x14ac:dyDescent="0.2"/>
    <row r="686" hidden="1" x14ac:dyDescent="0.2"/>
    <row r="687" hidden="1" x14ac:dyDescent="0.2"/>
    <row r="688" hidden="1" x14ac:dyDescent="0.2"/>
    <row r="689" hidden="1" x14ac:dyDescent="0.2"/>
    <row r="690" hidden="1" x14ac:dyDescent="0.2"/>
    <row r="691" hidden="1" x14ac:dyDescent="0.2"/>
    <row r="692" hidden="1" x14ac:dyDescent="0.2"/>
    <row r="693" hidden="1" x14ac:dyDescent="0.2"/>
    <row r="694" hidden="1" x14ac:dyDescent="0.2"/>
    <row r="695" hidden="1" x14ac:dyDescent="0.2"/>
    <row r="696" hidden="1" x14ac:dyDescent="0.2"/>
    <row r="697" hidden="1" x14ac:dyDescent="0.2"/>
    <row r="698" hidden="1" x14ac:dyDescent="0.2"/>
    <row r="699" hidden="1" x14ac:dyDescent="0.2"/>
    <row r="700" hidden="1" x14ac:dyDescent="0.2"/>
    <row r="701" hidden="1" x14ac:dyDescent="0.2"/>
    <row r="702" hidden="1" x14ac:dyDescent="0.2"/>
    <row r="703" hidden="1" x14ac:dyDescent="0.2"/>
    <row r="704" hidden="1" x14ac:dyDescent="0.2"/>
    <row r="705" hidden="1" x14ac:dyDescent="0.2"/>
    <row r="706" hidden="1" x14ac:dyDescent="0.2"/>
    <row r="707" hidden="1" x14ac:dyDescent="0.2"/>
    <row r="708" hidden="1" x14ac:dyDescent="0.2"/>
    <row r="709" hidden="1" x14ac:dyDescent="0.2"/>
    <row r="710" hidden="1" x14ac:dyDescent="0.2"/>
    <row r="711" hidden="1" x14ac:dyDescent="0.2"/>
    <row r="712" hidden="1" x14ac:dyDescent="0.2"/>
    <row r="713" hidden="1" x14ac:dyDescent="0.2"/>
    <row r="714" hidden="1" x14ac:dyDescent="0.2"/>
    <row r="715" hidden="1" x14ac:dyDescent="0.2"/>
    <row r="716" hidden="1" x14ac:dyDescent="0.2"/>
    <row r="717" hidden="1" x14ac:dyDescent="0.2"/>
    <row r="718" hidden="1" x14ac:dyDescent="0.2"/>
    <row r="719" hidden="1" x14ac:dyDescent="0.2"/>
    <row r="720" hidden="1" x14ac:dyDescent="0.2"/>
    <row r="721" hidden="1" x14ac:dyDescent="0.2"/>
    <row r="722" hidden="1" x14ac:dyDescent="0.2"/>
    <row r="723" hidden="1" x14ac:dyDescent="0.2"/>
    <row r="724" hidden="1" x14ac:dyDescent="0.2"/>
    <row r="725" hidden="1" x14ac:dyDescent="0.2"/>
    <row r="726" hidden="1" x14ac:dyDescent="0.2"/>
    <row r="727" hidden="1" x14ac:dyDescent="0.2"/>
    <row r="728" hidden="1" x14ac:dyDescent="0.2"/>
    <row r="729" hidden="1" x14ac:dyDescent="0.2"/>
    <row r="730" hidden="1" x14ac:dyDescent="0.2"/>
    <row r="731" hidden="1" x14ac:dyDescent="0.2"/>
    <row r="732" hidden="1" x14ac:dyDescent="0.2"/>
    <row r="733" hidden="1" x14ac:dyDescent="0.2"/>
    <row r="734" hidden="1" x14ac:dyDescent="0.2"/>
    <row r="735" hidden="1" x14ac:dyDescent="0.2"/>
    <row r="736" hidden="1" x14ac:dyDescent="0.2"/>
    <row r="737" hidden="1" x14ac:dyDescent="0.2"/>
    <row r="738" hidden="1" x14ac:dyDescent="0.2"/>
    <row r="739" hidden="1" x14ac:dyDescent="0.2"/>
    <row r="740" hidden="1" x14ac:dyDescent="0.2"/>
    <row r="741" hidden="1" x14ac:dyDescent="0.2"/>
    <row r="742" hidden="1" x14ac:dyDescent="0.2"/>
    <row r="743" hidden="1" x14ac:dyDescent="0.2"/>
    <row r="744" hidden="1" x14ac:dyDescent="0.2"/>
    <row r="745" hidden="1" x14ac:dyDescent="0.2"/>
    <row r="746" hidden="1" x14ac:dyDescent="0.2"/>
    <row r="747" hidden="1" x14ac:dyDescent="0.2"/>
    <row r="748" hidden="1" x14ac:dyDescent="0.2"/>
    <row r="749" hidden="1" x14ac:dyDescent="0.2"/>
    <row r="750" hidden="1" x14ac:dyDescent="0.2"/>
    <row r="751" hidden="1" x14ac:dyDescent="0.2"/>
    <row r="752" hidden="1" x14ac:dyDescent="0.2"/>
    <row r="753" hidden="1" x14ac:dyDescent="0.2"/>
    <row r="754" hidden="1" x14ac:dyDescent="0.2"/>
    <row r="755" hidden="1" x14ac:dyDescent="0.2"/>
    <row r="756" hidden="1" x14ac:dyDescent="0.2"/>
    <row r="757" hidden="1" x14ac:dyDescent="0.2"/>
    <row r="758" hidden="1" x14ac:dyDescent="0.2"/>
    <row r="759" hidden="1" x14ac:dyDescent="0.2"/>
    <row r="760" hidden="1" x14ac:dyDescent="0.2"/>
    <row r="761" hidden="1" x14ac:dyDescent="0.2"/>
    <row r="762" hidden="1" x14ac:dyDescent="0.2"/>
    <row r="763" hidden="1" x14ac:dyDescent="0.2"/>
    <row r="764" hidden="1" x14ac:dyDescent="0.2"/>
    <row r="765" hidden="1" x14ac:dyDescent="0.2"/>
    <row r="766" hidden="1" x14ac:dyDescent="0.2"/>
    <row r="767" hidden="1" x14ac:dyDescent="0.2"/>
    <row r="768" hidden="1" x14ac:dyDescent="0.2"/>
    <row r="769" hidden="1" x14ac:dyDescent="0.2"/>
    <row r="770" hidden="1" x14ac:dyDescent="0.2"/>
    <row r="771" hidden="1" x14ac:dyDescent="0.2"/>
    <row r="772" hidden="1" x14ac:dyDescent="0.2"/>
    <row r="773" hidden="1" x14ac:dyDescent="0.2"/>
    <row r="774" hidden="1" x14ac:dyDescent="0.2"/>
    <row r="775" hidden="1" x14ac:dyDescent="0.2"/>
    <row r="776" hidden="1" x14ac:dyDescent="0.2"/>
    <row r="777" hidden="1" x14ac:dyDescent="0.2"/>
    <row r="778" hidden="1" x14ac:dyDescent="0.2"/>
    <row r="779" hidden="1" x14ac:dyDescent="0.2"/>
    <row r="780" hidden="1" x14ac:dyDescent="0.2"/>
    <row r="781" hidden="1" x14ac:dyDescent="0.2"/>
    <row r="782" hidden="1" x14ac:dyDescent="0.2"/>
    <row r="783" hidden="1" x14ac:dyDescent="0.2"/>
    <row r="784" hidden="1" x14ac:dyDescent="0.2"/>
    <row r="785" hidden="1" x14ac:dyDescent="0.2"/>
    <row r="786" hidden="1" x14ac:dyDescent="0.2"/>
    <row r="787" hidden="1" x14ac:dyDescent="0.2"/>
    <row r="788" hidden="1" x14ac:dyDescent="0.2"/>
    <row r="789" hidden="1" x14ac:dyDescent="0.2"/>
    <row r="790" hidden="1" x14ac:dyDescent="0.2"/>
    <row r="791" hidden="1" x14ac:dyDescent="0.2"/>
    <row r="792" hidden="1" x14ac:dyDescent="0.2"/>
    <row r="793" hidden="1" x14ac:dyDescent="0.2"/>
    <row r="794" hidden="1" x14ac:dyDescent="0.2"/>
    <row r="795" hidden="1" x14ac:dyDescent="0.2"/>
    <row r="796" hidden="1" x14ac:dyDescent="0.2"/>
    <row r="797" hidden="1" x14ac:dyDescent="0.2"/>
    <row r="798" hidden="1" x14ac:dyDescent="0.2"/>
    <row r="799" hidden="1" x14ac:dyDescent="0.2"/>
    <row r="800" hidden="1" x14ac:dyDescent="0.2"/>
    <row r="801" hidden="1" x14ac:dyDescent="0.2"/>
    <row r="802" hidden="1" x14ac:dyDescent="0.2"/>
    <row r="803" hidden="1" x14ac:dyDescent="0.2"/>
    <row r="804" hidden="1" x14ac:dyDescent="0.2"/>
    <row r="805" hidden="1" x14ac:dyDescent="0.2"/>
    <row r="806" hidden="1" x14ac:dyDescent="0.2"/>
    <row r="807" hidden="1" x14ac:dyDescent="0.2"/>
    <row r="808" hidden="1" x14ac:dyDescent="0.2"/>
    <row r="809" hidden="1" x14ac:dyDescent="0.2"/>
    <row r="810" hidden="1" x14ac:dyDescent="0.2"/>
    <row r="811" hidden="1" x14ac:dyDescent="0.2"/>
    <row r="812" hidden="1" x14ac:dyDescent="0.2"/>
    <row r="813" hidden="1" x14ac:dyDescent="0.2"/>
    <row r="814" hidden="1" x14ac:dyDescent="0.2"/>
    <row r="815" hidden="1" x14ac:dyDescent="0.2"/>
    <row r="816" hidden="1" x14ac:dyDescent="0.2"/>
    <row r="817" hidden="1" x14ac:dyDescent="0.2"/>
    <row r="818" hidden="1" x14ac:dyDescent="0.2"/>
    <row r="819" hidden="1" x14ac:dyDescent="0.2"/>
    <row r="820" hidden="1" x14ac:dyDescent="0.2"/>
    <row r="821" hidden="1" x14ac:dyDescent="0.2"/>
    <row r="822" hidden="1" x14ac:dyDescent="0.2"/>
    <row r="823" hidden="1" x14ac:dyDescent="0.2"/>
    <row r="824" hidden="1" x14ac:dyDescent="0.2"/>
    <row r="825" hidden="1" x14ac:dyDescent="0.2"/>
    <row r="826" hidden="1" x14ac:dyDescent="0.2"/>
    <row r="827" hidden="1" x14ac:dyDescent="0.2"/>
    <row r="828" hidden="1" x14ac:dyDescent="0.2"/>
    <row r="829" hidden="1" x14ac:dyDescent="0.2"/>
    <row r="830" hidden="1" x14ac:dyDescent="0.2"/>
    <row r="831" hidden="1" x14ac:dyDescent="0.2"/>
    <row r="832" hidden="1" x14ac:dyDescent="0.2"/>
    <row r="833" hidden="1" x14ac:dyDescent="0.2"/>
    <row r="834" hidden="1" x14ac:dyDescent="0.2"/>
    <row r="835" hidden="1" x14ac:dyDescent="0.2"/>
    <row r="836" hidden="1" x14ac:dyDescent="0.2"/>
    <row r="837" hidden="1" x14ac:dyDescent="0.2"/>
    <row r="838" hidden="1" x14ac:dyDescent="0.2"/>
    <row r="839" hidden="1" x14ac:dyDescent="0.2"/>
    <row r="840" hidden="1" x14ac:dyDescent="0.2"/>
    <row r="841" hidden="1" x14ac:dyDescent="0.2"/>
    <row r="842" hidden="1" x14ac:dyDescent="0.2"/>
    <row r="843" hidden="1" x14ac:dyDescent="0.2"/>
    <row r="844" hidden="1" x14ac:dyDescent="0.2"/>
    <row r="845" hidden="1" x14ac:dyDescent="0.2"/>
    <row r="846" hidden="1" x14ac:dyDescent="0.2"/>
    <row r="847" hidden="1" x14ac:dyDescent="0.2"/>
    <row r="848" hidden="1" x14ac:dyDescent="0.2"/>
    <row r="849" hidden="1" x14ac:dyDescent="0.2"/>
    <row r="850" hidden="1" x14ac:dyDescent="0.2"/>
    <row r="851" hidden="1" x14ac:dyDescent="0.2"/>
    <row r="852" hidden="1" x14ac:dyDescent="0.2"/>
    <row r="853" hidden="1" x14ac:dyDescent="0.2"/>
    <row r="854" hidden="1" x14ac:dyDescent="0.2"/>
    <row r="855" hidden="1" x14ac:dyDescent="0.2"/>
    <row r="856" hidden="1" x14ac:dyDescent="0.2"/>
    <row r="857" hidden="1" x14ac:dyDescent="0.2"/>
    <row r="858" hidden="1" x14ac:dyDescent="0.2"/>
    <row r="859" hidden="1" x14ac:dyDescent="0.2"/>
    <row r="860" hidden="1" x14ac:dyDescent="0.2"/>
    <row r="861" hidden="1" x14ac:dyDescent="0.2"/>
    <row r="862" hidden="1" x14ac:dyDescent="0.2"/>
    <row r="863" hidden="1" x14ac:dyDescent="0.2"/>
    <row r="864" hidden="1" x14ac:dyDescent="0.2"/>
    <row r="865" hidden="1" x14ac:dyDescent="0.2"/>
    <row r="866" hidden="1" x14ac:dyDescent="0.2"/>
    <row r="867" hidden="1" x14ac:dyDescent="0.2"/>
    <row r="868" hidden="1" x14ac:dyDescent="0.2"/>
    <row r="869" hidden="1" x14ac:dyDescent="0.2"/>
    <row r="870" hidden="1" x14ac:dyDescent="0.2"/>
    <row r="871" hidden="1" x14ac:dyDescent="0.2"/>
    <row r="872" hidden="1" x14ac:dyDescent="0.2"/>
    <row r="873" hidden="1" x14ac:dyDescent="0.2"/>
    <row r="874" hidden="1" x14ac:dyDescent="0.2"/>
    <row r="875" hidden="1" x14ac:dyDescent="0.2"/>
    <row r="876" hidden="1" x14ac:dyDescent="0.2"/>
    <row r="877" hidden="1" x14ac:dyDescent="0.2"/>
    <row r="878" hidden="1" x14ac:dyDescent="0.2"/>
    <row r="879" hidden="1" x14ac:dyDescent="0.2"/>
    <row r="880" hidden="1" x14ac:dyDescent="0.2"/>
    <row r="881" hidden="1" x14ac:dyDescent="0.2"/>
    <row r="882" hidden="1" x14ac:dyDescent="0.2"/>
    <row r="883" hidden="1" x14ac:dyDescent="0.2"/>
    <row r="884" hidden="1" x14ac:dyDescent="0.2"/>
    <row r="885" hidden="1" x14ac:dyDescent="0.2"/>
    <row r="886" hidden="1" x14ac:dyDescent="0.2"/>
    <row r="887" hidden="1" x14ac:dyDescent="0.2"/>
    <row r="888" hidden="1" x14ac:dyDescent="0.2"/>
    <row r="889" hidden="1" x14ac:dyDescent="0.2"/>
    <row r="890" hidden="1" x14ac:dyDescent="0.2"/>
    <row r="891" hidden="1" x14ac:dyDescent="0.2"/>
    <row r="892" hidden="1" x14ac:dyDescent="0.2"/>
    <row r="893" hidden="1" x14ac:dyDescent="0.2"/>
    <row r="894" hidden="1" x14ac:dyDescent="0.2"/>
    <row r="895" hidden="1" x14ac:dyDescent="0.2"/>
    <row r="896" hidden="1" x14ac:dyDescent="0.2"/>
    <row r="897" hidden="1" x14ac:dyDescent="0.2"/>
    <row r="898" hidden="1" x14ac:dyDescent="0.2"/>
    <row r="899" hidden="1" x14ac:dyDescent="0.2"/>
    <row r="900" hidden="1" x14ac:dyDescent="0.2"/>
    <row r="901" hidden="1" x14ac:dyDescent="0.2"/>
    <row r="902" hidden="1" x14ac:dyDescent="0.2"/>
    <row r="903" hidden="1" x14ac:dyDescent="0.2"/>
    <row r="904" hidden="1" x14ac:dyDescent="0.2"/>
    <row r="905" hidden="1" x14ac:dyDescent="0.2"/>
    <row r="906" hidden="1" x14ac:dyDescent="0.2"/>
    <row r="907" hidden="1" x14ac:dyDescent="0.2"/>
    <row r="908" hidden="1" x14ac:dyDescent="0.2"/>
    <row r="909" hidden="1" x14ac:dyDescent="0.2"/>
    <row r="910" hidden="1" x14ac:dyDescent="0.2"/>
    <row r="911" hidden="1" x14ac:dyDescent="0.2"/>
    <row r="912" hidden="1" x14ac:dyDescent="0.2"/>
    <row r="913" hidden="1" x14ac:dyDescent="0.2"/>
    <row r="914" hidden="1" x14ac:dyDescent="0.2"/>
    <row r="915" hidden="1" x14ac:dyDescent="0.2"/>
    <row r="916" hidden="1" x14ac:dyDescent="0.2"/>
    <row r="917" hidden="1" x14ac:dyDescent="0.2"/>
    <row r="918" hidden="1" x14ac:dyDescent="0.2"/>
    <row r="919" hidden="1" x14ac:dyDescent="0.2"/>
    <row r="920" hidden="1" x14ac:dyDescent="0.2"/>
    <row r="921" hidden="1" x14ac:dyDescent="0.2"/>
    <row r="922" hidden="1" x14ac:dyDescent="0.2"/>
    <row r="923" hidden="1" x14ac:dyDescent="0.2"/>
    <row r="924" hidden="1" x14ac:dyDescent="0.2"/>
    <row r="925" hidden="1" x14ac:dyDescent="0.2"/>
    <row r="926" hidden="1" x14ac:dyDescent="0.2"/>
    <row r="927" hidden="1" x14ac:dyDescent="0.2"/>
    <row r="928" hidden="1" x14ac:dyDescent="0.2"/>
    <row r="929" hidden="1" x14ac:dyDescent="0.2"/>
    <row r="930" hidden="1" x14ac:dyDescent="0.2"/>
    <row r="931" hidden="1" x14ac:dyDescent="0.2"/>
    <row r="932" hidden="1" x14ac:dyDescent="0.2"/>
    <row r="933" hidden="1" x14ac:dyDescent="0.2"/>
    <row r="934" hidden="1" x14ac:dyDescent="0.2"/>
    <row r="935" hidden="1" x14ac:dyDescent="0.2"/>
    <row r="936" hidden="1" x14ac:dyDescent="0.2"/>
    <row r="937" hidden="1" x14ac:dyDescent="0.2"/>
    <row r="938" hidden="1" x14ac:dyDescent="0.2"/>
    <row r="939" hidden="1" x14ac:dyDescent="0.2"/>
    <row r="940" hidden="1" x14ac:dyDescent="0.2"/>
    <row r="941" hidden="1" x14ac:dyDescent="0.2"/>
    <row r="942" hidden="1" x14ac:dyDescent="0.2"/>
    <row r="943" hidden="1" x14ac:dyDescent="0.2"/>
    <row r="944" hidden="1" x14ac:dyDescent="0.2"/>
    <row r="945" hidden="1" x14ac:dyDescent="0.2"/>
    <row r="946" hidden="1" x14ac:dyDescent="0.2"/>
    <row r="947" hidden="1" x14ac:dyDescent="0.2"/>
    <row r="948" hidden="1" x14ac:dyDescent="0.2"/>
    <row r="949" hidden="1" x14ac:dyDescent="0.2"/>
    <row r="950" hidden="1" x14ac:dyDescent="0.2"/>
    <row r="951" hidden="1" x14ac:dyDescent="0.2"/>
    <row r="952" hidden="1" x14ac:dyDescent="0.2"/>
    <row r="953" hidden="1" x14ac:dyDescent="0.2"/>
    <row r="954" hidden="1" x14ac:dyDescent="0.2"/>
    <row r="955" hidden="1" x14ac:dyDescent="0.2"/>
    <row r="956" hidden="1" x14ac:dyDescent="0.2"/>
    <row r="957" hidden="1" x14ac:dyDescent="0.2"/>
    <row r="958" hidden="1" x14ac:dyDescent="0.2"/>
    <row r="959" hidden="1" x14ac:dyDescent="0.2"/>
    <row r="960" hidden="1" x14ac:dyDescent="0.2"/>
    <row r="961" hidden="1" x14ac:dyDescent="0.2"/>
    <row r="962" hidden="1" x14ac:dyDescent="0.2"/>
    <row r="963" hidden="1" x14ac:dyDescent="0.2"/>
    <row r="964" hidden="1" x14ac:dyDescent="0.2"/>
    <row r="965" hidden="1" x14ac:dyDescent="0.2"/>
    <row r="966" hidden="1" x14ac:dyDescent="0.2"/>
    <row r="967" hidden="1" x14ac:dyDescent="0.2"/>
    <row r="968" hidden="1" x14ac:dyDescent="0.2"/>
    <row r="969" hidden="1" x14ac:dyDescent="0.2"/>
    <row r="970" hidden="1" x14ac:dyDescent="0.2"/>
    <row r="971" hidden="1" x14ac:dyDescent="0.2"/>
    <row r="972" hidden="1" x14ac:dyDescent="0.2"/>
    <row r="973" hidden="1" x14ac:dyDescent="0.2"/>
    <row r="974" hidden="1" x14ac:dyDescent="0.2"/>
    <row r="975" hidden="1" x14ac:dyDescent="0.2"/>
    <row r="976" hidden="1" x14ac:dyDescent="0.2"/>
    <row r="977" hidden="1" x14ac:dyDescent="0.2"/>
    <row r="978" hidden="1" x14ac:dyDescent="0.2"/>
    <row r="979" hidden="1" x14ac:dyDescent="0.2"/>
    <row r="980" hidden="1" x14ac:dyDescent="0.2"/>
    <row r="981" hidden="1" x14ac:dyDescent="0.2"/>
    <row r="982" hidden="1" x14ac:dyDescent="0.2"/>
    <row r="983" hidden="1" x14ac:dyDescent="0.2"/>
    <row r="984" hidden="1" x14ac:dyDescent="0.2"/>
    <row r="985" hidden="1" x14ac:dyDescent="0.2"/>
    <row r="986" hidden="1" x14ac:dyDescent="0.2"/>
    <row r="987" hidden="1" x14ac:dyDescent="0.2"/>
    <row r="988" hidden="1" x14ac:dyDescent="0.2"/>
    <row r="989" hidden="1" x14ac:dyDescent="0.2"/>
    <row r="990" hidden="1" x14ac:dyDescent="0.2"/>
    <row r="991" hidden="1" x14ac:dyDescent="0.2"/>
    <row r="992" hidden="1" x14ac:dyDescent="0.2"/>
    <row r="993" hidden="1" x14ac:dyDescent="0.2"/>
    <row r="994" hidden="1" x14ac:dyDescent="0.2"/>
    <row r="995" hidden="1" x14ac:dyDescent="0.2"/>
    <row r="996" hidden="1" x14ac:dyDescent="0.2"/>
    <row r="997" hidden="1" x14ac:dyDescent="0.2"/>
    <row r="998" hidden="1" x14ac:dyDescent="0.2"/>
    <row r="999" hidden="1" x14ac:dyDescent="0.2"/>
    <row r="1000" hidden="1" x14ac:dyDescent="0.2"/>
    <row r="1001" hidden="1" x14ac:dyDescent="0.2"/>
    <row r="1002" hidden="1" x14ac:dyDescent="0.2"/>
    <row r="1003" hidden="1" x14ac:dyDescent="0.2"/>
    <row r="1004" hidden="1" x14ac:dyDescent="0.2"/>
    <row r="1005" hidden="1" x14ac:dyDescent="0.2"/>
    <row r="1006" hidden="1" x14ac:dyDescent="0.2"/>
    <row r="1007" hidden="1" x14ac:dyDescent="0.2"/>
    <row r="1008" hidden="1" x14ac:dyDescent="0.2"/>
    <row r="1009" hidden="1" x14ac:dyDescent="0.2"/>
    <row r="1010" hidden="1" x14ac:dyDescent="0.2"/>
    <row r="1011" hidden="1" x14ac:dyDescent="0.2"/>
    <row r="1012" hidden="1" x14ac:dyDescent="0.2"/>
    <row r="1013" hidden="1" x14ac:dyDescent="0.2"/>
    <row r="1014" hidden="1" x14ac:dyDescent="0.2"/>
    <row r="1015" hidden="1" x14ac:dyDescent="0.2"/>
    <row r="1016" hidden="1" x14ac:dyDescent="0.2"/>
    <row r="1017" hidden="1" x14ac:dyDescent="0.2"/>
    <row r="1018" hidden="1" x14ac:dyDescent="0.2"/>
    <row r="1019" hidden="1" x14ac:dyDescent="0.2"/>
    <row r="1020" hidden="1" x14ac:dyDescent="0.2"/>
    <row r="1021" hidden="1" x14ac:dyDescent="0.2"/>
    <row r="1022" hidden="1" x14ac:dyDescent="0.2"/>
    <row r="1023" hidden="1" x14ac:dyDescent="0.2"/>
    <row r="1024" hidden="1" x14ac:dyDescent="0.2"/>
    <row r="1025" hidden="1" x14ac:dyDescent="0.2"/>
    <row r="1026" hidden="1" x14ac:dyDescent="0.2"/>
    <row r="1027" hidden="1" x14ac:dyDescent="0.2"/>
    <row r="1028" hidden="1" x14ac:dyDescent="0.2"/>
    <row r="1029" hidden="1" x14ac:dyDescent="0.2"/>
    <row r="1030" hidden="1" x14ac:dyDescent="0.2"/>
    <row r="1031" hidden="1" x14ac:dyDescent="0.2"/>
    <row r="1032" hidden="1" x14ac:dyDescent="0.2"/>
    <row r="1033" hidden="1" x14ac:dyDescent="0.2"/>
    <row r="1034" hidden="1" x14ac:dyDescent="0.2"/>
    <row r="1035" hidden="1" x14ac:dyDescent="0.2"/>
    <row r="1036" hidden="1" x14ac:dyDescent="0.2"/>
    <row r="1037" hidden="1" x14ac:dyDescent="0.2"/>
    <row r="1038" hidden="1" x14ac:dyDescent="0.2"/>
    <row r="1039" hidden="1" x14ac:dyDescent="0.2"/>
    <row r="1040" hidden="1" x14ac:dyDescent="0.2"/>
    <row r="1041" hidden="1" x14ac:dyDescent="0.2"/>
    <row r="1042" hidden="1" x14ac:dyDescent="0.2"/>
    <row r="1043" hidden="1" x14ac:dyDescent="0.2"/>
    <row r="1044" hidden="1" x14ac:dyDescent="0.2"/>
    <row r="1045" hidden="1" x14ac:dyDescent="0.2"/>
    <row r="1046" hidden="1" x14ac:dyDescent="0.2"/>
    <row r="1047" hidden="1" x14ac:dyDescent="0.2"/>
    <row r="1048" hidden="1" x14ac:dyDescent="0.2"/>
    <row r="1049" hidden="1" x14ac:dyDescent="0.2"/>
    <row r="1050" hidden="1" x14ac:dyDescent="0.2"/>
    <row r="1051" hidden="1" x14ac:dyDescent="0.2"/>
    <row r="1052" hidden="1" x14ac:dyDescent="0.2"/>
    <row r="1053" hidden="1" x14ac:dyDescent="0.2"/>
    <row r="1054" hidden="1" x14ac:dyDescent="0.2"/>
    <row r="1055" hidden="1" x14ac:dyDescent="0.2"/>
    <row r="1056" hidden="1" x14ac:dyDescent="0.2"/>
    <row r="1057" hidden="1" x14ac:dyDescent="0.2"/>
    <row r="1058" hidden="1" x14ac:dyDescent="0.2"/>
    <row r="1059" hidden="1" x14ac:dyDescent="0.2"/>
    <row r="1060" hidden="1" x14ac:dyDescent="0.2"/>
    <row r="1061" hidden="1" x14ac:dyDescent="0.2"/>
    <row r="1062" hidden="1" x14ac:dyDescent="0.2"/>
    <row r="1063" hidden="1" x14ac:dyDescent="0.2"/>
    <row r="1064" hidden="1" x14ac:dyDescent="0.2"/>
    <row r="1065" hidden="1" x14ac:dyDescent="0.2"/>
    <row r="1066" hidden="1" x14ac:dyDescent="0.2"/>
    <row r="1067" hidden="1" x14ac:dyDescent="0.2"/>
    <row r="1068" hidden="1" x14ac:dyDescent="0.2"/>
    <row r="1069" hidden="1" x14ac:dyDescent="0.2"/>
    <row r="1070" hidden="1" x14ac:dyDescent="0.2"/>
    <row r="1071" hidden="1" x14ac:dyDescent="0.2"/>
    <row r="1072" hidden="1" x14ac:dyDescent="0.2"/>
    <row r="1073" hidden="1" x14ac:dyDescent="0.2"/>
    <row r="1074" hidden="1" x14ac:dyDescent="0.2"/>
    <row r="1075" hidden="1" x14ac:dyDescent="0.2"/>
    <row r="1076" hidden="1" x14ac:dyDescent="0.2"/>
    <row r="1077" hidden="1" x14ac:dyDescent="0.2"/>
    <row r="1078" hidden="1" x14ac:dyDescent="0.2"/>
    <row r="1079" hidden="1" x14ac:dyDescent="0.2"/>
    <row r="1080" hidden="1" x14ac:dyDescent="0.2"/>
    <row r="1081" hidden="1" x14ac:dyDescent="0.2"/>
    <row r="1082" hidden="1" x14ac:dyDescent="0.2"/>
    <row r="1083" hidden="1" x14ac:dyDescent="0.2"/>
    <row r="1084" hidden="1" x14ac:dyDescent="0.2"/>
    <row r="1085" hidden="1" x14ac:dyDescent="0.2"/>
    <row r="1086" hidden="1" x14ac:dyDescent="0.2"/>
    <row r="1087" hidden="1" x14ac:dyDescent="0.2"/>
    <row r="1088" hidden="1" x14ac:dyDescent="0.2"/>
    <row r="1089" hidden="1" x14ac:dyDescent="0.2"/>
    <row r="1090" hidden="1" x14ac:dyDescent="0.2"/>
    <row r="1091" hidden="1" x14ac:dyDescent="0.2"/>
    <row r="1092" hidden="1" x14ac:dyDescent="0.2"/>
    <row r="1093" hidden="1" x14ac:dyDescent="0.2"/>
    <row r="1094" hidden="1" x14ac:dyDescent="0.2"/>
    <row r="1095" hidden="1" x14ac:dyDescent="0.2"/>
    <row r="1096" hidden="1" x14ac:dyDescent="0.2"/>
    <row r="1097" hidden="1" x14ac:dyDescent="0.2"/>
    <row r="1098" hidden="1" x14ac:dyDescent="0.2"/>
    <row r="1099" hidden="1" x14ac:dyDescent="0.2"/>
    <row r="1100" hidden="1" x14ac:dyDescent="0.2"/>
    <row r="1101" hidden="1" x14ac:dyDescent="0.2"/>
    <row r="1102" hidden="1" x14ac:dyDescent="0.2"/>
    <row r="1103" hidden="1" x14ac:dyDescent="0.2"/>
    <row r="1104" hidden="1" x14ac:dyDescent="0.2"/>
    <row r="1105" hidden="1" x14ac:dyDescent="0.2"/>
    <row r="1106" hidden="1" x14ac:dyDescent="0.2"/>
    <row r="1107" hidden="1" x14ac:dyDescent="0.2"/>
    <row r="1108" hidden="1" x14ac:dyDescent="0.2"/>
    <row r="1109" hidden="1" x14ac:dyDescent="0.2"/>
    <row r="1110" hidden="1" x14ac:dyDescent="0.2"/>
    <row r="1111" hidden="1" x14ac:dyDescent="0.2"/>
    <row r="1112" hidden="1" x14ac:dyDescent="0.2"/>
    <row r="1113" hidden="1" x14ac:dyDescent="0.2"/>
    <row r="1114" hidden="1" x14ac:dyDescent="0.2"/>
    <row r="1115" hidden="1" x14ac:dyDescent="0.2"/>
    <row r="1116" hidden="1" x14ac:dyDescent="0.2"/>
    <row r="1117" hidden="1" x14ac:dyDescent="0.2"/>
    <row r="1118" hidden="1" x14ac:dyDescent="0.2"/>
    <row r="1119" hidden="1" x14ac:dyDescent="0.2"/>
    <row r="1120" hidden="1" x14ac:dyDescent="0.2"/>
    <row r="1121" hidden="1" x14ac:dyDescent="0.2"/>
    <row r="1122" hidden="1" x14ac:dyDescent="0.2"/>
    <row r="1123" hidden="1" x14ac:dyDescent="0.2"/>
    <row r="1124" hidden="1" x14ac:dyDescent="0.2"/>
    <row r="1125" hidden="1" x14ac:dyDescent="0.2"/>
    <row r="1126" hidden="1" x14ac:dyDescent="0.2"/>
    <row r="1127" hidden="1" x14ac:dyDescent="0.2"/>
    <row r="1128" hidden="1" x14ac:dyDescent="0.2"/>
    <row r="1129" hidden="1" x14ac:dyDescent="0.2"/>
    <row r="1130" hidden="1" x14ac:dyDescent="0.2"/>
    <row r="1131" hidden="1" x14ac:dyDescent="0.2"/>
    <row r="1132" hidden="1" x14ac:dyDescent="0.2"/>
    <row r="1133" hidden="1" x14ac:dyDescent="0.2"/>
    <row r="1134" hidden="1" x14ac:dyDescent="0.2"/>
    <row r="1135" hidden="1" x14ac:dyDescent="0.2"/>
    <row r="1136" hidden="1" x14ac:dyDescent="0.2"/>
    <row r="1137" hidden="1" x14ac:dyDescent="0.2"/>
    <row r="1138" hidden="1" x14ac:dyDescent="0.2"/>
    <row r="1139" hidden="1" x14ac:dyDescent="0.2"/>
    <row r="1140" hidden="1" x14ac:dyDescent="0.2"/>
    <row r="1141" hidden="1" x14ac:dyDescent="0.2"/>
    <row r="1142" hidden="1" x14ac:dyDescent="0.2"/>
    <row r="1143" hidden="1" x14ac:dyDescent="0.2"/>
    <row r="1144" hidden="1" x14ac:dyDescent="0.2"/>
    <row r="1145" hidden="1" x14ac:dyDescent="0.2"/>
    <row r="1146" hidden="1" x14ac:dyDescent="0.2"/>
    <row r="1147" hidden="1" x14ac:dyDescent="0.2"/>
    <row r="1148" hidden="1" x14ac:dyDescent="0.2"/>
    <row r="1149" hidden="1" x14ac:dyDescent="0.2"/>
    <row r="1150" hidden="1" x14ac:dyDescent="0.2"/>
    <row r="1151" hidden="1" x14ac:dyDescent="0.2"/>
    <row r="1152" hidden="1" x14ac:dyDescent="0.2"/>
    <row r="1153" hidden="1" x14ac:dyDescent="0.2"/>
    <row r="1154" hidden="1" x14ac:dyDescent="0.2"/>
    <row r="1155" hidden="1" x14ac:dyDescent="0.2"/>
    <row r="1156" hidden="1" x14ac:dyDescent="0.2"/>
    <row r="1157" hidden="1" x14ac:dyDescent="0.2"/>
    <row r="1158" hidden="1" x14ac:dyDescent="0.2"/>
    <row r="1159" hidden="1" x14ac:dyDescent="0.2"/>
    <row r="1160" hidden="1" x14ac:dyDescent="0.2"/>
    <row r="1161" hidden="1" x14ac:dyDescent="0.2"/>
    <row r="1162" hidden="1" x14ac:dyDescent="0.2"/>
    <row r="1163" hidden="1" x14ac:dyDescent="0.2"/>
    <row r="1164" hidden="1" x14ac:dyDescent="0.2"/>
    <row r="1165" hidden="1" x14ac:dyDescent="0.2"/>
    <row r="1166" hidden="1" x14ac:dyDescent="0.2"/>
    <row r="1167" hidden="1" x14ac:dyDescent="0.2"/>
    <row r="1168" hidden="1" x14ac:dyDescent="0.2"/>
    <row r="1169" hidden="1" x14ac:dyDescent="0.2"/>
    <row r="1170" hidden="1" x14ac:dyDescent="0.2"/>
    <row r="1171" hidden="1" x14ac:dyDescent="0.2"/>
    <row r="1172" hidden="1" x14ac:dyDescent="0.2"/>
    <row r="1173" hidden="1" x14ac:dyDescent="0.2"/>
    <row r="1174" hidden="1" x14ac:dyDescent="0.2"/>
    <row r="1175" hidden="1" x14ac:dyDescent="0.2"/>
    <row r="1176" hidden="1" x14ac:dyDescent="0.2"/>
    <row r="1177" hidden="1" x14ac:dyDescent="0.2"/>
    <row r="1178" hidden="1" x14ac:dyDescent="0.2"/>
    <row r="1179" hidden="1" x14ac:dyDescent="0.2"/>
    <row r="1180" hidden="1" x14ac:dyDescent="0.2"/>
    <row r="1181" hidden="1" x14ac:dyDescent="0.2"/>
    <row r="1182" hidden="1" x14ac:dyDescent="0.2"/>
    <row r="1183" hidden="1" x14ac:dyDescent="0.2"/>
    <row r="1184" hidden="1" x14ac:dyDescent="0.2"/>
    <row r="1185" hidden="1" x14ac:dyDescent="0.2"/>
    <row r="1186" hidden="1" x14ac:dyDescent="0.2"/>
    <row r="1187" hidden="1" x14ac:dyDescent="0.2"/>
    <row r="1188" hidden="1" x14ac:dyDescent="0.2"/>
    <row r="1189" hidden="1" x14ac:dyDescent="0.2"/>
    <row r="1190" hidden="1" x14ac:dyDescent="0.2"/>
    <row r="1191" hidden="1" x14ac:dyDescent="0.2"/>
    <row r="1192" hidden="1" x14ac:dyDescent="0.2"/>
    <row r="1193" hidden="1" x14ac:dyDescent="0.2"/>
    <row r="1194" hidden="1" x14ac:dyDescent="0.2"/>
    <row r="1195" hidden="1" x14ac:dyDescent="0.2"/>
    <row r="1196" hidden="1" x14ac:dyDescent="0.2"/>
    <row r="1197" hidden="1" x14ac:dyDescent="0.2"/>
    <row r="1198" hidden="1" x14ac:dyDescent="0.2"/>
    <row r="1199" hidden="1" x14ac:dyDescent="0.2"/>
    <row r="1200" hidden="1" x14ac:dyDescent="0.2"/>
    <row r="1201" hidden="1" x14ac:dyDescent="0.2"/>
    <row r="1202" hidden="1" x14ac:dyDescent="0.2"/>
    <row r="1203" hidden="1" x14ac:dyDescent="0.2"/>
    <row r="1204" hidden="1" x14ac:dyDescent="0.2"/>
    <row r="1205" hidden="1" x14ac:dyDescent="0.2"/>
    <row r="1206" hidden="1" x14ac:dyDescent="0.2"/>
    <row r="1207" hidden="1" x14ac:dyDescent="0.2"/>
    <row r="1208" hidden="1" x14ac:dyDescent="0.2"/>
    <row r="1209" hidden="1" x14ac:dyDescent="0.2"/>
    <row r="1210" hidden="1" x14ac:dyDescent="0.2"/>
    <row r="1211" hidden="1" x14ac:dyDescent="0.2"/>
    <row r="1212" hidden="1" x14ac:dyDescent="0.2"/>
    <row r="1213" hidden="1" x14ac:dyDescent="0.2"/>
    <row r="1214" hidden="1" x14ac:dyDescent="0.2"/>
    <row r="1215" hidden="1" x14ac:dyDescent="0.2"/>
    <row r="1216" hidden="1" x14ac:dyDescent="0.2"/>
    <row r="1217" hidden="1" x14ac:dyDescent="0.2"/>
    <row r="1218" hidden="1" x14ac:dyDescent="0.2"/>
    <row r="1219" hidden="1" x14ac:dyDescent="0.2"/>
    <row r="1220" hidden="1" x14ac:dyDescent="0.2"/>
    <row r="1221" hidden="1" x14ac:dyDescent="0.2"/>
    <row r="1222" hidden="1" x14ac:dyDescent="0.2"/>
    <row r="1223" hidden="1" x14ac:dyDescent="0.2"/>
    <row r="1224" hidden="1" x14ac:dyDescent="0.2"/>
    <row r="1225" hidden="1" x14ac:dyDescent="0.2"/>
    <row r="1226" hidden="1" x14ac:dyDescent="0.2"/>
    <row r="1227" hidden="1" x14ac:dyDescent="0.2"/>
    <row r="1228" hidden="1" x14ac:dyDescent="0.2"/>
    <row r="1229" hidden="1" x14ac:dyDescent="0.2"/>
    <row r="1230" hidden="1" x14ac:dyDescent="0.2"/>
    <row r="1231" hidden="1" x14ac:dyDescent="0.2"/>
    <row r="1232" hidden="1" x14ac:dyDescent="0.2"/>
    <row r="1233" hidden="1" x14ac:dyDescent="0.2"/>
    <row r="1234" hidden="1" x14ac:dyDescent="0.2"/>
    <row r="1235" hidden="1" x14ac:dyDescent="0.2"/>
    <row r="1236" hidden="1" x14ac:dyDescent="0.2"/>
    <row r="1237" hidden="1" x14ac:dyDescent="0.2"/>
    <row r="1238" hidden="1" x14ac:dyDescent="0.2"/>
    <row r="1239" hidden="1" x14ac:dyDescent="0.2"/>
    <row r="1240" hidden="1" x14ac:dyDescent="0.2"/>
    <row r="1241" hidden="1" x14ac:dyDescent="0.2"/>
    <row r="1242" hidden="1" x14ac:dyDescent="0.2"/>
    <row r="1243" hidden="1" x14ac:dyDescent="0.2"/>
    <row r="1244" hidden="1" x14ac:dyDescent="0.2"/>
    <row r="1245" hidden="1" x14ac:dyDescent="0.2"/>
    <row r="1246" hidden="1" x14ac:dyDescent="0.2"/>
    <row r="1247" hidden="1" x14ac:dyDescent="0.2"/>
    <row r="1248" hidden="1" x14ac:dyDescent="0.2"/>
    <row r="1249" hidden="1" x14ac:dyDescent="0.2"/>
    <row r="1250" hidden="1" x14ac:dyDescent="0.2"/>
    <row r="1251" hidden="1" x14ac:dyDescent="0.2"/>
    <row r="1252" hidden="1" x14ac:dyDescent="0.2"/>
    <row r="1253" hidden="1" x14ac:dyDescent="0.2"/>
    <row r="1254" hidden="1" x14ac:dyDescent="0.2"/>
    <row r="1255" hidden="1" x14ac:dyDescent="0.2"/>
    <row r="1256" hidden="1" x14ac:dyDescent="0.2"/>
    <row r="1257" hidden="1" x14ac:dyDescent="0.2"/>
    <row r="1258" hidden="1" x14ac:dyDescent="0.2"/>
    <row r="1259" hidden="1" x14ac:dyDescent="0.2"/>
    <row r="1260" hidden="1" x14ac:dyDescent="0.2"/>
    <row r="1261" hidden="1" x14ac:dyDescent="0.2"/>
    <row r="1262" hidden="1" x14ac:dyDescent="0.2"/>
    <row r="1263" hidden="1" x14ac:dyDescent="0.2"/>
    <row r="1264" hidden="1" x14ac:dyDescent="0.2"/>
    <row r="1265" hidden="1" x14ac:dyDescent="0.2"/>
    <row r="1266" hidden="1" x14ac:dyDescent="0.2"/>
    <row r="1267" hidden="1" x14ac:dyDescent="0.2"/>
    <row r="1268" hidden="1" x14ac:dyDescent="0.2"/>
    <row r="1269" hidden="1" x14ac:dyDescent="0.2"/>
    <row r="1270" hidden="1" x14ac:dyDescent="0.2"/>
    <row r="1271" hidden="1" x14ac:dyDescent="0.2"/>
    <row r="1272" hidden="1" x14ac:dyDescent="0.2"/>
    <row r="1273" hidden="1" x14ac:dyDescent="0.2"/>
    <row r="1274" hidden="1" x14ac:dyDescent="0.2"/>
    <row r="1275" hidden="1" x14ac:dyDescent="0.2"/>
    <row r="1276" hidden="1" x14ac:dyDescent="0.2"/>
    <row r="1277" hidden="1" x14ac:dyDescent="0.2"/>
    <row r="1278" hidden="1" x14ac:dyDescent="0.2"/>
    <row r="1279" hidden="1" x14ac:dyDescent="0.2"/>
    <row r="1280" hidden="1" x14ac:dyDescent="0.2"/>
    <row r="1281" hidden="1" x14ac:dyDescent="0.2"/>
    <row r="1282" hidden="1" x14ac:dyDescent="0.2"/>
    <row r="1283" hidden="1" x14ac:dyDescent="0.2"/>
    <row r="1284" hidden="1" x14ac:dyDescent="0.2"/>
    <row r="1285" hidden="1" x14ac:dyDescent="0.2"/>
    <row r="1286" hidden="1" x14ac:dyDescent="0.2"/>
    <row r="1287" hidden="1" x14ac:dyDescent="0.2"/>
    <row r="1288" hidden="1" x14ac:dyDescent="0.2"/>
    <row r="1289" hidden="1" x14ac:dyDescent="0.2"/>
    <row r="1290" hidden="1" x14ac:dyDescent="0.2"/>
    <row r="1291" hidden="1" x14ac:dyDescent="0.2"/>
    <row r="1292" hidden="1" x14ac:dyDescent="0.2"/>
    <row r="1293" hidden="1" x14ac:dyDescent="0.2"/>
    <row r="1294" hidden="1" x14ac:dyDescent="0.2"/>
    <row r="1295" hidden="1" x14ac:dyDescent="0.2"/>
    <row r="1296" hidden="1" x14ac:dyDescent="0.2"/>
    <row r="1297" hidden="1" x14ac:dyDescent="0.2"/>
    <row r="1298" hidden="1" x14ac:dyDescent="0.2"/>
    <row r="1299" hidden="1" x14ac:dyDescent="0.2"/>
    <row r="1300" hidden="1" x14ac:dyDescent="0.2"/>
    <row r="1301" hidden="1" x14ac:dyDescent="0.2"/>
    <row r="1302" hidden="1" x14ac:dyDescent="0.2"/>
    <row r="1303" hidden="1" x14ac:dyDescent="0.2"/>
    <row r="1304" hidden="1" x14ac:dyDescent="0.2"/>
    <row r="1305" hidden="1" x14ac:dyDescent="0.2"/>
    <row r="1306" hidden="1" x14ac:dyDescent="0.2"/>
    <row r="1307" hidden="1" x14ac:dyDescent="0.2"/>
    <row r="1308" hidden="1" x14ac:dyDescent="0.2"/>
    <row r="1309" hidden="1" x14ac:dyDescent="0.2"/>
    <row r="1310" hidden="1" x14ac:dyDescent="0.2"/>
    <row r="1311" hidden="1" x14ac:dyDescent="0.2"/>
    <row r="1312" hidden="1" x14ac:dyDescent="0.2"/>
    <row r="1313" hidden="1" x14ac:dyDescent="0.2"/>
    <row r="1314" hidden="1" x14ac:dyDescent="0.2"/>
    <row r="1315" hidden="1" x14ac:dyDescent="0.2"/>
    <row r="1316" hidden="1" x14ac:dyDescent="0.2"/>
    <row r="1317" hidden="1" x14ac:dyDescent="0.2"/>
    <row r="1318" hidden="1" x14ac:dyDescent="0.2"/>
    <row r="1319" hidden="1" x14ac:dyDescent="0.2"/>
    <row r="1320" hidden="1" x14ac:dyDescent="0.2"/>
    <row r="1321" hidden="1" x14ac:dyDescent="0.2"/>
    <row r="1322" hidden="1" x14ac:dyDescent="0.2"/>
    <row r="1323" hidden="1" x14ac:dyDescent="0.2"/>
    <row r="1324" hidden="1" x14ac:dyDescent="0.2"/>
    <row r="1325" hidden="1" x14ac:dyDescent="0.2"/>
    <row r="1326" hidden="1" x14ac:dyDescent="0.2"/>
    <row r="1327" hidden="1" x14ac:dyDescent="0.2"/>
    <row r="1328" hidden="1" x14ac:dyDescent="0.2"/>
    <row r="1329" hidden="1" x14ac:dyDescent="0.2"/>
    <row r="1330" hidden="1" x14ac:dyDescent="0.2"/>
    <row r="1331" hidden="1" x14ac:dyDescent="0.2"/>
    <row r="1332" hidden="1" x14ac:dyDescent="0.2"/>
    <row r="1333" hidden="1" x14ac:dyDescent="0.2"/>
    <row r="1334" hidden="1" x14ac:dyDescent="0.2"/>
    <row r="1335" hidden="1" x14ac:dyDescent="0.2"/>
    <row r="1336" hidden="1" x14ac:dyDescent="0.2"/>
    <row r="1337" hidden="1" x14ac:dyDescent="0.2"/>
    <row r="1338" hidden="1" x14ac:dyDescent="0.2"/>
    <row r="1339" hidden="1" x14ac:dyDescent="0.2"/>
    <row r="1340" hidden="1" x14ac:dyDescent="0.2"/>
    <row r="1341" hidden="1" x14ac:dyDescent="0.2"/>
    <row r="1342" hidden="1" x14ac:dyDescent="0.2"/>
    <row r="1343" hidden="1" x14ac:dyDescent="0.2"/>
    <row r="1344" hidden="1" x14ac:dyDescent="0.2"/>
    <row r="1345" hidden="1" x14ac:dyDescent="0.2"/>
    <row r="1346" hidden="1" x14ac:dyDescent="0.2"/>
    <row r="1347" hidden="1" x14ac:dyDescent="0.2"/>
    <row r="1348" hidden="1" x14ac:dyDescent="0.2"/>
    <row r="1349" hidden="1" x14ac:dyDescent="0.2"/>
    <row r="1350" hidden="1" x14ac:dyDescent="0.2"/>
    <row r="1351" hidden="1" x14ac:dyDescent="0.2"/>
    <row r="1352" hidden="1" x14ac:dyDescent="0.2"/>
    <row r="1353" hidden="1" x14ac:dyDescent="0.2"/>
    <row r="1354" hidden="1" x14ac:dyDescent="0.2"/>
    <row r="1355" hidden="1" x14ac:dyDescent="0.2"/>
    <row r="1356" hidden="1" x14ac:dyDescent="0.2"/>
    <row r="1357" hidden="1" x14ac:dyDescent="0.2"/>
    <row r="1358" hidden="1" x14ac:dyDescent="0.2"/>
    <row r="1359" hidden="1" x14ac:dyDescent="0.2"/>
    <row r="1360" hidden="1" x14ac:dyDescent="0.2"/>
    <row r="1361" hidden="1" x14ac:dyDescent="0.2"/>
    <row r="1362" hidden="1" x14ac:dyDescent="0.2"/>
    <row r="1363" hidden="1" x14ac:dyDescent="0.2"/>
    <row r="1364" hidden="1" x14ac:dyDescent="0.2"/>
    <row r="1365" hidden="1" x14ac:dyDescent="0.2"/>
    <row r="1366" hidden="1" x14ac:dyDescent="0.2"/>
    <row r="1367" hidden="1" x14ac:dyDescent="0.2"/>
    <row r="1368" hidden="1" x14ac:dyDescent="0.2"/>
    <row r="1369" hidden="1" x14ac:dyDescent="0.2"/>
    <row r="1370" hidden="1" x14ac:dyDescent="0.2"/>
    <row r="1371" hidden="1" x14ac:dyDescent="0.2"/>
    <row r="1372" hidden="1" x14ac:dyDescent="0.2"/>
    <row r="1373" hidden="1" x14ac:dyDescent="0.2"/>
    <row r="1374" hidden="1" x14ac:dyDescent="0.2"/>
    <row r="1375" hidden="1" x14ac:dyDescent="0.2"/>
    <row r="1376" hidden="1" x14ac:dyDescent="0.2"/>
    <row r="1377" hidden="1" x14ac:dyDescent="0.2"/>
    <row r="1378" hidden="1" x14ac:dyDescent="0.2"/>
    <row r="1379" hidden="1" x14ac:dyDescent="0.2"/>
    <row r="1380" hidden="1" x14ac:dyDescent="0.2"/>
    <row r="1381" hidden="1" x14ac:dyDescent="0.2"/>
    <row r="1382" hidden="1" x14ac:dyDescent="0.2"/>
    <row r="1383" hidden="1" x14ac:dyDescent="0.2"/>
    <row r="1384" hidden="1" x14ac:dyDescent="0.2"/>
    <row r="1385" hidden="1" x14ac:dyDescent="0.2"/>
    <row r="1386" hidden="1" x14ac:dyDescent="0.2"/>
    <row r="1387" hidden="1" x14ac:dyDescent="0.2"/>
    <row r="1388" hidden="1" x14ac:dyDescent="0.2"/>
    <row r="1389" hidden="1" x14ac:dyDescent="0.2"/>
    <row r="1390" hidden="1" x14ac:dyDescent="0.2"/>
    <row r="1391" hidden="1" x14ac:dyDescent="0.2"/>
    <row r="1392" hidden="1" x14ac:dyDescent="0.2"/>
    <row r="1393" hidden="1" x14ac:dyDescent="0.2"/>
    <row r="1394" hidden="1" x14ac:dyDescent="0.2"/>
    <row r="1395" hidden="1" x14ac:dyDescent="0.2"/>
    <row r="1396" hidden="1" x14ac:dyDescent="0.2"/>
    <row r="1397" hidden="1" x14ac:dyDescent="0.2"/>
    <row r="1398" hidden="1" x14ac:dyDescent="0.2"/>
    <row r="1399" hidden="1" x14ac:dyDescent="0.2"/>
    <row r="1400" hidden="1" x14ac:dyDescent="0.2"/>
    <row r="1401" hidden="1" x14ac:dyDescent="0.2"/>
    <row r="1402" hidden="1" x14ac:dyDescent="0.2"/>
    <row r="1403" hidden="1" x14ac:dyDescent="0.2"/>
    <row r="1404" hidden="1" x14ac:dyDescent="0.2"/>
    <row r="1405" hidden="1" x14ac:dyDescent="0.2"/>
    <row r="1406" hidden="1" x14ac:dyDescent="0.2"/>
    <row r="1407" hidden="1" x14ac:dyDescent="0.2"/>
    <row r="1408" hidden="1" x14ac:dyDescent="0.2"/>
    <row r="1409" hidden="1" x14ac:dyDescent="0.2"/>
    <row r="1410" hidden="1" x14ac:dyDescent="0.2"/>
    <row r="1411" hidden="1" x14ac:dyDescent="0.2"/>
    <row r="1412" hidden="1" x14ac:dyDescent="0.2"/>
    <row r="1413" hidden="1" x14ac:dyDescent="0.2"/>
    <row r="1414" hidden="1" x14ac:dyDescent="0.2"/>
    <row r="1415" hidden="1" x14ac:dyDescent="0.2"/>
    <row r="1416" hidden="1" x14ac:dyDescent="0.2"/>
    <row r="1417" hidden="1" x14ac:dyDescent="0.2"/>
    <row r="1418" hidden="1" x14ac:dyDescent="0.2"/>
    <row r="1419" hidden="1" x14ac:dyDescent="0.2"/>
    <row r="1420" hidden="1" x14ac:dyDescent="0.2"/>
    <row r="1421" hidden="1" x14ac:dyDescent="0.2"/>
    <row r="1422" hidden="1" x14ac:dyDescent="0.2"/>
    <row r="1423" hidden="1" x14ac:dyDescent="0.2"/>
    <row r="1424" hidden="1" x14ac:dyDescent="0.2"/>
    <row r="1425" hidden="1" x14ac:dyDescent="0.2"/>
    <row r="1426" hidden="1" x14ac:dyDescent="0.2"/>
    <row r="1427" hidden="1" x14ac:dyDescent="0.2"/>
    <row r="1428" hidden="1" x14ac:dyDescent="0.2"/>
    <row r="1429" hidden="1" x14ac:dyDescent="0.2"/>
    <row r="1430" hidden="1" x14ac:dyDescent="0.2"/>
    <row r="1431" hidden="1" x14ac:dyDescent="0.2"/>
    <row r="1432" hidden="1" x14ac:dyDescent="0.2"/>
    <row r="1433" hidden="1" x14ac:dyDescent="0.2"/>
    <row r="1434" hidden="1" x14ac:dyDescent="0.2"/>
    <row r="1435" hidden="1" x14ac:dyDescent="0.2"/>
    <row r="1436" hidden="1" x14ac:dyDescent="0.2"/>
    <row r="1437" hidden="1" x14ac:dyDescent="0.2"/>
    <row r="1438" hidden="1" x14ac:dyDescent="0.2"/>
    <row r="1439" hidden="1" x14ac:dyDescent="0.2"/>
    <row r="1440" hidden="1" x14ac:dyDescent="0.2"/>
    <row r="1441" hidden="1" x14ac:dyDescent="0.2"/>
    <row r="1442" hidden="1" x14ac:dyDescent="0.2"/>
    <row r="1443" hidden="1" x14ac:dyDescent="0.2"/>
    <row r="1444" hidden="1" x14ac:dyDescent="0.2"/>
    <row r="1445" hidden="1" x14ac:dyDescent="0.2"/>
    <row r="1446" hidden="1" x14ac:dyDescent="0.2"/>
    <row r="1447" hidden="1" x14ac:dyDescent="0.2"/>
    <row r="1448" hidden="1" x14ac:dyDescent="0.2"/>
    <row r="1449" hidden="1" x14ac:dyDescent="0.2"/>
    <row r="1450" hidden="1" x14ac:dyDescent="0.2"/>
    <row r="1451" hidden="1" x14ac:dyDescent="0.2"/>
    <row r="1452" hidden="1" x14ac:dyDescent="0.2"/>
    <row r="1453" hidden="1" x14ac:dyDescent="0.2"/>
    <row r="1454" hidden="1" x14ac:dyDescent="0.2"/>
    <row r="1455" hidden="1" x14ac:dyDescent="0.2"/>
    <row r="1456" hidden="1" x14ac:dyDescent="0.2"/>
    <row r="1457" hidden="1" x14ac:dyDescent="0.2"/>
    <row r="1458" hidden="1" x14ac:dyDescent="0.2"/>
    <row r="1459" hidden="1" x14ac:dyDescent="0.2"/>
    <row r="1460" hidden="1" x14ac:dyDescent="0.2"/>
    <row r="1461" hidden="1" x14ac:dyDescent="0.2"/>
    <row r="1462" hidden="1" x14ac:dyDescent="0.2"/>
    <row r="1463" hidden="1" x14ac:dyDescent="0.2"/>
    <row r="1464" hidden="1" x14ac:dyDescent="0.2"/>
    <row r="1465" hidden="1" x14ac:dyDescent="0.2"/>
    <row r="1466" hidden="1" x14ac:dyDescent="0.2"/>
    <row r="1467" hidden="1" x14ac:dyDescent="0.2"/>
    <row r="1468" hidden="1" x14ac:dyDescent="0.2"/>
    <row r="1469" hidden="1" x14ac:dyDescent="0.2"/>
    <row r="1470" hidden="1" x14ac:dyDescent="0.2"/>
    <row r="1471" hidden="1" x14ac:dyDescent="0.2"/>
    <row r="1472" hidden="1" x14ac:dyDescent="0.2"/>
    <row r="1473" hidden="1" x14ac:dyDescent="0.2"/>
    <row r="1474" hidden="1" x14ac:dyDescent="0.2"/>
    <row r="1475" hidden="1" x14ac:dyDescent="0.2"/>
    <row r="1476" hidden="1" x14ac:dyDescent="0.2"/>
    <row r="1477" hidden="1" x14ac:dyDescent="0.2"/>
    <row r="1478" hidden="1" x14ac:dyDescent="0.2"/>
    <row r="1479" hidden="1" x14ac:dyDescent="0.2"/>
    <row r="1480" hidden="1" x14ac:dyDescent="0.2"/>
    <row r="1481" hidden="1" x14ac:dyDescent="0.2"/>
    <row r="1482" hidden="1" x14ac:dyDescent="0.2"/>
    <row r="1483" hidden="1" x14ac:dyDescent="0.2"/>
    <row r="1484" hidden="1" x14ac:dyDescent="0.2"/>
    <row r="1485" hidden="1" x14ac:dyDescent="0.2"/>
    <row r="1486" hidden="1" x14ac:dyDescent="0.2"/>
    <row r="1487" hidden="1" x14ac:dyDescent="0.2"/>
    <row r="1488" hidden="1" x14ac:dyDescent="0.2"/>
    <row r="1489" hidden="1" x14ac:dyDescent="0.2"/>
    <row r="1490" hidden="1" x14ac:dyDescent="0.2"/>
    <row r="1491" hidden="1" x14ac:dyDescent="0.2"/>
    <row r="1492" hidden="1" x14ac:dyDescent="0.2"/>
    <row r="1493" hidden="1" x14ac:dyDescent="0.2"/>
    <row r="1494" hidden="1" x14ac:dyDescent="0.2"/>
    <row r="1495" hidden="1" x14ac:dyDescent="0.2"/>
    <row r="1496" hidden="1" x14ac:dyDescent="0.2"/>
    <row r="1497" hidden="1" x14ac:dyDescent="0.2"/>
    <row r="1498" hidden="1" x14ac:dyDescent="0.2"/>
    <row r="1499" hidden="1" x14ac:dyDescent="0.2"/>
    <row r="1500" hidden="1" x14ac:dyDescent="0.2"/>
    <row r="1501" hidden="1" x14ac:dyDescent="0.2"/>
    <row r="1502" hidden="1" x14ac:dyDescent="0.2"/>
    <row r="1503" hidden="1" x14ac:dyDescent="0.2"/>
    <row r="1504" hidden="1" x14ac:dyDescent="0.2"/>
    <row r="1505" hidden="1" x14ac:dyDescent="0.2"/>
    <row r="1506" hidden="1" x14ac:dyDescent="0.2"/>
    <row r="1507" hidden="1" x14ac:dyDescent="0.2"/>
    <row r="1508" hidden="1" x14ac:dyDescent="0.2"/>
    <row r="1509" hidden="1" x14ac:dyDescent="0.2"/>
    <row r="1510" hidden="1" x14ac:dyDescent="0.2"/>
    <row r="1511" hidden="1" x14ac:dyDescent="0.2"/>
    <row r="1512" hidden="1" x14ac:dyDescent="0.2"/>
    <row r="1513" hidden="1" x14ac:dyDescent="0.2"/>
    <row r="1514" hidden="1" x14ac:dyDescent="0.2"/>
    <row r="1515" hidden="1" x14ac:dyDescent="0.2"/>
    <row r="1516" hidden="1" x14ac:dyDescent="0.2"/>
    <row r="1517" hidden="1" x14ac:dyDescent="0.2"/>
    <row r="1518" hidden="1" x14ac:dyDescent="0.2"/>
    <row r="1519" hidden="1" x14ac:dyDescent="0.2"/>
    <row r="1520" hidden="1" x14ac:dyDescent="0.2"/>
    <row r="1521" hidden="1" x14ac:dyDescent="0.2"/>
    <row r="1522" hidden="1" x14ac:dyDescent="0.2"/>
    <row r="1523" hidden="1" x14ac:dyDescent="0.2"/>
    <row r="1524" hidden="1" x14ac:dyDescent="0.2"/>
    <row r="1525" hidden="1" x14ac:dyDescent="0.2"/>
    <row r="1526" hidden="1" x14ac:dyDescent="0.2"/>
    <row r="1527" hidden="1" x14ac:dyDescent="0.2"/>
    <row r="1528" hidden="1" x14ac:dyDescent="0.2"/>
    <row r="1529" hidden="1" x14ac:dyDescent="0.2"/>
    <row r="1530" hidden="1" x14ac:dyDescent="0.2"/>
    <row r="1531" hidden="1" x14ac:dyDescent="0.2"/>
    <row r="1532" hidden="1" x14ac:dyDescent="0.2"/>
    <row r="1533" hidden="1" x14ac:dyDescent="0.2"/>
    <row r="1534" hidden="1" x14ac:dyDescent="0.2"/>
    <row r="1535" hidden="1" x14ac:dyDescent="0.2"/>
    <row r="1536" hidden="1" x14ac:dyDescent="0.2"/>
    <row r="1537" hidden="1" x14ac:dyDescent="0.2"/>
    <row r="1538" hidden="1" x14ac:dyDescent="0.2"/>
    <row r="1539" hidden="1" x14ac:dyDescent="0.2"/>
    <row r="1540" hidden="1" x14ac:dyDescent="0.2"/>
    <row r="1541" hidden="1" x14ac:dyDescent="0.2"/>
    <row r="1542" hidden="1" x14ac:dyDescent="0.2"/>
    <row r="1543" hidden="1" x14ac:dyDescent="0.2"/>
    <row r="1544" hidden="1" x14ac:dyDescent="0.2"/>
    <row r="1545" hidden="1" x14ac:dyDescent="0.2"/>
    <row r="1546" hidden="1" x14ac:dyDescent="0.2"/>
    <row r="1547" hidden="1" x14ac:dyDescent="0.2"/>
    <row r="1548" hidden="1" x14ac:dyDescent="0.2"/>
    <row r="1549" hidden="1" x14ac:dyDescent="0.2"/>
    <row r="1550" hidden="1" x14ac:dyDescent="0.2"/>
    <row r="1551" hidden="1" x14ac:dyDescent="0.2"/>
    <row r="1552" hidden="1" x14ac:dyDescent="0.2"/>
    <row r="1553" hidden="1" x14ac:dyDescent="0.2"/>
    <row r="1554" hidden="1" x14ac:dyDescent="0.2"/>
    <row r="1555" hidden="1" x14ac:dyDescent="0.2"/>
    <row r="1556" hidden="1" x14ac:dyDescent="0.2"/>
    <row r="1557" hidden="1" x14ac:dyDescent="0.2"/>
    <row r="1558" hidden="1" x14ac:dyDescent="0.2"/>
    <row r="1559" hidden="1" x14ac:dyDescent="0.2"/>
    <row r="1560" hidden="1" x14ac:dyDescent="0.2"/>
    <row r="1561" hidden="1" x14ac:dyDescent="0.2"/>
    <row r="1562" hidden="1" x14ac:dyDescent="0.2"/>
    <row r="1563" hidden="1" x14ac:dyDescent="0.2"/>
    <row r="1564" hidden="1" x14ac:dyDescent="0.2"/>
    <row r="1565" hidden="1" x14ac:dyDescent="0.2"/>
    <row r="1566" hidden="1" x14ac:dyDescent="0.2"/>
    <row r="1567" hidden="1" x14ac:dyDescent="0.2"/>
    <row r="1568" hidden="1" x14ac:dyDescent="0.2"/>
    <row r="1569" hidden="1" x14ac:dyDescent="0.2"/>
    <row r="1570" hidden="1" x14ac:dyDescent="0.2"/>
    <row r="1571" hidden="1" x14ac:dyDescent="0.2"/>
    <row r="1572" hidden="1" x14ac:dyDescent="0.2"/>
    <row r="1573" hidden="1" x14ac:dyDescent="0.2"/>
    <row r="1574" hidden="1" x14ac:dyDescent="0.2"/>
    <row r="1575" hidden="1" x14ac:dyDescent="0.2"/>
    <row r="1576" hidden="1" x14ac:dyDescent="0.2"/>
    <row r="1577" hidden="1" x14ac:dyDescent="0.2"/>
    <row r="1578" hidden="1" x14ac:dyDescent="0.2"/>
    <row r="1579" hidden="1" x14ac:dyDescent="0.2"/>
    <row r="1580" hidden="1" x14ac:dyDescent="0.2"/>
    <row r="1581" hidden="1" x14ac:dyDescent="0.2"/>
    <row r="1582" hidden="1" x14ac:dyDescent="0.2"/>
    <row r="1583" hidden="1" x14ac:dyDescent="0.2"/>
    <row r="1584" hidden="1" x14ac:dyDescent="0.2"/>
    <row r="1585" hidden="1" x14ac:dyDescent="0.2"/>
    <row r="1586" hidden="1" x14ac:dyDescent="0.2"/>
    <row r="1587" hidden="1" x14ac:dyDescent="0.2"/>
    <row r="1588" hidden="1" x14ac:dyDescent="0.2"/>
    <row r="1589" hidden="1" x14ac:dyDescent="0.2"/>
    <row r="1590" hidden="1" x14ac:dyDescent="0.2"/>
    <row r="1591" hidden="1" x14ac:dyDescent="0.2"/>
    <row r="1592" hidden="1" x14ac:dyDescent="0.2"/>
    <row r="1593" hidden="1" x14ac:dyDescent="0.2"/>
    <row r="1594" hidden="1" x14ac:dyDescent="0.2"/>
    <row r="1595" hidden="1" x14ac:dyDescent="0.2"/>
    <row r="1596" hidden="1" x14ac:dyDescent="0.2"/>
    <row r="1597" hidden="1" x14ac:dyDescent="0.2"/>
    <row r="1598" hidden="1" x14ac:dyDescent="0.2"/>
    <row r="1599" hidden="1" x14ac:dyDescent="0.2"/>
    <row r="1600" hidden="1" x14ac:dyDescent="0.2"/>
    <row r="1601" hidden="1" x14ac:dyDescent="0.2"/>
    <row r="1602" hidden="1" x14ac:dyDescent="0.2"/>
    <row r="1603" hidden="1" x14ac:dyDescent="0.2"/>
    <row r="1604" hidden="1" x14ac:dyDescent="0.2"/>
    <row r="1605" hidden="1" x14ac:dyDescent="0.2"/>
    <row r="1606" hidden="1" x14ac:dyDescent="0.2"/>
    <row r="1607" hidden="1" x14ac:dyDescent="0.2"/>
    <row r="1608" hidden="1" x14ac:dyDescent="0.2"/>
    <row r="1609" hidden="1" x14ac:dyDescent="0.2"/>
    <row r="1610" hidden="1" x14ac:dyDescent="0.2"/>
    <row r="1611" hidden="1" x14ac:dyDescent="0.2"/>
    <row r="1612" hidden="1" x14ac:dyDescent="0.2"/>
    <row r="1613" hidden="1" x14ac:dyDescent="0.2"/>
    <row r="1614" hidden="1" x14ac:dyDescent="0.2"/>
    <row r="1615" hidden="1" x14ac:dyDescent="0.2"/>
    <row r="1616" hidden="1" x14ac:dyDescent="0.2"/>
    <row r="1617" hidden="1" x14ac:dyDescent="0.2"/>
    <row r="1618" hidden="1" x14ac:dyDescent="0.2"/>
    <row r="1619" hidden="1" x14ac:dyDescent="0.2"/>
    <row r="1620" hidden="1" x14ac:dyDescent="0.2"/>
    <row r="1621" hidden="1" x14ac:dyDescent="0.2"/>
    <row r="1622" hidden="1" x14ac:dyDescent="0.2"/>
    <row r="1623" hidden="1" x14ac:dyDescent="0.2"/>
    <row r="1624" hidden="1" x14ac:dyDescent="0.2"/>
    <row r="1625" hidden="1" x14ac:dyDescent="0.2"/>
    <row r="1626" hidden="1" x14ac:dyDescent="0.2"/>
    <row r="1627" hidden="1" x14ac:dyDescent="0.2"/>
    <row r="1628" hidden="1" x14ac:dyDescent="0.2"/>
    <row r="1629" hidden="1" x14ac:dyDescent="0.2"/>
    <row r="1630" hidden="1" x14ac:dyDescent="0.2"/>
    <row r="1631" hidden="1" x14ac:dyDescent="0.2"/>
    <row r="1632" hidden="1" x14ac:dyDescent="0.2"/>
    <row r="1633" hidden="1" x14ac:dyDescent="0.2"/>
    <row r="1634" hidden="1" x14ac:dyDescent="0.2"/>
    <row r="1635" hidden="1" x14ac:dyDescent="0.2"/>
    <row r="1636" hidden="1" x14ac:dyDescent="0.2"/>
    <row r="1637" hidden="1" x14ac:dyDescent="0.2"/>
    <row r="1638" hidden="1" x14ac:dyDescent="0.2"/>
    <row r="1639" hidden="1" x14ac:dyDescent="0.2"/>
    <row r="1640" hidden="1" x14ac:dyDescent="0.2"/>
    <row r="1641" hidden="1" x14ac:dyDescent="0.2"/>
    <row r="1642" hidden="1" x14ac:dyDescent="0.2"/>
    <row r="1643" hidden="1" x14ac:dyDescent="0.2"/>
    <row r="1644" hidden="1" x14ac:dyDescent="0.2"/>
    <row r="1645" hidden="1" x14ac:dyDescent="0.2"/>
    <row r="1646" hidden="1" x14ac:dyDescent="0.2"/>
    <row r="1647" hidden="1" x14ac:dyDescent="0.2"/>
    <row r="1648" hidden="1" x14ac:dyDescent="0.2"/>
    <row r="1649" hidden="1" x14ac:dyDescent="0.2"/>
    <row r="1650" hidden="1" x14ac:dyDescent="0.2"/>
    <row r="1651" hidden="1" x14ac:dyDescent="0.2"/>
    <row r="1652" hidden="1" x14ac:dyDescent="0.2"/>
    <row r="1653" hidden="1" x14ac:dyDescent="0.2"/>
    <row r="1654" hidden="1" x14ac:dyDescent="0.2"/>
    <row r="1655" hidden="1" x14ac:dyDescent="0.2"/>
    <row r="1656" hidden="1" x14ac:dyDescent="0.2"/>
    <row r="1657" hidden="1" x14ac:dyDescent="0.2"/>
    <row r="1658" hidden="1" x14ac:dyDescent="0.2"/>
    <row r="1659" hidden="1" x14ac:dyDescent="0.2"/>
    <row r="1660" hidden="1" x14ac:dyDescent="0.2"/>
    <row r="1661" hidden="1" x14ac:dyDescent="0.2"/>
    <row r="1662" hidden="1" x14ac:dyDescent="0.2"/>
    <row r="1663" hidden="1" x14ac:dyDescent="0.2"/>
    <row r="1664" hidden="1" x14ac:dyDescent="0.2"/>
    <row r="1665" hidden="1" x14ac:dyDescent="0.2"/>
    <row r="1666" hidden="1" x14ac:dyDescent="0.2"/>
    <row r="1667" hidden="1" x14ac:dyDescent="0.2"/>
    <row r="1668" hidden="1" x14ac:dyDescent="0.2"/>
    <row r="1669" hidden="1" x14ac:dyDescent="0.2"/>
    <row r="1670" hidden="1" x14ac:dyDescent="0.2"/>
    <row r="1671" hidden="1" x14ac:dyDescent="0.2"/>
    <row r="1672" hidden="1" x14ac:dyDescent="0.2"/>
    <row r="1673" hidden="1" x14ac:dyDescent="0.2"/>
    <row r="1674" hidden="1" x14ac:dyDescent="0.2"/>
    <row r="1675" hidden="1" x14ac:dyDescent="0.2"/>
    <row r="1676" hidden="1" x14ac:dyDescent="0.2"/>
    <row r="1677" hidden="1" x14ac:dyDescent="0.2"/>
    <row r="1678" hidden="1" x14ac:dyDescent="0.2"/>
    <row r="1679" hidden="1" x14ac:dyDescent="0.2"/>
    <row r="1680" hidden="1" x14ac:dyDescent="0.2"/>
    <row r="1681" hidden="1" x14ac:dyDescent="0.2"/>
    <row r="1682" hidden="1" x14ac:dyDescent="0.2"/>
    <row r="1683" hidden="1" x14ac:dyDescent="0.2"/>
    <row r="1684" hidden="1" x14ac:dyDescent="0.2"/>
    <row r="1685" hidden="1" x14ac:dyDescent="0.2"/>
    <row r="1686" hidden="1" x14ac:dyDescent="0.2"/>
    <row r="1687" hidden="1" x14ac:dyDescent="0.2"/>
    <row r="1688" hidden="1" x14ac:dyDescent="0.2"/>
    <row r="1689" hidden="1" x14ac:dyDescent="0.2"/>
    <row r="1690" hidden="1" x14ac:dyDescent="0.2"/>
    <row r="1691" hidden="1" x14ac:dyDescent="0.2"/>
    <row r="1692" hidden="1" x14ac:dyDescent="0.2"/>
    <row r="1693" hidden="1" x14ac:dyDescent="0.2"/>
    <row r="1694" hidden="1" x14ac:dyDescent="0.2"/>
    <row r="1695" hidden="1" x14ac:dyDescent="0.2"/>
    <row r="1696" hidden="1" x14ac:dyDescent="0.2"/>
    <row r="1697" hidden="1" x14ac:dyDescent="0.2"/>
    <row r="1698" hidden="1" x14ac:dyDescent="0.2"/>
    <row r="1699" hidden="1" x14ac:dyDescent="0.2"/>
    <row r="1700" hidden="1" x14ac:dyDescent="0.2"/>
    <row r="1701" hidden="1" x14ac:dyDescent="0.2"/>
    <row r="1702" hidden="1" x14ac:dyDescent="0.2"/>
    <row r="1703" hidden="1" x14ac:dyDescent="0.2"/>
    <row r="1704" hidden="1" x14ac:dyDescent="0.2"/>
    <row r="1705" hidden="1" x14ac:dyDescent="0.2"/>
    <row r="1706" hidden="1" x14ac:dyDescent="0.2"/>
    <row r="1707" hidden="1" x14ac:dyDescent="0.2"/>
    <row r="1708" hidden="1" x14ac:dyDescent="0.2"/>
    <row r="1709" hidden="1" x14ac:dyDescent="0.2"/>
    <row r="1710" hidden="1" x14ac:dyDescent="0.2"/>
    <row r="1711" hidden="1" x14ac:dyDescent="0.2"/>
    <row r="1712" hidden="1" x14ac:dyDescent="0.2"/>
    <row r="1713" hidden="1" x14ac:dyDescent="0.2"/>
    <row r="1714" hidden="1" x14ac:dyDescent="0.2"/>
    <row r="1715" hidden="1" x14ac:dyDescent="0.2"/>
    <row r="1716" hidden="1" x14ac:dyDescent="0.2"/>
    <row r="1717" hidden="1" x14ac:dyDescent="0.2"/>
    <row r="1718" hidden="1" x14ac:dyDescent="0.2"/>
    <row r="1719" hidden="1" x14ac:dyDescent="0.2"/>
    <row r="1720" hidden="1" x14ac:dyDescent="0.2"/>
    <row r="1721" hidden="1" x14ac:dyDescent="0.2"/>
    <row r="1722" hidden="1" x14ac:dyDescent="0.2"/>
    <row r="1723" hidden="1" x14ac:dyDescent="0.2"/>
    <row r="1724" hidden="1" x14ac:dyDescent="0.2"/>
    <row r="1725" hidden="1" x14ac:dyDescent="0.2"/>
    <row r="1726" hidden="1" x14ac:dyDescent="0.2"/>
    <row r="1727" hidden="1" x14ac:dyDescent="0.2"/>
    <row r="1728" hidden="1" x14ac:dyDescent="0.2"/>
    <row r="1729" hidden="1" x14ac:dyDescent="0.2"/>
    <row r="1730" hidden="1" x14ac:dyDescent="0.2"/>
    <row r="1731" hidden="1" x14ac:dyDescent="0.2"/>
    <row r="1732" hidden="1" x14ac:dyDescent="0.2"/>
    <row r="1733" hidden="1" x14ac:dyDescent="0.2"/>
    <row r="1734" hidden="1" x14ac:dyDescent="0.2"/>
    <row r="1735" hidden="1" x14ac:dyDescent="0.2"/>
    <row r="1736" hidden="1" x14ac:dyDescent="0.2"/>
    <row r="1737" hidden="1" x14ac:dyDescent="0.2"/>
    <row r="1738" hidden="1" x14ac:dyDescent="0.2"/>
    <row r="1739" hidden="1" x14ac:dyDescent="0.2"/>
    <row r="1740" hidden="1" x14ac:dyDescent="0.2"/>
    <row r="1741" hidden="1" x14ac:dyDescent="0.2"/>
    <row r="1742" hidden="1" x14ac:dyDescent="0.2"/>
    <row r="1743" hidden="1" x14ac:dyDescent="0.2"/>
    <row r="1744" hidden="1" x14ac:dyDescent="0.2"/>
    <row r="1745" hidden="1" x14ac:dyDescent="0.2"/>
    <row r="1746" hidden="1" x14ac:dyDescent="0.2"/>
    <row r="1747" hidden="1" x14ac:dyDescent="0.2"/>
    <row r="1748" hidden="1" x14ac:dyDescent="0.2"/>
    <row r="1749" hidden="1" x14ac:dyDescent="0.2"/>
    <row r="1750" hidden="1" x14ac:dyDescent="0.2"/>
    <row r="1751" hidden="1" x14ac:dyDescent="0.2"/>
    <row r="1752" hidden="1" x14ac:dyDescent="0.2"/>
    <row r="1753" hidden="1" x14ac:dyDescent="0.2"/>
    <row r="1754" hidden="1" x14ac:dyDescent="0.2"/>
    <row r="1755" hidden="1" x14ac:dyDescent="0.2"/>
    <row r="1756" hidden="1" x14ac:dyDescent="0.2"/>
    <row r="1757" hidden="1" x14ac:dyDescent="0.2"/>
    <row r="1758" hidden="1" x14ac:dyDescent="0.2"/>
    <row r="1759" hidden="1" x14ac:dyDescent="0.2"/>
    <row r="1760" hidden="1" x14ac:dyDescent="0.2"/>
    <row r="1761" hidden="1" x14ac:dyDescent="0.2"/>
    <row r="1762" hidden="1" x14ac:dyDescent="0.2"/>
    <row r="1763" hidden="1" x14ac:dyDescent="0.2"/>
    <row r="1764" hidden="1" x14ac:dyDescent="0.2"/>
    <row r="1765" hidden="1" x14ac:dyDescent="0.2"/>
    <row r="1766" hidden="1" x14ac:dyDescent="0.2"/>
    <row r="1767" hidden="1" x14ac:dyDescent="0.2"/>
    <row r="1768" hidden="1" x14ac:dyDescent="0.2"/>
    <row r="1769" hidden="1" x14ac:dyDescent="0.2"/>
    <row r="1770" hidden="1" x14ac:dyDescent="0.2"/>
    <row r="1771" hidden="1" x14ac:dyDescent="0.2"/>
    <row r="1772" hidden="1" x14ac:dyDescent="0.2"/>
    <row r="1773" hidden="1" x14ac:dyDescent="0.2"/>
    <row r="1774" hidden="1" x14ac:dyDescent="0.2"/>
    <row r="1775" hidden="1" x14ac:dyDescent="0.2"/>
    <row r="1776" hidden="1" x14ac:dyDescent="0.2"/>
    <row r="1777" hidden="1" x14ac:dyDescent="0.2"/>
    <row r="1778" hidden="1" x14ac:dyDescent="0.2"/>
    <row r="1779" hidden="1" x14ac:dyDescent="0.2"/>
    <row r="1780" hidden="1" x14ac:dyDescent="0.2"/>
    <row r="1781" hidden="1" x14ac:dyDescent="0.2"/>
    <row r="1782" hidden="1" x14ac:dyDescent="0.2"/>
    <row r="1783" hidden="1" x14ac:dyDescent="0.2"/>
    <row r="1784" hidden="1" x14ac:dyDescent="0.2"/>
    <row r="1785" hidden="1" x14ac:dyDescent="0.2"/>
    <row r="1786" hidden="1" x14ac:dyDescent="0.2"/>
    <row r="1787" hidden="1" x14ac:dyDescent="0.2"/>
    <row r="1788" hidden="1" x14ac:dyDescent="0.2"/>
    <row r="1789" hidden="1" x14ac:dyDescent="0.2"/>
    <row r="1790" hidden="1" x14ac:dyDescent="0.2"/>
    <row r="1791" hidden="1" x14ac:dyDescent="0.2"/>
    <row r="1792" hidden="1" x14ac:dyDescent="0.2"/>
    <row r="1793" hidden="1" x14ac:dyDescent="0.2"/>
    <row r="1794" hidden="1" x14ac:dyDescent="0.2"/>
    <row r="1795" hidden="1" x14ac:dyDescent="0.2"/>
    <row r="1796" hidden="1" x14ac:dyDescent="0.2"/>
    <row r="1797" hidden="1" x14ac:dyDescent="0.2"/>
    <row r="1798" hidden="1" x14ac:dyDescent="0.2"/>
    <row r="1799" hidden="1" x14ac:dyDescent="0.2"/>
    <row r="1800" hidden="1" x14ac:dyDescent="0.2"/>
    <row r="1801" hidden="1" x14ac:dyDescent="0.2"/>
    <row r="1802" hidden="1" x14ac:dyDescent="0.2"/>
    <row r="1803" hidden="1" x14ac:dyDescent="0.2"/>
    <row r="1804" hidden="1" x14ac:dyDescent="0.2"/>
    <row r="1805" hidden="1" x14ac:dyDescent="0.2"/>
    <row r="1806" hidden="1" x14ac:dyDescent="0.2"/>
    <row r="1807" hidden="1" x14ac:dyDescent="0.2"/>
    <row r="1808" hidden="1" x14ac:dyDescent="0.2"/>
    <row r="1809" hidden="1" x14ac:dyDescent="0.2"/>
    <row r="1810" hidden="1" x14ac:dyDescent="0.2"/>
    <row r="1811" hidden="1" x14ac:dyDescent="0.2"/>
    <row r="1812" hidden="1" x14ac:dyDescent="0.2"/>
    <row r="1813" hidden="1" x14ac:dyDescent="0.2"/>
    <row r="1814" hidden="1" x14ac:dyDescent="0.2"/>
    <row r="1815" hidden="1" x14ac:dyDescent="0.2"/>
    <row r="1816" hidden="1" x14ac:dyDescent="0.2"/>
    <row r="1817" hidden="1" x14ac:dyDescent="0.2"/>
    <row r="1818" hidden="1" x14ac:dyDescent="0.2"/>
    <row r="1819" hidden="1" x14ac:dyDescent="0.2"/>
    <row r="1820" hidden="1" x14ac:dyDescent="0.2"/>
    <row r="1821" hidden="1" x14ac:dyDescent="0.2"/>
    <row r="1822" hidden="1" x14ac:dyDescent="0.2"/>
    <row r="1823" hidden="1" x14ac:dyDescent="0.2"/>
    <row r="1824" hidden="1" x14ac:dyDescent="0.2"/>
    <row r="1825" hidden="1" x14ac:dyDescent="0.2"/>
    <row r="1826" hidden="1" x14ac:dyDescent="0.2"/>
    <row r="1827" hidden="1" x14ac:dyDescent="0.2"/>
    <row r="1828" hidden="1" x14ac:dyDescent="0.2"/>
    <row r="1829" hidden="1" x14ac:dyDescent="0.2"/>
    <row r="1830" hidden="1" x14ac:dyDescent="0.2"/>
    <row r="1831" hidden="1" x14ac:dyDescent="0.2"/>
    <row r="1832" hidden="1" x14ac:dyDescent="0.2"/>
    <row r="1833" hidden="1" x14ac:dyDescent="0.2"/>
    <row r="1834" hidden="1" x14ac:dyDescent="0.2"/>
    <row r="1835" hidden="1" x14ac:dyDescent="0.2"/>
    <row r="1836" hidden="1" x14ac:dyDescent="0.2"/>
    <row r="1837" hidden="1" x14ac:dyDescent="0.2"/>
    <row r="1838" hidden="1" x14ac:dyDescent="0.2"/>
    <row r="1839" hidden="1" x14ac:dyDescent="0.2"/>
    <row r="1840" hidden="1" x14ac:dyDescent="0.2"/>
    <row r="1841" hidden="1" x14ac:dyDescent="0.2"/>
    <row r="1842" hidden="1" x14ac:dyDescent="0.2"/>
    <row r="1843" hidden="1" x14ac:dyDescent="0.2"/>
    <row r="1844" hidden="1" x14ac:dyDescent="0.2"/>
    <row r="1845" hidden="1" x14ac:dyDescent="0.2"/>
    <row r="1846" hidden="1" x14ac:dyDescent="0.2"/>
    <row r="1847" hidden="1" x14ac:dyDescent="0.2"/>
    <row r="1848" hidden="1" x14ac:dyDescent="0.2"/>
    <row r="1849" hidden="1" x14ac:dyDescent="0.2"/>
    <row r="1850" hidden="1" x14ac:dyDescent="0.2"/>
    <row r="1851" hidden="1" x14ac:dyDescent="0.2"/>
    <row r="1852" hidden="1" x14ac:dyDescent="0.2"/>
    <row r="1853" hidden="1" x14ac:dyDescent="0.2"/>
    <row r="1854" hidden="1" x14ac:dyDescent="0.2"/>
    <row r="1855" hidden="1" x14ac:dyDescent="0.2"/>
    <row r="1856" hidden="1" x14ac:dyDescent="0.2"/>
    <row r="1857" hidden="1" x14ac:dyDescent="0.2"/>
    <row r="1858" hidden="1" x14ac:dyDescent="0.2"/>
    <row r="1859" hidden="1" x14ac:dyDescent="0.2"/>
    <row r="1860" hidden="1" x14ac:dyDescent="0.2"/>
    <row r="1861" hidden="1" x14ac:dyDescent="0.2"/>
    <row r="1862" hidden="1" x14ac:dyDescent="0.2"/>
    <row r="1863" hidden="1" x14ac:dyDescent="0.2"/>
    <row r="1864" hidden="1" x14ac:dyDescent="0.2"/>
    <row r="1865" hidden="1" x14ac:dyDescent="0.2"/>
    <row r="1866" hidden="1" x14ac:dyDescent="0.2"/>
    <row r="1867" hidden="1" x14ac:dyDescent="0.2"/>
    <row r="1868" hidden="1" x14ac:dyDescent="0.2"/>
    <row r="1869" hidden="1" x14ac:dyDescent="0.2"/>
    <row r="1870" hidden="1" x14ac:dyDescent="0.2"/>
    <row r="1871" hidden="1" x14ac:dyDescent="0.2"/>
    <row r="1872" hidden="1" x14ac:dyDescent="0.2"/>
    <row r="1873" hidden="1" x14ac:dyDescent="0.2"/>
    <row r="1874" hidden="1" x14ac:dyDescent="0.2"/>
    <row r="1875" hidden="1" x14ac:dyDescent="0.2"/>
    <row r="1876" hidden="1" x14ac:dyDescent="0.2"/>
    <row r="1877" hidden="1" x14ac:dyDescent="0.2"/>
    <row r="1878" hidden="1" x14ac:dyDescent="0.2"/>
    <row r="1879" hidden="1" x14ac:dyDescent="0.2"/>
    <row r="1880" hidden="1" x14ac:dyDescent="0.2"/>
    <row r="1881" hidden="1" x14ac:dyDescent="0.2"/>
    <row r="1882" hidden="1" x14ac:dyDescent="0.2"/>
    <row r="1883" hidden="1" x14ac:dyDescent="0.2"/>
    <row r="1884" hidden="1" x14ac:dyDescent="0.2"/>
    <row r="1885" hidden="1" x14ac:dyDescent="0.2"/>
    <row r="1886" hidden="1" x14ac:dyDescent="0.2"/>
    <row r="1887" hidden="1" x14ac:dyDescent="0.2"/>
    <row r="1888" hidden="1" x14ac:dyDescent="0.2"/>
    <row r="1889" hidden="1" x14ac:dyDescent="0.2"/>
    <row r="1890" hidden="1" x14ac:dyDescent="0.2"/>
    <row r="1891" hidden="1" x14ac:dyDescent="0.2"/>
    <row r="1892" hidden="1" x14ac:dyDescent="0.2"/>
    <row r="1893" hidden="1" x14ac:dyDescent="0.2"/>
    <row r="1894" hidden="1" x14ac:dyDescent="0.2"/>
    <row r="1895" hidden="1" x14ac:dyDescent="0.2"/>
    <row r="1896" hidden="1" x14ac:dyDescent="0.2"/>
    <row r="1897" hidden="1" x14ac:dyDescent="0.2"/>
    <row r="1898" hidden="1" x14ac:dyDescent="0.2"/>
    <row r="1899" hidden="1" x14ac:dyDescent="0.2"/>
    <row r="1900" hidden="1" x14ac:dyDescent="0.2"/>
    <row r="1901" hidden="1" x14ac:dyDescent="0.2"/>
    <row r="1902" hidden="1" x14ac:dyDescent="0.2"/>
    <row r="1903" hidden="1" x14ac:dyDescent="0.2"/>
    <row r="1904" hidden="1" x14ac:dyDescent="0.2"/>
    <row r="1905" hidden="1" x14ac:dyDescent="0.2"/>
    <row r="1906" hidden="1" x14ac:dyDescent="0.2"/>
    <row r="1907" hidden="1" x14ac:dyDescent="0.2"/>
    <row r="1908" hidden="1" x14ac:dyDescent="0.2"/>
    <row r="1909" hidden="1" x14ac:dyDescent="0.2"/>
    <row r="1910" hidden="1" x14ac:dyDescent="0.2"/>
    <row r="1911" hidden="1" x14ac:dyDescent="0.2"/>
    <row r="1912" hidden="1" x14ac:dyDescent="0.2"/>
    <row r="1913" hidden="1" x14ac:dyDescent="0.2"/>
    <row r="1914" hidden="1" x14ac:dyDescent="0.2"/>
    <row r="1915" hidden="1" x14ac:dyDescent="0.2"/>
    <row r="1916" hidden="1" x14ac:dyDescent="0.2"/>
    <row r="1917" hidden="1" x14ac:dyDescent="0.2"/>
    <row r="1918" hidden="1" x14ac:dyDescent="0.2"/>
    <row r="1919" hidden="1" x14ac:dyDescent="0.2"/>
    <row r="1920" hidden="1" x14ac:dyDescent="0.2"/>
    <row r="1921" hidden="1" x14ac:dyDescent="0.2"/>
    <row r="1922" hidden="1" x14ac:dyDescent="0.2"/>
    <row r="1923" hidden="1" x14ac:dyDescent="0.2"/>
    <row r="1924" hidden="1" x14ac:dyDescent="0.2"/>
    <row r="1925" hidden="1" x14ac:dyDescent="0.2"/>
    <row r="1926" hidden="1" x14ac:dyDescent="0.2"/>
    <row r="1927" hidden="1" x14ac:dyDescent="0.2"/>
    <row r="1928" hidden="1" x14ac:dyDescent="0.2"/>
    <row r="1929" hidden="1" x14ac:dyDescent="0.2"/>
    <row r="1930" hidden="1" x14ac:dyDescent="0.2"/>
    <row r="1931" hidden="1" x14ac:dyDescent="0.2"/>
    <row r="1932" hidden="1" x14ac:dyDescent="0.2"/>
    <row r="1933" hidden="1" x14ac:dyDescent="0.2"/>
    <row r="1934" hidden="1" x14ac:dyDescent="0.2"/>
    <row r="1935" hidden="1" x14ac:dyDescent="0.2"/>
    <row r="1936" hidden="1" x14ac:dyDescent="0.2"/>
    <row r="1937" hidden="1" x14ac:dyDescent="0.2"/>
    <row r="1938" hidden="1" x14ac:dyDescent="0.2"/>
    <row r="1939" hidden="1" x14ac:dyDescent="0.2"/>
    <row r="1940" hidden="1" x14ac:dyDescent="0.2"/>
    <row r="1941" hidden="1" x14ac:dyDescent="0.2"/>
    <row r="1942" hidden="1" x14ac:dyDescent="0.2"/>
    <row r="1943" hidden="1" x14ac:dyDescent="0.2"/>
    <row r="1944" hidden="1" x14ac:dyDescent="0.2"/>
    <row r="1945" hidden="1" x14ac:dyDescent="0.2"/>
    <row r="1946" hidden="1" x14ac:dyDescent="0.2"/>
    <row r="1947" hidden="1" x14ac:dyDescent="0.2"/>
    <row r="1948" hidden="1" x14ac:dyDescent="0.2"/>
    <row r="1949" hidden="1" x14ac:dyDescent="0.2"/>
    <row r="1950" hidden="1" x14ac:dyDescent="0.2"/>
    <row r="1951" hidden="1" x14ac:dyDescent="0.2"/>
    <row r="1952" hidden="1" x14ac:dyDescent="0.2"/>
    <row r="1953" hidden="1" x14ac:dyDescent="0.2"/>
    <row r="1954" hidden="1" x14ac:dyDescent="0.2"/>
    <row r="1955" hidden="1" x14ac:dyDescent="0.2"/>
    <row r="1956" hidden="1" x14ac:dyDescent="0.2"/>
    <row r="1957" hidden="1" x14ac:dyDescent="0.2"/>
    <row r="1958" hidden="1" x14ac:dyDescent="0.2"/>
    <row r="1959" hidden="1" x14ac:dyDescent="0.2"/>
    <row r="1960" hidden="1" x14ac:dyDescent="0.2"/>
    <row r="1961" hidden="1" x14ac:dyDescent="0.2"/>
    <row r="1962" hidden="1" x14ac:dyDescent="0.2"/>
    <row r="1963" hidden="1" x14ac:dyDescent="0.2"/>
    <row r="1964" hidden="1" x14ac:dyDescent="0.2"/>
    <row r="1965" hidden="1" x14ac:dyDescent="0.2"/>
    <row r="1966" hidden="1" x14ac:dyDescent="0.2"/>
    <row r="1967" hidden="1" x14ac:dyDescent="0.2"/>
    <row r="1968" hidden="1" x14ac:dyDescent="0.2"/>
    <row r="1969" hidden="1" x14ac:dyDescent="0.2"/>
    <row r="1970" hidden="1" x14ac:dyDescent="0.2"/>
    <row r="1971" hidden="1" x14ac:dyDescent="0.2"/>
    <row r="1972" hidden="1" x14ac:dyDescent="0.2"/>
    <row r="1973" hidden="1" x14ac:dyDescent="0.2"/>
    <row r="1974" hidden="1" x14ac:dyDescent="0.2"/>
    <row r="1975" hidden="1" x14ac:dyDescent="0.2"/>
    <row r="1976" hidden="1" x14ac:dyDescent="0.2"/>
    <row r="1977" hidden="1" x14ac:dyDescent="0.2"/>
    <row r="1978" hidden="1" x14ac:dyDescent="0.2"/>
    <row r="1979" hidden="1" x14ac:dyDescent="0.2"/>
    <row r="1980" hidden="1" x14ac:dyDescent="0.2"/>
    <row r="1981" hidden="1" x14ac:dyDescent="0.2"/>
    <row r="1982" hidden="1" x14ac:dyDescent="0.2"/>
    <row r="1983" hidden="1" x14ac:dyDescent="0.2"/>
    <row r="1984" hidden="1" x14ac:dyDescent="0.2"/>
    <row r="1985" hidden="1" x14ac:dyDescent="0.2"/>
    <row r="1986" hidden="1" x14ac:dyDescent="0.2"/>
    <row r="1987" hidden="1" x14ac:dyDescent="0.2"/>
    <row r="1988" hidden="1" x14ac:dyDescent="0.2"/>
    <row r="1989" hidden="1" x14ac:dyDescent="0.2"/>
    <row r="1990" hidden="1" x14ac:dyDescent="0.2"/>
    <row r="1991" hidden="1" x14ac:dyDescent="0.2"/>
    <row r="1992" hidden="1" x14ac:dyDescent="0.2"/>
    <row r="1993" hidden="1" x14ac:dyDescent="0.2"/>
    <row r="1994" hidden="1" x14ac:dyDescent="0.2"/>
    <row r="1995" hidden="1" x14ac:dyDescent="0.2"/>
    <row r="1996" hidden="1" x14ac:dyDescent="0.2"/>
    <row r="1997" hidden="1" x14ac:dyDescent="0.2"/>
    <row r="1998" hidden="1" x14ac:dyDescent="0.2"/>
    <row r="1999" hidden="1" x14ac:dyDescent="0.2"/>
    <row r="2000" hidden="1" x14ac:dyDescent="0.2"/>
    <row r="2001" hidden="1" x14ac:dyDescent="0.2"/>
    <row r="2002" hidden="1" x14ac:dyDescent="0.2"/>
    <row r="2003" hidden="1" x14ac:dyDescent="0.2"/>
    <row r="2004" hidden="1" x14ac:dyDescent="0.2"/>
    <row r="2005" hidden="1" x14ac:dyDescent="0.2"/>
    <row r="2006" hidden="1" x14ac:dyDescent="0.2"/>
    <row r="2007" hidden="1" x14ac:dyDescent="0.2"/>
    <row r="2008" hidden="1" x14ac:dyDescent="0.2"/>
    <row r="2009" hidden="1" x14ac:dyDescent="0.2"/>
    <row r="2010" hidden="1" x14ac:dyDescent="0.2"/>
    <row r="2011" hidden="1" x14ac:dyDescent="0.2"/>
    <row r="2012" hidden="1" x14ac:dyDescent="0.2"/>
    <row r="2013" hidden="1" x14ac:dyDescent="0.2"/>
    <row r="2014" hidden="1" x14ac:dyDescent="0.2"/>
    <row r="2015" hidden="1" x14ac:dyDescent="0.2"/>
    <row r="2016" hidden="1" x14ac:dyDescent="0.2"/>
    <row r="2017" hidden="1" x14ac:dyDescent="0.2"/>
    <row r="2018" hidden="1" x14ac:dyDescent="0.2"/>
    <row r="2019" hidden="1" x14ac:dyDescent="0.2"/>
    <row r="2020" hidden="1" x14ac:dyDescent="0.2"/>
    <row r="2021" hidden="1" x14ac:dyDescent="0.2"/>
    <row r="2022" hidden="1" x14ac:dyDescent="0.2"/>
    <row r="2023" hidden="1" x14ac:dyDescent="0.2"/>
    <row r="2024" hidden="1" x14ac:dyDescent="0.2"/>
    <row r="2025" hidden="1" x14ac:dyDescent="0.2"/>
    <row r="2026" hidden="1" x14ac:dyDescent="0.2"/>
    <row r="2027" hidden="1" x14ac:dyDescent="0.2"/>
    <row r="2028" hidden="1" x14ac:dyDescent="0.2"/>
    <row r="2029" hidden="1" x14ac:dyDescent="0.2"/>
    <row r="2030" hidden="1" x14ac:dyDescent="0.2"/>
    <row r="2031" hidden="1" x14ac:dyDescent="0.2"/>
    <row r="2032" hidden="1" x14ac:dyDescent="0.2"/>
    <row r="2033" spans="1:2" hidden="1" x14ac:dyDescent="0.2"/>
    <row r="2034" spans="1:2" ht="28.5" customHeight="1" x14ac:dyDescent="0.2"/>
    <row r="2035" spans="1:2" ht="34.5" customHeight="1" x14ac:dyDescent="0.2"/>
    <row r="2036" spans="1:2" x14ac:dyDescent="0.2">
      <c r="A2036" s="376">
        <v>10000</v>
      </c>
      <c r="B2036" s="377" t="s">
        <v>1256</v>
      </c>
    </row>
    <row r="2037" spans="1:2" x14ac:dyDescent="0.2">
      <c r="A2037" s="376">
        <v>10100</v>
      </c>
      <c r="B2037" s="377" t="s">
        <v>1257</v>
      </c>
    </row>
    <row r="2038" spans="1:2" x14ac:dyDescent="0.2">
      <c r="A2038" s="376">
        <v>10200</v>
      </c>
      <c r="B2038" s="377" t="s">
        <v>1258</v>
      </c>
    </row>
    <row r="2039" spans="1:2" x14ac:dyDescent="0.2">
      <c r="A2039" s="376">
        <v>10300</v>
      </c>
      <c r="B2039" s="377" t="s">
        <v>1259</v>
      </c>
    </row>
    <row r="2040" spans="1:2" x14ac:dyDescent="0.2">
      <c r="A2040" s="376">
        <v>10400</v>
      </c>
      <c r="B2040" s="377" t="s">
        <v>1260</v>
      </c>
    </row>
    <row r="2041" spans="1:2" ht="25.5" x14ac:dyDescent="0.2">
      <c r="A2041" s="376">
        <v>10500</v>
      </c>
      <c r="B2041" s="377" t="s">
        <v>1261</v>
      </c>
    </row>
    <row r="2042" spans="1:2" x14ac:dyDescent="0.2">
      <c r="A2042" s="376">
        <v>10600</v>
      </c>
      <c r="B2042" s="377" t="s">
        <v>1262</v>
      </c>
    </row>
    <row r="2043" spans="1:2" x14ac:dyDescent="0.2">
      <c r="A2043" s="376">
        <v>10700</v>
      </c>
      <c r="B2043" s="377" t="s">
        <v>1263</v>
      </c>
    </row>
    <row r="2044" spans="1:2" x14ac:dyDescent="0.2">
      <c r="A2044" s="376">
        <v>10800</v>
      </c>
      <c r="B2044" s="377" t="s">
        <v>1264</v>
      </c>
    </row>
    <row r="2045" spans="1:2" x14ac:dyDescent="0.2">
      <c r="A2045" s="376">
        <v>10900</v>
      </c>
      <c r="B2045" s="377" t="s">
        <v>1265</v>
      </c>
    </row>
    <row r="2046" spans="1:2" x14ac:dyDescent="0.2">
      <c r="A2046" s="376">
        <v>11000</v>
      </c>
      <c r="B2046" s="377" t="s">
        <v>1266</v>
      </c>
    </row>
    <row r="2047" spans="1:2" x14ac:dyDescent="0.2">
      <c r="A2047" s="376">
        <v>11100</v>
      </c>
      <c r="B2047" s="377" t="s">
        <v>1267</v>
      </c>
    </row>
    <row r="2048" spans="1:2" x14ac:dyDescent="0.2">
      <c r="A2048" s="376">
        <v>11200</v>
      </c>
      <c r="B2048" s="377" t="s">
        <v>1268</v>
      </c>
    </row>
    <row r="2049" spans="1:2" x14ac:dyDescent="0.2">
      <c r="A2049" s="376">
        <v>11300</v>
      </c>
      <c r="B2049" s="377" t="s">
        <v>1269</v>
      </c>
    </row>
    <row r="2050" spans="1:2" x14ac:dyDescent="0.2">
      <c r="A2050" s="376">
        <v>11400</v>
      </c>
      <c r="B2050" s="377" t="s">
        <v>1270</v>
      </c>
    </row>
    <row r="2051" spans="1:2" x14ac:dyDescent="0.2">
      <c r="A2051" s="376">
        <v>11500</v>
      </c>
      <c r="B2051" s="377" t="s">
        <v>1271</v>
      </c>
    </row>
    <row r="2052" spans="1:2" x14ac:dyDescent="0.2">
      <c r="A2052" s="376">
        <v>11600</v>
      </c>
      <c r="B2052" s="377" t="s">
        <v>1272</v>
      </c>
    </row>
    <row r="2053" spans="1:2" x14ac:dyDescent="0.2">
      <c r="A2053" s="376">
        <v>11700</v>
      </c>
      <c r="B2053" s="377" t="s">
        <v>1273</v>
      </c>
    </row>
    <row r="2054" spans="1:2" ht="25.5" x14ac:dyDescent="0.2">
      <c r="A2054" s="376">
        <v>11800</v>
      </c>
      <c r="B2054" s="377" t="s">
        <v>1274</v>
      </c>
    </row>
    <row r="2055" spans="1:2" x14ac:dyDescent="0.2">
      <c r="A2055" s="376">
        <v>11900</v>
      </c>
      <c r="B2055" s="377" t="s">
        <v>1275</v>
      </c>
    </row>
    <row r="2056" spans="1:2" ht="76.5" x14ac:dyDescent="0.2">
      <c r="A2056" s="376">
        <v>12000</v>
      </c>
      <c r="B2056" s="377" t="s">
        <v>1276</v>
      </c>
    </row>
    <row r="2057" spans="1:2" x14ac:dyDescent="0.2">
      <c r="A2057" s="376">
        <v>12200</v>
      </c>
      <c r="B2057" s="377" t="s">
        <v>1277</v>
      </c>
    </row>
    <row r="2058" spans="1:2" x14ac:dyDescent="0.2">
      <c r="A2058" s="376">
        <v>12300</v>
      </c>
      <c r="B2058" s="377" t="s">
        <v>1278</v>
      </c>
    </row>
    <row r="2059" spans="1:2" x14ac:dyDescent="0.2">
      <c r="A2059" s="376">
        <v>12400</v>
      </c>
      <c r="B2059" s="377" t="s">
        <v>1279</v>
      </c>
    </row>
    <row r="2060" spans="1:2" x14ac:dyDescent="0.2">
      <c r="A2060" s="376">
        <v>12500</v>
      </c>
      <c r="B2060" s="377" t="s">
        <v>1280</v>
      </c>
    </row>
    <row r="2061" spans="1:2" x14ac:dyDescent="0.2">
      <c r="A2061" s="376">
        <v>12600</v>
      </c>
      <c r="B2061" s="377" t="s">
        <v>1281</v>
      </c>
    </row>
    <row r="2062" spans="1:2" x14ac:dyDescent="0.2">
      <c r="A2062" s="376">
        <v>12700</v>
      </c>
      <c r="B2062" s="377" t="s">
        <v>1282</v>
      </c>
    </row>
    <row r="2063" spans="1:2" x14ac:dyDescent="0.2">
      <c r="A2063" s="376">
        <v>12900</v>
      </c>
      <c r="B2063" s="377" t="s">
        <v>1283</v>
      </c>
    </row>
    <row r="2064" spans="1:2" x14ac:dyDescent="0.2">
      <c r="A2064" s="376">
        <v>13000</v>
      </c>
      <c r="B2064" s="377" t="s">
        <v>1284</v>
      </c>
    </row>
    <row r="2065" spans="1:2" x14ac:dyDescent="0.2">
      <c r="A2065" s="376">
        <v>13100</v>
      </c>
      <c r="B2065" s="377" t="s">
        <v>1285</v>
      </c>
    </row>
    <row r="2066" spans="1:2" x14ac:dyDescent="0.2">
      <c r="A2066" s="376">
        <v>13200</v>
      </c>
      <c r="B2066" s="377" t="s">
        <v>1286</v>
      </c>
    </row>
    <row r="2067" spans="1:2" x14ac:dyDescent="0.2">
      <c r="A2067" s="376">
        <v>13300</v>
      </c>
      <c r="B2067" s="377" t="s">
        <v>1287</v>
      </c>
    </row>
    <row r="2068" spans="1:2" x14ac:dyDescent="0.2">
      <c r="A2068" s="376">
        <v>13400</v>
      </c>
      <c r="B2068" s="377" t="s">
        <v>1288</v>
      </c>
    </row>
    <row r="2069" spans="1:2" ht="25.5" x14ac:dyDescent="0.2">
      <c r="A2069" s="376">
        <v>13500</v>
      </c>
      <c r="B2069" s="377" t="s">
        <v>1289</v>
      </c>
    </row>
    <row r="2070" spans="1:2" x14ac:dyDescent="0.2">
      <c r="A2070" s="376">
        <v>13600</v>
      </c>
      <c r="B2070" s="377" t="s">
        <v>1290</v>
      </c>
    </row>
    <row r="2071" spans="1:2" ht="51" x14ac:dyDescent="0.2">
      <c r="A2071" s="376">
        <v>13700</v>
      </c>
      <c r="B2071" s="377" t="s">
        <v>1291</v>
      </c>
    </row>
    <row r="2072" spans="1:2" x14ac:dyDescent="0.2">
      <c r="A2072" s="376">
        <v>13800</v>
      </c>
      <c r="B2072" s="377" t="s">
        <v>1292</v>
      </c>
    </row>
    <row r="2073" spans="1:2" x14ac:dyDescent="0.2">
      <c r="A2073" s="376">
        <v>13801</v>
      </c>
      <c r="B2073" s="377" t="s">
        <v>1292</v>
      </c>
    </row>
    <row r="2074" spans="1:2" ht="25.5" x14ac:dyDescent="0.2">
      <c r="A2074" s="376">
        <v>14000</v>
      </c>
      <c r="B2074" s="377" t="s">
        <v>1293</v>
      </c>
    </row>
    <row r="2075" spans="1:2" x14ac:dyDescent="0.2">
      <c r="A2075" s="376">
        <v>14100</v>
      </c>
      <c r="B2075" s="377" t="s">
        <v>1294</v>
      </c>
    </row>
    <row r="2076" spans="1:2" ht="25.5" x14ac:dyDescent="0.2">
      <c r="A2076" s="376">
        <v>14200</v>
      </c>
      <c r="B2076" s="377" t="s">
        <v>1295</v>
      </c>
    </row>
    <row r="2077" spans="1:2" x14ac:dyDescent="0.2">
      <c r="A2077" s="376">
        <v>14300</v>
      </c>
      <c r="B2077" s="377" t="s">
        <v>1296</v>
      </c>
    </row>
    <row r="2078" spans="1:2" ht="25.5" x14ac:dyDescent="0.2">
      <c r="A2078" s="376">
        <v>14400</v>
      </c>
      <c r="B2078" s="377" t="s">
        <v>1297</v>
      </c>
    </row>
    <row r="2079" spans="1:2" ht="25.5" x14ac:dyDescent="0.2">
      <c r="A2079" s="376">
        <v>14500</v>
      </c>
      <c r="B2079" s="377" t="s">
        <v>1298</v>
      </c>
    </row>
    <row r="2080" spans="1:2" x14ac:dyDescent="0.2">
      <c r="A2080" s="376">
        <v>14600</v>
      </c>
      <c r="B2080" s="377" t="s">
        <v>1299</v>
      </c>
    </row>
    <row r="2081" spans="1:2" x14ac:dyDescent="0.2">
      <c r="A2081" s="376">
        <v>14700</v>
      </c>
      <c r="B2081" s="377" t="s">
        <v>1300</v>
      </c>
    </row>
    <row r="2082" spans="1:2" x14ac:dyDescent="0.2">
      <c r="A2082" s="376">
        <v>14900</v>
      </c>
      <c r="B2082" s="377" t="s">
        <v>1301</v>
      </c>
    </row>
    <row r="2083" spans="1:2" ht="25.5" x14ac:dyDescent="0.2">
      <c r="A2083" s="376">
        <v>15100</v>
      </c>
      <c r="B2083" s="377" t="s">
        <v>1302</v>
      </c>
    </row>
    <row r="2084" spans="1:2" ht="38.25" x14ac:dyDescent="0.2">
      <c r="A2084" s="376">
        <v>15200</v>
      </c>
      <c r="B2084" s="377" t="s">
        <v>1303</v>
      </c>
    </row>
    <row r="2085" spans="1:2" ht="25.5" x14ac:dyDescent="0.2">
      <c r="A2085" s="376">
        <v>15300</v>
      </c>
      <c r="B2085" s="377" t="s">
        <v>1304</v>
      </c>
    </row>
    <row r="2086" spans="1:2" x14ac:dyDescent="0.2">
      <c r="A2086" s="376">
        <v>15500</v>
      </c>
      <c r="B2086" s="377" t="s">
        <v>1305</v>
      </c>
    </row>
    <row r="2087" spans="1:2" x14ac:dyDescent="0.2">
      <c r="A2087" s="376">
        <v>15800</v>
      </c>
      <c r="B2087" s="377" t="s">
        <v>1306</v>
      </c>
    </row>
    <row r="2088" spans="1:2" x14ac:dyDescent="0.2">
      <c r="A2088" s="376">
        <v>16700</v>
      </c>
      <c r="B2088" s="377" t="s">
        <v>1307</v>
      </c>
    </row>
    <row r="2089" spans="1:2" x14ac:dyDescent="0.2">
      <c r="A2089" s="376">
        <v>16800</v>
      </c>
      <c r="B2089" s="377" t="s">
        <v>1308</v>
      </c>
    </row>
    <row r="2090" spans="1:2" x14ac:dyDescent="0.2">
      <c r="A2090" s="376">
        <v>16801</v>
      </c>
      <c r="B2090" s="377" t="s">
        <v>1309</v>
      </c>
    </row>
    <row r="2091" spans="1:2" ht="25.5" x14ac:dyDescent="0.2">
      <c r="A2091" s="376">
        <v>16802</v>
      </c>
      <c r="B2091" s="377" t="s">
        <v>1310</v>
      </c>
    </row>
    <row r="2092" spans="1:2" x14ac:dyDescent="0.2">
      <c r="A2092" s="376">
        <v>17000</v>
      </c>
      <c r="B2092" s="377" t="s">
        <v>1311</v>
      </c>
    </row>
    <row r="2093" spans="1:2" x14ac:dyDescent="0.2">
      <c r="A2093" s="376">
        <v>17100</v>
      </c>
      <c r="B2093" s="377" t="s">
        <v>1312</v>
      </c>
    </row>
    <row r="2094" spans="1:2" x14ac:dyDescent="0.2">
      <c r="A2094" s="376">
        <v>17101</v>
      </c>
      <c r="B2094" s="377" t="s">
        <v>1313</v>
      </c>
    </row>
    <row r="2095" spans="1:2" x14ac:dyDescent="0.2">
      <c r="A2095" s="376">
        <v>17102</v>
      </c>
      <c r="B2095" s="377" t="s">
        <v>1314</v>
      </c>
    </row>
    <row r="2096" spans="1:2" x14ac:dyDescent="0.2">
      <c r="A2096" s="376">
        <v>17103</v>
      </c>
      <c r="B2096" s="377" t="s">
        <v>1315</v>
      </c>
    </row>
    <row r="2097" spans="1:2" x14ac:dyDescent="0.2">
      <c r="A2097" s="376">
        <v>17200</v>
      </c>
      <c r="B2097" s="377" t="s">
        <v>1316</v>
      </c>
    </row>
    <row r="2098" spans="1:2" x14ac:dyDescent="0.2">
      <c r="A2098" s="376">
        <v>17201</v>
      </c>
      <c r="B2098" s="377" t="s">
        <v>1317</v>
      </c>
    </row>
    <row r="2099" spans="1:2" x14ac:dyDescent="0.2">
      <c r="A2099" s="376">
        <v>17202</v>
      </c>
      <c r="B2099" s="377" t="s">
        <v>1318</v>
      </c>
    </row>
    <row r="2100" spans="1:2" x14ac:dyDescent="0.2">
      <c r="A2100" s="376">
        <v>17203</v>
      </c>
      <c r="B2100" s="377" t="s">
        <v>1319</v>
      </c>
    </row>
    <row r="2101" spans="1:2" x14ac:dyDescent="0.2">
      <c r="A2101" s="376">
        <v>17500</v>
      </c>
      <c r="B2101" s="377" t="s">
        <v>1320</v>
      </c>
    </row>
    <row r="2102" spans="1:2" x14ac:dyDescent="0.2">
      <c r="A2102" s="376">
        <v>17600</v>
      </c>
      <c r="B2102" s="377" t="s">
        <v>1321</v>
      </c>
    </row>
    <row r="2103" spans="1:2" x14ac:dyDescent="0.2">
      <c r="A2103" s="376">
        <v>17900</v>
      </c>
      <c r="B2103" s="377" t="s">
        <v>1322</v>
      </c>
    </row>
    <row r="2104" spans="1:2" x14ac:dyDescent="0.2">
      <c r="A2104" s="376">
        <v>18200</v>
      </c>
      <c r="B2104" s="377" t="s">
        <v>1323</v>
      </c>
    </row>
    <row r="2105" spans="1:2" x14ac:dyDescent="0.2">
      <c r="A2105" s="376">
        <v>19900</v>
      </c>
      <c r="B2105" s="377" t="s">
        <v>1324</v>
      </c>
    </row>
    <row r="2106" spans="1:2" ht="25.5" x14ac:dyDescent="0.2">
      <c r="A2106" s="376">
        <v>20000</v>
      </c>
      <c r="B2106" s="377" t="s">
        <v>1325</v>
      </c>
    </row>
    <row r="2107" spans="1:2" x14ac:dyDescent="0.2">
      <c r="A2107" s="376">
        <v>20300</v>
      </c>
      <c r="B2107" s="377" t="s">
        <v>1326</v>
      </c>
    </row>
    <row r="2108" spans="1:2" x14ac:dyDescent="0.2">
      <c r="A2108" s="376">
        <v>20400</v>
      </c>
      <c r="B2108" s="377" t="s">
        <v>1260</v>
      </c>
    </row>
    <row r="2109" spans="1:2" x14ac:dyDescent="0.2">
      <c r="A2109" s="376">
        <v>21100</v>
      </c>
      <c r="B2109" s="377" t="s">
        <v>1327</v>
      </c>
    </row>
    <row r="2110" spans="1:2" x14ac:dyDescent="0.2">
      <c r="A2110" s="376">
        <v>21200</v>
      </c>
      <c r="B2110" s="377" t="s">
        <v>1328</v>
      </c>
    </row>
    <row r="2111" spans="1:2" x14ac:dyDescent="0.2">
      <c r="A2111" s="376">
        <v>22500</v>
      </c>
      <c r="B2111" s="377" t="s">
        <v>1329</v>
      </c>
    </row>
    <row r="2112" spans="1:2" x14ac:dyDescent="0.2">
      <c r="A2112" s="376">
        <v>100000</v>
      </c>
      <c r="B2112" s="377" t="s">
        <v>1330</v>
      </c>
    </row>
    <row r="2113" spans="1:2" x14ac:dyDescent="0.2">
      <c r="A2113" s="376">
        <v>100100</v>
      </c>
      <c r="B2113" s="377" t="s">
        <v>1331</v>
      </c>
    </row>
    <row r="2114" spans="1:2" x14ac:dyDescent="0.2">
      <c r="A2114" s="376">
        <v>100200</v>
      </c>
      <c r="B2114" s="377" t="s">
        <v>1332</v>
      </c>
    </row>
    <row r="2115" spans="1:2" x14ac:dyDescent="0.2">
      <c r="A2115" s="376">
        <v>200000</v>
      </c>
      <c r="B2115" s="377" t="s">
        <v>1333</v>
      </c>
    </row>
    <row r="2116" spans="1:2" x14ac:dyDescent="0.2">
      <c r="A2116" s="376">
        <v>200002</v>
      </c>
      <c r="B2116" s="377" t="s">
        <v>1334</v>
      </c>
    </row>
    <row r="2117" spans="1:2" x14ac:dyDescent="0.2">
      <c r="A2117" s="376">
        <v>200003</v>
      </c>
      <c r="B2117" s="377" t="s">
        <v>1335</v>
      </c>
    </row>
    <row r="2118" spans="1:2" x14ac:dyDescent="0.2">
      <c r="A2118" s="376">
        <v>200100</v>
      </c>
      <c r="B2118" s="377" t="s">
        <v>1336</v>
      </c>
    </row>
    <row r="2119" spans="1:2" x14ac:dyDescent="0.2">
      <c r="A2119" s="376">
        <v>200200</v>
      </c>
      <c r="B2119" s="377" t="s">
        <v>1337</v>
      </c>
    </row>
    <row r="2120" spans="1:2" x14ac:dyDescent="0.2">
      <c r="A2120" s="376">
        <v>200300</v>
      </c>
      <c r="B2120" s="377" t="s">
        <v>1338</v>
      </c>
    </row>
    <row r="2121" spans="1:2" ht="25.5" x14ac:dyDescent="0.2">
      <c r="A2121" s="376">
        <v>200400</v>
      </c>
      <c r="B2121" s="377" t="s">
        <v>1339</v>
      </c>
    </row>
    <row r="2122" spans="1:2" x14ac:dyDescent="0.2">
      <c r="A2122" s="376">
        <v>210000</v>
      </c>
      <c r="B2122" s="377" t="s">
        <v>1340</v>
      </c>
    </row>
    <row r="2123" spans="1:2" x14ac:dyDescent="0.2">
      <c r="A2123" s="376">
        <v>219900</v>
      </c>
      <c r="B2123" s="377" t="s">
        <v>1324</v>
      </c>
    </row>
    <row r="2124" spans="1:2" x14ac:dyDescent="0.2">
      <c r="A2124" s="376">
        <v>300000</v>
      </c>
      <c r="B2124" s="377" t="s">
        <v>1341</v>
      </c>
    </row>
    <row r="2125" spans="1:2" x14ac:dyDescent="0.2">
      <c r="A2125" s="376">
        <v>300100</v>
      </c>
      <c r="B2125" s="377" t="s">
        <v>1342</v>
      </c>
    </row>
    <row r="2126" spans="1:2" x14ac:dyDescent="0.2">
      <c r="A2126" s="376">
        <v>300300</v>
      </c>
      <c r="B2126" s="377" t="s">
        <v>1343</v>
      </c>
    </row>
    <row r="2127" spans="1:2" x14ac:dyDescent="0.2">
      <c r="A2127" s="376">
        <v>300301</v>
      </c>
      <c r="B2127" s="377" t="s">
        <v>1344</v>
      </c>
    </row>
    <row r="2128" spans="1:2" x14ac:dyDescent="0.2">
      <c r="A2128" s="376">
        <v>300302</v>
      </c>
      <c r="B2128" s="377" t="s">
        <v>1345</v>
      </c>
    </row>
    <row r="2129" spans="1:2" x14ac:dyDescent="0.2">
      <c r="A2129" s="376">
        <v>300400</v>
      </c>
      <c r="B2129" s="377" t="s">
        <v>1346</v>
      </c>
    </row>
    <row r="2130" spans="1:2" x14ac:dyDescent="0.2">
      <c r="A2130" s="376">
        <v>300500</v>
      </c>
      <c r="B2130" s="377" t="s">
        <v>1347</v>
      </c>
    </row>
    <row r="2131" spans="1:2" x14ac:dyDescent="0.2">
      <c r="A2131" s="376">
        <v>300600</v>
      </c>
      <c r="B2131" s="377" t="s">
        <v>1348</v>
      </c>
    </row>
    <row r="2132" spans="1:2" x14ac:dyDescent="0.2">
      <c r="A2132" s="376">
        <v>300700</v>
      </c>
      <c r="B2132" s="377" t="s">
        <v>1349</v>
      </c>
    </row>
    <row r="2133" spans="1:2" x14ac:dyDescent="0.2">
      <c r="A2133" s="376">
        <v>300800</v>
      </c>
      <c r="B2133" s="377" t="s">
        <v>1350</v>
      </c>
    </row>
    <row r="2134" spans="1:2" ht="25.5" x14ac:dyDescent="0.2">
      <c r="A2134" s="376">
        <v>300900</v>
      </c>
      <c r="B2134" s="377" t="s">
        <v>1351</v>
      </c>
    </row>
    <row r="2135" spans="1:2" x14ac:dyDescent="0.2">
      <c r="A2135" s="376">
        <v>301000</v>
      </c>
      <c r="B2135" s="377" t="s">
        <v>1352</v>
      </c>
    </row>
    <row r="2136" spans="1:2" x14ac:dyDescent="0.2">
      <c r="A2136" s="376">
        <v>301100</v>
      </c>
      <c r="B2136" s="377" t="s">
        <v>1353</v>
      </c>
    </row>
    <row r="2137" spans="1:2" x14ac:dyDescent="0.2">
      <c r="A2137" s="376">
        <v>301200</v>
      </c>
      <c r="B2137" s="377" t="s">
        <v>1354</v>
      </c>
    </row>
    <row r="2138" spans="1:2" x14ac:dyDescent="0.2">
      <c r="A2138" s="376">
        <v>301300</v>
      </c>
      <c r="B2138" s="377" t="s">
        <v>1355</v>
      </c>
    </row>
    <row r="2139" spans="1:2" x14ac:dyDescent="0.2">
      <c r="A2139" s="376">
        <v>301400</v>
      </c>
      <c r="B2139" s="377" t="s">
        <v>1356</v>
      </c>
    </row>
    <row r="2140" spans="1:2" x14ac:dyDescent="0.2">
      <c r="A2140" s="376">
        <v>309600</v>
      </c>
      <c r="B2140" s="377" t="s">
        <v>1357</v>
      </c>
    </row>
    <row r="2141" spans="1:2" x14ac:dyDescent="0.2">
      <c r="A2141" s="376">
        <v>309700</v>
      </c>
      <c r="B2141" s="377" t="s">
        <v>1358</v>
      </c>
    </row>
    <row r="2142" spans="1:2" x14ac:dyDescent="0.2">
      <c r="A2142" s="376">
        <v>309800</v>
      </c>
      <c r="B2142" s="377" t="s">
        <v>1359</v>
      </c>
    </row>
    <row r="2143" spans="1:2" x14ac:dyDescent="0.2">
      <c r="A2143" s="376">
        <v>310000</v>
      </c>
      <c r="B2143" s="377" t="s">
        <v>1360</v>
      </c>
    </row>
    <row r="2144" spans="1:2" x14ac:dyDescent="0.2">
      <c r="A2144" s="376">
        <v>310100</v>
      </c>
      <c r="B2144" s="377" t="s">
        <v>1361</v>
      </c>
    </row>
    <row r="2145" spans="1:2" x14ac:dyDescent="0.2">
      <c r="A2145" s="376">
        <v>310200</v>
      </c>
      <c r="B2145" s="377" t="s">
        <v>1362</v>
      </c>
    </row>
    <row r="2146" spans="1:2" x14ac:dyDescent="0.2">
      <c r="A2146" s="376">
        <v>310300</v>
      </c>
      <c r="B2146" s="377" t="s">
        <v>1363</v>
      </c>
    </row>
    <row r="2147" spans="1:2" x14ac:dyDescent="0.2">
      <c r="A2147" s="376">
        <v>320000</v>
      </c>
      <c r="B2147" s="377" t="s">
        <v>1364</v>
      </c>
    </row>
    <row r="2148" spans="1:2" x14ac:dyDescent="0.2">
      <c r="A2148" s="376">
        <v>326900</v>
      </c>
      <c r="B2148" s="377" t="s">
        <v>1365</v>
      </c>
    </row>
    <row r="2149" spans="1:2" x14ac:dyDescent="0.2">
      <c r="A2149" s="376">
        <v>329600</v>
      </c>
      <c r="B2149" s="377" t="s">
        <v>1357</v>
      </c>
    </row>
    <row r="2150" spans="1:2" x14ac:dyDescent="0.2">
      <c r="A2150" s="376">
        <v>329800</v>
      </c>
      <c r="B2150" s="377" t="s">
        <v>1359</v>
      </c>
    </row>
    <row r="2151" spans="1:2" x14ac:dyDescent="0.2">
      <c r="A2151" s="376">
        <v>340000</v>
      </c>
      <c r="B2151" s="377" t="s">
        <v>1366</v>
      </c>
    </row>
    <row r="2152" spans="1:2" x14ac:dyDescent="0.2">
      <c r="A2152" s="376">
        <v>340100</v>
      </c>
      <c r="B2152" s="377" t="s">
        <v>1367</v>
      </c>
    </row>
    <row r="2153" spans="1:2" x14ac:dyDescent="0.2">
      <c r="A2153" s="376">
        <v>400000</v>
      </c>
      <c r="B2153" s="377" t="s">
        <v>1368</v>
      </c>
    </row>
    <row r="2154" spans="1:2" x14ac:dyDescent="0.2">
      <c r="A2154" s="376">
        <v>400100</v>
      </c>
      <c r="B2154" s="377" t="s">
        <v>1369</v>
      </c>
    </row>
    <row r="2155" spans="1:2" x14ac:dyDescent="0.2">
      <c r="A2155" s="376">
        <v>400200</v>
      </c>
      <c r="B2155" s="377" t="s">
        <v>1370</v>
      </c>
    </row>
    <row r="2156" spans="1:2" x14ac:dyDescent="0.2">
      <c r="A2156" s="376">
        <v>500000</v>
      </c>
      <c r="B2156" s="377" t="s">
        <v>1371</v>
      </c>
    </row>
    <row r="2157" spans="1:2" x14ac:dyDescent="0.2">
      <c r="A2157" s="376">
        <v>500100</v>
      </c>
      <c r="B2157" s="377" t="s">
        <v>1372</v>
      </c>
    </row>
    <row r="2158" spans="1:2" x14ac:dyDescent="0.2">
      <c r="A2158" s="376">
        <v>509900</v>
      </c>
      <c r="B2158" s="377" t="s">
        <v>1324</v>
      </c>
    </row>
    <row r="2159" spans="1:2" x14ac:dyDescent="0.2">
      <c r="A2159" s="376">
        <v>600000</v>
      </c>
      <c r="B2159" s="377" t="s">
        <v>1373</v>
      </c>
    </row>
    <row r="2160" spans="1:2" x14ac:dyDescent="0.2">
      <c r="A2160" s="376">
        <v>600400</v>
      </c>
      <c r="B2160" s="377" t="s">
        <v>1260</v>
      </c>
    </row>
    <row r="2161" spans="1:2" x14ac:dyDescent="0.2">
      <c r="A2161" s="376">
        <v>607900</v>
      </c>
      <c r="B2161" s="377" t="s">
        <v>1322</v>
      </c>
    </row>
    <row r="2162" spans="1:2" x14ac:dyDescent="0.2">
      <c r="A2162" s="376">
        <v>609200</v>
      </c>
      <c r="B2162" s="377" t="s">
        <v>1374</v>
      </c>
    </row>
    <row r="2163" spans="1:2" ht="25.5" x14ac:dyDescent="0.2">
      <c r="A2163" s="376">
        <v>609300</v>
      </c>
      <c r="B2163" s="377" t="s">
        <v>1375</v>
      </c>
    </row>
    <row r="2164" spans="1:2" x14ac:dyDescent="0.2">
      <c r="A2164" s="376">
        <v>609400</v>
      </c>
      <c r="B2164" s="377" t="s">
        <v>1376</v>
      </c>
    </row>
    <row r="2165" spans="1:2" x14ac:dyDescent="0.2">
      <c r="A2165" s="376">
        <v>609900</v>
      </c>
      <c r="B2165" s="377" t="s">
        <v>1324</v>
      </c>
    </row>
    <row r="2166" spans="1:2" x14ac:dyDescent="0.2">
      <c r="A2166" s="376">
        <v>610000</v>
      </c>
      <c r="B2166" s="377" t="s">
        <v>1377</v>
      </c>
    </row>
    <row r="2167" spans="1:2" ht="25.5" x14ac:dyDescent="0.2">
      <c r="A2167" s="376">
        <v>615600</v>
      </c>
      <c r="B2167" s="377" t="s">
        <v>1378</v>
      </c>
    </row>
    <row r="2168" spans="1:2" x14ac:dyDescent="0.2">
      <c r="A2168" s="376">
        <v>619000</v>
      </c>
      <c r="B2168" s="377" t="s">
        <v>1379</v>
      </c>
    </row>
    <row r="2169" spans="1:2" x14ac:dyDescent="0.2">
      <c r="A2169" s="376">
        <v>619100</v>
      </c>
      <c r="B2169" s="377" t="s">
        <v>1380</v>
      </c>
    </row>
    <row r="2170" spans="1:2" x14ac:dyDescent="0.2">
      <c r="A2170" s="376">
        <v>619200</v>
      </c>
      <c r="B2170" s="377" t="s">
        <v>1374</v>
      </c>
    </row>
    <row r="2171" spans="1:2" x14ac:dyDescent="0.2">
      <c r="A2171" s="376">
        <v>619900</v>
      </c>
      <c r="B2171" s="377" t="s">
        <v>1324</v>
      </c>
    </row>
    <row r="2172" spans="1:2" x14ac:dyDescent="0.2">
      <c r="A2172" s="376">
        <v>650000</v>
      </c>
      <c r="B2172" s="377" t="s">
        <v>1381</v>
      </c>
    </row>
    <row r="2173" spans="1:2" x14ac:dyDescent="0.2">
      <c r="A2173" s="376">
        <v>650100</v>
      </c>
      <c r="B2173" s="377" t="s">
        <v>1382</v>
      </c>
    </row>
    <row r="2174" spans="1:2" x14ac:dyDescent="0.2">
      <c r="A2174" s="376">
        <v>650300</v>
      </c>
      <c r="B2174" s="377" t="s">
        <v>1383</v>
      </c>
    </row>
    <row r="2175" spans="1:2" x14ac:dyDescent="0.2">
      <c r="A2175" s="376">
        <v>700000</v>
      </c>
      <c r="B2175" s="377" t="s">
        <v>204</v>
      </c>
    </row>
    <row r="2176" spans="1:2" x14ac:dyDescent="0.2">
      <c r="A2176" s="376">
        <v>700100</v>
      </c>
      <c r="B2176" s="377" t="s">
        <v>1384</v>
      </c>
    </row>
    <row r="2177" spans="1:2" x14ac:dyDescent="0.2">
      <c r="A2177" s="376">
        <v>700200</v>
      </c>
      <c r="B2177" s="377" t="s">
        <v>1385</v>
      </c>
    </row>
    <row r="2178" spans="1:2" ht="25.5" x14ac:dyDescent="0.2">
      <c r="A2178" s="376">
        <v>700300</v>
      </c>
      <c r="B2178" s="377" t="s">
        <v>1386</v>
      </c>
    </row>
    <row r="2179" spans="1:2" x14ac:dyDescent="0.2">
      <c r="A2179" s="376">
        <v>700400</v>
      </c>
      <c r="B2179" s="377" t="s">
        <v>1387</v>
      </c>
    </row>
    <row r="2180" spans="1:2" x14ac:dyDescent="0.2">
      <c r="A2180" s="376">
        <v>700500</v>
      </c>
      <c r="B2180" s="377" t="s">
        <v>630</v>
      </c>
    </row>
    <row r="2181" spans="1:2" x14ac:dyDescent="0.2">
      <c r="A2181" s="376">
        <v>750000</v>
      </c>
      <c r="B2181" s="377" t="s">
        <v>1388</v>
      </c>
    </row>
    <row r="2182" spans="1:2" x14ac:dyDescent="0.2">
      <c r="A2182" s="376">
        <v>750100</v>
      </c>
      <c r="B2182" s="377" t="s">
        <v>1388</v>
      </c>
    </row>
    <row r="2183" spans="1:2" x14ac:dyDescent="0.2">
      <c r="A2183" s="376">
        <v>800000</v>
      </c>
      <c r="B2183" s="377" t="s">
        <v>1389</v>
      </c>
    </row>
    <row r="2184" spans="1:2" x14ac:dyDescent="0.2">
      <c r="A2184" s="376">
        <v>800100</v>
      </c>
      <c r="B2184" s="377" t="s">
        <v>1390</v>
      </c>
    </row>
    <row r="2185" spans="1:2" x14ac:dyDescent="0.2">
      <c r="A2185" s="376">
        <v>800200</v>
      </c>
      <c r="B2185" s="377" t="s">
        <v>1391</v>
      </c>
    </row>
    <row r="2186" spans="1:2" ht="25.5" x14ac:dyDescent="0.2">
      <c r="A2186" s="376">
        <v>809300</v>
      </c>
      <c r="B2186" s="377" t="s">
        <v>1375</v>
      </c>
    </row>
    <row r="2187" spans="1:2" x14ac:dyDescent="0.2">
      <c r="A2187" s="376">
        <v>810000</v>
      </c>
      <c r="B2187" s="377" t="s">
        <v>1392</v>
      </c>
    </row>
    <row r="2188" spans="1:2" ht="25.5" x14ac:dyDescent="0.2">
      <c r="A2188" s="376">
        <v>810100</v>
      </c>
      <c r="B2188" s="377" t="s">
        <v>1393</v>
      </c>
    </row>
    <row r="2189" spans="1:2" x14ac:dyDescent="0.2">
      <c r="A2189" s="376">
        <v>810200</v>
      </c>
      <c r="B2189" s="377" t="s">
        <v>1394</v>
      </c>
    </row>
    <row r="2190" spans="1:2" ht="25.5" x14ac:dyDescent="0.2">
      <c r="A2190" s="376">
        <v>810300</v>
      </c>
      <c r="B2190" s="377" t="s">
        <v>1395</v>
      </c>
    </row>
    <row r="2191" spans="1:2" ht="25.5" x14ac:dyDescent="0.2">
      <c r="A2191" s="376">
        <v>810400</v>
      </c>
      <c r="B2191" s="377" t="s">
        <v>1396</v>
      </c>
    </row>
    <row r="2192" spans="1:2" x14ac:dyDescent="0.2">
      <c r="A2192" s="376">
        <v>815013</v>
      </c>
      <c r="B2192" s="377" t="s">
        <v>1397</v>
      </c>
    </row>
    <row r="2193" spans="1:2" x14ac:dyDescent="0.2">
      <c r="A2193" s="376">
        <v>815800</v>
      </c>
      <c r="B2193" s="377" t="s">
        <v>1306</v>
      </c>
    </row>
    <row r="2194" spans="1:2" x14ac:dyDescent="0.2">
      <c r="A2194" s="376">
        <v>816800</v>
      </c>
      <c r="B2194" s="377" t="s">
        <v>1398</v>
      </c>
    </row>
    <row r="2195" spans="1:2" x14ac:dyDescent="0.2">
      <c r="A2195" s="376">
        <v>816801</v>
      </c>
      <c r="B2195" s="377" t="s">
        <v>1309</v>
      </c>
    </row>
    <row r="2196" spans="1:2" ht="25.5" x14ac:dyDescent="0.2">
      <c r="A2196" s="376">
        <v>816802</v>
      </c>
      <c r="B2196" s="377" t="s">
        <v>1310</v>
      </c>
    </row>
    <row r="2197" spans="1:2" x14ac:dyDescent="0.2">
      <c r="A2197" s="376">
        <v>816900</v>
      </c>
      <c r="B2197" s="377" t="s">
        <v>1365</v>
      </c>
    </row>
    <row r="2198" spans="1:2" x14ac:dyDescent="0.2">
      <c r="A2198" s="376">
        <v>817100</v>
      </c>
      <c r="B2198" s="377" t="s">
        <v>1312</v>
      </c>
    </row>
    <row r="2199" spans="1:2" x14ac:dyDescent="0.2">
      <c r="A2199" s="376">
        <v>817101</v>
      </c>
      <c r="B2199" s="377" t="s">
        <v>1313</v>
      </c>
    </row>
    <row r="2200" spans="1:2" x14ac:dyDescent="0.2">
      <c r="A2200" s="376">
        <v>817102</v>
      </c>
      <c r="B2200" s="377" t="s">
        <v>1314</v>
      </c>
    </row>
    <row r="2201" spans="1:2" x14ac:dyDescent="0.2">
      <c r="A2201" s="376">
        <v>817103</v>
      </c>
      <c r="B2201" s="377" t="s">
        <v>1315</v>
      </c>
    </row>
    <row r="2202" spans="1:2" x14ac:dyDescent="0.2">
      <c r="A2202" s="376">
        <v>817200</v>
      </c>
      <c r="B2202" s="377" t="s">
        <v>1316</v>
      </c>
    </row>
    <row r="2203" spans="1:2" x14ac:dyDescent="0.2">
      <c r="A2203" s="376">
        <v>817201</v>
      </c>
      <c r="B2203" s="377" t="s">
        <v>1317</v>
      </c>
    </row>
    <row r="2204" spans="1:2" x14ac:dyDescent="0.2">
      <c r="A2204" s="376">
        <v>817202</v>
      </c>
      <c r="B2204" s="377" t="s">
        <v>1318</v>
      </c>
    </row>
    <row r="2205" spans="1:2" x14ac:dyDescent="0.2">
      <c r="A2205" s="376">
        <v>817203</v>
      </c>
      <c r="B2205" s="377" t="s">
        <v>1319</v>
      </c>
    </row>
    <row r="2206" spans="1:2" x14ac:dyDescent="0.2">
      <c r="A2206" s="376">
        <v>817294</v>
      </c>
      <c r="B2206" s="377" t="s">
        <v>1399</v>
      </c>
    </row>
    <row r="2207" spans="1:2" x14ac:dyDescent="0.2">
      <c r="A2207" s="376">
        <v>817600</v>
      </c>
      <c r="B2207" s="377" t="s">
        <v>1321</v>
      </c>
    </row>
    <row r="2208" spans="1:2" x14ac:dyDescent="0.2">
      <c r="A2208" s="376">
        <v>818700</v>
      </c>
      <c r="B2208" s="377" t="s">
        <v>1400</v>
      </c>
    </row>
    <row r="2209" spans="1:2" x14ac:dyDescent="0.2">
      <c r="A2209" s="376">
        <v>818800</v>
      </c>
      <c r="B2209" s="377" t="s">
        <v>1401</v>
      </c>
    </row>
    <row r="2210" spans="1:2" x14ac:dyDescent="0.2">
      <c r="A2210" s="376">
        <v>819200</v>
      </c>
      <c r="B2210" s="377" t="s">
        <v>1374</v>
      </c>
    </row>
    <row r="2211" spans="1:2" ht="25.5" x14ac:dyDescent="0.2">
      <c r="A2211" s="376">
        <v>819300</v>
      </c>
      <c r="B2211" s="377" t="s">
        <v>1375</v>
      </c>
    </row>
    <row r="2212" spans="1:2" x14ac:dyDescent="0.2">
      <c r="A2212" s="376">
        <v>819900</v>
      </c>
      <c r="B2212" s="377" t="s">
        <v>1324</v>
      </c>
    </row>
    <row r="2213" spans="1:2" ht="25.5" x14ac:dyDescent="0.2">
      <c r="A2213" s="376">
        <v>900000</v>
      </c>
      <c r="B2213" s="377" t="s">
        <v>1402</v>
      </c>
    </row>
    <row r="2214" spans="1:2" x14ac:dyDescent="0.2">
      <c r="A2214" s="376">
        <v>900100</v>
      </c>
      <c r="B2214" s="377" t="s">
        <v>1403</v>
      </c>
    </row>
    <row r="2215" spans="1:2" x14ac:dyDescent="0.2">
      <c r="A2215" s="376">
        <v>900200</v>
      </c>
      <c r="B2215" s="377" t="s">
        <v>1404</v>
      </c>
    </row>
    <row r="2216" spans="1:2" x14ac:dyDescent="0.2">
      <c r="A2216" s="376">
        <v>909900</v>
      </c>
      <c r="B2216" s="377" t="s">
        <v>1324</v>
      </c>
    </row>
    <row r="2217" spans="1:2" x14ac:dyDescent="0.2">
      <c r="A2217" s="376">
        <v>910000</v>
      </c>
      <c r="B2217" s="377" t="s">
        <v>1405</v>
      </c>
    </row>
    <row r="2218" spans="1:2" x14ac:dyDescent="0.2">
      <c r="A2218" s="376">
        <v>910100</v>
      </c>
      <c r="B2218" s="377" t="s">
        <v>1406</v>
      </c>
    </row>
    <row r="2219" spans="1:2" x14ac:dyDescent="0.2">
      <c r="A2219" s="376">
        <v>910101</v>
      </c>
      <c r="B2219" s="377" t="s">
        <v>1407</v>
      </c>
    </row>
    <row r="2220" spans="1:2" x14ac:dyDescent="0.2">
      <c r="A2220" s="376">
        <v>910200</v>
      </c>
      <c r="B2220" s="377" t="s">
        <v>1408</v>
      </c>
    </row>
    <row r="2221" spans="1:2" x14ac:dyDescent="0.2">
      <c r="A2221" s="376">
        <v>910300</v>
      </c>
      <c r="B2221" s="377" t="s">
        <v>1409</v>
      </c>
    </row>
    <row r="2222" spans="1:2" x14ac:dyDescent="0.2">
      <c r="A2222" s="376">
        <v>920000</v>
      </c>
      <c r="B2222" s="377" t="s">
        <v>1410</v>
      </c>
    </row>
    <row r="2223" spans="1:2" x14ac:dyDescent="0.2">
      <c r="A2223" s="376">
        <v>920100</v>
      </c>
      <c r="B2223" s="377" t="s">
        <v>1411</v>
      </c>
    </row>
    <row r="2224" spans="1:2" ht="25.5" x14ac:dyDescent="0.2">
      <c r="A2224" s="376">
        <v>920200</v>
      </c>
      <c r="B2224" s="377" t="s">
        <v>1412</v>
      </c>
    </row>
    <row r="2225" spans="1:2" x14ac:dyDescent="0.2">
      <c r="A2225" s="376">
        <v>920300</v>
      </c>
      <c r="B2225" s="377" t="s">
        <v>1348</v>
      </c>
    </row>
    <row r="2226" spans="1:2" x14ac:dyDescent="0.2">
      <c r="A2226" s="376">
        <v>920301</v>
      </c>
      <c r="B2226" s="377" t="s">
        <v>1413</v>
      </c>
    </row>
    <row r="2227" spans="1:2" x14ac:dyDescent="0.2">
      <c r="A2227" s="376">
        <v>920303</v>
      </c>
      <c r="B2227" s="377" t="s">
        <v>1414</v>
      </c>
    </row>
    <row r="2228" spans="1:2" x14ac:dyDescent="0.2">
      <c r="A2228" s="376">
        <v>920305</v>
      </c>
      <c r="B2228" s="377" t="s">
        <v>1415</v>
      </c>
    </row>
    <row r="2229" spans="1:2" x14ac:dyDescent="0.2">
      <c r="A2229" s="376">
        <v>920400</v>
      </c>
      <c r="B2229" s="377" t="s">
        <v>1416</v>
      </c>
    </row>
    <row r="2230" spans="1:2" ht="25.5" x14ac:dyDescent="0.2">
      <c r="A2230" s="376">
        <v>920500</v>
      </c>
      <c r="B2230" s="377" t="s">
        <v>1417</v>
      </c>
    </row>
    <row r="2231" spans="1:2" x14ac:dyDescent="0.2">
      <c r="A2231" s="376">
        <v>920600</v>
      </c>
      <c r="B2231" s="377" t="s">
        <v>1418</v>
      </c>
    </row>
    <row r="2232" spans="1:2" x14ac:dyDescent="0.2">
      <c r="A2232" s="376">
        <v>920700</v>
      </c>
      <c r="B2232" s="377" t="s">
        <v>1419</v>
      </c>
    </row>
    <row r="2233" spans="1:2" ht="25.5" x14ac:dyDescent="0.2">
      <c r="A2233" s="376">
        <v>920800</v>
      </c>
      <c r="B2233" s="377" t="s">
        <v>1420</v>
      </c>
    </row>
    <row r="2234" spans="1:2" x14ac:dyDescent="0.2">
      <c r="A2234" s="376">
        <v>920900</v>
      </c>
      <c r="B2234" s="377" t="s">
        <v>1421</v>
      </c>
    </row>
    <row r="2235" spans="1:2" ht="25.5" x14ac:dyDescent="0.2">
      <c r="A2235" s="376">
        <v>921200</v>
      </c>
      <c r="B2235" s="377" t="s">
        <v>1422</v>
      </c>
    </row>
    <row r="2236" spans="1:2" ht="25.5" x14ac:dyDescent="0.2">
      <c r="A2236" s="376">
        <v>921300</v>
      </c>
      <c r="B2236" s="377" t="s">
        <v>1423</v>
      </c>
    </row>
    <row r="2237" spans="1:2" ht="25.5" x14ac:dyDescent="0.2">
      <c r="A2237" s="376">
        <v>921400</v>
      </c>
      <c r="B2237" s="377" t="s">
        <v>1424</v>
      </c>
    </row>
    <row r="2238" spans="1:2" ht="51" x14ac:dyDescent="0.2">
      <c r="A2238" s="376">
        <v>921500</v>
      </c>
      <c r="B2238" s="377" t="s">
        <v>1425</v>
      </c>
    </row>
    <row r="2239" spans="1:2" x14ac:dyDescent="0.2">
      <c r="A2239" s="376">
        <v>921600</v>
      </c>
      <c r="B2239" s="377" t="s">
        <v>1426</v>
      </c>
    </row>
    <row r="2240" spans="1:2" x14ac:dyDescent="0.2">
      <c r="A2240" s="376">
        <v>921700</v>
      </c>
      <c r="B2240" s="377" t="s">
        <v>1427</v>
      </c>
    </row>
    <row r="2241" spans="1:3" ht="25.5" x14ac:dyDescent="0.2">
      <c r="A2241" s="376">
        <v>921800</v>
      </c>
      <c r="B2241" s="377" t="s">
        <v>1428</v>
      </c>
    </row>
    <row r="2242" spans="1:3" ht="25.5" x14ac:dyDescent="0.2">
      <c r="A2242" s="376">
        <v>921900</v>
      </c>
      <c r="B2242" s="377" t="s">
        <v>1429</v>
      </c>
    </row>
    <row r="2243" spans="1:3" ht="25.5" x14ac:dyDescent="0.2">
      <c r="A2243" s="376">
        <v>922000</v>
      </c>
      <c r="B2243" s="377" t="s">
        <v>1430</v>
      </c>
    </row>
    <row r="2244" spans="1:3" ht="25.5" x14ac:dyDescent="0.2">
      <c r="A2244" s="376">
        <v>922100</v>
      </c>
      <c r="B2244" s="377" t="s">
        <v>1431</v>
      </c>
    </row>
    <row r="2245" spans="1:3" ht="38.25" x14ac:dyDescent="0.2">
      <c r="A2245" s="376">
        <v>922400</v>
      </c>
      <c r="B2245" s="377" t="s">
        <v>1432</v>
      </c>
    </row>
    <row r="2246" spans="1:3" ht="25.5" x14ac:dyDescent="0.2">
      <c r="A2246" s="376">
        <v>922500</v>
      </c>
      <c r="B2246" s="377" t="s">
        <v>1433</v>
      </c>
    </row>
    <row r="2247" spans="1:3" ht="76.5" x14ac:dyDescent="0.2">
      <c r="A2247" s="376">
        <v>922600</v>
      </c>
      <c r="B2247" s="377" t="s">
        <v>1434</v>
      </c>
    </row>
    <row r="2248" spans="1:3" x14ac:dyDescent="0.2">
      <c r="A2248" s="376">
        <v>922700</v>
      </c>
      <c r="B2248" s="377" t="s">
        <v>1435</v>
      </c>
    </row>
    <row r="2249" spans="1:3" x14ac:dyDescent="0.2">
      <c r="A2249" s="376">
        <v>922800</v>
      </c>
      <c r="B2249" s="377" t="s">
        <v>1436</v>
      </c>
      <c r="C2249" s="78" t="s">
        <v>1437</v>
      </c>
    </row>
    <row r="2250" spans="1:3" x14ac:dyDescent="0.2">
      <c r="A2250" s="376">
        <v>922900</v>
      </c>
      <c r="B2250" s="377" t="s">
        <v>1438</v>
      </c>
    </row>
    <row r="2251" spans="1:3" ht="25.5" x14ac:dyDescent="0.2">
      <c r="A2251" s="376">
        <v>923000</v>
      </c>
      <c r="B2251" s="377" t="s">
        <v>1439</v>
      </c>
    </row>
    <row r="2252" spans="1:3" ht="25.5" x14ac:dyDescent="0.2">
      <c r="A2252" s="376">
        <v>923001</v>
      </c>
      <c r="B2252" s="377" t="s">
        <v>1440</v>
      </c>
    </row>
    <row r="2253" spans="1:3" x14ac:dyDescent="0.2">
      <c r="A2253" s="376">
        <v>923100</v>
      </c>
      <c r="B2253" s="377" t="s">
        <v>1441</v>
      </c>
    </row>
    <row r="2254" spans="1:3" x14ac:dyDescent="0.2">
      <c r="A2254" s="376">
        <v>923101</v>
      </c>
      <c r="B2254" s="377" t="s">
        <v>1442</v>
      </c>
    </row>
    <row r="2255" spans="1:3" ht="25.5" x14ac:dyDescent="0.2">
      <c r="A2255" s="376">
        <v>923102</v>
      </c>
      <c r="B2255" s="377" t="s">
        <v>1443</v>
      </c>
    </row>
    <row r="2256" spans="1:3" ht="25.5" x14ac:dyDescent="0.2">
      <c r="A2256" s="376">
        <v>923200</v>
      </c>
      <c r="B2256" s="377" t="s">
        <v>1444</v>
      </c>
    </row>
    <row r="2257" spans="1:2" x14ac:dyDescent="0.2">
      <c r="A2257" s="376">
        <v>923400</v>
      </c>
      <c r="B2257" s="377" t="s">
        <v>1445</v>
      </c>
    </row>
    <row r="2258" spans="1:2" ht="38.25" x14ac:dyDescent="0.2">
      <c r="A2258" s="376">
        <v>923403</v>
      </c>
      <c r="B2258" s="377" t="s">
        <v>1446</v>
      </c>
    </row>
    <row r="2259" spans="1:2" x14ac:dyDescent="0.2">
      <c r="A2259" s="376">
        <v>923500</v>
      </c>
      <c r="B2259" s="377" t="s">
        <v>1447</v>
      </c>
    </row>
    <row r="2260" spans="1:2" ht="25.5" x14ac:dyDescent="0.2">
      <c r="A2260" s="376">
        <v>923700</v>
      </c>
      <c r="B2260" s="377" t="s">
        <v>1448</v>
      </c>
    </row>
    <row r="2261" spans="1:2" ht="25.5" x14ac:dyDescent="0.2">
      <c r="A2261" s="376">
        <v>923800</v>
      </c>
      <c r="B2261" s="377" t="s">
        <v>1449</v>
      </c>
    </row>
    <row r="2262" spans="1:2" x14ac:dyDescent="0.2">
      <c r="A2262" s="376">
        <v>924000</v>
      </c>
      <c r="B2262" s="377" t="s">
        <v>1450</v>
      </c>
    </row>
    <row r="2263" spans="1:2" ht="25.5" x14ac:dyDescent="0.2">
      <c r="A2263" s="376">
        <v>924100</v>
      </c>
      <c r="B2263" s="377" t="s">
        <v>1451</v>
      </c>
    </row>
    <row r="2264" spans="1:2" ht="25.5" x14ac:dyDescent="0.2">
      <c r="A2264" s="376">
        <v>924200</v>
      </c>
      <c r="B2264" s="377" t="s">
        <v>1452</v>
      </c>
    </row>
    <row r="2265" spans="1:2" x14ac:dyDescent="0.2">
      <c r="A2265" s="376">
        <v>926600</v>
      </c>
      <c r="B2265" s="377" t="s">
        <v>1453</v>
      </c>
    </row>
    <row r="2266" spans="1:2" ht="25.5" x14ac:dyDescent="0.2">
      <c r="A2266" s="376">
        <v>928000</v>
      </c>
      <c r="B2266" s="377" t="s">
        <v>1454</v>
      </c>
    </row>
    <row r="2267" spans="1:2" x14ac:dyDescent="0.2">
      <c r="A2267" s="376">
        <v>928400</v>
      </c>
      <c r="B2267" s="377" t="s">
        <v>1455</v>
      </c>
    </row>
    <row r="2268" spans="1:2" x14ac:dyDescent="0.2">
      <c r="A2268" s="376">
        <v>928500</v>
      </c>
      <c r="B2268" s="377" t="s">
        <v>1456</v>
      </c>
    </row>
    <row r="2269" spans="1:2" x14ac:dyDescent="0.2">
      <c r="A2269" s="376">
        <v>929900</v>
      </c>
      <c r="B2269" s="377" t="s">
        <v>1324</v>
      </c>
    </row>
    <row r="2270" spans="1:2" x14ac:dyDescent="0.2">
      <c r="A2270" s="376">
        <v>930000</v>
      </c>
      <c r="B2270" s="377" t="s">
        <v>1457</v>
      </c>
    </row>
    <row r="2271" spans="1:2" ht="25.5" x14ac:dyDescent="0.2">
      <c r="A2271" s="376">
        <v>930100</v>
      </c>
      <c r="B2271" s="377" t="s">
        <v>1458</v>
      </c>
    </row>
    <row r="2272" spans="1:2" x14ac:dyDescent="0.2">
      <c r="A2272" s="376">
        <v>936600</v>
      </c>
      <c r="B2272" s="377" t="s">
        <v>1453</v>
      </c>
    </row>
    <row r="2273" spans="1:2" x14ac:dyDescent="0.2">
      <c r="A2273" s="376">
        <v>939900</v>
      </c>
      <c r="B2273" s="377" t="s">
        <v>1324</v>
      </c>
    </row>
    <row r="2274" spans="1:2" x14ac:dyDescent="0.2">
      <c r="A2274" s="376">
        <v>940000</v>
      </c>
      <c r="B2274" s="377" t="s">
        <v>1459</v>
      </c>
    </row>
    <row r="2275" spans="1:2" x14ac:dyDescent="0.2">
      <c r="A2275" s="376">
        <v>948400</v>
      </c>
      <c r="B2275" s="377" t="s">
        <v>1460</v>
      </c>
    </row>
    <row r="2276" spans="1:2" x14ac:dyDescent="0.2">
      <c r="A2276" s="376">
        <v>950000</v>
      </c>
      <c r="B2276" s="377" t="s">
        <v>1461</v>
      </c>
    </row>
    <row r="2277" spans="1:2" ht="25.5" x14ac:dyDescent="0.2">
      <c r="A2277" s="376">
        <v>960000</v>
      </c>
      <c r="B2277" s="377" t="s">
        <v>1462</v>
      </c>
    </row>
    <row r="2278" spans="1:2" ht="25.5" x14ac:dyDescent="0.2">
      <c r="A2278" s="376">
        <v>960100</v>
      </c>
      <c r="B2278" s="377" t="s">
        <v>1463</v>
      </c>
    </row>
    <row r="2279" spans="1:2" ht="38.25" x14ac:dyDescent="0.2">
      <c r="A2279" s="376">
        <v>960200</v>
      </c>
      <c r="B2279" s="377" t="s">
        <v>1464</v>
      </c>
    </row>
    <row r="2280" spans="1:2" ht="25.5" x14ac:dyDescent="0.2">
      <c r="A2280" s="376">
        <v>960300</v>
      </c>
      <c r="B2280" s="377" t="s">
        <v>1465</v>
      </c>
    </row>
    <row r="2281" spans="1:2" x14ac:dyDescent="0.2">
      <c r="A2281" s="376">
        <v>970000</v>
      </c>
      <c r="B2281" s="377" t="s">
        <v>1466</v>
      </c>
    </row>
    <row r="2282" spans="1:2" x14ac:dyDescent="0.2">
      <c r="A2282" s="376">
        <v>970100</v>
      </c>
      <c r="B2282" s="377" t="s">
        <v>1467</v>
      </c>
    </row>
    <row r="2283" spans="1:2" ht="25.5" x14ac:dyDescent="0.2">
      <c r="A2283" s="376">
        <v>980000</v>
      </c>
      <c r="B2283" s="377" t="s">
        <v>1468</v>
      </c>
    </row>
    <row r="2284" spans="1:2" ht="38.25" x14ac:dyDescent="0.2">
      <c r="A2284" s="376">
        <v>980100</v>
      </c>
      <c r="B2284" s="377" t="s">
        <v>1469</v>
      </c>
    </row>
    <row r="2285" spans="1:2" ht="25.5" x14ac:dyDescent="0.2">
      <c r="A2285" s="376">
        <v>980101</v>
      </c>
      <c r="B2285" s="377" t="s">
        <v>1470</v>
      </c>
    </row>
    <row r="2286" spans="1:2" ht="25.5" x14ac:dyDescent="0.2">
      <c r="A2286" s="376">
        <v>980102</v>
      </c>
      <c r="B2286" s="377" t="s">
        <v>1471</v>
      </c>
    </row>
    <row r="2287" spans="1:2" ht="38.25" x14ac:dyDescent="0.2">
      <c r="A2287" s="376">
        <v>980104</v>
      </c>
      <c r="B2287" s="377" t="s">
        <v>1472</v>
      </c>
    </row>
    <row r="2288" spans="1:2" ht="25.5" x14ac:dyDescent="0.2">
      <c r="A2288" s="376">
        <v>980200</v>
      </c>
      <c r="B2288" s="377" t="s">
        <v>1473</v>
      </c>
    </row>
    <row r="2289" spans="1:2" ht="25.5" x14ac:dyDescent="0.2">
      <c r="A2289" s="376">
        <v>980201</v>
      </c>
      <c r="B2289" s="377" t="s">
        <v>1474</v>
      </c>
    </row>
    <row r="2290" spans="1:2" x14ac:dyDescent="0.2">
      <c r="A2290" s="376">
        <v>980202</v>
      </c>
      <c r="B2290" s="377" t="s">
        <v>1475</v>
      </c>
    </row>
    <row r="2291" spans="1:2" ht="25.5" x14ac:dyDescent="0.2">
      <c r="A2291" s="376">
        <v>980204</v>
      </c>
      <c r="B2291" s="377" t="s">
        <v>1476</v>
      </c>
    </row>
    <row r="2292" spans="1:2" ht="25.5" x14ac:dyDescent="0.2">
      <c r="A2292" s="376">
        <v>980300</v>
      </c>
      <c r="B2292" s="377" t="s">
        <v>1477</v>
      </c>
    </row>
    <row r="2293" spans="1:2" x14ac:dyDescent="0.2">
      <c r="A2293" s="376">
        <v>990000</v>
      </c>
      <c r="B2293" s="377" t="s">
        <v>1478</v>
      </c>
    </row>
    <row r="2294" spans="1:2" x14ac:dyDescent="0.2">
      <c r="A2294" s="376">
        <v>990100</v>
      </c>
      <c r="B2294" s="377" t="s">
        <v>1479</v>
      </c>
    </row>
    <row r="2295" spans="1:2" x14ac:dyDescent="0.2">
      <c r="A2295" s="376" t="s">
        <v>1480</v>
      </c>
      <c r="B2295" s="377"/>
    </row>
    <row r="2296" spans="1:2" ht="25.5" x14ac:dyDescent="0.2">
      <c r="A2296" s="376">
        <v>990102</v>
      </c>
      <c r="B2296" s="377" t="s">
        <v>1481</v>
      </c>
    </row>
    <row r="2297" spans="1:2" x14ac:dyDescent="0.2">
      <c r="A2297" s="376">
        <v>990104</v>
      </c>
      <c r="B2297" s="377" t="s">
        <v>1482</v>
      </c>
    </row>
    <row r="2298" spans="1:2" ht="25.5" x14ac:dyDescent="0.2">
      <c r="A2298" s="376">
        <v>990105</v>
      </c>
      <c r="B2298" s="377" t="s">
        <v>1483</v>
      </c>
    </row>
    <row r="2299" spans="1:2" x14ac:dyDescent="0.2">
      <c r="A2299" s="376">
        <v>990106</v>
      </c>
      <c r="B2299" s="377" t="s">
        <v>1484</v>
      </c>
    </row>
    <row r="2300" spans="1:2" x14ac:dyDescent="0.2">
      <c r="A2300" s="376">
        <v>990107</v>
      </c>
      <c r="B2300" s="377" t="s">
        <v>1485</v>
      </c>
    </row>
    <row r="2301" spans="1:2" ht="25.5" x14ac:dyDescent="0.2">
      <c r="A2301" s="376">
        <v>990108</v>
      </c>
      <c r="B2301" s="377" t="s">
        <v>1486</v>
      </c>
    </row>
    <row r="2302" spans="1:2" ht="25.5" x14ac:dyDescent="0.2">
      <c r="A2302" s="376">
        <v>990109</v>
      </c>
      <c r="B2302" s="377" t="s">
        <v>1487</v>
      </c>
    </row>
    <row r="2303" spans="1:2" ht="25.5" x14ac:dyDescent="0.2">
      <c r="A2303" s="376">
        <v>990110</v>
      </c>
      <c r="B2303" s="377" t="s">
        <v>1488</v>
      </c>
    </row>
    <row r="2304" spans="1:2" ht="25.5" x14ac:dyDescent="0.2">
      <c r="A2304" s="376">
        <v>990200</v>
      </c>
      <c r="B2304" s="377" t="s">
        <v>1489</v>
      </c>
    </row>
    <row r="2305" spans="1:2" ht="25.5" x14ac:dyDescent="0.2">
      <c r="A2305" s="376">
        <v>990201</v>
      </c>
      <c r="B2305" s="377" t="s">
        <v>1490</v>
      </c>
    </row>
    <row r="2306" spans="1:2" x14ac:dyDescent="0.2">
      <c r="A2306" s="376">
        <v>990300</v>
      </c>
      <c r="B2306" s="377" t="s">
        <v>1491</v>
      </c>
    </row>
    <row r="2307" spans="1:2" ht="25.5" x14ac:dyDescent="0.2">
      <c r="A2307" s="376">
        <v>990302</v>
      </c>
      <c r="B2307" s="377" t="s">
        <v>1492</v>
      </c>
    </row>
    <row r="2308" spans="1:2" ht="25.5" x14ac:dyDescent="0.2">
      <c r="A2308" s="376">
        <v>990400</v>
      </c>
      <c r="B2308" s="377" t="s">
        <v>1493</v>
      </c>
    </row>
    <row r="2309" spans="1:2" ht="51" x14ac:dyDescent="0.2">
      <c r="A2309" s="376">
        <v>990401</v>
      </c>
      <c r="B2309" s="377" t="s">
        <v>1494</v>
      </c>
    </row>
    <row r="2310" spans="1:2" ht="38.25" x14ac:dyDescent="0.2">
      <c r="A2310" s="376">
        <v>990402</v>
      </c>
      <c r="B2310" s="377" t="s">
        <v>1495</v>
      </c>
    </row>
    <row r="2311" spans="1:2" ht="63.75" x14ac:dyDescent="0.2">
      <c r="A2311" s="376">
        <v>990403</v>
      </c>
      <c r="B2311" s="377" t="s">
        <v>1496</v>
      </c>
    </row>
    <row r="2312" spans="1:2" ht="38.25" x14ac:dyDescent="0.2">
      <c r="A2312" s="376">
        <v>990404</v>
      </c>
      <c r="B2312" s="377" t="s">
        <v>1497</v>
      </c>
    </row>
    <row r="2313" spans="1:2" ht="38.25" x14ac:dyDescent="0.2">
      <c r="A2313" s="376">
        <v>990405</v>
      </c>
      <c r="B2313" s="377" t="s">
        <v>1498</v>
      </c>
    </row>
    <row r="2314" spans="1:2" ht="25.5" x14ac:dyDescent="0.2">
      <c r="A2314" s="376">
        <v>990407</v>
      </c>
      <c r="B2314" s="377" t="s">
        <v>1499</v>
      </c>
    </row>
    <row r="2315" spans="1:2" x14ac:dyDescent="0.2">
      <c r="A2315" s="376" t="s">
        <v>1500</v>
      </c>
      <c r="B2315" s="377"/>
    </row>
    <row r="2316" spans="1:2" x14ac:dyDescent="0.2">
      <c r="A2316" s="376">
        <v>990600</v>
      </c>
      <c r="B2316" s="377" t="s">
        <v>1501</v>
      </c>
    </row>
    <row r="2317" spans="1:2" ht="38.25" x14ac:dyDescent="0.2">
      <c r="A2317" s="376">
        <v>990601</v>
      </c>
      <c r="B2317" s="377" t="s">
        <v>1502</v>
      </c>
    </row>
    <row r="2318" spans="1:2" x14ac:dyDescent="0.2">
      <c r="A2318" s="376">
        <v>990700</v>
      </c>
      <c r="B2318" s="377" t="s">
        <v>1503</v>
      </c>
    </row>
    <row r="2319" spans="1:2" x14ac:dyDescent="0.2">
      <c r="A2319" s="376" t="s">
        <v>1504</v>
      </c>
      <c r="B2319" s="377"/>
    </row>
    <row r="2320" spans="1:2" x14ac:dyDescent="0.2">
      <c r="A2320" s="376">
        <v>990701</v>
      </c>
      <c r="B2320" s="377" t="s">
        <v>1505</v>
      </c>
    </row>
    <row r="2321" spans="1:2" x14ac:dyDescent="0.2">
      <c r="A2321" s="376" t="s">
        <v>1506</v>
      </c>
      <c r="B2321" s="377"/>
    </row>
    <row r="2322" spans="1:2" ht="25.5" x14ac:dyDescent="0.2">
      <c r="A2322" s="376">
        <v>990702</v>
      </c>
      <c r="B2322" s="377" t="s">
        <v>1507</v>
      </c>
    </row>
    <row r="2323" spans="1:2" x14ac:dyDescent="0.2">
      <c r="A2323" s="376">
        <v>990800</v>
      </c>
      <c r="B2323" s="377" t="s">
        <v>1508</v>
      </c>
    </row>
    <row r="2324" spans="1:2" x14ac:dyDescent="0.2">
      <c r="A2324" s="376">
        <v>990801</v>
      </c>
      <c r="B2324" s="377" t="s">
        <v>1509</v>
      </c>
    </row>
    <row r="2325" spans="1:2" x14ac:dyDescent="0.2">
      <c r="A2325" s="376">
        <v>1000000</v>
      </c>
      <c r="B2325" s="377" t="s">
        <v>1510</v>
      </c>
    </row>
    <row r="2326" spans="1:2" x14ac:dyDescent="0.2">
      <c r="A2326" s="376">
        <v>1000100</v>
      </c>
      <c r="B2326" s="377" t="s">
        <v>1511</v>
      </c>
    </row>
    <row r="2327" spans="1:2" x14ac:dyDescent="0.2">
      <c r="A2327" s="376">
        <v>1000101</v>
      </c>
      <c r="B2327" s="377" t="s">
        <v>1512</v>
      </c>
    </row>
    <row r="2328" spans="1:2" x14ac:dyDescent="0.2">
      <c r="A2328" s="376">
        <v>1000102</v>
      </c>
      <c r="B2328" s="377" t="s">
        <v>1513</v>
      </c>
    </row>
    <row r="2329" spans="1:2" x14ac:dyDescent="0.2">
      <c r="A2329" s="376">
        <v>1000103</v>
      </c>
      <c r="B2329" s="377" t="s">
        <v>1514</v>
      </c>
    </row>
    <row r="2330" spans="1:2" x14ac:dyDescent="0.2">
      <c r="A2330" s="376">
        <v>1000104</v>
      </c>
      <c r="B2330" s="377" t="s">
        <v>1515</v>
      </c>
    </row>
    <row r="2331" spans="1:2" x14ac:dyDescent="0.2">
      <c r="A2331" s="376">
        <v>1000105</v>
      </c>
      <c r="B2331" s="377" t="s">
        <v>1516</v>
      </c>
    </row>
    <row r="2332" spans="1:2" x14ac:dyDescent="0.2">
      <c r="A2332" s="376">
        <v>1000106</v>
      </c>
      <c r="B2332" s="377" t="s">
        <v>1517</v>
      </c>
    </row>
    <row r="2333" spans="1:2" x14ac:dyDescent="0.2">
      <c r="A2333" s="376">
        <v>1000107</v>
      </c>
      <c r="B2333" s="377" t="s">
        <v>1518</v>
      </c>
    </row>
    <row r="2334" spans="1:2" x14ac:dyDescent="0.2">
      <c r="A2334" s="376">
        <v>1000108</v>
      </c>
      <c r="B2334" s="377" t="s">
        <v>1519</v>
      </c>
    </row>
    <row r="2335" spans="1:2" x14ac:dyDescent="0.2">
      <c r="A2335" s="376">
        <v>1000109</v>
      </c>
      <c r="B2335" s="377" t="s">
        <v>1520</v>
      </c>
    </row>
    <row r="2336" spans="1:2" x14ac:dyDescent="0.2">
      <c r="A2336" s="376">
        <v>1000110</v>
      </c>
      <c r="B2336" s="377" t="s">
        <v>1521</v>
      </c>
    </row>
    <row r="2337" spans="1:2" ht="25.5" x14ac:dyDescent="0.2">
      <c r="A2337" s="376">
        <v>1000112</v>
      </c>
      <c r="B2337" s="377" t="s">
        <v>1522</v>
      </c>
    </row>
    <row r="2338" spans="1:2" x14ac:dyDescent="0.2">
      <c r="A2338" s="376">
        <v>1000113</v>
      </c>
      <c r="B2338" s="377" t="s">
        <v>1523</v>
      </c>
    </row>
    <row r="2339" spans="1:2" x14ac:dyDescent="0.2">
      <c r="A2339" s="376">
        <v>1000200</v>
      </c>
      <c r="B2339" s="377" t="s">
        <v>1524</v>
      </c>
    </row>
    <row r="2340" spans="1:2" x14ac:dyDescent="0.2">
      <c r="A2340" s="376">
        <v>1000201</v>
      </c>
      <c r="B2340" s="377" t="s">
        <v>1525</v>
      </c>
    </row>
    <row r="2341" spans="1:2" x14ac:dyDescent="0.2">
      <c r="A2341" s="376">
        <v>1000202</v>
      </c>
      <c r="B2341" s="377" t="s">
        <v>1526</v>
      </c>
    </row>
    <row r="2342" spans="1:2" ht="25.5" x14ac:dyDescent="0.2">
      <c r="A2342" s="376">
        <v>1000203</v>
      </c>
      <c r="B2342" s="377" t="s">
        <v>1527</v>
      </c>
    </row>
    <row r="2343" spans="1:2" x14ac:dyDescent="0.2">
      <c r="A2343" s="376">
        <v>1000204</v>
      </c>
      <c r="B2343" s="377" t="s">
        <v>1528</v>
      </c>
    </row>
    <row r="2344" spans="1:2" x14ac:dyDescent="0.2">
      <c r="A2344" s="376">
        <v>1000300</v>
      </c>
      <c r="B2344" s="377" t="s">
        <v>1529</v>
      </c>
    </row>
    <row r="2345" spans="1:2" ht="25.5" x14ac:dyDescent="0.2">
      <c r="A2345" s="376">
        <v>1000400</v>
      </c>
      <c r="B2345" s="377" t="s">
        <v>1530</v>
      </c>
    </row>
    <row r="2346" spans="1:2" x14ac:dyDescent="0.2">
      <c r="A2346" s="376">
        <v>1000500</v>
      </c>
      <c r="B2346" s="377" t="s">
        <v>1531</v>
      </c>
    </row>
    <row r="2347" spans="1:2" x14ac:dyDescent="0.2">
      <c r="A2347" s="376">
        <v>1000502</v>
      </c>
      <c r="B2347" s="377" t="s">
        <v>1532</v>
      </c>
    </row>
    <row r="2348" spans="1:2" x14ac:dyDescent="0.2">
      <c r="A2348" s="376">
        <v>1000503</v>
      </c>
      <c r="B2348" s="377" t="s">
        <v>1533</v>
      </c>
    </row>
    <row r="2349" spans="1:2" x14ac:dyDescent="0.2">
      <c r="A2349" s="376">
        <v>1000505</v>
      </c>
      <c r="B2349" s="377" t="s">
        <v>1534</v>
      </c>
    </row>
    <row r="2350" spans="1:2" x14ac:dyDescent="0.2">
      <c r="A2350" s="376">
        <v>1000506</v>
      </c>
      <c r="B2350" s="377" t="s">
        <v>1535</v>
      </c>
    </row>
    <row r="2351" spans="1:2" x14ac:dyDescent="0.2">
      <c r="A2351" s="376">
        <v>1000507</v>
      </c>
      <c r="B2351" s="377" t="s">
        <v>1536</v>
      </c>
    </row>
    <row r="2352" spans="1:2" x14ac:dyDescent="0.2">
      <c r="A2352" s="376">
        <v>1000509</v>
      </c>
      <c r="B2352" s="377" t="s">
        <v>1537</v>
      </c>
    </row>
    <row r="2353" spans="1:2" x14ac:dyDescent="0.2">
      <c r="A2353" s="376">
        <v>1000510</v>
      </c>
      <c r="B2353" s="377" t="s">
        <v>1538</v>
      </c>
    </row>
    <row r="2354" spans="1:2" x14ac:dyDescent="0.2">
      <c r="A2354" s="376">
        <v>1000512</v>
      </c>
      <c r="B2354" s="377" t="s">
        <v>1539</v>
      </c>
    </row>
    <row r="2355" spans="1:2" x14ac:dyDescent="0.2">
      <c r="A2355" s="376">
        <v>1000600</v>
      </c>
      <c r="B2355" s="377" t="s">
        <v>1540</v>
      </c>
    </row>
    <row r="2356" spans="1:2" x14ac:dyDescent="0.2">
      <c r="A2356" s="376">
        <v>1000700</v>
      </c>
      <c r="B2356" s="377" t="s">
        <v>1541</v>
      </c>
    </row>
    <row r="2357" spans="1:2" x14ac:dyDescent="0.2">
      <c r="A2357" s="376">
        <v>1000701</v>
      </c>
      <c r="B2357" s="377" t="s">
        <v>1542</v>
      </c>
    </row>
    <row r="2358" spans="1:2" ht="25.5" x14ac:dyDescent="0.2">
      <c r="A2358" s="376">
        <v>1000702</v>
      </c>
      <c r="B2358" s="377" t="s">
        <v>1543</v>
      </c>
    </row>
    <row r="2359" spans="1:2" ht="25.5" x14ac:dyDescent="0.2">
      <c r="A2359" s="376">
        <v>1000900</v>
      </c>
      <c r="B2359" s="377" t="s">
        <v>1544</v>
      </c>
    </row>
    <row r="2360" spans="1:2" x14ac:dyDescent="0.2">
      <c r="A2360" s="376">
        <v>1001000</v>
      </c>
      <c r="B2360" s="377" t="s">
        <v>1545</v>
      </c>
    </row>
    <row r="2361" spans="1:2" ht="25.5" x14ac:dyDescent="0.2">
      <c r="A2361" s="376">
        <v>1001100</v>
      </c>
      <c r="B2361" s="377" t="s">
        <v>1546</v>
      </c>
    </row>
    <row r="2362" spans="1:2" ht="25.5" x14ac:dyDescent="0.2">
      <c r="A2362" s="376">
        <v>1001102</v>
      </c>
      <c r="B2362" s="377" t="s">
        <v>1547</v>
      </c>
    </row>
    <row r="2363" spans="1:2" ht="25.5" x14ac:dyDescent="0.2">
      <c r="A2363" s="376">
        <v>1001122</v>
      </c>
      <c r="B2363" s="377" t="s">
        <v>1548</v>
      </c>
    </row>
    <row r="2364" spans="1:2" x14ac:dyDescent="0.2">
      <c r="A2364" s="376">
        <v>1001200</v>
      </c>
      <c r="B2364" s="377" t="s">
        <v>1549</v>
      </c>
    </row>
    <row r="2365" spans="1:2" x14ac:dyDescent="0.2">
      <c r="A2365" s="376">
        <v>1001202</v>
      </c>
      <c r="B2365" s="377" t="s">
        <v>1550</v>
      </c>
    </row>
    <row r="2366" spans="1:2" x14ac:dyDescent="0.2">
      <c r="A2366" s="376">
        <v>1001300</v>
      </c>
      <c r="B2366" s="377" t="s">
        <v>1551</v>
      </c>
    </row>
    <row r="2367" spans="1:2" x14ac:dyDescent="0.2">
      <c r="A2367" s="376">
        <v>1001301</v>
      </c>
      <c r="B2367" s="377" t="s">
        <v>1552</v>
      </c>
    </row>
    <row r="2368" spans="1:2" x14ac:dyDescent="0.2">
      <c r="A2368" s="376">
        <v>1001302</v>
      </c>
      <c r="B2368" s="377" t="s">
        <v>1553</v>
      </c>
    </row>
    <row r="2369" spans="1:2" x14ac:dyDescent="0.2">
      <c r="A2369" s="376">
        <v>1001303</v>
      </c>
      <c r="B2369" s="377" t="s">
        <v>1554</v>
      </c>
    </row>
    <row r="2370" spans="1:2" x14ac:dyDescent="0.2">
      <c r="A2370" s="376">
        <v>1001400</v>
      </c>
      <c r="B2370" s="377" t="s">
        <v>1555</v>
      </c>
    </row>
    <row r="2371" spans="1:2" ht="25.5" x14ac:dyDescent="0.2">
      <c r="A2371" s="376">
        <v>1001401</v>
      </c>
      <c r="B2371" s="377" t="s">
        <v>1556</v>
      </c>
    </row>
    <row r="2372" spans="1:2" x14ac:dyDescent="0.2">
      <c r="A2372" s="376">
        <v>1001402</v>
      </c>
      <c r="B2372" s="377" t="s">
        <v>1557</v>
      </c>
    </row>
    <row r="2373" spans="1:2" x14ac:dyDescent="0.2">
      <c r="A2373" s="376">
        <v>1001500</v>
      </c>
      <c r="B2373" s="377" t="s">
        <v>1558</v>
      </c>
    </row>
    <row r="2374" spans="1:2" x14ac:dyDescent="0.2">
      <c r="A2374" s="376">
        <v>1001600</v>
      </c>
      <c r="B2374" s="377" t="s">
        <v>1559</v>
      </c>
    </row>
    <row r="2375" spans="1:2" x14ac:dyDescent="0.2">
      <c r="A2375" s="376">
        <v>1001700</v>
      </c>
      <c r="B2375" s="377" t="s">
        <v>1560</v>
      </c>
    </row>
    <row r="2376" spans="1:2" ht="25.5" x14ac:dyDescent="0.2">
      <c r="A2376" s="376">
        <v>1001800</v>
      </c>
      <c r="B2376" s="377" t="s">
        <v>1561</v>
      </c>
    </row>
    <row r="2377" spans="1:2" x14ac:dyDescent="0.2">
      <c r="A2377" s="376">
        <v>1001900</v>
      </c>
      <c r="B2377" s="377" t="s">
        <v>1562</v>
      </c>
    </row>
    <row r="2378" spans="1:2" ht="25.5" x14ac:dyDescent="0.2">
      <c r="A2378" s="376">
        <v>1001901</v>
      </c>
      <c r="B2378" s="377" t="s">
        <v>1563</v>
      </c>
    </row>
    <row r="2379" spans="1:2" ht="25.5" x14ac:dyDescent="0.2">
      <c r="A2379" s="376">
        <v>1001902</v>
      </c>
      <c r="B2379" s="377" t="s">
        <v>1564</v>
      </c>
    </row>
    <row r="2380" spans="1:2" x14ac:dyDescent="0.2">
      <c r="A2380" s="376">
        <v>1002000</v>
      </c>
      <c r="B2380" s="377" t="s">
        <v>1565</v>
      </c>
    </row>
    <row r="2381" spans="1:2" ht="25.5" x14ac:dyDescent="0.2">
      <c r="A2381" s="376">
        <v>1002100</v>
      </c>
      <c r="B2381" s="377" t="s">
        <v>1566</v>
      </c>
    </row>
    <row r="2382" spans="1:2" x14ac:dyDescent="0.2">
      <c r="A2382" s="376">
        <v>1002200</v>
      </c>
      <c r="B2382" s="377" t="s">
        <v>1567</v>
      </c>
    </row>
    <row r="2383" spans="1:2" x14ac:dyDescent="0.2">
      <c r="A2383" s="376">
        <v>1002201</v>
      </c>
      <c r="B2383" s="377" t="s">
        <v>1568</v>
      </c>
    </row>
    <row r="2384" spans="1:2" x14ac:dyDescent="0.2">
      <c r="A2384" s="376">
        <v>1002203</v>
      </c>
      <c r="B2384" s="377" t="s">
        <v>1569</v>
      </c>
    </row>
    <row r="2385" spans="1:2" x14ac:dyDescent="0.2">
      <c r="A2385" s="376">
        <v>1002204</v>
      </c>
      <c r="B2385" s="377" t="s">
        <v>1570</v>
      </c>
    </row>
    <row r="2386" spans="1:2" x14ac:dyDescent="0.2">
      <c r="A2386" s="376">
        <v>1002208</v>
      </c>
      <c r="B2386" s="377" t="s">
        <v>1571</v>
      </c>
    </row>
    <row r="2387" spans="1:2" x14ac:dyDescent="0.2">
      <c r="A2387" s="376">
        <v>1002209</v>
      </c>
      <c r="B2387" s="377" t="s">
        <v>1572</v>
      </c>
    </row>
    <row r="2388" spans="1:2" ht="25.5" x14ac:dyDescent="0.2">
      <c r="A2388" s="376">
        <v>1002211</v>
      </c>
      <c r="B2388" s="377" t="s">
        <v>1573</v>
      </c>
    </row>
    <row r="2389" spans="1:2" ht="25.5" x14ac:dyDescent="0.2">
      <c r="A2389" s="376">
        <v>1002300</v>
      </c>
      <c r="B2389" s="377" t="s">
        <v>1574</v>
      </c>
    </row>
    <row r="2390" spans="1:2" x14ac:dyDescent="0.2">
      <c r="A2390" s="376">
        <v>1002301</v>
      </c>
      <c r="B2390" s="377" t="s">
        <v>1575</v>
      </c>
    </row>
    <row r="2391" spans="1:2" x14ac:dyDescent="0.2">
      <c r="A2391" s="376">
        <v>1002302</v>
      </c>
      <c r="B2391" s="377" t="s">
        <v>1576</v>
      </c>
    </row>
    <row r="2392" spans="1:2" x14ac:dyDescent="0.2">
      <c r="A2392" s="376">
        <v>1002303</v>
      </c>
      <c r="B2392" s="377" t="s">
        <v>1577</v>
      </c>
    </row>
    <row r="2393" spans="1:2" x14ac:dyDescent="0.2">
      <c r="A2393" s="376">
        <v>1002304</v>
      </c>
      <c r="B2393" s="377" t="s">
        <v>1578</v>
      </c>
    </row>
    <row r="2394" spans="1:2" x14ac:dyDescent="0.2">
      <c r="A2394" s="376">
        <v>1002305</v>
      </c>
      <c r="B2394" s="377" t="s">
        <v>1579</v>
      </c>
    </row>
    <row r="2395" spans="1:2" x14ac:dyDescent="0.2">
      <c r="A2395" s="376">
        <v>1002306</v>
      </c>
      <c r="B2395" s="377" t="s">
        <v>1580</v>
      </c>
    </row>
    <row r="2396" spans="1:2" x14ac:dyDescent="0.2">
      <c r="A2396" s="376">
        <v>1002307</v>
      </c>
      <c r="B2396" s="377" t="s">
        <v>1581</v>
      </c>
    </row>
    <row r="2397" spans="1:2" x14ac:dyDescent="0.2">
      <c r="A2397" s="376">
        <v>1002308</v>
      </c>
      <c r="B2397" s="377" t="s">
        <v>1582</v>
      </c>
    </row>
    <row r="2398" spans="1:2" x14ac:dyDescent="0.2">
      <c r="A2398" s="376">
        <v>1002309</v>
      </c>
      <c r="B2398" s="377" t="s">
        <v>1583</v>
      </c>
    </row>
    <row r="2399" spans="1:2" ht="25.5" x14ac:dyDescent="0.2">
      <c r="A2399" s="376">
        <v>1002500</v>
      </c>
      <c r="B2399" s="377" t="s">
        <v>1584</v>
      </c>
    </row>
    <row r="2400" spans="1:2" ht="25.5" x14ac:dyDescent="0.2">
      <c r="A2400" s="376">
        <v>1002601</v>
      </c>
      <c r="B2400" s="377" t="s">
        <v>1585</v>
      </c>
    </row>
    <row r="2401" spans="1:2" x14ac:dyDescent="0.2">
      <c r="A2401" s="376">
        <v>1002602</v>
      </c>
      <c r="B2401" s="377" t="s">
        <v>1586</v>
      </c>
    </row>
    <row r="2402" spans="1:2" x14ac:dyDescent="0.2">
      <c r="A2402" s="376">
        <v>1002603</v>
      </c>
      <c r="B2402" s="377" t="s">
        <v>1587</v>
      </c>
    </row>
    <row r="2403" spans="1:2" ht="25.5" x14ac:dyDescent="0.2">
      <c r="A2403" s="376">
        <v>1002604</v>
      </c>
      <c r="B2403" s="377" t="s">
        <v>1588</v>
      </c>
    </row>
    <row r="2404" spans="1:2" x14ac:dyDescent="0.2">
      <c r="A2404" s="376">
        <v>1002605</v>
      </c>
      <c r="B2404" s="377" t="s">
        <v>1589</v>
      </c>
    </row>
    <row r="2405" spans="1:2" ht="25.5" x14ac:dyDescent="0.2">
      <c r="A2405" s="376">
        <v>1002606</v>
      </c>
      <c r="B2405" s="377" t="s">
        <v>1590</v>
      </c>
    </row>
    <row r="2406" spans="1:2" x14ac:dyDescent="0.2">
      <c r="A2406" s="376">
        <v>1002607</v>
      </c>
      <c r="B2406" s="377" t="s">
        <v>1591</v>
      </c>
    </row>
    <row r="2407" spans="1:2" x14ac:dyDescent="0.2">
      <c r="A2407" s="376">
        <v>1002608</v>
      </c>
      <c r="B2407" s="377" t="s">
        <v>1592</v>
      </c>
    </row>
    <row r="2408" spans="1:2" ht="25.5" x14ac:dyDescent="0.2">
      <c r="A2408" s="376">
        <v>1002609</v>
      </c>
      <c r="B2408" s="377" t="s">
        <v>1593</v>
      </c>
    </row>
    <row r="2409" spans="1:2" ht="25.5" x14ac:dyDescent="0.2">
      <c r="A2409" s="376">
        <v>1002610</v>
      </c>
      <c r="B2409" s="377" t="s">
        <v>1594</v>
      </c>
    </row>
    <row r="2410" spans="1:2" ht="25.5" x14ac:dyDescent="0.2">
      <c r="A2410" s="376">
        <v>1002611</v>
      </c>
      <c r="B2410" s="377" t="s">
        <v>1595</v>
      </c>
    </row>
    <row r="2411" spans="1:2" ht="25.5" x14ac:dyDescent="0.2">
      <c r="A2411" s="376">
        <v>1002612</v>
      </c>
      <c r="B2411" s="377" t="s">
        <v>1596</v>
      </c>
    </row>
    <row r="2412" spans="1:2" ht="25.5" x14ac:dyDescent="0.2">
      <c r="A2412" s="376">
        <v>1002613</v>
      </c>
      <c r="B2412" s="377" t="s">
        <v>1597</v>
      </c>
    </row>
    <row r="2413" spans="1:2" ht="25.5" x14ac:dyDescent="0.2">
      <c r="A2413" s="376">
        <v>1002614</v>
      </c>
      <c r="B2413" s="377" t="s">
        <v>1598</v>
      </c>
    </row>
    <row r="2414" spans="1:2" ht="25.5" x14ac:dyDescent="0.2">
      <c r="A2414" s="376">
        <v>1002615</v>
      </c>
      <c r="B2414" s="377" t="s">
        <v>1599</v>
      </c>
    </row>
    <row r="2415" spans="1:2" ht="25.5" x14ac:dyDescent="0.2">
      <c r="A2415" s="376">
        <v>1002616</v>
      </c>
      <c r="B2415" s="377" t="s">
        <v>1600</v>
      </c>
    </row>
    <row r="2416" spans="1:2" x14ac:dyDescent="0.2">
      <c r="A2416" s="376">
        <v>1002617</v>
      </c>
      <c r="B2416" s="377" t="s">
        <v>1601</v>
      </c>
    </row>
    <row r="2417" spans="1:2" x14ac:dyDescent="0.2">
      <c r="A2417" s="376">
        <v>1002618</v>
      </c>
      <c r="B2417" s="377" t="s">
        <v>1602</v>
      </c>
    </row>
    <row r="2418" spans="1:2" ht="25.5" x14ac:dyDescent="0.2">
      <c r="A2418" s="376">
        <v>1002619</v>
      </c>
      <c r="B2418" s="377" t="s">
        <v>1603</v>
      </c>
    </row>
    <row r="2419" spans="1:2" ht="25.5" x14ac:dyDescent="0.2">
      <c r="A2419" s="376">
        <v>1002620</v>
      </c>
      <c r="B2419" s="377" t="s">
        <v>1604</v>
      </c>
    </row>
    <row r="2420" spans="1:2" x14ac:dyDescent="0.2">
      <c r="A2420" s="376">
        <v>1002800</v>
      </c>
      <c r="B2420" s="377" t="s">
        <v>1605</v>
      </c>
    </row>
    <row r="2421" spans="1:2" x14ac:dyDescent="0.2">
      <c r="A2421" s="376">
        <v>1002900</v>
      </c>
      <c r="B2421" s="377" t="s">
        <v>1606</v>
      </c>
    </row>
    <row r="2422" spans="1:2" ht="25.5" x14ac:dyDescent="0.2">
      <c r="A2422" s="376">
        <v>1003000</v>
      </c>
      <c r="B2422" s="377" t="s">
        <v>1607</v>
      </c>
    </row>
    <row r="2423" spans="1:2" x14ac:dyDescent="0.2">
      <c r="A2423" s="376">
        <v>1003200</v>
      </c>
      <c r="B2423" s="377" t="s">
        <v>1608</v>
      </c>
    </row>
    <row r="2424" spans="1:2" x14ac:dyDescent="0.2">
      <c r="A2424" s="376">
        <v>1003300</v>
      </c>
      <c r="B2424" s="377" t="s">
        <v>1609</v>
      </c>
    </row>
    <row r="2425" spans="1:2" x14ac:dyDescent="0.2">
      <c r="A2425" s="376">
        <v>1003400</v>
      </c>
      <c r="B2425" s="377" t="s">
        <v>1610</v>
      </c>
    </row>
    <row r="2426" spans="1:2" ht="25.5" x14ac:dyDescent="0.2">
      <c r="A2426" s="376">
        <v>1003500</v>
      </c>
      <c r="B2426" s="377" t="s">
        <v>1611</v>
      </c>
    </row>
    <row r="2427" spans="1:2" ht="25.5" x14ac:dyDescent="0.2">
      <c r="A2427" s="376">
        <v>1003501</v>
      </c>
      <c r="B2427" s="377" t="s">
        <v>1612</v>
      </c>
    </row>
    <row r="2428" spans="1:2" ht="25.5" x14ac:dyDescent="0.2">
      <c r="A2428" s="376">
        <v>1003502</v>
      </c>
      <c r="B2428" s="377" t="s">
        <v>1613</v>
      </c>
    </row>
    <row r="2429" spans="1:2" x14ac:dyDescent="0.2">
      <c r="A2429" s="376">
        <v>1003503</v>
      </c>
      <c r="B2429" s="377" t="s">
        <v>1614</v>
      </c>
    </row>
    <row r="2430" spans="1:2" ht="25.5" x14ac:dyDescent="0.2">
      <c r="A2430" s="376">
        <v>1003504</v>
      </c>
      <c r="B2430" s="377" t="s">
        <v>1615</v>
      </c>
    </row>
    <row r="2431" spans="1:2" x14ac:dyDescent="0.2">
      <c r="A2431" s="376">
        <v>1003600</v>
      </c>
      <c r="B2431" s="377" t="s">
        <v>1616</v>
      </c>
    </row>
    <row r="2432" spans="1:2" x14ac:dyDescent="0.2">
      <c r="A2432" s="376">
        <v>1003601</v>
      </c>
      <c r="B2432" s="377" t="s">
        <v>1617</v>
      </c>
    </row>
    <row r="2433" spans="1:2" ht="25.5" x14ac:dyDescent="0.2">
      <c r="A2433" s="376">
        <v>1003602</v>
      </c>
      <c r="B2433" s="377" t="s">
        <v>1618</v>
      </c>
    </row>
    <row r="2434" spans="1:2" x14ac:dyDescent="0.2">
      <c r="A2434" s="376">
        <v>1003603</v>
      </c>
      <c r="B2434" s="377" t="s">
        <v>1619</v>
      </c>
    </row>
    <row r="2435" spans="1:2" x14ac:dyDescent="0.2">
      <c r="A2435" s="376">
        <v>1003604</v>
      </c>
      <c r="B2435" s="377" t="s">
        <v>1620</v>
      </c>
    </row>
    <row r="2436" spans="1:2" x14ac:dyDescent="0.2">
      <c r="A2436" s="376">
        <v>1003605</v>
      </c>
      <c r="B2436" s="377" t="s">
        <v>1621</v>
      </c>
    </row>
    <row r="2437" spans="1:2" x14ac:dyDescent="0.2">
      <c r="A2437" s="376">
        <v>1003700</v>
      </c>
      <c r="B2437" s="377" t="s">
        <v>1622</v>
      </c>
    </row>
    <row r="2438" spans="1:2" x14ac:dyDescent="0.2">
      <c r="A2438" s="376">
        <v>1003701</v>
      </c>
      <c r="B2438" s="377" t="s">
        <v>1623</v>
      </c>
    </row>
    <row r="2439" spans="1:2" ht="25.5" x14ac:dyDescent="0.2">
      <c r="A2439" s="376">
        <v>1003702</v>
      </c>
      <c r="B2439" s="377" t="s">
        <v>1624</v>
      </c>
    </row>
    <row r="2440" spans="1:2" ht="25.5" x14ac:dyDescent="0.2">
      <c r="A2440" s="376">
        <v>1003703</v>
      </c>
      <c r="B2440" s="377" t="s">
        <v>1625</v>
      </c>
    </row>
    <row r="2441" spans="1:2" x14ac:dyDescent="0.2">
      <c r="A2441" s="376">
        <v>1003704</v>
      </c>
      <c r="B2441" s="377" t="s">
        <v>1626</v>
      </c>
    </row>
    <row r="2442" spans="1:2" ht="25.5" x14ac:dyDescent="0.2">
      <c r="A2442" s="376">
        <v>1003800</v>
      </c>
      <c r="B2442" s="377" t="s">
        <v>1627</v>
      </c>
    </row>
    <row r="2443" spans="1:2" ht="25.5" x14ac:dyDescent="0.2">
      <c r="A2443" s="376">
        <v>1003900</v>
      </c>
      <c r="B2443" s="377" t="s">
        <v>1628</v>
      </c>
    </row>
    <row r="2444" spans="1:2" ht="25.5" x14ac:dyDescent="0.2">
      <c r="A2444" s="376">
        <v>1003901</v>
      </c>
      <c r="B2444" s="377" t="s">
        <v>1629</v>
      </c>
    </row>
    <row r="2445" spans="1:2" ht="25.5" x14ac:dyDescent="0.2">
      <c r="A2445" s="376">
        <v>1003902</v>
      </c>
      <c r="B2445" s="377" t="s">
        <v>1630</v>
      </c>
    </row>
    <row r="2446" spans="1:2" ht="25.5" x14ac:dyDescent="0.2">
      <c r="A2446" s="376">
        <v>1004000</v>
      </c>
      <c r="B2446" s="377" t="s">
        <v>1631</v>
      </c>
    </row>
    <row r="2447" spans="1:2" x14ac:dyDescent="0.2">
      <c r="A2447" s="376">
        <v>1004100</v>
      </c>
      <c r="B2447" s="377" t="s">
        <v>1632</v>
      </c>
    </row>
    <row r="2448" spans="1:2" x14ac:dyDescent="0.2">
      <c r="A2448" s="376">
        <v>1004200</v>
      </c>
      <c r="B2448" s="377" t="s">
        <v>1633</v>
      </c>
    </row>
    <row r="2449" spans="1:2" x14ac:dyDescent="0.2">
      <c r="A2449" s="376">
        <v>1004400</v>
      </c>
      <c r="B2449" s="377" t="s">
        <v>1634</v>
      </c>
    </row>
    <row r="2450" spans="1:2" x14ac:dyDescent="0.2">
      <c r="A2450" s="376">
        <v>1004500</v>
      </c>
      <c r="B2450" s="377" t="s">
        <v>1635</v>
      </c>
    </row>
    <row r="2451" spans="1:2" ht="25.5" x14ac:dyDescent="0.2">
      <c r="A2451" s="376">
        <v>1004600</v>
      </c>
      <c r="B2451" s="377" t="s">
        <v>1636</v>
      </c>
    </row>
    <row r="2452" spans="1:2" x14ac:dyDescent="0.2">
      <c r="A2452" s="376">
        <v>1004601</v>
      </c>
      <c r="B2452" s="377" t="s">
        <v>1637</v>
      </c>
    </row>
    <row r="2453" spans="1:2" x14ac:dyDescent="0.2">
      <c r="A2453" s="376">
        <v>1004602</v>
      </c>
      <c r="B2453" s="377" t="s">
        <v>1638</v>
      </c>
    </row>
    <row r="2454" spans="1:2" ht="25.5" x14ac:dyDescent="0.2">
      <c r="A2454" s="376">
        <v>1004700</v>
      </c>
      <c r="B2454" s="377" t="s">
        <v>1639</v>
      </c>
    </row>
    <row r="2455" spans="1:2" x14ac:dyDescent="0.2">
      <c r="A2455" s="376">
        <v>1004800</v>
      </c>
      <c r="B2455" s="377" t="s">
        <v>1640</v>
      </c>
    </row>
    <row r="2456" spans="1:2" x14ac:dyDescent="0.2">
      <c r="A2456" s="376">
        <v>1004901</v>
      </c>
      <c r="B2456" s="377" t="s">
        <v>1641</v>
      </c>
    </row>
    <row r="2457" spans="1:2" ht="25.5" x14ac:dyDescent="0.2">
      <c r="A2457" s="376">
        <v>1005000</v>
      </c>
      <c r="B2457" s="377" t="s">
        <v>1642</v>
      </c>
    </row>
    <row r="2458" spans="1:2" x14ac:dyDescent="0.2">
      <c r="A2458" s="376">
        <v>1005200</v>
      </c>
      <c r="B2458" s="377" t="s">
        <v>1643</v>
      </c>
    </row>
    <row r="2459" spans="1:2" ht="25.5" x14ac:dyDescent="0.2">
      <c r="A2459" s="376">
        <v>1005300</v>
      </c>
      <c r="B2459" s="377" t="s">
        <v>1644</v>
      </c>
    </row>
    <row r="2460" spans="1:2" x14ac:dyDescent="0.2">
      <c r="A2460" s="376">
        <v>1005400</v>
      </c>
      <c r="B2460" s="377" t="s">
        <v>1645</v>
      </c>
    </row>
    <row r="2461" spans="1:2" ht="38.25" x14ac:dyDescent="0.2">
      <c r="A2461" s="376">
        <v>1005401</v>
      </c>
      <c r="B2461" s="377" t="s">
        <v>1646</v>
      </c>
    </row>
    <row r="2462" spans="1:2" x14ac:dyDescent="0.2">
      <c r="A2462" s="376">
        <v>1005402</v>
      </c>
      <c r="B2462" s="377" t="s">
        <v>1647</v>
      </c>
    </row>
    <row r="2463" spans="1:2" ht="25.5" x14ac:dyDescent="0.2">
      <c r="A2463" s="376">
        <v>1005403</v>
      </c>
      <c r="B2463" s="377" t="s">
        <v>1648</v>
      </c>
    </row>
    <row r="2464" spans="1:2" ht="25.5" x14ac:dyDescent="0.2">
      <c r="A2464" s="376">
        <v>1005500</v>
      </c>
      <c r="B2464" s="377" t="s">
        <v>1649</v>
      </c>
    </row>
    <row r="2465" spans="1:2" ht="25.5" x14ac:dyDescent="0.2">
      <c r="A2465" s="376">
        <v>1005600</v>
      </c>
      <c r="B2465" s="377" t="s">
        <v>1650</v>
      </c>
    </row>
    <row r="2466" spans="1:2" x14ac:dyDescent="0.2">
      <c r="A2466" s="376">
        <v>1005700</v>
      </c>
      <c r="B2466" s="377" t="s">
        <v>1651</v>
      </c>
    </row>
    <row r="2467" spans="1:2" x14ac:dyDescent="0.2">
      <c r="A2467" s="376">
        <v>1005701</v>
      </c>
      <c r="B2467" s="377" t="s">
        <v>1652</v>
      </c>
    </row>
    <row r="2468" spans="1:2" x14ac:dyDescent="0.2">
      <c r="A2468" s="376">
        <v>1005702</v>
      </c>
      <c r="B2468" s="377" t="s">
        <v>1653</v>
      </c>
    </row>
    <row r="2469" spans="1:2" x14ac:dyDescent="0.2">
      <c r="A2469" s="376">
        <v>1005800</v>
      </c>
      <c r="B2469" s="377" t="s">
        <v>1654</v>
      </c>
    </row>
    <row r="2470" spans="1:2" x14ac:dyDescent="0.2">
      <c r="A2470" s="376">
        <v>1005801</v>
      </c>
      <c r="B2470" s="377" t="s">
        <v>1655</v>
      </c>
    </row>
    <row r="2471" spans="1:2" ht="25.5" x14ac:dyDescent="0.2">
      <c r="A2471" s="376">
        <v>1005802</v>
      </c>
      <c r="B2471" s="377" t="s">
        <v>1656</v>
      </c>
    </row>
    <row r="2472" spans="1:2" x14ac:dyDescent="0.2">
      <c r="A2472" s="376">
        <v>1005900</v>
      </c>
      <c r="B2472" s="377" t="s">
        <v>1657</v>
      </c>
    </row>
    <row r="2473" spans="1:2" ht="25.5" x14ac:dyDescent="0.2">
      <c r="A2473" s="376">
        <v>1006000</v>
      </c>
      <c r="B2473" s="377" t="s">
        <v>1658</v>
      </c>
    </row>
    <row r="2474" spans="1:2" ht="25.5" x14ac:dyDescent="0.2">
      <c r="A2474" s="376">
        <v>1006100</v>
      </c>
      <c r="B2474" s="377" t="s">
        <v>1659</v>
      </c>
    </row>
    <row r="2475" spans="1:2" x14ac:dyDescent="0.2">
      <c r="A2475" s="376">
        <v>1006200</v>
      </c>
      <c r="B2475" s="377" t="s">
        <v>1660</v>
      </c>
    </row>
    <row r="2476" spans="1:2" ht="25.5" x14ac:dyDescent="0.2">
      <c r="A2476" s="376">
        <v>1006300</v>
      </c>
      <c r="B2476" s="377" t="s">
        <v>1661</v>
      </c>
    </row>
    <row r="2477" spans="1:2" ht="25.5" x14ac:dyDescent="0.2">
      <c r="A2477" s="376">
        <v>1006400</v>
      </c>
      <c r="B2477" s="377" t="s">
        <v>1662</v>
      </c>
    </row>
    <row r="2478" spans="1:2" x14ac:dyDescent="0.2">
      <c r="A2478" s="376">
        <v>1006500</v>
      </c>
      <c r="B2478" s="377" t="s">
        <v>1663</v>
      </c>
    </row>
    <row r="2479" spans="1:2" x14ac:dyDescent="0.2">
      <c r="A2479" s="376">
        <v>1006600</v>
      </c>
      <c r="B2479" s="377" t="s">
        <v>1664</v>
      </c>
    </row>
    <row r="2480" spans="1:2" ht="25.5" x14ac:dyDescent="0.2">
      <c r="A2480" s="376">
        <v>1006700</v>
      </c>
      <c r="B2480" s="377" t="s">
        <v>1665</v>
      </c>
    </row>
    <row r="2481" spans="1:2" x14ac:dyDescent="0.2">
      <c r="A2481" s="376">
        <v>1006800</v>
      </c>
      <c r="B2481" s="377" t="s">
        <v>1666</v>
      </c>
    </row>
    <row r="2482" spans="1:2" ht="25.5" x14ac:dyDescent="0.2">
      <c r="A2482" s="376">
        <v>1006900</v>
      </c>
      <c r="B2482" s="377" t="s">
        <v>1667</v>
      </c>
    </row>
    <row r="2483" spans="1:2" x14ac:dyDescent="0.2">
      <c r="A2483" s="376">
        <v>1007000</v>
      </c>
      <c r="B2483" s="377" t="s">
        <v>1668</v>
      </c>
    </row>
    <row r="2484" spans="1:2" ht="25.5" x14ac:dyDescent="0.2">
      <c r="A2484" s="376">
        <v>1007100</v>
      </c>
      <c r="B2484" s="377" t="s">
        <v>1669</v>
      </c>
    </row>
    <row r="2485" spans="1:2" x14ac:dyDescent="0.2">
      <c r="A2485" s="376">
        <v>1007200</v>
      </c>
      <c r="B2485" s="377" t="s">
        <v>1670</v>
      </c>
    </row>
    <row r="2486" spans="1:2" x14ac:dyDescent="0.2">
      <c r="A2486" s="376">
        <v>1007300</v>
      </c>
      <c r="B2486" s="377" t="s">
        <v>1671</v>
      </c>
    </row>
    <row r="2487" spans="1:2" x14ac:dyDescent="0.2">
      <c r="A2487" s="376">
        <v>1007400</v>
      </c>
      <c r="B2487" s="377" t="s">
        <v>1672</v>
      </c>
    </row>
    <row r="2488" spans="1:2" ht="25.5" x14ac:dyDescent="0.2">
      <c r="A2488" s="376">
        <v>1007500</v>
      </c>
      <c r="B2488" s="377" t="s">
        <v>1673</v>
      </c>
    </row>
    <row r="2489" spans="1:2" ht="25.5" x14ac:dyDescent="0.2">
      <c r="A2489" s="376">
        <v>1007600</v>
      </c>
      <c r="B2489" s="377" t="s">
        <v>1674</v>
      </c>
    </row>
    <row r="2490" spans="1:2" x14ac:dyDescent="0.2">
      <c r="A2490" s="376">
        <v>1007700</v>
      </c>
      <c r="B2490" s="377" t="s">
        <v>1675</v>
      </c>
    </row>
    <row r="2491" spans="1:2" ht="25.5" x14ac:dyDescent="0.2">
      <c r="A2491" s="376">
        <v>1007800</v>
      </c>
      <c r="B2491" s="377" t="s">
        <v>1676</v>
      </c>
    </row>
    <row r="2492" spans="1:2" ht="38.25" x14ac:dyDescent="0.2">
      <c r="A2492" s="376">
        <v>1007900</v>
      </c>
      <c r="B2492" s="377" t="s">
        <v>1677</v>
      </c>
    </row>
    <row r="2493" spans="1:2" ht="63.75" x14ac:dyDescent="0.2">
      <c r="A2493" s="376">
        <v>1008000</v>
      </c>
      <c r="B2493" s="377" t="s">
        <v>1678</v>
      </c>
    </row>
    <row r="2494" spans="1:2" x14ac:dyDescent="0.2">
      <c r="A2494" s="376">
        <v>1008100</v>
      </c>
      <c r="B2494" s="377" t="s">
        <v>1679</v>
      </c>
    </row>
    <row r="2495" spans="1:2" x14ac:dyDescent="0.2">
      <c r="A2495" s="376">
        <v>1008101</v>
      </c>
      <c r="B2495" s="377" t="s">
        <v>1680</v>
      </c>
    </row>
    <row r="2496" spans="1:2" x14ac:dyDescent="0.2">
      <c r="A2496" s="376">
        <v>1008102</v>
      </c>
      <c r="B2496" s="377" t="s">
        <v>1512</v>
      </c>
    </row>
    <row r="2497" spans="1:2" x14ac:dyDescent="0.2">
      <c r="A2497" s="376">
        <v>1008103</v>
      </c>
      <c r="B2497" s="377" t="s">
        <v>1513</v>
      </c>
    </row>
    <row r="2498" spans="1:2" x14ac:dyDescent="0.2">
      <c r="A2498" s="376">
        <v>1008104</v>
      </c>
      <c r="B2498" s="377" t="s">
        <v>1516</v>
      </c>
    </row>
    <row r="2499" spans="1:2" x14ac:dyDescent="0.2">
      <c r="A2499" s="376">
        <v>1008105</v>
      </c>
      <c r="B2499" s="377" t="s">
        <v>1681</v>
      </c>
    </row>
    <row r="2500" spans="1:2" x14ac:dyDescent="0.2">
      <c r="A2500" s="376">
        <v>1008106</v>
      </c>
      <c r="B2500" s="377" t="s">
        <v>1514</v>
      </c>
    </row>
    <row r="2501" spans="1:2" ht="25.5" x14ac:dyDescent="0.2">
      <c r="A2501" s="376">
        <v>1008107</v>
      </c>
      <c r="B2501" s="377" t="s">
        <v>1682</v>
      </c>
    </row>
    <row r="2502" spans="1:2" ht="25.5" x14ac:dyDescent="0.2">
      <c r="A2502" s="376">
        <v>1008200</v>
      </c>
      <c r="B2502" s="377" t="s">
        <v>1683</v>
      </c>
    </row>
    <row r="2503" spans="1:2" ht="25.5" x14ac:dyDescent="0.2">
      <c r="A2503" s="376">
        <v>1008300</v>
      </c>
      <c r="B2503" s="377" t="s">
        <v>1684</v>
      </c>
    </row>
    <row r="2504" spans="1:2" x14ac:dyDescent="0.2">
      <c r="A2504" s="376">
        <v>1008400</v>
      </c>
      <c r="B2504" s="377" t="s">
        <v>1685</v>
      </c>
    </row>
    <row r="2505" spans="1:2" x14ac:dyDescent="0.2">
      <c r="A2505" s="376">
        <v>1008500</v>
      </c>
      <c r="B2505" s="377" t="s">
        <v>1686</v>
      </c>
    </row>
    <row r="2506" spans="1:2" x14ac:dyDescent="0.2">
      <c r="A2506" s="376">
        <v>1008600</v>
      </c>
      <c r="B2506" s="377" t="s">
        <v>1687</v>
      </c>
    </row>
    <row r="2507" spans="1:2" ht="25.5" x14ac:dyDescent="0.2">
      <c r="A2507" s="376">
        <v>1008700</v>
      </c>
      <c r="B2507" s="377" t="s">
        <v>1688</v>
      </c>
    </row>
    <row r="2508" spans="1:2" x14ac:dyDescent="0.2">
      <c r="A2508" s="376">
        <v>1008800</v>
      </c>
      <c r="B2508" s="377" t="s">
        <v>1689</v>
      </c>
    </row>
    <row r="2509" spans="1:2" ht="25.5" x14ac:dyDescent="0.2">
      <c r="A2509" s="376">
        <v>1008810</v>
      </c>
      <c r="B2509" s="377" t="s">
        <v>1690</v>
      </c>
    </row>
    <row r="2510" spans="1:2" x14ac:dyDescent="0.2">
      <c r="A2510" s="376">
        <v>1008811</v>
      </c>
      <c r="B2510" s="377" t="s">
        <v>1691</v>
      </c>
    </row>
    <row r="2511" spans="1:2" ht="25.5" x14ac:dyDescent="0.2">
      <c r="A2511" s="376">
        <v>1008812</v>
      </c>
      <c r="B2511" s="377" t="s">
        <v>1692</v>
      </c>
    </row>
    <row r="2512" spans="1:2" x14ac:dyDescent="0.2">
      <c r="A2512" s="376">
        <v>1008813</v>
      </c>
      <c r="B2512" s="377" t="s">
        <v>1693</v>
      </c>
    </row>
    <row r="2513" spans="1:2" ht="25.5" x14ac:dyDescent="0.2">
      <c r="A2513" s="376">
        <v>1008814</v>
      </c>
      <c r="B2513" s="377" t="s">
        <v>1694</v>
      </c>
    </row>
    <row r="2514" spans="1:2" x14ac:dyDescent="0.2">
      <c r="A2514" s="376">
        <v>1008815</v>
      </c>
      <c r="B2514" s="377" t="s">
        <v>1695</v>
      </c>
    </row>
    <row r="2515" spans="1:2" x14ac:dyDescent="0.2">
      <c r="A2515" s="376">
        <v>1008816</v>
      </c>
      <c r="B2515" s="377" t="s">
        <v>1696</v>
      </c>
    </row>
    <row r="2516" spans="1:2" x14ac:dyDescent="0.2">
      <c r="A2516" s="376">
        <v>1008821</v>
      </c>
      <c r="B2516" s="377" t="s">
        <v>1697</v>
      </c>
    </row>
    <row r="2517" spans="1:2" x14ac:dyDescent="0.2">
      <c r="A2517" s="376">
        <v>1008822</v>
      </c>
      <c r="B2517" s="377" t="s">
        <v>1698</v>
      </c>
    </row>
    <row r="2518" spans="1:2" x14ac:dyDescent="0.2">
      <c r="A2518" s="376">
        <v>1008830</v>
      </c>
      <c r="B2518" s="377" t="s">
        <v>1699</v>
      </c>
    </row>
    <row r="2519" spans="1:2" x14ac:dyDescent="0.2">
      <c r="A2519" s="376">
        <v>1008840</v>
      </c>
      <c r="B2519" s="377" t="s">
        <v>1700</v>
      </c>
    </row>
    <row r="2520" spans="1:2" x14ac:dyDescent="0.2">
      <c r="A2520" s="376">
        <v>1008850</v>
      </c>
      <c r="B2520" s="377" t="s">
        <v>1701</v>
      </c>
    </row>
    <row r="2521" spans="1:2" x14ac:dyDescent="0.2">
      <c r="A2521" s="376">
        <v>1008851</v>
      </c>
      <c r="B2521" s="377" t="s">
        <v>1702</v>
      </c>
    </row>
    <row r="2522" spans="1:2" x14ac:dyDescent="0.2">
      <c r="A2522" s="376">
        <v>1008852</v>
      </c>
      <c r="B2522" s="377" t="s">
        <v>1703</v>
      </c>
    </row>
    <row r="2523" spans="1:2" ht="25.5" x14ac:dyDescent="0.2">
      <c r="A2523" s="376">
        <v>1008853</v>
      </c>
      <c r="B2523" s="377" t="s">
        <v>1704</v>
      </c>
    </row>
    <row r="2524" spans="1:2" x14ac:dyDescent="0.2">
      <c r="A2524" s="376">
        <v>1008854</v>
      </c>
      <c r="B2524" s="377" t="s">
        <v>1705</v>
      </c>
    </row>
    <row r="2525" spans="1:2" x14ac:dyDescent="0.2">
      <c r="A2525" s="376">
        <v>1008855</v>
      </c>
      <c r="B2525" s="377" t="s">
        <v>1706</v>
      </c>
    </row>
    <row r="2526" spans="1:2" ht="25.5" x14ac:dyDescent="0.2">
      <c r="A2526" s="376">
        <v>1008856</v>
      </c>
      <c r="B2526" s="377" t="s">
        <v>1707</v>
      </c>
    </row>
    <row r="2527" spans="1:2" ht="25.5" x14ac:dyDescent="0.2">
      <c r="A2527" s="376">
        <v>1008857</v>
      </c>
      <c r="B2527" s="377" t="s">
        <v>1708</v>
      </c>
    </row>
    <row r="2528" spans="1:2" ht="25.5" x14ac:dyDescent="0.2">
      <c r="A2528" s="376">
        <v>1008858</v>
      </c>
      <c r="B2528" s="377" t="s">
        <v>1709</v>
      </c>
    </row>
    <row r="2529" spans="1:2" x14ac:dyDescent="0.2">
      <c r="A2529" s="376">
        <v>1008860</v>
      </c>
      <c r="B2529" s="377" t="s">
        <v>1710</v>
      </c>
    </row>
    <row r="2530" spans="1:2" x14ac:dyDescent="0.2">
      <c r="A2530" s="376">
        <v>1008900</v>
      </c>
      <c r="B2530" s="377" t="s">
        <v>1711</v>
      </c>
    </row>
    <row r="2531" spans="1:2" x14ac:dyDescent="0.2">
      <c r="A2531" s="376">
        <v>1009000</v>
      </c>
      <c r="B2531" s="377" t="s">
        <v>1712</v>
      </c>
    </row>
    <row r="2532" spans="1:2" x14ac:dyDescent="0.2">
      <c r="A2532" s="376">
        <v>1009100</v>
      </c>
      <c r="B2532" s="377" t="s">
        <v>1713</v>
      </c>
    </row>
    <row r="2533" spans="1:2" ht="25.5" x14ac:dyDescent="0.2">
      <c r="A2533" s="376">
        <v>1009200</v>
      </c>
      <c r="B2533" s="377" t="s">
        <v>1714</v>
      </c>
    </row>
    <row r="2534" spans="1:2" x14ac:dyDescent="0.2">
      <c r="A2534" s="376">
        <v>1009300</v>
      </c>
      <c r="B2534" s="377" t="s">
        <v>1715</v>
      </c>
    </row>
    <row r="2535" spans="1:2" x14ac:dyDescent="0.2">
      <c r="A2535" s="376">
        <v>1009301</v>
      </c>
      <c r="B2535" s="377" t="s">
        <v>1716</v>
      </c>
    </row>
    <row r="2536" spans="1:2" ht="25.5" x14ac:dyDescent="0.2">
      <c r="A2536" s="376">
        <v>1009400</v>
      </c>
      <c r="B2536" s="377" t="s">
        <v>1717</v>
      </c>
    </row>
    <row r="2537" spans="1:2" x14ac:dyDescent="0.2">
      <c r="A2537" s="376" t="s">
        <v>1718</v>
      </c>
      <c r="B2537" s="377"/>
    </row>
    <row r="2538" spans="1:2" ht="25.5" x14ac:dyDescent="0.2">
      <c r="A2538" s="376">
        <v>1009500</v>
      </c>
      <c r="B2538" s="377" t="s">
        <v>1719</v>
      </c>
    </row>
    <row r="2539" spans="1:2" ht="25.5" x14ac:dyDescent="0.2">
      <c r="A2539" s="376">
        <v>1009600</v>
      </c>
      <c r="B2539" s="377" t="s">
        <v>1720</v>
      </c>
    </row>
    <row r="2540" spans="1:2" x14ac:dyDescent="0.2">
      <c r="A2540" s="376">
        <v>1009700</v>
      </c>
      <c r="B2540" s="377" t="s">
        <v>1721</v>
      </c>
    </row>
    <row r="2541" spans="1:2" ht="25.5" x14ac:dyDescent="0.2">
      <c r="A2541" s="376">
        <v>1009800</v>
      </c>
      <c r="B2541" s="377" t="s">
        <v>1722</v>
      </c>
    </row>
    <row r="2542" spans="1:2" ht="25.5" x14ac:dyDescent="0.2">
      <c r="A2542" s="376">
        <v>1009900</v>
      </c>
      <c r="B2542" s="377" t="s">
        <v>1723</v>
      </c>
    </row>
    <row r="2543" spans="1:2" x14ac:dyDescent="0.2">
      <c r="A2543" s="376">
        <v>1009901</v>
      </c>
      <c r="B2543" s="377" t="s">
        <v>1724</v>
      </c>
    </row>
    <row r="2544" spans="1:2" ht="38.25" x14ac:dyDescent="0.2">
      <c r="A2544" s="376">
        <v>1009902</v>
      </c>
      <c r="B2544" s="377" t="s">
        <v>1725</v>
      </c>
    </row>
    <row r="2545" spans="1:2" x14ac:dyDescent="0.2">
      <c r="A2545" s="376">
        <v>1010000</v>
      </c>
      <c r="B2545" s="377" t="s">
        <v>1726</v>
      </c>
    </row>
    <row r="2546" spans="1:2" x14ac:dyDescent="0.2">
      <c r="A2546" s="376">
        <v>1010100</v>
      </c>
      <c r="B2546" s="377" t="s">
        <v>1727</v>
      </c>
    </row>
    <row r="2547" spans="1:2" ht="25.5" x14ac:dyDescent="0.2">
      <c r="A2547" s="376">
        <v>1010200</v>
      </c>
      <c r="B2547" s="377" t="s">
        <v>1728</v>
      </c>
    </row>
    <row r="2548" spans="1:2" ht="25.5" x14ac:dyDescent="0.2">
      <c r="A2548" s="376">
        <v>1010300</v>
      </c>
      <c r="B2548" s="377" t="s">
        <v>1729</v>
      </c>
    </row>
    <row r="2549" spans="1:2" x14ac:dyDescent="0.2">
      <c r="A2549" s="376">
        <v>1015700</v>
      </c>
      <c r="B2549" s="377" t="s">
        <v>1730</v>
      </c>
    </row>
    <row r="2550" spans="1:2" x14ac:dyDescent="0.2">
      <c r="A2550" s="376">
        <v>1016300</v>
      </c>
      <c r="B2550" s="377" t="s">
        <v>1731</v>
      </c>
    </row>
    <row r="2551" spans="1:2" x14ac:dyDescent="0.2">
      <c r="A2551" s="376">
        <v>1016700</v>
      </c>
      <c r="B2551" s="377" t="s">
        <v>1307</v>
      </c>
    </row>
    <row r="2552" spans="1:2" x14ac:dyDescent="0.2">
      <c r="A2552" s="376">
        <v>1020000</v>
      </c>
      <c r="B2552" s="377" t="s">
        <v>1732</v>
      </c>
    </row>
    <row r="2553" spans="1:2" ht="25.5" x14ac:dyDescent="0.2">
      <c r="A2553" s="376">
        <v>1020100</v>
      </c>
      <c r="B2553" s="377" t="s">
        <v>1733</v>
      </c>
    </row>
    <row r="2554" spans="1:2" ht="25.5" x14ac:dyDescent="0.2">
      <c r="A2554" s="376">
        <v>1020101</v>
      </c>
      <c r="B2554" s="377" t="s">
        <v>1734</v>
      </c>
    </row>
    <row r="2555" spans="1:2" x14ac:dyDescent="0.2">
      <c r="A2555" s="376">
        <v>1020102</v>
      </c>
      <c r="B2555" s="377" t="s">
        <v>1735</v>
      </c>
    </row>
    <row r="2556" spans="1:2" ht="25.5" x14ac:dyDescent="0.2">
      <c r="A2556" s="376">
        <v>1020103</v>
      </c>
      <c r="B2556" s="377" t="s">
        <v>1736</v>
      </c>
    </row>
    <row r="2557" spans="1:2" x14ac:dyDescent="0.2">
      <c r="A2557" s="376">
        <v>1020107</v>
      </c>
      <c r="B2557" s="377" t="s">
        <v>1737</v>
      </c>
    </row>
    <row r="2558" spans="1:2" x14ac:dyDescent="0.2">
      <c r="A2558" s="376">
        <v>1020108</v>
      </c>
      <c r="B2558" s="377" t="s">
        <v>1738</v>
      </c>
    </row>
    <row r="2559" spans="1:2" x14ac:dyDescent="0.2">
      <c r="A2559" s="376">
        <v>1020200</v>
      </c>
      <c r="B2559" s="377" t="s">
        <v>1739</v>
      </c>
    </row>
    <row r="2560" spans="1:2" ht="25.5" x14ac:dyDescent="0.2">
      <c r="A2560" s="376">
        <v>1020201</v>
      </c>
      <c r="B2560" s="377" t="s">
        <v>1740</v>
      </c>
    </row>
    <row r="2561" spans="1:2" x14ac:dyDescent="0.2">
      <c r="A2561" s="376">
        <v>1020202</v>
      </c>
      <c r="B2561" s="377" t="s">
        <v>1741</v>
      </c>
    </row>
    <row r="2562" spans="1:2" ht="25.5" x14ac:dyDescent="0.2">
      <c r="A2562" s="376">
        <v>1020203</v>
      </c>
      <c r="B2562" s="377" t="s">
        <v>1742</v>
      </c>
    </row>
    <row r="2563" spans="1:2" x14ac:dyDescent="0.2">
      <c r="A2563" s="376">
        <v>1020204</v>
      </c>
      <c r="B2563" s="377" t="s">
        <v>1743</v>
      </c>
    </row>
    <row r="2564" spans="1:2" ht="38.25" x14ac:dyDescent="0.2">
      <c r="A2564" s="376">
        <v>1020205</v>
      </c>
      <c r="B2564" s="377" t="s">
        <v>1744</v>
      </c>
    </row>
    <row r="2565" spans="1:2" ht="38.25" x14ac:dyDescent="0.2">
      <c r="A2565" s="376">
        <v>1020206</v>
      </c>
      <c r="B2565" s="377" t="s">
        <v>1745</v>
      </c>
    </row>
    <row r="2566" spans="1:2" ht="25.5" x14ac:dyDescent="0.2">
      <c r="A2566" s="376">
        <v>1020208</v>
      </c>
      <c r="B2566" s="377" t="s">
        <v>1746</v>
      </c>
    </row>
    <row r="2567" spans="1:2" x14ac:dyDescent="0.2">
      <c r="A2567" s="376">
        <v>1020300</v>
      </c>
      <c r="B2567" s="377" t="s">
        <v>1747</v>
      </c>
    </row>
    <row r="2568" spans="1:2" x14ac:dyDescent="0.2">
      <c r="A2568" s="376">
        <v>1020400</v>
      </c>
      <c r="B2568" s="377" t="s">
        <v>1748</v>
      </c>
    </row>
    <row r="2569" spans="1:2" ht="25.5" x14ac:dyDescent="0.2">
      <c r="A2569" s="376">
        <v>1020401</v>
      </c>
      <c r="B2569" s="377" t="s">
        <v>1749</v>
      </c>
    </row>
    <row r="2570" spans="1:2" ht="25.5" x14ac:dyDescent="0.2">
      <c r="A2570" s="376">
        <v>1020402</v>
      </c>
      <c r="B2570" s="377" t="s">
        <v>1750</v>
      </c>
    </row>
    <row r="2571" spans="1:2" ht="25.5" x14ac:dyDescent="0.2">
      <c r="A2571" s="376">
        <v>1020500</v>
      </c>
      <c r="B2571" s="377" t="s">
        <v>1751</v>
      </c>
    </row>
    <row r="2572" spans="1:2" ht="38.25" x14ac:dyDescent="0.2">
      <c r="A2572" s="376">
        <v>1020501</v>
      </c>
      <c r="B2572" s="377" t="s">
        <v>1752</v>
      </c>
    </row>
    <row r="2573" spans="1:2" ht="25.5" x14ac:dyDescent="0.2">
      <c r="A2573" s="376">
        <v>1020502</v>
      </c>
      <c r="B2573" s="377" t="s">
        <v>1753</v>
      </c>
    </row>
    <row r="2574" spans="1:2" x14ac:dyDescent="0.2">
      <c r="A2574" s="376">
        <v>1020600</v>
      </c>
      <c r="B2574" s="377" t="s">
        <v>1416</v>
      </c>
    </row>
    <row r="2575" spans="1:2" x14ac:dyDescent="0.2">
      <c r="A2575" s="376">
        <v>1040000</v>
      </c>
      <c r="B2575" s="377" t="s">
        <v>1754</v>
      </c>
    </row>
    <row r="2576" spans="1:2" ht="25.5" x14ac:dyDescent="0.2">
      <c r="A2576" s="376">
        <v>1040100</v>
      </c>
      <c r="B2576" s="377" t="s">
        <v>1755</v>
      </c>
    </row>
    <row r="2577" spans="1:2" ht="25.5" x14ac:dyDescent="0.2">
      <c r="A2577" s="376">
        <v>1040101</v>
      </c>
      <c r="B2577" s="377" t="s">
        <v>1692</v>
      </c>
    </row>
    <row r="2578" spans="1:2" x14ac:dyDescent="0.2">
      <c r="A2578" s="376">
        <v>1040102</v>
      </c>
      <c r="B2578" s="377" t="s">
        <v>1691</v>
      </c>
    </row>
    <row r="2579" spans="1:2" x14ac:dyDescent="0.2">
      <c r="A2579" s="376">
        <v>1040103</v>
      </c>
      <c r="B2579" s="377" t="s">
        <v>1693</v>
      </c>
    </row>
    <row r="2580" spans="1:2" ht="25.5" x14ac:dyDescent="0.2">
      <c r="A2580" s="376">
        <v>1040104</v>
      </c>
      <c r="B2580" s="377" t="s">
        <v>1756</v>
      </c>
    </row>
    <row r="2581" spans="1:2" x14ac:dyDescent="0.2">
      <c r="A2581" s="376">
        <v>1040105</v>
      </c>
      <c r="B2581" s="377" t="s">
        <v>1695</v>
      </c>
    </row>
    <row r="2582" spans="1:2" x14ac:dyDescent="0.2">
      <c r="A2582" s="376">
        <v>1040106</v>
      </c>
      <c r="B2582" s="377" t="s">
        <v>1696</v>
      </c>
    </row>
    <row r="2583" spans="1:2" x14ac:dyDescent="0.2">
      <c r="A2583" s="376">
        <v>1040200</v>
      </c>
      <c r="B2583" s="377" t="s">
        <v>1698</v>
      </c>
    </row>
    <row r="2584" spans="1:2" x14ac:dyDescent="0.2">
      <c r="A2584" s="376">
        <v>1040300</v>
      </c>
      <c r="B2584" s="377" t="s">
        <v>1700</v>
      </c>
    </row>
    <row r="2585" spans="1:2" ht="25.5" x14ac:dyDescent="0.2">
      <c r="A2585" s="376">
        <v>1040400</v>
      </c>
      <c r="B2585" s="377" t="s">
        <v>1757</v>
      </c>
    </row>
    <row r="2586" spans="1:2" x14ac:dyDescent="0.2">
      <c r="A2586" s="376">
        <v>1040500</v>
      </c>
      <c r="B2586" s="377" t="s">
        <v>1758</v>
      </c>
    </row>
    <row r="2587" spans="1:2" ht="25.5" x14ac:dyDescent="0.2">
      <c r="A2587" s="376">
        <v>1040600</v>
      </c>
      <c r="B2587" s="377" t="s">
        <v>1759</v>
      </c>
    </row>
    <row r="2588" spans="1:2" x14ac:dyDescent="0.2">
      <c r="A2588" s="376">
        <v>1040700</v>
      </c>
      <c r="B2588" s="377" t="s">
        <v>1760</v>
      </c>
    </row>
    <row r="2589" spans="1:2" x14ac:dyDescent="0.2">
      <c r="A2589" s="376">
        <v>1040800</v>
      </c>
      <c r="B2589" s="377" t="s">
        <v>1701</v>
      </c>
    </row>
    <row r="2590" spans="1:2" x14ac:dyDescent="0.2">
      <c r="A2590" s="376">
        <v>1040801</v>
      </c>
      <c r="B2590" s="377" t="s">
        <v>1702</v>
      </c>
    </row>
    <row r="2591" spans="1:2" x14ac:dyDescent="0.2">
      <c r="A2591" s="376">
        <v>1040802</v>
      </c>
      <c r="B2591" s="377" t="s">
        <v>1705</v>
      </c>
    </row>
    <row r="2592" spans="1:2" x14ac:dyDescent="0.2">
      <c r="A2592" s="376">
        <v>1040803</v>
      </c>
      <c r="B2592" s="377" t="s">
        <v>1761</v>
      </c>
    </row>
    <row r="2593" spans="1:2" ht="25.5" x14ac:dyDescent="0.2">
      <c r="A2593" s="376">
        <v>1040804</v>
      </c>
      <c r="B2593" s="377" t="s">
        <v>1762</v>
      </c>
    </row>
    <row r="2594" spans="1:2" ht="25.5" x14ac:dyDescent="0.2">
      <c r="A2594" s="376">
        <v>1100000</v>
      </c>
      <c r="B2594" s="377" t="s">
        <v>1763</v>
      </c>
    </row>
    <row r="2595" spans="1:2" x14ac:dyDescent="0.2">
      <c r="A2595" s="376">
        <v>1100100</v>
      </c>
      <c r="B2595" s="377" t="s">
        <v>1764</v>
      </c>
    </row>
    <row r="2596" spans="1:2" ht="25.5" x14ac:dyDescent="0.2">
      <c r="A2596" s="376">
        <v>1300000</v>
      </c>
      <c r="B2596" s="377" t="s">
        <v>1765</v>
      </c>
    </row>
    <row r="2597" spans="1:2" x14ac:dyDescent="0.2">
      <c r="A2597" s="376">
        <v>1300100</v>
      </c>
      <c r="B2597" s="377" t="s">
        <v>1766</v>
      </c>
    </row>
    <row r="2598" spans="1:2" ht="25.5" x14ac:dyDescent="0.2">
      <c r="A2598" s="376">
        <v>1305700</v>
      </c>
      <c r="B2598" s="377" t="s">
        <v>1767</v>
      </c>
    </row>
    <row r="2599" spans="1:2" x14ac:dyDescent="0.2">
      <c r="A2599" s="376">
        <v>1306700</v>
      </c>
      <c r="B2599" s="377" t="s">
        <v>1307</v>
      </c>
    </row>
    <row r="2600" spans="1:2" x14ac:dyDescent="0.2">
      <c r="A2600" s="376">
        <v>1308000</v>
      </c>
      <c r="B2600" s="377" t="s">
        <v>1768</v>
      </c>
    </row>
    <row r="2601" spans="1:2" x14ac:dyDescent="0.2">
      <c r="A2601" s="376">
        <v>1309900</v>
      </c>
      <c r="B2601" s="377" t="s">
        <v>1324</v>
      </c>
    </row>
    <row r="2602" spans="1:2" ht="25.5" x14ac:dyDescent="0.2">
      <c r="A2602" s="376">
        <v>1310000</v>
      </c>
      <c r="B2602" s="377" t="s">
        <v>1769</v>
      </c>
    </row>
    <row r="2603" spans="1:2" x14ac:dyDescent="0.2">
      <c r="A2603" s="376">
        <v>1310100</v>
      </c>
      <c r="B2603" s="377" t="s">
        <v>1770</v>
      </c>
    </row>
    <row r="2604" spans="1:2" x14ac:dyDescent="0.2">
      <c r="A2604" s="376">
        <v>1320000</v>
      </c>
      <c r="B2604" s="377" t="s">
        <v>1771</v>
      </c>
    </row>
    <row r="2605" spans="1:2" x14ac:dyDescent="0.2">
      <c r="A2605" s="376">
        <v>1328000</v>
      </c>
      <c r="B2605" s="377" t="s">
        <v>1768</v>
      </c>
    </row>
    <row r="2606" spans="1:2" ht="25.5" x14ac:dyDescent="0.2">
      <c r="A2606" s="376">
        <v>1330000</v>
      </c>
      <c r="B2606" s="377" t="s">
        <v>1772</v>
      </c>
    </row>
    <row r="2607" spans="1:2" ht="25.5" x14ac:dyDescent="0.2">
      <c r="A2607" s="376">
        <v>1330100</v>
      </c>
      <c r="B2607" s="377" t="s">
        <v>1773</v>
      </c>
    </row>
    <row r="2608" spans="1:2" ht="25.5" x14ac:dyDescent="0.2">
      <c r="A2608" s="376">
        <v>1340000</v>
      </c>
      <c r="B2608" s="377" t="s">
        <v>1772</v>
      </c>
    </row>
    <row r="2609" spans="1:2" ht="25.5" x14ac:dyDescent="0.2">
      <c r="A2609" s="376">
        <v>1340100</v>
      </c>
      <c r="B2609" s="377" t="s">
        <v>1774</v>
      </c>
    </row>
    <row r="2610" spans="1:2" x14ac:dyDescent="0.2">
      <c r="A2610" s="376">
        <v>1340200</v>
      </c>
      <c r="B2610" s="377" t="s">
        <v>1775</v>
      </c>
    </row>
    <row r="2611" spans="1:2" x14ac:dyDescent="0.2">
      <c r="A2611" s="376">
        <v>1350000</v>
      </c>
      <c r="B2611" s="377" t="s">
        <v>1776</v>
      </c>
    </row>
    <row r="2612" spans="1:2" ht="25.5" x14ac:dyDescent="0.2">
      <c r="A2612" s="376">
        <v>1350100</v>
      </c>
      <c r="B2612" s="377" t="s">
        <v>1777</v>
      </c>
    </row>
    <row r="2613" spans="1:2" x14ac:dyDescent="0.2">
      <c r="A2613" s="376">
        <v>1350200</v>
      </c>
      <c r="B2613" s="377" t="s">
        <v>1778</v>
      </c>
    </row>
    <row r="2614" spans="1:2" x14ac:dyDescent="0.2">
      <c r="A2614" s="376">
        <v>1360000</v>
      </c>
      <c r="B2614" s="377" t="s">
        <v>1779</v>
      </c>
    </row>
    <row r="2615" spans="1:2" x14ac:dyDescent="0.2">
      <c r="A2615" s="376">
        <v>1360100</v>
      </c>
      <c r="B2615" s="377" t="s">
        <v>1780</v>
      </c>
    </row>
    <row r="2616" spans="1:2" x14ac:dyDescent="0.2">
      <c r="A2616" s="376">
        <v>1360200</v>
      </c>
      <c r="B2616" s="377" t="s">
        <v>1781</v>
      </c>
    </row>
    <row r="2617" spans="1:2" ht="38.25" x14ac:dyDescent="0.2">
      <c r="A2617" s="376">
        <v>1417288</v>
      </c>
      <c r="B2617" s="377" t="s">
        <v>1782</v>
      </c>
    </row>
    <row r="2618" spans="1:2" x14ac:dyDescent="0.2">
      <c r="A2618" s="376">
        <v>2000000</v>
      </c>
      <c r="B2618" s="377" t="s">
        <v>1783</v>
      </c>
    </row>
    <row r="2619" spans="1:2" x14ac:dyDescent="0.2">
      <c r="A2619" s="376">
        <v>2006600</v>
      </c>
      <c r="B2619" s="377" t="s">
        <v>1453</v>
      </c>
    </row>
    <row r="2620" spans="1:2" x14ac:dyDescent="0.2">
      <c r="A2620" s="376">
        <v>2006700</v>
      </c>
      <c r="B2620" s="377" t="s">
        <v>1307</v>
      </c>
    </row>
    <row r="2621" spans="1:2" x14ac:dyDescent="0.2">
      <c r="A2621" s="376">
        <v>2006800</v>
      </c>
      <c r="B2621" s="377" t="s">
        <v>1308</v>
      </c>
    </row>
    <row r="2622" spans="1:2" x14ac:dyDescent="0.2">
      <c r="A2622" s="376">
        <v>2006801</v>
      </c>
      <c r="B2622" s="377" t="s">
        <v>1309</v>
      </c>
    </row>
    <row r="2623" spans="1:2" ht="25.5" x14ac:dyDescent="0.2">
      <c r="A2623" s="376">
        <v>2006802</v>
      </c>
      <c r="B2623" s="377" t="s">
        <v>1310</v>
      </c>
    </row>
    <row r="2624" spans="1:2" x14ac:dyDescent="0.2">
      <c r="A2624" s="376">
        <v>2007000</v>
      </c>
      <c r="B2624" s="377" t="s">
        <v>1311</v>
      </c>
    </row>
    <row r="2625" spans="1:2" x14ac:dyDescent="0.2">
      <c r="A2625" s="376">
        <v>2009700</v>
      </c>
      <c r="B2625" s="377" t="s">
        <v>1358</v>
      </c>
    </row>
    <row r="2626" spans="1:2" x14ac:dyDescent="0.2">
      <c r="A2626" s="376">
        <v>2010000</v>
      </c>
      <c r="B2626" s="377" t="s">
        <v>1784</v>
      </c>
    </row>
    <row r="2627" spans="1:2" x14ac:dyDescent="0.2">
      <c r="A2627" s="376">
        <v>2016700</v>
      </c>
      <c r="B2627" s="377" t="s">
        <v>1307</v>
      </c>
    </row>
    <row r="2628" spans="1:2" x14ac:dyDescent="0.2">
      <c r="A2628" s="376">
        <v>2016800</v>
      </c>
      <c r="B2628" s="377" t="s">
        <v>1308</v>
      </c>
    </row>
    <row r="2629" spans="1:2" x14ac:dyDescent="0.2">
      <c r="A2629" s="376">
        <v>2016801</v>
      </c>
      <c r="B2629" s="377" t="s">
        <v>1309</v>
      </c>
    </row>
    <row r="2630" spans="1:2" ht="25.5" x14ac:dyDescent="0.2">
      <c r="A2630" s="376">
        <v>2016802</v>
      </c>
      <c r="B2630" s="377" t="s">
        <v>1310</v>
      </c>
    </row>
    <row r="2631" spans="1:2" x14ac:dyDescent="0.2">
      <c r="A2631" s="376">
        <v>2017000</v>
      </c>
      <c r="B2631" s="377" t="s">
        <v>1311</v>
      </c>
    </row>
    <row r="2632" spans="1:2" x14ac:dyDescent="0.2">
      <c r="A2632" s="376">
        <v>2018200</v>
      </c>
      <c r="B2632" s="377" t="s">
        <v>1323</v>
      </c>
    </row>
    <row r="2633" spans="1:2" x14ac:dyDescent="0.2">
      <c r="A2633" s="376">
        <v>2020000</v>
      </c>
      <c r="B2633" s="377" t="s">
        <v>1785</v>
      </c>
    </row>
    <row r="2634" spans="1:2" ht="25.5" x14ac:dyDescent="0.2">
      <c r="A2634" s="376">
        <v>2020100</v>
      </c>
      <c r="B2634" s="377" t="s">
        <v>1786</v>
      </c>
    </row>
    <row r="2635" spans="1:2" x14ac:dyDescent="0.2">
      <c r="A2635" s="376">
        <v>2020800</v>
      </c>
      <c r="B2635" s="377" t="s">
        <v>1264</v>
      </c>
    </row>
    <row r="2636" spans="1:2" x14ac:dyDescent="0.2">
      <c r="A2636" s="376">
        <v>2020900</v>
      </c>
      <c r="B2636" s="377" t="s">
        <v>1787</v>
      </c>
    </row>
    <row r="2637" spans="1:2" ht="25.5" x14ac:dyDescent="0.2">
      <c r="A2637" s="376">
        <v>2024200</v>
      </c>
      <c r="B2637" s="377" t="s">
        <v>1295</v>
      </c>
    </row>
    <row r="2638" spans="1:2" x14ac:dyDescent="0.2">
      <c r="A2638" s="376">
        <v>2025800</v>
      </c>
      <c r="B2638" s="377" t="s">
        <v>1306</v>
      </c>
    </row>
    <row r="2639" spans="1:2" x14ac:dyDescent="0.2">
      <c r="A2639" s="376">
        <v>2026400</v>
      </c>
      <c r="B2639" s="377" t="s">
        <v>1788</v>
      </c>
    </row>
    <row r="2640" spans="1:2" x14ac:dyDescent="0.2">
      <c r="A2640" s="376">
        <v>2026500</v>
      </c>
      <c r="B2640" s="377" t="s">
        <v>1768</v>
      </c>
    </row>
    <row r="2641" spans="1:2" x14ac:dyDescent="0.2">
      <c r="A2641" s="376">
        <v>2026700</v>
      </c>
      <c r="B2641" s="377" t="s">
        <v>1307</v>
      </c>
    </row>
    <row r="2642" spans="1:2" x14ac:dyDescent="0.2">
      <c r="A2642" s="376">
        <v>2027000</v>
      </c>
      <c r="B2642" s="377" t="s">
        <v>1311</v>
      </c>
    </row>
    <row r="2643" spans="1:2" x14ac:dyDescent="0.2">
      <c r="A2643" s="376">
        <v>2027100</v>
      </c>
      <c r="B2643" s="377" t="s">
        <v>1312</v>
      </c>
    </row>
    <row r="2644" spans="1:2" x14ac:dyDescent="0.2">
      <c r="A2644" s="376">
        <v>2027101</v>
      </c>
      <c r="B2644" s="377" t="s">
        <v>1313</v>
      </c>
    </row>
    <row r="2645" spans="1:2" x14ac:dyDescent="0.2">
      <c r="A2645" s="376">
        <v>2027102</v>
      </c>
      <c r="B2645" s="377" t="s">
        <v>1314</v>
      </c>
    </row>
    <row r="2646" spans="1:2" x14ac:dyDescent="0.2">
      <c r="A2646" s="376">
        <v>2027103</v>
      </c>
      <c r="B2646" s="377" t="s">
        <v>1315</v>
      </c>
    </row>
    <row r="2647" spans="1:2" x14ac:dyDescent="0.2">
      <c r="A2647" s="376">
        <v>2027200</v>
      </c>
      <c r="B2647" s="377" t="s">
        <v>1316</v>
      </c>
    </row>
    <row r="2648" spans="1:2" x14ac:dyDescent="0.2">
      <c r="A2648" s="376">
        <v>2027201</v>
      </c>
      <c r="B2648" s="377" t="s">
        <v>1317</v>
      </c>
    </row>
    <row r="2649" spans="1:2" x14ac:dyDescent="0.2">
      <c r="A2649" s="376">
        <v>2027202</v>
      </c>
      <c r="B2649" s="377" t="s">
        <v>1318</v>
      </c>
    </row>
    <row r="2650" spans="1:2" x14ac:dyDescent="0.2">
      <c r="A2650" s="376">
        <v>2027203</v>
      </c>
      <c r="B2650" s="377" t="s">
        <v>1319</v>
      </c>
    </row>
    <row r="2651" spans="1:2" x14ac:dyDescent="0.2">
      <c r="A2651" s="376">
        <v>2027600</v>
      </c>
      <c r="B2651" s="377" t="s">
        <v>1321</v>
      </c>
    </row>
    <row r="2652" spans="1:2" x14ac:dyDescent="0.2">
      <c r="A2652" s="376">
        <v>2029900</v>
      </c>
      <c r="B2652" s="377" t="s">
        <v>1324</v>
      </c>
    </row>
    <row r="2653" spans="1:2" x14ac:dyDescent="0.2">
      <c r="A2653" s="376">
        <v>2040000</v>
      </c>
      <c r="B2653" s="377" t="s">
        <v>1789</v>
      </c>
    </row>
    <row r="2654" spans="1:2" x14ac:dyDescent="0.2">
      <c r="A2654" s="376">
        <v>2070000</v>
      </c>
      <c r="B2654" s="377" t="s">
        <v>1790</v>
      </c>
    </row>
    <row r="2655" spans="1:2" ht="25.5" x14ac:dyDescent="0.2">
      <c r="A2655" s="376">
        <v>2070100</v>
      </c>
      <c r="B2655" s="377" t="s">
        <v>1791</v>
      </c>
    </row>
    <row r="2656" spans="1:2" x14ac:dyDescent="0.2">
      <c r="A2656" s="376">
        <v>2075800</v>
      </c>
      <c r="B2656" s="377" t="s">
        <v>1306</v>
      </c>
    </row>
    <row r="2657" spans="1:2" x14ac:dyDescent="0.2">
      <c r="A2657" s="376">
        <v>2079900</v>
      </c>
      <c r="B2657" s="377" t="s">
        <v>1324</v>
      </c>
    </row>
    <row r="2658" spans="1:2" x14ac:dyDescent="0.2">
      <c r="A2658" s="376">
        <v>2080000</v>
      </c>
      <c r="B2658" s="377" t="s">
        <v>1792</v>
      </c>
    </row>
    <row r="2659" spans="1:2" x14ac:dyDescent="0.2">
      <c r="A2659" s="376">
        <v>2080200</v>
      </c>
      <c r="B2659" s="377" t="s">
        <v>1793</v>
      </c>
    </row>
    <row r="2660" spans="1:2" ht="38.25" x14ac:dyDescent="0.2">
      <c r="A2660" s="376">
        <v>2080300</v>
      </c>
      <c r="B2660" s="377" t="s">
        <v>1794</v>
      </c>
    </row>
    <row r="2661" spans="1:2" ht="25.5" x14ac:dyDescent="0.2">
      <c r="A2661" s="376">
        <v>2080400</v>
      </c>
      <c r="B2661" s="377" t="s">
        <v>1795</v>
      </c>
    </row>
    <row r="2662" spans="1:2" x14ac:dyDescent="0.2">
      <c r="A2662" s="376">
        <v>2086100</v>
      </c>
      <c r="B2662" s="377" t="s">
        <v>1796</v>
      </c>
    </row>
    <row r="2663" spans="1:2" x14ac:dyDescent="0.2">
      <c r="A2663" s="376">
        <v>2086200</v>
      </c>
      <c r="B2663" s="377" t="s">
        <v>1797</v>
      </c>
    </row>
    <row r="2664" spans="1:2" x14ac:dyDescent="0.2">
      <c r="A2664" s="376">
        <v>2086300</v>
      </c>
      <c r="B2664" s="377" t="s">
        <v>1731</v>
      </c>
    </row>
    <row r="2665" spans="1:2" x14ac:dyDescent="0.2">
      <c r="A2665" s="376">
        <v>2090000</v>
      </c>
      <c r="B2665" s="377" t="s">
        <v>1798</v>
      </c>
    </row>
    <row r="2666" spans="1:2" x14ac:dyDescent="0.2">
      <c r="A2666" s="376">
        <v>2090100</v>
      </c>
      <c r="B2666" s="377" t="s">
        <v>1799</v>
      </c>
    </row>
    <row r="2667" spans="1:2" x14ac:dyDescent="0.2">
      <c r="A2667" s="376">
        <v>2100000</v>
      </c>
      <c r="B2667" s="377" t="s">
        <v>1800</v>
      </c>
    </row>
    <row r="2668" spans="1:2" x14ac:dyDescent="0.2">
      <c r="A2668" s="376">
        <v>2105800</v>
      </c>
      <c r="B2668" s="377" t="s">
        <v>1306</v>
      </c>
    </row>
    <row r="2669" spans="1:2" x14ac:dyDescent="0.2">
      <c r="A2669" s="376">
        <v>2110000</v>
      </c>
      <c r="B2669" s="377" t="s">
        <v>1801</v>
      </c>
    </row>
    <row r="2670" spans="1:2" x14ac:dyDescent="0.2">
      <c r="A2670" s="376">
        <v>2110100</v>
      </c>
      <c r="B2670" s="377" t="s">
        <v>1802</v>
      </c>
    </row>
    <row r="2671" spans="1:2" x14ac:dyDescent="0.2">
      <c r="A2671" s="376">
        <v>2120000</v>
      </c>
      <c r="B2671" s="377" t="s">
        <v>1803</v>
      </c>
    </row>
    <row r="2672" spans="1:2" x14ac:dyDescent="0.2">
      <c r="A2672" s="376">
        <v>2120100</v>
      </c>
      <c r="B2672" s="377" t="s">
        <v>1803</v>
      </c>
    </row>
    <row r="2673" spans="1:2" x14ac:dyDescent="0.2">
      <c r="A2673" s="376">
        <v>2130000</v>
      </c>
      <c r="B2673" s="377" t="s">
        <v>1804</v>
      </c>
    </row>
    <row r="2674" spans="1:2" x14ac:dyDescent="0.2">
      <c r="A2674" s="376">
        <v>2130200</v>
      </c>
      <c r="B2674" s="377" t="s">
        <v>1805</v>
      </c>
    </row>
    <row r="2675" spans="1:2" x14ac:dyDescent="0.2">
      <c r="A2675" s="376">
        <v>2140000</v>
      </c>
      <c r="B2675" s="377" t="s">
        <v>1806</v>
      </c>
    </row>
    <row r="2676" spans="1:2" x14ac:dyDescent="0.2">
      <c r="A2676" s="376">
        <v>2140100</v>
      </c>
      <c r="B2676" s="377" t="s">
        <v>1796</v>
      </c>
    </row>
    <row r="2677" spans="1:2" x14ac:dyDescent="0.2">
      <c r="A2677" s="376">
        <v>2140200</v>
      </c>
      <c r="B2677" s="377" t="s">
        <v>1807</v>
      </c>
    </row>
    <row r="2678" spans="1:2" x14ac:dyDescent="0.2">
      <c r="A2678" s="376">
        <v>2140400</v>
      </c>
      <c r="B2678" s="377" t="s">
        <v>1808</v>
      </c>
    </row>
    <row r="2679" spans="1:2" x14ac:dyDescent="0.2">
      <c r="A2679" s="376">
        <v>2140500</v>
      </c>
      <c r="B2679" s="377" t="s">
        <v>1739</v>
      </c>
    </row>
    <row r="2680" spans="1:2" x14ac:dyDescent="0.2">
      <c r="A2680" s="376">
        <v>2140600</v>
      </c>
      <c r="B2680" s="377" t="s">
        <v>1809</v>
      </c>
    </row>
    <row r="2681" spans="1:2" x14ac:dyDescent="0.2">
      <c r="A2681" s="376">
        <v>2140700</v>
      </c>
      <c r="B2681" s="377" t="s">
        <v>1810</v>
      </c>
    </row>
    <row r="2682" spans="1:2" x14ac:dyDescent="0.2">
      <c r="A2682" s="376">
        <v>2140800</v>
      </c>
      <c r="B2682" s="377" t="s">
        <v>1811</v>
      </c>
    </row>
    <row r="2683" spans="1:2" x14ac:dyDescent="0.2">
      <c r="A2683" s="376">
        <v>2140900</v>
      </c>
      <c r="B2683" s="377" t="s">
        <v>1812</v>
      </c>
    </row>
    <row r="2684" spans="1:2" x14ac:dyDescent="0.2">
      <c r="A2684" s="376">
        <v>2141000</v>
      </c>
      <c r="B2684" s="377" t="s">
        <v>1813</v>
      </c>
    </row>
    <row r="2685" spans="1:2" x14ac:dyDescent="0.2">
      <c r="A2685" s="376">
        <v>2143000</v>
      </c>
      <c r="B2685" s="377" t="s">
        <v>1814</v>
      </c>
    </row>
    <row r="2686" spans="1:2" x14ac:dyDescent="0.2">
      <c r="A2686" s="376">
        <v>2146500</v>
      </c>
      <c r="B2686" s="377" t="s">
        <v>1768</v>
      </c>
    </row>
    <row r="2687" spans="1:2" x14ac:dyDescent="0.2">
      <c r="A2687" s="376">
        <v>2147000</v>
      </c>
      <c r="B2687" s="377" t="s">
        <v>1311</v>
      </c>
    </row>
    <row r="2688" spans="1:2" ht="25.5" x14ac:dyDescent="0.2">
      <c r="A2688" s="376">
        <v>2149300</v>
      </c>
      <c r="B2688" s="377" t="s">
        <v>1375</v>
      </c>
    </row>
    <row r="2689" spans="1:2" x14ac:dyDescent="0.2">
      <c r="A2689" s="376">
        <v>2149400</v>
      </c>
      <c r="B2689" s="377" t="s">
        <v>1376</v>
      </c>
    </row>
    <row r="2690" spans="1:2" x14ac:dyDescent="0.2">
      <c r="A2690" s="376">
        <v>2150000</v>
      </c>
      <c r="B2690" s="377" t="s">
        <v>1815</v>
      </c>
    </row>
    <row r="2691" spans="1:2" x14ac:dyDescent="0.2">
      <c r="A2691" s="376">
        <v>2150100</v>
      </c>
      <c r="B2691" s="377" t="s">
        <v>1816</v>
      </c>
    </row>
    <row r="2692" spans="1:2" x14ac:dyDescent="0.2">
      <c r="A2692" s="376">
        <v>2155800</v>
      </c>
      <c r="B2692" s="377" t="s">
        <v>1306</v>
      </c>
    </row>
    <row r="2693" spans="1:2" x14ac:dyDescent="0.2">
      <c r="A2693" s="376">
        <v>2156700</v>
      </c>
      <c r="B2693" s="377" t="s">
        <v>1307</v>
      </c>
    </row>
    <row r="2694" spans="1:2" x14ac:dyDescent="0.2">
      <c r="A2694" s="376">
        <v>2156800</v>
      </c>
      <c r="B2694" s="377" t="s">
        <v>1308</v>
      </c>
    </row>
    <row r="2695" spans="1:2" x14ac:dyDescent="0.2">
      <c r="A2695" s="376">
        <v>2156801</v>
      </c>
      <c r="B2695" s="377" t="s">
        <v>1309</v>
      </c>
    </row>
    <row r="2696" spans="1:2" ht="25.5" x14ac:dyDescent="0.2">
      <c r="A2696" s="376">
        <v>2156802</v>
      </c>
      <c r="B2696" s="377" t="s">
        <v>1310</v>
      </c>
    </row>
    <row r="2697" spans="1:2" x14ac:dyDescent="0.2">
      <c r="A2697" s="376">
        <v>2157100</v>
      </c>
      <c r="B2697" s="377" t="s">
        <v>1312</v>
      </c>
    </row>
    <row r="2698" spans="1:2" x14ac:dyDescent="0.2">
      <c r="A2698" s="376">
        <v>2157101</v>
      </c>
      <c r="B2698" s="377" t="s">
        <v>1313</v>
      </c>
    </row>
    <row r="2699" spans="1:2" x14ac:dyDescent="0.2">
      <c r="A2699" s="376">
        <v>2157102</v>
      </c>
      <c r="B2699" s="377" t="s">
        <v>1314</v>
      </c>
    </row>
    <row r="2700" spans="1:2" x14ac:dyDescent="0.2">
      <c r="A2700" s="376">
        <v>2157103</v>
      </c>
      <c r="B2700" s="377" t="s">
        <v>1315</v>
      </c>
    </row>
    <row r="2701" spans="1:2" x14ac:dyDescent="0.2">
      <c r="A2701" s="376">
        <v>2157200</v>
      </c>
      <c r="B2701" s="377" t="s">
        <v>1316</v>
      </c>
    </row>
    <row r="2702" spans="1:2" x14ac:dyDescent="0.2">
      <c r="A2702" s="376">
        <v>2157201</v>
      </c>
      <c r="B2702" s="377" t="s">
        <v>1317</v>
      </c>
    </row>
    <row r="2703" spans="1:2" x14ac:dyDescent="0.2">
      <c r="A2703" s="376">
        <v>2157202</v>
      </c>
      <c r="B2703" s="377" t="s">
        <v>1318</v>
      </c>
    </row>
    <row r="2704" spans="1:2" x14ac:dyDescent="0.2">
      <c r="A2704" s="376">
        <v>2157203</v>
      </c>
      <c r="B2704" s="377" t="s">
        <v>1319</v>
      </c>
    </row>
    <row r="2705" spans="1:2" x14ac:dyDescent="0.2">
      <c r="A2705" s="376">
        <v>2157600</v>
      </c>
      <c r="B2705" s="377" t="s">
        <v>1321</v>
      </c>
    </row>
    <row r="2706" spans="1:2" x14ac:dyDescent="0.2">
      <c r="A2706" s="376">
        <v>2159900</v>
      </c>
      <c r="B2706" s="377" t="s">
        <v>1324</v>
      </c>
    </row>
    <row r="2707" spans="1:2" x14ac:dyDescent="0.2">
      <c r="A2707" s="376">
        <v>2160000</v>
      </c>
      <c r="B2707" s="377" t="s">
        <v>1817</v>
      </c>
    </row>
    <row r="2708" spans="1:2" x14ac:dyDescent="0.2">
      <c r="A2708" s="376">
        <v>2166700</v>
      </c>
      <c r="B2708" s="377" t="s">
        <v>1307</v>
      </c>
    </row>
    <row r="2709" spans="1:2" x14ac:dyDescent="0.2">
      <c r="A2709" s="376">
        <v>2167100</v>
      </c>
      <c r="B2709" s="377" t="s">
        <v>1312</v>
      </c>
    </row>
    <row r="2710" spans="1:2" x14ac:dyDescent="0.2">
      <c r="A2710" s="376">
        <v>2167101</v>
      </c>
      <c r="B2710" s="377" t="s">
        <v>1313</v>
      </c>
    </row>
    <row r="2711" spans="1:2" x14ac:dyDescent="0.2">
      <c r="A2711" s="376">
        <v>2167102</v>
      </c>
      <c r="B2711" s="377" t="s">
        <v>1314</v>
      </c>
    </row>
    <row r="2712" spans="1:2" x14ac:dyDescent="0.2">
      <c r="A2712" s="376">
        <v>2167103</v>
      </c>
      <c r="B2712" s="377" t="s">
        <v>1315</v>
      </c>
    </row>
    <row r="2713" spans="1:2" x14ac:dyDescent="0.2">
      <c r="A2713" s="376">
        <v>2167200</v>
      </c>
      <c r="B2713" s="377" t="s">
        <v>1316</v>
      </c>
    </row>
    <row r="2714" spans="1:2" x14ac:dyDescent="0.2">
      <c r="A2714" s="376">
        <v>2167201</v>
      </c>
      <c r="B2714" s="377" t="s">
        <v>1317</v>
      </c>
    </row>
    <row r="2715" spans="1:2" x14ac:dyDescent="0.2">
      <c r="A2715" s="376">
        <v>2167202</v>
      </c>
      <c r="B2715" s="377" t="s">
        <v>1318</v>
      </c>
    </row>
    <row r="2716" spans="1:2" x14ac:dyDescent="0.2">
      <c r="A2716" s="376">
        <v>2167203</v>
      </c>
      <c r="B2716" s="377" t="s">
        <v>1319</v>
      </c>
    </row>
    <row r="2717" spans="1:2" x14ac:dyDescent="0.2">
      <c r="A2717" s="376">
        <v>2170000</v>
      </c>
      <c r="B2717" s="377" t="s">
        <v>1818</v>
      </c>
    </row>
    <row r="2718" spans="1:2" x14ac:dyDescent="0.2">
      <c r="A2718" s="376">
        <v>2180000</v>
      </c>
      <c r="B2718" s="377" t="s">
        <v>1819</v>
      </c>
    </row>
    <row r="2719" spans="1:2" ht="25.5" x14ac:dyDescent="0.2">
      <c r="A2719" s="376">
        <v>2180100</v>
      </c>
      <c r="B2719" s="377" t="s">
        <v>1820</v>
      </c>
    </row>
    <row r="2720" spans="1:2" ht="25.5" x14ac:dyDescent="0.2">
      <c r="A2720" s="376">
        <v>2180200</v>
      </c>
      <c r="B2720" s="377" t="s">
        <v>1821</v>
      </c>
    </row>
    <row r="2721" spans="1:2" ht="25.5" x14ac:dyDescent="0.2">
      <c r="A2721" s="376">
        <v>2180300</v>
      </c>
      <c r="B2721" s="377" t="s">
        <v>1822</v>
      </c>
    </row>
    <row r="2722" spans="1:2" x14ac:dyDescent="0.2">
      <c r="A2722" s="376">
        <v>2190000</v>
      </c>
      <c r="B2722" s="377" t="s">
        <v>1823</v>
      </c>
    </row>
    <row r="2723" spans="1:2" x14ac:dyDescent="0.2">
      <c r="A2723" s="376">
        <v>2190100</v>
      </c>
      <c r="B2723" s="377" t="s">
        <v>1824</v>
      </c>
    </row>
    <row r="2724" spans="1:2" x14ac:dyDescent="0.2">
      <c r="A2724" s="376">
        <v>2200000</v>
      </c>
      <c r="B2724" s="377" t="s">
        <v>1825</v>
      </c>
    </row>
    <row r="2725" spans="1:2" x14ac:dyDescent="0.2">
      <c r="A2725" s="376">
        <v>2200100</v>
      </c>
      <c r="B2725" s="377" t="s">
        <v>1826</v>
      </c>
    </row>
    <row r="2726" spans="1:2" x14ac:dyDescent="0.2">
      <c r="A2726" s="376">
        <v>2200200</v>
      </c>
      <c r="B2726" s="377" t="s">
        <v>1827</v>
      </c>
    </row>
    <row r="2727" spans="1:2" x14ac:dyDescent="0.2">
      <c r="A2727" s="376">
        <v>2200300</v>
      </c>
      <c r="B2727" s="377" t="s">
        <v>1828</v>
      </c>
    </row>
    <row r="2728" spans="1:2" x14ac:dyDescent="0.2">
      <c r="A2728" s="376">
        <v>2200400</v>
      </c>
      <c r="B2728" s="377" t="s">
        <v>1829</v>
      </c>
    </row>
    <row r="2729" spans="1:2" x14ac:dyDescent="0.2">
      <c r="A2729" s="376">
        <v>2200500</v>
      </c>
      <c r="B2729" s="377" t="s">
        <v>1830</v>
      </c>
    </row>
    <row r="2730" spans="1:2" x14ac:dyDescent="0.2">
      <c r="A2730" s="376">
        <v>2200600</v>
      </c>
      <c r="B2730" s="377" t="s">
        <v>1831</v>
      </c>
    </row>
    <row r="2731" spans="1:2" x14ac:dyDescent="0.2">
      <c r="A2731" s="376">
        <v>2210000</v>
      </c>
      <c r="B2731" s="377" t="s">
        <v>1832</v>
      </c>
    </row>
    <row r="2732" spans="1:2" x14ac:dyDescent="0.2">
      <c r="A2732" s="376">
        <v>2210100</v>
      </c>
      <c r="B2732" s="377" t="s">
        <v>1833</v>
      </c>
    </row>
    <row r="2733" spans="1:2" x14ac:dyDescent="0.2">
      <c r="A2733" s="376">
        <v>2219900</v>
      </c>
      <c r="B2733" s="377" t="s">
        <v>1324</v>
      </c>
    </row>
    <row r="2734" spans="1:2" ht="25.5" x14ac:dyDescent="0.2">
      <c r="A2734" s="376">
        <v>2220000</v>
      </c>
      <c r="B2734" s="377" t="s">
        <v>1834</v>
      </c>
    </row>
    <row r="2735" spans="1:2" x14ac:dyDescent="0.2">
      <c r="A2735" s="376">
        <v>2220100</v>
      </c>
      <c r="B2735" s="377" t="s">
        <v>1349</v>
      </c>
    </row>
    <row r="2736" spans="1:2" ht="25.5" x14ac:dyDescent="0.2">
      <c r="A2736" s="376">
        <v>2220200</v>
      </c>
      <c r="B2736" s="377" t="s">
        <v>1835</v>
      </c>
    </row>
    <row r="2737" spans="1:2" ht="25.5" x14ac:dyDescent="0.2">
      <c r="A2737" s="376">
        <v>2220300</v>
      </c>
      <c r="B2737" s="377" t="s">
        <v>1836</v>
      </c>
    </row>
    <row r="2738" spans="1:2" x14ac:dyDescent="0.2">
      <c r="A2738" s="376">
        <v>2230000</v>
      </c>
      <c r="B2738" s="377" t="s">
        <v>1837</v>
      </c>
    </row>
    <row r="2739" spans="1:2" x14ac:dyDescent="0.2">
      <c r="A2739" s="376">
        <v>2230100</v>
      </c>
      <c r="B2739" s="377" t="s">
        <v>1838</v>
      </c>
    </row>
    <row r="2740" spans="1:2" ht="25.5" x14ac:dyDescent="0.2">
      <c r="A2740" s="376">
        <v>2240000</v>
      </c>
      <c r="B2740" s="377" t="s">
        <v>1795</v>
      </c>
    </row>
    <row r="2741" spans="1:2" x14ac:dyDescent="0.2">
      <c r="A2741" s="376">
        <v>2240100</v>
      </c>
      <c r="B2741" s="377" t="s">
        <v>1839</v>
      </c>
    </row>
    <row r="2742" spans="1:2" x14ac:dyDescent="0.2">
      <c r="A2742" s="376">
        <v>2240200</v>
      </c>
      <c r="B2742" s="377" t="s">
        <v>1840</v>
      </c>
    </row>
    <row r="2743" spans="1:2" x14ac:dyDescent="0.2">
      <c r="A2743" s="376">
        <v>2240300</v>
      </c>
      <c r="B2743" s="377" t="s">
        <v>1841</v>
      </c>
    </row>
    <row r="2744" spans="1:2" x14ac:dyDescent="0.2">
      <c r="A2744" s="376">
        <v>2400000</v>
      </c>
      <c r="B2744" s="377" t="s">
        <v>1842</v>
      </c>
    </row>
    <row r="2745" spans="1:2" x14ac:dyDescent="0.2">
      <c r="A2745" s="376">
        <v>2400100</v>
      </c>
      <c r="B2745" s="377" t="s">
        <v>1843</v>
      </c>
    </row>
    <row r="2746" spans="1:2" x14ac:dyDescent="0.2">
      <c r="A2746" s="376">
        <v>2400101</v>
      </c>
      <c r="B2746" s="377" t="s">
        <v>1844</v>
      </c>
    </row>
    <row r="2747" spans="1:2" x14ac:dyDescent="0.2">
      <c r="A2747" s="376">
        <v>2470000</v>
      </c>
      <c r="B2747" s="377" t="s">
        <v>1845</v>
      </c>
    </row>
    <row r="2748" spans="1:2" ht="25.5" x14ac:dyDescent="0.2">
      <c r="A2748" s="376">
        <v>2470100</v>
      </c>
      <c r="B2748" s="377" t="s">
        <v>1846</v>
      </c>
    </row>
    <row r="2749" spans="1:2" x14ac:dyDescent="0.2">
      <c r="A2749" s="376">
        <v>2470200</v>
      </c>
      <c r="B2749" s="377" t="s">
        <v>1847</v>
      </c>
    </row>
    <row r="2750" spans="1:2" x14ac:dyDescent="0.2">
      <c r="A2750" s="376">
        <v>2470700</v>
      </c>
      <c r="B2750" s="377" t="s">
        <v>1419</v>
      </c>
    </row>
    <row r="2751" spans="1:2" x14ac:dyDescent="0.2">
      <c r="A2751" s="376">
        <v>2476300</v>
      </c>
      <c r="B2751" s="377" t="s">
        <v>1731</v>
      </c>
    </row>
    <row r="2752" spans="1:2" x14ac:dyDescent="0.2">
      <c r="A2752" s="376">
        <v>2476500</v>
      </c>
      <c r="B2752" s="377" t="s">
        <v>1768</v>
      </c>
    </row>
    <row r="2753" spans="1:2" x14ac:dyDescent="0.2">
      <c r="A2753" s="376">
        <v>2476600</v>
      </c>
      <c r="B2753" s="377" t="s">
        <v>1453</v>
      </c>
    </row>
    <row r="2754" spans="1:2" x14ac:dyDescent="0.2">
      <c r="A2754" s="376">
        <v>2476700</v>
      </c>
      <c r="B2754" s="377" t="s">
        <v>1307</v>
      </c>
    </row>
    <row r="2755" spans="1:2" x14ac:dyDescent="0.2">
      <c r="A2755" s="376">
        <v>2479900</v>
      </c>
      <c r="B2755" s="377" t="s">
        <v>1324</v>
      </c>
    </row>
    <row r="2756" spans="1:2" x14ac:dyDescent="0.2">
      <c r="A2756" s="376">
        <v>2480000</v>
      </c>
      <c r="B2756" s="377" t="s">
        <v>1848</v>
      </c>
    </row>
    <row r="2757" spans="1:2" x14ac:dyDescent="0.2">
      <c r="A2757" s="376">
        <v>2480100</v>
      </c>
      <c r="B2757" s="377" t="s">
        <v>1849</v>
      </c>
    </row>
    <row r="2758" spans="1:2" ht="25.5" x14ac:dyDescent="0.2">
      <c r="A2758" s="376">
        <v>2480200</v>
      </c>
      <c r="B2758" s="377" t="s">
        <v>1850</v>
      </c>
    </row>
    <row r="2759" spans="1:2" x14ac:dyDescent="0.2">
      <c r="A2759" s="376">
        <v>2480300</v>
      </c>
      <c r="B2759" s="377" t="s">
        <v>1851</v>
      </c>
    </row>
    <row r="2760" spans="1:2" ht="63.75" x14ac:dyDescent="0.2">
      <c r="A2760" s="376">
        <v>2480400</v>
      </c>
      <c r="B2760" s="377" t="s">
        <v>1852</v>
      </c>
    </row>
    <row r="2761" spans="1:2" x14ac:dyDescent="0.2">
      <c r="A2761" s="376">
        <v>2488300</v>
      </c>
      <c r="B2761" s="377" t="s">
        <v>1853</v>
      </c>
    </row>
    <row r="2762" spans="1:2" x14ac:dyDescent="0.2">
      <c r="A2762" s="376">
        <v>2490000</v>
      </c>
      <c r="B2762" s="377" t="s">
        <v>1854</v>
      </c>
    </row>
    <row r="2763" spans="1:2" ht="25.5" x14ac:dyDescent="0.2">
      <c r="A2763" s="376">
        <v>2490100</v>
      </c>
      <c r="B2763" s="377" t="s">
        <v>1855</v>
      </c>
    </row>
    <row r="2764" spans="1:2" x14ac:dyDescent="0.2">
      <c r="A2764" s="376">
        <v>2490200</v>
      </c>
      <c r="B2764" s="377" t="s">
        <v>1856</v>
      </c>
    </row>
    <row r="2765" spans="1:2" x14ac:dyDescent="0.2">
      <c r="A2765" s="376">
        <v>2500000</v>
      </c>
      <c r="B2765" s="377" t="s">
        <v>1857</v>
      </c>
    </row>
    <row r="2766" spans="1:2" x14ac:dyDescent="0.2">
      <c r="A2766" s="376">
        <v>2500100</v>
      </c>
      <c r="B2766" s="377" t="s">
        <v>1858</v>
      </c>
    </row>
    <row r="2767" spans="1:2" x14ac:dyDescent="0.2">
      <c r="A2767" s="376">
        <v>2510000</v>
      </c>
      <c r="B2767" s="377" t="s">
        <v>1859</v>
      </c>
    </row>
    <row r="2768" spans="1:2" x14ac:dyDescent="0.2">
      <c r="A2768" s="376">
        <v>2519900</v>
      </c>
      <c r="B2768" s="377" t="s">
        <v>1324</v>
      </c>
    </row>
    <row r="2769" spans="1:2" x14ac:dyDescent="0.2">
      <c r="A2769" s="376">
        <v>2520000</v>
      </c>
      <c r="B2769" s="377" t="s">
        <v>1860</v>
      </c>
    </row>
    <row r="2770" spans="1:2" x14ac:dyDescent="0.2">
      <c r="A2770" s="376">
        <v>2529900</v>
      </c>
      <c r="B2770" s="377" t="s">
        <v>1324</v>
      </c>
    </row>
    <row r="2771" spans="1:2" x14ac:dyDescent="0.2">
      <c r="A2771" s="376">
        <v>2530000</v>
      </c>
      <c r="B2771" s="377" t="s">
        <v>1861</v>
      </c>
    </row>
    <row r="2772" spans="1:2" x14ac:dyDescent="0.2">
      <c r="A2772" s="376">
        <v>2539900</v>
      </c>
      <c r="B2772" s="377" t="s">
        <v>1324</v>
      </c>
    </row>
    <row r="2773" spans="1:2" x14ac:dyDescent="0.2">
      <c r="A2773" s="376">
        <v>2540000</v>
      </c>
      <c r="B2773" s="377" t="s">
        <v>1862</v>
      </c>
    </row>
    <row r="2774" spans="1:2" ht="25.5" x14ac:dyDescent="0.2">
      <c r="A2774" s="376">
        <v>2540100</v>
      </c>
      <c r="B2774" s="377" t="s">
        <v>1863</v>
      </c>
    </row>
    <row r="2775" spans="1:2" x14ac:dyDescent="0.2">
      <c r="A2775" s="376">
        <v>2600000</v>
      </c>
      <c r="B2775" s="377" t="s">
        <v>1864</v>
      </c>
    </row>
    <row r="2776" spans="1:2" ht="63.75" x14ac:dyDescent="0.2">
      <c r="A2776" s="376">
        <v>2600100</v>
      </c>
      <c r="B2776" s="377" t="s">
        <v>1865</v>
      </c>
    </row>
    <row r="2777" spans="1:2" ht="51" x14ac:dyDescent="0.2">
      <c r="A2777" s="376">
        <v>2600200</v>
      </c>
      <c r="B2777" s="377" t="s">
        <v>1866</v>
      </c>
    </row>
    <row r="2778" spans="1:2" ht="38.25" x14ac:dyDescent="0.2">
      <c r="A2778" s="376">
        <v>2600300</v>
      </c>
      <c r="B2778" s="377" t="s">
        <v>1867</v>
      </c>
    </row>
    <row r="2779" spans="1:2" x14ac:dyDescent="0.2">
      <c r="A2779" s="376">
        <v>2600400</v>
      </c>
      <c r="B2779" s="377" t="s">
        <v>1868</v>
      </c>
    </row>
    <row r="2780" spans="1:2" ht="51" x14ac:dyDescent="0.2">
      <c r="A2780" s="376">
        <v>2600500</v>
      </c>
      <c r="B2780" s="377" t="s">
        <v>1869</v>
      </c>
    </row>
    <row r="2781" spans="1:2" x14ac:dyDescent="0.2">
      <c r="A2781" s="376">
        <v>2600600</v>
      </c>
      <c r="B2781" s="377" t="s">
        <v>1870</v>
      </c>
    </row>
    <row r="2782" spans="1:2" x14ac:dyDescent="0.2">
      <c r="A2782" s="376">
        <v>2600700</v>
      </c>
      <c r="B2782" s="377" t="s">
        <v>1871</v>
      </c>
    </row>
    <row r="2783" spans="1:2" x14ac:dyDescent="0.2">
      <c r="A2783" s="376">
        <v>2600800</v>
      </c>
      <c r="B2783" s="377" t="s">
        <v>1872</v>
      </c>
    </row>
    <row r="2784" spans="1:2" x14ac:dyDescent="0.2">
      <c r="A2784" s="376">
        <v>2600900</v>
      </c>
      <c r="B2784" s="377" t="s">
        <v>1873</v>
      </c>
    </row>
    <row r="2785" spans="1:2" x14ac:dyDescent="0.2">
      <c r="A2785" s="376">
        <v>2601000</v>
      </c>
      <c r="B2785" s="377" t="s">
        <v>1874</v>
      </c>
    </row>
    <row r="2786" spans="1:2" ht="25.5" x14ac:dyDescent="0.2">
      <c r="A2786" s="376">
        <v>2601100</v>
      </c>
      <c r="B2786" s="377" t="s">
        <v>1875</v>
      </c>
    </row>
    <row r="2787" spans="1:2" x14ac:dyDescent="0.2">
      <c r="A2787" s="376">
        <v>2601200</v>
      </c>
      <c r="B2787" s="377" t="s">
        <v>1876</v>
      </c>
    </row>
    <row r="2788" spans="1:2" x14ac:dyDescent="0.2">
      <c r="A2788" s="376">
        <v>2601300</v>
      </c>
      <c r="B2788" s="377" t="s">
        <v>1877</v>
      </c>
    </row>
    <row r="2789" spans="1:2" ht="63.75" x14ac:dyDescent="0.2">
      <c r="A2789" s="376">
        <v>2601400</v>
      </c>
      <c r="B2789" s="377" t="s">
        <v>1878</v>
      </c>
    </row>
    <row r="2790" spans="1:2" ht="63.75" x14ac:dyDescent="0.2">
      <c r="A2790" s="376">
        <v>2601500</v>
      </c>
      <c r="B2790" s="377" t="s">
        <v>1879</v>
      </c>
    </row>
    <row r="2791" spans="1:2" ht="25.5" x14ac:dyDescent="0.2">
      <c r="A2791" s="376">
        <v>2602400</v>
      </c>
      <c r="B2791" s="377" t="s">
        <v>1880</v>
      </c>
    </row>
    <row r="2792" spans="1:2" ht="25.5" x14ac:dyDescent="0.2">
      <c r="A2792" s="376">
        <v>2610000</v>
      </c>
      <c r="B2792" s="377" t="s">
        <v>1881</v>
      </c>
    </row>
    <row r="2793" spans="1:2" x14ac:dyDescent="0.2">
      <c r="A2793" s="376">
        <v>2619900</v>
      </c>
      <c r="B2793" s="377" t="s">
        <v>1324</v>
      </c>
    </row>
    <row r="2794" spans="1:2" x14ac:dyDescent="0.2">
      <c r="A2794" s="376">
        <v>2620000</v>
      </c>
      <c r="B2794" s="377" t="s">
        <v>1882</v>
      </c>
    </row>
    <row r="2795" spans="1:2" ht="25.5" x14ac:dyDescent="0.2">
      <c r="A2795" s="376">
        <v>2620100</v>
      </c>
      <c r="B2795" s="377" t="s">
        <v>1883</v>
      </c>
    </row>
    <row r="2796" spans="1:2" x14ac:dyDescent="0.2">
      <c r="A2796" s="376">
        <v>2620200</v>
      </c>
      <c r="B2796" s="377" t="s">
        <v>1884</v>
      </c>
    </row>
    <row r="2797" spans="1:2" x14ac:dyDescent="0.2">
      <c r="A2797" s="376">
        <v>2630000</v>
      </c>
      <c r="B2797" s="377" t="s">
        <v>1885</v>
      </c>
    </row>
    <row r="2798" spans="1:2" x14ac:dyDescent="0.2">
      <c r="A2798" s="376">
        <v>2639900</v>
      </c>
      <c r="B2798" s="377" t="s">
        <v>1324</v>
      </c>
    </row>
    <row r="2799" spans="1:2" x14ac:dyDescent="0.2">
      <c r="A2799" s="376">
        <v>2640000</v>
      </c>
      <c r="B2799" s="377" t="s">
        <v>1886</v>
      </c>
    </row>
    <row r="2800" spans="1:2" x14ac:dyDescent="0.2">
      <c r="A2800" s="376">
        <v>2640100</v>
      </c>
      <c r="B2800" s="377" t="s">
        <v>1887</v>
      </c>
    </row>
    <row r="2801" spans="1:2" ht="25.5" x14ac:dyDescent="0.2">
      <c r="A2801" s="376">
        <v>2640200</v>
      </c>
      <c r="B2801" s="377" t="s">
        <v>1888</v>
      </c>
    </row>
    <row r="2802" spans="1:2" x14ac:dyDescent="0.2">
      <c r="A2802" s="376">
        <v>2649900</v>
      </c>
      <c r="B2802" s="377" t="s">
        <v>1324</v>
      </c>
    </row>
    <row r="2803" spans="1:2" x14ac:dyDescent="0.2">
      <c r="A2803" s="376">
        <v>2650000</v>
      </c>
      <c r="B2803" s="377" t="s">
        <v>1889</v>
      </c>
    </row>
    <row r="2804" spans="1:2" x14ac:dyDescent="0.2">
      <c r="A2804" s="376">
        <v>2659900</v>
      </c>
      <c r="B2804" s="377" t="s">
        <v>1324</v>
      </c>
    </row>
    <row r="2805" spans="1:2" ht="25.5" x14ac:dyDescent="0.2">
      <c r="A2805" s="376">
        <v>2660000</v>
      </c>
      <c r="B2805" s="377" t="s">
        <v>1890</v>
      </c>
    </row>
    <row r="2806" spans="1:2" x14ac:dyDescent="0.2">
      <c r="A2806" s="376">
        <v>2669900</v>
      </c>
      <c r="B2806" s="377" t="s">
        <v>1324</v>
      </c>
    </row>
    <row r="2807" spans="1:2" ht="25.5" x14ac:dyDescent="0.2">
      <c r="A2807" s="376">
        <v>2670000</v>
      </c>
      <c r="B2807" s="377" t="s">
        <v>1891</v>
      </c>
    </row>
    <row r="2808" spans="1:2" x14ac:dyDescent="0.2">
      <c r="A2808" s="376">
        <v>2670100</v>
      </c>
      <c r="B2808" s="377" t="s">
        <v>1892</v>
      </c>
    </row>
    <row r="2809" spans="1:2" ht="25.5" x14ac:dyDescent="0.2">
      <c r="A2809" s="376">
        <v>2670400</v>
      </c>
      <c r="B2809" s="377" t="s">
        <v>1893</v>
      </c>
    </row>
    <row r="2810" spans="1:2" x14ac:dyDescent="0.2">
      <c r="A2810" s="376">
        <v>2670402</v>
      </c>
      <c r="B2810" s="377" t="s">
        <v>1868</v>
      </c>
    </row>
    <row r="2811" spans="1:2" x14ac:dyDescent="0.2">
      <c r="A2811" s="376">
        <v>2670403</v>
      </c>
      <c r="B2811" s="377" t="s">
        <v>1894</v>
      </c>
    </row>
    <row r="2812" spans="1:2" x14ac:dyDescent="0.2">
      <c r="A2812" s="376">
        <v>2670500</v>
      </c>
      <c r="B2812" s="377" t="s">
        <v>1895</v>
      </c>
    </row>
    <row r="2813" spans="1:2" ht="51" x14ac:dyDescent="0.2">
      <c r="A2813" s="376">
        <v>2670501</v>
      </c>
      <c r="B2813" s="377" t="s">
        <v>1896</v>
      </c>
    </row>
    <row r="2814" spans="1:2" x14ac:dyDescent="0.2">
      <c r="A2814" s="376">
        <v>2670502</v>
      </c>
      <c r="B2814" s="377" t="s">
        <v>1897</v>
      </c>
    </row>
    <row r="2815" spans="1:2" x14ac:dyDescent="0.2">
      <c r="A2815" s="376">
        <v>2670503</v>
      </c>
      <c r="B2815" s="377" t="s">
        <v>1898</v>
      </c>
    </row>
    <row r="2816" spans="1:2" ht="25.5" x14ac:dyDescent="0.2">
      <c r="A2816" s="376">
        <v>2670504</v>
      </c>
      <c r="B2816" s="377" t="s">
        <v>1899</v>
      </c>
    </row>
    <row r="2817" spans="1:2" x14ac:dyDescent="0.2">
      <c r="A2817" s="376">
        <v>2670505</v>
      </c>
      <c r="B2817" s="377" t="s">
        <v>1900</v>
      </c>
    </row>
    <row r="2818" spans="1:2" x14ac:dyDescent="0.2">
      <c r="A2818" s="376">
        <v>2670506</v>
      </c>
      <c r="B2818" s="377" t="s">
        <v>1901</v>
      </c>
    </row>
    <row r="2819" spans="1:2" ht="25.5" x14ac:dyDescent="0.2">
      <c r="A2819" s="376">
        <v>2670507</v>
      </c>
      <c r="B2819" s="377" t="s">
        <v>1902</v>
      </c>
    </row>
    <row r="2820" spans="1:2" x14ac:dyDescent="0.2">
      <c r="A2820" s="376">
        <v>2670508</v>
      </c>
      <c r="B2820" s="377" t="s">
        <v>1903</v>
      </c>
    </row>
    <row r="2821" spans="1:2" x14ac:dyDescent="0.2">
      <c r="A2821" s="376">
        <v>2670509</v>
      </c>
      <c r="B2821" s="377" t="s">
        <v>1904</v>
      </c>
    </row>
    <row r="2822" spans="1:2" ht="63.75" x14ac:dyDescent="0.2">
      <c r="A2822" s="376">
        <v>2670510</v>
      </c>
      <c r="B2822" s="377" t="s">
        <v>1905</v>
      </c>
    </row>
    <row r="2823" spans="1:2" x14ac:dyDescent="0.2">
      <c r="A2823" s="376">
        <v>2670511</v>
      </c>
      <c r="B2823" s="377" t="s">
        <v>1906</v>
      </c>
    </row>
    <row r="2824" spans="1:2" ht="63.75" x14ac:dyDescent="0.2">
      <c r="A2824" s="376">
        <v>2670513</v>
      </c>
      <c r="B2824" s="377" t="s">
        <v>1907</v>
      </c>
    </row>
    <row r="2825" spans="1:2" x14ac:dyDescent="0.2">
      <c r="A2825" s="376">
        <v>2670514</v>
      </c>
      <c r="B2825" s="377" t="s">
        <v>1908</v>
      </c>
    </row>
    <row r="2826" spans="1:2" x14ac:dyDescent="0.2">
      <c r="A2826" s="376">
        <v>2670515</v>
      </c>
      <c r="B2826" s="377" t="s">
        <v>1909</v>
      </c>
    </row>
    <row r="2827" spans="1:2" ht="25.5" x14ac:dyDescent="0.2">
      <c r="A2827" s="376">
        <v>2670600</v>
      </c>
      <c r="B2827" s="377" t="s">
        <v>1910</v>
      </c>
    </row>
    <row r="2828" spans="1:2" x14ac:dyDescent="0.2">
      <c r="A2828" s="376">
        <v>2700000</v>
      </c>
      <c r="B2828" s="377" t="s">
        <v>1911</v>
      </c>
    </row>
    <row r="2829" spans="1:2" x14ac:dyDescent="0.2">
      <c r="A2829" s="376">
        <v>2700100</v>
      </c>
      <c r="B2829" s="377" t="s">
        <v>1912</v>
      </c>
    </row>
    <row r="2830" spans="1:2" x14ac:dyDescent="0.2">
      <c r="A2830" s="376">
        <v>2700200</v>
      </c>
      <c r="B2830" s="377" t="s">
        <v>1913</v>
      </c>
    </row>
    <row r="2831" spans="1:2" x14ac:dyDescent="0.2">
      <c r="A2831" s="376">
        <v>2700300</v>
      </c>
      <c r="B2831" s="377" t="s">
        <v>1914</v>
      </c>
    </row>
    <row r="2832" spans="1:2" x14ac:dyDescent="0.2">
      <c r="A2832" s="376">
        <v>2700400</v>
      </c>
      <c r="B2832" s="377" t="s">
        <v>1915</v>
      </c>
    </row>
    <row r="2833" spans="1:2" ht="38.25" x14ac:dyDescent="0.2">
      <c r="A2833" s="376">
        <v>2700500</v>
      </c>
      <c r="B2833" s="377" t="s">
        <v>1916</v>
      </c>
    </row>
    <row r="2834" spans="1:2" ht="38.25" x14ac:dyDescent="0.2">
      <c r="A2834" s="376">
        <v>2700600</v>
      </c>
      <c r="B2834" s="377" t="s">
        <v>1917</v>
      </c>
    </row>
    <row r="2835" spans="1:2" ht="38.25" x14ac:dyDescent="0.2">
      <c r="A2835" s="376">
        <v>2700700</v>
      </c>
      <c r="B2835" s="377" t="s">
        <v>1918</v>
      </c>
    </row>
    <row r="2836" spans="1:2" x14ac:dyDescent="0.2">
      <c r="A2836" s="376">
        <v>2710000</v>
      </c>
      <c r="B2836" s="377" t="s">
        <v>1919</v>
      </c>
    </row>
    <row r="2837" spans="1:2" x14ac:dyDescent="0.2">
      <c r="A2837" s="376">
        <v>2710100</v>
      </c>
      <c r="B2837" s="377" t="s">
        <v>1920</v>
      </c>
    </row>
    <row r="2838" spans="1:2" x14ac:dyDescent="0.2">
      <c r="A2838" s="376">
        <v>2719900</v>
      </c>
      <c r="B2838" s="377" t="s">
        <v>1324</v>
      </c>
    </row>
    <row r="2839" spans="1:2" x14ac:dyDescent="0.2">
      <c r="A2839" s="376">
        <v>2800000</v>
      </c>
      <c r="B2839" s="377" t="s">
        <v>1921</v>
      </c>
    </row>
    <row r="2840" spans="1:2" x14ac:dyDescent="0.2">
      <c r="A2840" s="376">
        <v>2800100</v>
      </c>
      <c r="B2840" s="377" t="s">
        <v>1922</v>
      </c>
    </row>
    <row r="2841" spans="1:2" x14ac:dyDescent="0.2">
      <c r="A2841" s="376">
        <v>2800200</v>
      </c>
      <c r="B2841" s="377" t="s">
        <v>1923</v>
      </c>
    </row>
    <row r="2842" spans="1:2" ht="25.5" x14ac:dyDescent="0.2">
      <c r="A2842" s="376">
        <v>2800300</v>
      </c>
      <c r="B2842" s="377" t="s">
        <v>1924</v>
      </c>
    </row>
    <row r="2843" spans="1:2" x14ac:dyDescent="0.2">
      <c r="A2843" s="376">
        <v>2800400</v>
      </c>
      <c r="B2843" s="377" t="s">
        <v>1925</v>
      </c>
    </row>
    <row r="2844" spans="1:2" x14ac:dyDescent="0.2">
      <c r="A2844" s="376">
        <v>2800500</v>
      </c>
      <c r="B2844" s="377" t="s">
        <v>1926</v>
      </c>
    </row>
    <row r="2845" spans="1:2" x14ac:dyDescent="0.2">
      <c r="A2845" s="376">
        <v>2810000</v>
      </c>
      <c r="B2845" s="377" t="s">
        <v>1927</v>
      </c>
    </row>
    <row r="2846" spans="1:2" x14ac:dyDescent="0.2">
      <c r="A2846" s="376">
        <v>2819900</v>
      </c>
      <c r="B2846" s="377" t="s">
        <v>1324</v>
      </c>
    </row>
    <row r="2847" spans="1:2" x14ac:dyDescent="0.2">
      <c r="A2847" s="376">
        <v>2910000</v>
      </c>
      <c r="B2847" s="377" t="s">
        <v>1928</v>
      </c>
    </row>
    <row r="2848" spans="1:2" x14ac:dyDescent="0.2">
      <c r="A2848" s="376">
        <v>2919900</v>
      </c>
      <c r="B2848" s="377" t="s">
        <v>1324</v>
      </c>
    </row>
    <row r="2849" spans="1:2" x14ac:dyDescent="0.2">
      <c r="A2849" s="376">
        <v>2920000</v>
      </c>
      <c r="B2849" s="377" t="s">
        <v>1929</v>
      </c>
    </row>
    <row r="2850" spans="1:2" x14ac:dyDescent="0.2">
      <c r="A2850" s="376">
        <v>2920100</v>
      </c>
      <c r="B2850" s="377" t="s">
        <v>1930</v>
      </c>
    </row>
    <row r="2851" spans="1:2" x14ac:dyDescent="0.2">
      <c r="A2851" s="376">
        <v>2920200</v>
      </c>
      <c r="B2851" s="377" t="s">
        <v>1931</v>
      </c>
    </row>
    <row r="2852" spans="1:2" x14ac:dyDescent="0.2">
      <c r="A2852" s="376">
        <v>3000000</v>
      </c>
      <c r="B2852" s="377" t="s">
        <v>1932</v>
      </c>
    </row>
    <row r="2853" spans="1:2" x14ac:dyDescent="0.2">
      <c r="A2853" s="376">
        <v>3000100</v>
      </c>
      <c r="B2853" s="377" t="s">
        <v>1933</v>
      </c>
    </row>
    <row r="2854" spans="1:2" x14ac:dyDescent="0.2">
      <c r="A2854" s="376">
        <v>3000101</v>
      </c>
      <c r="B2854" s="377" t="s">
        <v>1934</v>
      </c>
    </row>
    <row r="2855" spans="1:2" x14ac:dyDescent="0.2">
      <c r="A2855" s="376">
        <v>3000102</v>
      </c>
      <c r="B2855" s="377" t="s">
        <v>1935</v>
      </c>
    </row>
    <row r="2856" spans="1:2" ht="38.25" x14ac:dyDescent="0.2">
      <c r="A2856" s="376">
        <v>3000103</v>
      </c>
      <c r="B2856" s="377" t="s">
        <v>1936</v>
      </c>
    </row>
    <row r="2857" spans="1:2" ht="25.5" x14ac:dyDescent="0.2">
      <c r="A2857" s="376">
        <v>3000104</v>
      </c>
      <c r="B2857" s="377" t="s">
        <v>1937</v>
      </c>
    </row>
    <row r="2858" spans="1:2" x14ac:dyDescent="0.2">
      <c r="A2858" s="376">
        <v>3000105</v>
      </c>
      <c r="B2858" s="377" t="s">
        <v>1938</v>
      </c>
    </row>
    <row r="2859" spans="1:2" x14ac:dyDescent="0.2">
      <c r="A2859" s="376">
        <v>3000200</v>
      </c>
      <c r="B2859" s="377" t="s">
        <v>1939</v>
      </c>
    </row>
    <row r="2860" spans="1:2" x14ac:dyDescent="0.2">
      <c r="A2860" s="376">
        <v>3000201</v>
      </c>
      <c r="B2860" s="377" t="s">
        <v>1940</v>
      </c>
    </row>
    <row r="2861" spans="1:2" x14ac:dyDescent="0.2">
      <c r="A2861" s="376">
        <v>3000202</v>
      </c>
      <c r="B2861" s="377" t="s">
        <v>1941</v>
      </c>
    </row>
    <row r="2862" spans="1:2" ht="51" x14ac:dyDescent="0.2">
      <c r="A2862" s="376">
        <v>3000203</v>
      </c>
      <c r="B2862" s="377" t="s">
        <v>1942</v>
      </c>
    </row>
    <row r="2863" spans="1:2" x14ac:dyDescent="0.2">
      <c r="A2863" s="376">
        <v>3000204</v>
      </c>
      <c r="B2863" s="377" t="s">
        <v>1943</v>
      </c>
    </row>
    <row r="2864" spans="1:2" ht="25.5" x14ac:dyDescent="0.2">
      <c r="A2864" s="376">
        <v>3000205</v>
      </c>
      <c r="B2864" s="377" t="s">
        <v>1944</v>
      </c>
    </row>
    <row r="2865" spans="1:2" ht="38.25" x14ac:dyDescent="0.2">
      <c r="A2865" s="376">
        <v>3000206</v>
      </c>
      <c r="B2865" s="377" t="s">
        <v>1945</v>
      </c>
    </row>
    <row r="2866" spans="1:2" ht="38.25" x14ac:dyDescent="0.2">
      <c r="A2866" s="376">
        <v>3000207</v>
      </c>
      <c r="B2866" s="377" t="s">
        <v>1946</v>
      </c>
    </row>
    <row r="2867" spans="1:2" ht="25.5" x14ac:dyDescent="0.2">
      <c r="A2867" s="376">
        <v>3000208</v>
      </c>
      <c r="B2867" s="377" t="s">
        <v>1947</v>
      </c>
    </row>
    <row r="2868" spans="1:2" ht="25.5" x14ac:dyDescent="0.2">
      <c r="A2868" s="376">
        <v>3000209</v>
      </c>
      <c r="B2868" s="377" t="s">
        <v>1948</v>
      </c>
    </row>
    <row r="2869" spans="1:2" ht="25.5" x14ac:dyDescent="0.2">
      <c r="A2869" s="376">
        <v>3000300</v>
      </c>
      <c r="B2869" s="377" t="s">
        <v>1949</v>
      </c>
    </row>
    <row r="2870" spans="1:2" x14ac:dyDescent="0.2">
      <c r="A2870" s="376">
        <v>3010000</v>
      </c>
      <c r="B2870" s="377" t="s">
        <v>1950</v>
      </c>
    </row>
    <row r="2871" spans="1:2" x14ac:dyDescent="0.2">
      <c r="A2871" s="376">
        <v>3010100</v>
      </c>
      <c r="B2871" s="377" t="s">
        <v>1951</v>
      </c>
    </row>
    <row r="2872" spans="1:2" x14ac:dyDescent="0.2">
      <c r="A2872" s="376">
        <v>3010101</v>
      </c>
      <c r="B2872" s="377" t="s">
        <v>1952</v>
      </c>
    </row>
    <row r="2873" spans="1:2" x14ac:dyDescent="0.2">
      <c r="A2873" s="376">
        <v>3010200</v>
      </c>
      <c r="B2873" s="377" t="s">
        <v>1953</v>
      </c>
    </row>
    <row r="2874" spans="1:2" x14ac:dyDescent="0.2">
      <c r="A2874" s="376">
        <v>3010201</v>
      </c>
      <c r="B2874" s="377" t="s">
        <v>1954</v>
      </c>
    </row>
    <row r="2875" spans="1:2" x14ac:dyDescent="0.2">
      <c r="A2875" s="376">
        <v>3010202</v>
      </c>
      <c r="B2875" s="377" t="s">
        <v>1955</v>
      </c>
    </row>
    <row r="2876" spans="1:2" x14ac:dyDescent="0.2">
      <c r="A2876" s="376">
        <v>3010300</v>
      </c>
      <c r="B2876" s="377" t="s">
        <v>1956</v>
      </c>
    </row>
    <row r="2877" spans="1:2" x14ac:dyDescent="0.2">
      <c r="A2877" s="376">
        <v>3010301</v>
      </c>
      <c r="B2877" s="377" t="s">
        <v>1957</v>
      </c>
    </row>
    <row r="2878" spans="1:2" x14ac:dyDescent="0.2">
      <c r="A2878" s="376">
        <v>3010302</v>
      </c>
      <c r="B2878" s="377" t="s">
        <v>1958</v>
      </c>
    </row>
    <row r="2879" spans="1:2" x14ac:dyDescent="0.2">
      <c r="A2879" s="376">
        <v>3010303</v>
      </c>
      <c r="B2879" s="377" t="s">
        <v>1959</v>
      </c>
    </row>
    <row r="2880" spans="1:2" ht="25.5" x14ac:dyDescent="0.2">
      <c r="A2880" s="376">
        <v>3010304</v>
      </c>
      <c r="B2880" s="377" t="s">
        <v>1960</v>
      </c>
    </row>
    <row r="2881" spans="1:2" x14ac:dyDescent="0.2">
      <c r="A2881" s="376">
        <v>3017100</v>
      </c>
      <c r="B2881" s="377" t="s">
        <v>1312</v>
      </c>
    </row>
    <row r="2882" spans="1:2" x14ac:dyDescent="0.2">
      <c r="A2882" s="376">
        <v>3017101</v>
      </c>
      <c r="B2882" s="377" t="s">
        <v>1313</v>
      </c>
    </row>
    <row r="2883" spans="1:2" x14ac:dyDescent="0.2">
      <c r="A2883" s="376">
        <v>3017102</v>
      </c>
      <c r="B2883" s="377" t="s">
        <v>1314</v>
      </c>
    </row>
    <row r="2884" spans="1:2" x14ac:dyDescent="0.2">
      <c r="A2884" s="376">
        <v>3017103</v>
      </c>
      <c r="B2884" s="377" t="s">
        <v>1315</v>
      </c>
    </row>
    <row r="2885" spans="1:2" x14ac:dyDescent="0.2">
      <c r="A2885" s="376">
        <v>3017200</v>
      </c>
      <c r="B2885" s="377" t="s">
        <v>1316</v>
      </c>
    </row>
    <row r="2886" spans="1:2" x14ac:dyDescent="0.2">
      <c r="A2886" s="376">
        <v>3017201</v>
      </c>
      <c r="B2886" s="377" t="s">
        <v>1317</v>
      </c>
    </row>
    <row r="2887" spans="1:2" x14ac:dyDescent="0.2">
      <c r="A2887" s="376">
        <v>3017202</v>
      </c>
      <c r="B2887" s="377" t="s">
        <v>1318</v>
      </c>
    </row>
    <row r="2888" spans="1:2" x14ac:dyDescent="0.2">
      <c r="A2888" s="376">
        <v>3017203</v>
      </c>
      <c r="B2888" s="377" t="s">
        <v>1319</v>
      </c>
    </row>
    <row r="2889" spans="1:2" x14ac:dyDescent="0.2">
      <c r="A2889" s="376">
        <v>3020000</v>
      </c>
      <c r="B2889" s="377" t="s">
        <v>1954</v>
      </c>
    </row>
    <row r="2890" spans="1:2" x14ac:dyDescent="0.2">
      <c r="A2890" s="376">
        <v>3020100</v>
      </c>
      <c r="B2890" s="377" t="s">
        <v>1961</v>
      </c>
    </row>
    <row r="2891" spans="1:2" x14ac:dyDescent="0.2">
      <c r="A2891" s="376">
        <v>3026800</v>
      </c>
      <c r="B2891" s="377" t="s">
        <v>1308</v>
      </c>
    </row>
    <row r="2892" spans="1:2" x14ac:dyDescent="0.2">
      <c r="A2892" s="376">
        <v>3026801</v>
      </c>
      <c r="B2892" s="377" t="s">
        <v>1309</v>
      </c>
    </row>
    <row r="2893" spans="1:2" ht="25.5" x14ac:dyDescent="0.2">
      <c r="A2893" s="376">
        <v>3026802</v>
      </c>
      <c r="B2893" s="377" t="s">
        <v>1310</v>
      </c>
    </row>
    <row r="2894" spans="1:2" x14ac:dyDescent="0.2">
      <c r="A2894" s="376">
        <v>3027100</v>
      </c>
      <c r="B2894" s="377" t="s">
        <v>1312</v>
      </c>
    </row>
    <row r="2895" spans="1:2" x14ac:dyDescent="0.2">
      <c r="A2895" s="376">
        <v>3027101</v>
      </c>
      <c r="B2895" s="377" t="s">
        <v>1313</v>
      </c>
    </row>
    <row r="2896" spans="1:2" x14ac:dyDescent="0.2">
      <c r="A2896" s="376">
        <v>3027102</v>
      </c>
      <c r="B2896" s="377" t="s">
        <v>1314</v>
      </c>
    </row>
    <row r="2897" spans="1:2" x14ac:dyDescent="0.2">
      <c r="A2897" s="376">
        <v>3027103</v>
      </c>
      <c r="B2897" s="377" t="s">
        <v>1315</v>
      </c>
    </row>
    <row r="2898" spans="1:2" x14ac:dyDescent="0.2">
      <c r="A2898" s="376">
        <v>3027200</v>
      </c>
      <c r="B2898" s="377" t="s">
        <v>1316</v>
      </c>
    </row>
    <row r="2899" spans="1:2" x14ac:dyDescent="0.2">
      <c r="A2899" s="376">
        <v>3027201</v>
      </c>
      <c r="B2899" s="377" t="s">
        <v>1317</v>
      </c>
    </row>
    <row r="2900" spans="1:2" x14ac:dyDescent="0.2">
      <c r="A2900" s="376">
        <v>3027202</v>
      </c>
      <c r="B2900" s="377" t="s">
        <v>1318</v>
      </c>
    </row>
    <row r="2901" spans="1:2" x14ac:dyDescent="0.2">
      <c r="A2901" s="376">
        <v>3027203</v>
      </c>
      <c r="B2901" s="377" t="s">
        <v>1319</v>
      </c>
    </row>
    <row r="2902" spans="1:2" x14ac:dyDescent="0.2">
      <c r="A2902" s="376">
        <v>3029900</v>
      </c>
      <c r="B2902" s="377" t="s">
        <v>1324</v>
      </c>
    </row>
    <row r="2903" spans="1:2" x14ac:dyDescent="0.2">
      <c r="A2903" s="376">
        <v>3050000</v>
      </c>
      <c r="B2903" s="377" t="s">
        <v>1962</v>
      </c>
    </row>
    <row r="2904" spans="1:2" x14ac:dyDescent="0.2">
      <c r="A2904" s="376">
        <v>3050100</v>
      </c>
      <c r="B2904" s="377" t="s">
        <v>1963</v>
      </c>
    </row>
    <row r="2905" spans="1:2" ht="25.5" x14ac:dyDescent="0.2">
      <c r="A2905" s="376">
        <v>3050101</v>
      </c>
      <c r="B2905" s="377" t="s">
        <v>1964</v>
      </c>
    </row>
    <row r="2906" spans="1:2" ht="38.25" x14ac:dyDescent="0.2">
      <c r="A2906" s="376">
        <v>3050102</v>
      </c>
      <c r="B2906" s="377" t="s">
        <v>1965</v>
      </c>
    </row>
    <row r="2907" spans="1:2" ht="38.25" x14ac:dyDescent="0.2">
      <c r="A2907" s="376">
        <v>3050103</v>
      </c>
      <c r="B2907" s="377" t="s">
        <v>1966</v>
      </c>
    </row>
    <row r="2908" spans="1:2" ht="38.25" x14ac:dyDescent="0.2">
      <c r="A2908" s="376">
        <v>3050104</v>
      </c>
      <c r="B2908" s="377" t="s">
        <v>1967</v>
      </c>
    </row>
    <row r="2909" spans="1:2" ht="63.75" x14ac:dyDescent="0.2">
      <c r="A2909" s="376">
        <v>3050105</v>
      </c>
      <c r="B2909" s="377" t="s">
        <v>1968</v>
      </c>
    </row>
    <row r="2910" spans="1:2" ht="25.5" x14ac:dyDescent="0.2">
      <c r="A2910" s="376">
        <v>3050106</v>
      </c>
      <c r="B2910" s="377" t="s">
        <v>1969</v>
      </c>
    </row>
    <row r="2911" spans="1:2" ht="51" x14ac:dyDescent="0.2">
      <c r="A2911" s="376">
        <v>3050107</v>
      </c>
      <c r="B2911" s="377" t="s">
        <v>1970</v>
      </c>
    </row>
    <row r="2912" spans="1:2" ht="63.75" x14ac:dyDescent="0.2">
      <c r="A2912" s="376">
        <v>3050108</v>
      </c>
      <c r="B2912" s="377" t="s">
        <v>1971</v>
      </c>
    </row>
    <row r="2913" spans="1:2" ht="38.25" x14ac:dyDescent="0.2">
      <c r="A2913" s="376">
        <v>3050112</v>
      </c>
      <c r="B2913" s="377" t="s">
        <v>1972</v>
      </c>
    </row>
    <row r="2914" spans="1:2" ht="51" x14ac:dyDescent="0.2">
      <c r="A2914" s="376">
        <v>3050113</v>
      </c>
      <c r="B2914" s="377" t="s">
        <v>1973</v>
      </c>
    </row>
    <row r="2915" spans="1:2" x14ac:dyDescent="0.2">
      <c r="A2915" s="376">
        <v>3060000</v>
      </c>
      <c r="B2915" s="377" t="s">
        <v>1974</v>
      </c>
    </row>
    <row r="2916" spans="1:2" ht="25.5" x14ac:dyDescent="0.2">
      <c r="A2916" s="376">
        <v>3060100</v>
      </c>
      <c r="B2916" s="377" t="s">
        <v>1975</v>
      </c>
    </row>
    <row r="2917" spans="1:2" ht="25.5" x14ac:dyDescent="0.2">
      <c r="A2917" s="376">
        <v>3060200</v>
      </c>
      <c r="B2917" s="377" t="s">
        <v>1976</v>
      </c>
    </row>
    <row r="2918" spans="1:2" ht="25.5" x14ac:dyDescent="0.2">
      <c r="A2918" s="376">
        <v>3060300</v>
      </c>
      <c r="B2918" s="377" t="s">
        <v>1977</v>
      </c>
    </row>
    <row r="2919" spans="1:2" ht="25.5" x14ac:dyDescent="0.2">
      <c r="A2919" s="376">
        <v>3060400</v>
      </c>
      <c r="B2919" s="377" t="s">
        <v>1978</v>
      </c>
    </row>
    <row r="2920" spans="1:2" x14ac:dyDescent="0.2">
      <c r="A2920" s="376">
        <v>3100000</v>
      </c>
      <c r="B2920" s="377" t="s">
        <v>1979</v>
      </c>
    </row>
    <row r="2921" spans="1:2" x14ac:dyDescent="0.2">
      <c r="A2921" s="376">
        <v>3100100</v>
      </c>
      <c r="B2921" s="377" t="s">
        <v>1980</v>
      </c>
    </row>
    <row r="2922" spans="1:2" x14ac:dyDescent="0.2">
      <c r="A2922" s="376">
        <v>3100101</v>
      </c>
      <c r="B2922" s="377" t="s">
        <v>1981</v>
      </c>
    </row>
    <row r="2923" spans="1:2" x14ac:dyDescent="0.2">
      <c r="A2923" s="376">
        <v>3150000</v>
      </c>
      <c r="B2923" s="377" t="s">
        <v>239</v>
      </c>
    </row>
    <row r="2924" spans="1:2" x14ac:dyDescent="0.2">
      <c r="A2924" s="376">
        <v>3150100</v>
      </c>
      <c r="B2924" s="377" t="s">
        <v>1982</v>
      </c>
    </row>
    <row r="2925" spans="1:2" x14ac:dyDescent="0.2">
      <c r="A2925" s="376">
        <v>3150101</v>
      </c>
      <c r="B2925" s="377" t="s">
        <v>1983</v>
      </c>
    </row>
    <row r="2926" spans="1:2" x14ac:dyDescent="0.2">
      <c r="A2926" s="376">
        <v>3150102</v>
      </c>
      <c r="B2926" s="377" t="s">
        <v>1984</v>
      </c>
    </row>
    <row r="2927" spans="1:2" x14ac:dyDescent="0.2">
      <c r="A2927" s="376">
        <v>3150200</v>
      </c>
      <c r="B2927" s="377" t="s">
        <v>1985</v>
      </c>
    </row>
    <row r="2928" spans="1:2" ht="25.5" x14ac:dyDescent="0.2">
      <c r="A2928" s="376">
        <v>3150201</v>
      </c>
      <c r="B2928" s="377" t="s">
        <v>1986</v>
      </c>
    </row>
    <row r="2929" spans="1:2" x14ac:dyDescent="0.2">
      <c r="A2929" s="376">
        <v>3150202</v>
      </c>
      <c r="B2929" s="377" t="s">
        <v>1987</v>
      </c>
    </row>
    <row r="2930" spans="1:2" x14ac:dyDescent="0.2">
      <c r="A2930" s="376">
        <v>3150203</v>
      </c>
      <c r="B2930" s="377" t="s">
        <v>1988</v>
      </c>
    </row>
    <row r="2931" spans="1:2" ht="25.5" x14ac:dyDescent="0.2">
      <c r="A2931" s="376">
        <v>3150204</v>
      </c>
      <c r="B2931" s="377" t="s">
        <v>1989</v>
      </c>
    </row>
    <row r="2932" spans="1:2" ht="25.5" x14ac:dyDescent="0.2">
      <c r="A2932" s="376">
        <v>3150205</v>
      </c>
      <c r="B2932" s="377" t="s">
        <v>1990</v>
      </c>
    </row>
    <row r="2933" spans="1:2" ht="25.5" x14ac:dyDescent="0.2">
      <c r="A2933" s="376">
        <v>3150206</v>
      </c>
      <c r="B2933" s="377" t="s">
        <v>1991</v>
      </c>
    </row>
    <row r="2934" spans="1:2" x14ac:dyDescent="0.2">
      <c r="A2934" s="376">
        <v>3150300</v>
      </c>
      <c r="B2934" s="377" t="s">
        <v>1992</v>
      </c>
    </row>
    <row r="2935" spans="1:2" ht="25.5" x14ac:dyDescent="0.2">
      <c r="A2935" s="376">
        <v>3150301</v>
      </c>
      <c r="B2935" s="377" t="s">
        <v>1993</v>
      </c>
    </row>
    <row r="2936" spans="1:2" ht="25.5" x14ac:dyDescent="0.2">
      <c r="A2936" s="376">
        <v>3150302</v>
      </c>
      <c r="B2936" s="377" t="s">
        <v>1994</v>
      </c>
    </row>
    <row r="2937" spans="1:2" x14ac:dyDescent="0.2">
      <c r="A2937" s="376">
        <v>3170000</v>
      </c>
      <c r="B2937" s="377" t="s">
        <v>1995</v>
      </c>
    </row>
    <row r="2938" spans="1:2" x14ac:dyDescent="0.2">
      <c r="A2938" s="376">
        <v>3170100</v>
      </c>
      <c r="B2938" s="377" t="s">
        <v>1996</v>
      </c>
    </row>
    <row r="2939" spans="1:2" ht="25.5" x14ac:dyDescent="0.2">
      <c r="A2939" s="376">
        <v>3170101</v>
      </c>
      <c r="B2939" s="377" t="s">
        <v>1997</v>
      </c>
    </row>
    <row r="2940" spans="1:2" ht="25.5" x14ac:dyDescent="0.2">
      <c r="A2940" s="376">
        <v>3170110</v>
      </c>
      <c r="B2940" s="377" t="s">
        <v>1998</v>
      </c>
    </row>
    <row r="2941" spans="1:2" x14ac:dyDescent="0.2">
      <c r="A2941" s="376">
        <v>3300000</v>
      </c>
      <c r="B2941" s="377" t="s">
        <v>1999</v>
      </c>
    </row>
    <row r="2942" spans="1:2" x14ac:dyDescent="0.2">
      <c r="A2942" s="376">
        <v>3300100</v>
      </c>
      <c r="B2942" s="377" t="s">
        <v>2000</v>
      </c>
    </row>
    <row r="2943" spans="1:2" ht="25.5" x14ac:dyDescent="0.2">
      <c r="A2943" s="376">
        <v>3300101</v>
      </c>
      <c r="B2943" s="377" t="s">
        <v>2001</v>
      </c>
    </row>
    <row r="2944" spans="1:2" ht="25.5" x14ac:dyDescent="0.2">
      <c r="A2944" s="376">
        <v>3300102</v>
      </c>
      <c r="B2944" s="377" t="s">
        <v>2002</v>
      </c>
    </row>
    <row r="2945" spans="1:2" x14ac:dyDescent="0.2">
      <c r="A2945" s="376">
        <v>3300200</v>
      </c>
      <c r="B2945" s="377" t="s">
        <v>2003</v>
      </c>
    </row>
    <row r="2946" spans="1:2" x14ac:dyDescent="0.2">
      <c r="A2946" s="376">
        <v>3300201</v>
      </c>
      <c r="B2946" s="377" t="s">
        <v>2004</v>
      </c>
    </row>
    <row r="2947" spans="1:2" ht="25.5" x14ac:dyDescent="0.2">
      <c r="A2947" s="376">
        <v>3300202</v>
      </c>
      <c r="B2947" s="377" t="s">
        <v>2005</v>
      </c>
    </row>
    <row r="2948" spans="1:2" ht="25.5" x14ac:dyDescent="0.2">
      <c r="A2948" s="376">
        <v>3300203</v>
      </c>
      <c r="B2948" s="377" t="s">
        <v>2006</v>
      </c>
    </row>
    <row r="2949" spans="1:2" x14ac:dyDescent="0.2">
      <c r="A2949" s="376">
        <v>3300204</v>
      </c>
      <c r="B2949" s="377" t="s">
        <v>2007</v>
      </c>
    </row>
    <row r="2950" spans="1:2" x14ac:dyDescent="0.2">
      <c r="A2950" s="376">
        <v>3300205</v>
      </c>
      <c r="B2950" s="377" t="s">
        <v>2008</v>
      </c>
    </row>
    <row r="2951" spans="1:2" x14ac:dyDescent="0.2">
      <c r="A2951" s="376">
        <v>3300206</v>
      </c>
      <c r="B2951" s="377" t="s">
        <v>2009</v>
      </c>
    </row>
    <row r="2952" spans="1:2" x14ac:dyDescent="0.2">
      <c r="A2952" s="376">
        <v>3300207</v>
      </c>
      <c r="B2952" s="377" t="s">
        <v>1419</v>
      </c>
    </row>
    <row r="2953" spans="1:2" ht="25.5" x14ac:dyDescent="0.2">
      <c r="A2953" s="376">
        <v>3300208</v>
      </c>
      <c r="B2953" s="377" t="s">
        <v>2010</v>
      </c>
    </row>
    <row r="2954" spans="1:2" x14ac:dyDescent="0.2">
      <c r="A2954" s="376">
        <v>3300300</v>
      </c>
      <c r="B2954" s="377" t="s">
        <v>2011</v>
      </c>
    </row>
    <row r="2955" spans="1:2" x14ac:dyDescent="0.2">
      <c r="A2955" s="376">
        <v>3300301</v>
      </c>
      <c r="B2955" s="377" t="s">
        <v>2012</v>
      </c>
    </row>
    <row r="2956" spans="1:2" x14ac:dyDescent="0.2">
      <c r="A2956" s="376">
        <v>3300400</v>
      </c>
      <c r="B2956" s="377" t="s">
        <v>2013</v>
      </c>
    </row>
    <row r="2957" spans="1:2" x14ac:dyDescent="0.2">
      <c r="A2957" s="376">
        <v>3300401</v>
      </c>
      <c r="B2957" s="377" t="s">
        <v>2014</v>
      </c>
    </row>
    <row r="2958" spans="1:2" ht="38.25" x14ac:dyDescent="0.2">
      <c r="A2958" s="376">
        <v>3300402</v>
      </c>
      <c r="B2958" s="377" t="s">
        <v>2015</v>
      </c>
    </row>
    <row r="2959" spans="1:2" x14ac:dyDescent="0.2">
      <c r="A2959" s="376">
        <v>3300600</v>
      </c>
      <c r="B2959" s="377" t="s">
        <v>2016</v>
      </c>
    </row>
    <row r="2960" spans="1:2" ht="25.5" x14ac:dyDescent="0.2">
      <c r="A2960" s="376">
        <v>3300700</v>
      </c>
      <c r="B2960" s="377" t="s">
        <v>2017</v>
      </c>
    </row>
    <row r="2961" spans="1:2" x14ac:dyDescent="0.2">
      <c r="A2961" s="376">
        <v>3308200</v>
      </c>
      <c r="B2961" s="377" t="s">
        <v>1323</v>
      </c>
    </row>
    <row r="2962" spans="1:2" x14ac:dyDescent="0.2">
      <c r="A2962" s="376">
        <v>3309900</v>
      </c>
      <c r="B2962" s="377" t="s">
        <v>1324</v>
      </c>
    </row>
    <row r="2963" spans="1:2" ht="25.5" x14ac:dyDescent="0.2">
      <c r="A2963" s="376">
        <v>3350000</v>
      </c>
      <c r="B2963" s="377" t="s">
        <v>2018</v>
      </c>
    </row>
    <row r="2964" spans="1:2" ht="25.5" x14ac:dyDescent="0.2">
      <c r="A2964" s="376">
        <v>3350100</v>
      </c>
      <c r="B2964" s="377" t="s">
        <v>2019</v>
      </c>
    </row>
    <row r="2965" spans="1:2" x14ac:dyDescent="0.2">
      <c r="A2965" s="376">
        <v>3350200</v>
      </c>
      <c r="B2965" s="377" t="s">
        <v>1838</v>
      </c>
    </row>
    <row r="2966" spans="1:2" x14ac:dyDescent="0.2">
      <c r="A2966" s="376">
        <v>3350300</v>
      </c>
      <c r="B2966" s="377" t="s">
        <v>2020</v>
      </c>
    </row>
    <row r="2967" spans="1:2" x14ac:dyDescent="0.2">
      <c r="A2967" s="376">
        <v>3360000</v>
      </c>
      <c r="B2967" s="377" t="s">
        <v>2021</v>
      </c>
    </row>
    <row r="2968" spans="1:2" ht="25.5" x14ac:dyDescent="0.2">
      <c r="A2968" s="376">
        <v>3360100</v>
      </c>
      <c r="B2968" s="377" t="s">
        <v>2022</v>
      </c>
    </row>
    <row r="2969" spans="1:2" x14ac:dyDescent="0.2">
      <c r="A2969" s="376">
        <v>3370000</v>
      </c>
      <c r="B2969" s="377" t="s">
        <v>2023</v>
      </c>
    </row>
    <row r="2970" spans="1:2" x14ac:dyDescent="0.2">
      <c r="A2970" s="376">
        <v>3379900</v>
      </c>
      <c r="B2970" s="377" t="s">
        <v>1324</v>
      </c>
    </row>
    <row r="2971" spans="1:2" x14ac:dyDescent="0.2">
      <c r="A2971" s="376">
        <v>3390000</v>
      </c>
      <c r="B2971" s="377" t="s">
        <v>2024</v>
      </c>
    </row>
    <row r="2972" spans="1:2" x14ac:dyDescent="0.2">
      <c r="A2972" s="376">
        <v>3399900</v>
      </c>
      <c r="B2972" s="377" t="s">
        <v>1324</v>
      </c>
    </row>
    <row r="2973" spans="1:2" x14ac:dyDescent="0.2">
      <c r="A2973" s="376">
        <v>3400000</v>
      </c>
      <c r="B2973" s="377" t="s">
        <v>2025</v>
      </c>
    </row>
    <row r="2974" spans="1:2" x14ac:dyDescent="0.2">
      <c r="A2974" s="376">
        <v>3400100</v>
      </c>
      <c r="B2974" s="377" t="s">
        <v>2026</v>
      </c>
    </row>
    <row r="2975" spans="1:2" x14ac:dyDescent="0.2">
      <c r="A2975" s="376">
        <v>3400101</v>
      </c>
      <c r="B2975" s="377" t="s">
        <v>2027</v>
      </c>
    </row>
    <row r="2976" spans="1:2" x14ac:dyDescent="0.2">
      <c r="A2976" s="376">
        <v>3400102</v>
      </c>
      <c r="B2976" s="377" t="s">
        <v>2028</v>
      </c>
    </row>
    <row r="2977" spans="1:2" x14ac:dyDescent="0.2">
      <c r="A2977" s="376">
        <v>3400103</v>
      </c>
      <c r="B2977" s="377" t="s">
        <v>2029</v>
      </c>
    </row>
    <row r="2978" spans="1:2" x14ac:dyDescent="0.2">
      <c r="A2978" s="376">
        <v>3400104</v>
      </c>
      <c r="B2978" s="377" t="s">
        <v>2030</v>
      </c>
    </row>
    <row r="2979" spans="1:2" ht="25.5" x14ac:dyDescent="0.2">
      <c r="A2979" s="376">
        <v>3400105</v>
      </c>
      <c r="B2979" s="377" t="s">
        <v>2031</v>
      </c>
    </row>
    <row r="2980" spans="1:2" x14ac:dyDescent="0.2">
      <c r="A2980" s="376">
        <v>3400106</v>
      </c>
      <c r="B2980" s="377" t="s">
        <v>2032</v>
      </c>
    </row>
    <row r="2981" spans="1:2" x14ac:dyDescent="0.2">
      <c r="A2981" s="376">
        <v>3400200</v>
      </c>
      <c r="B2981" s="377" t="s">
        <v>1416</v>
      </c>
    </row>
    <row r="2982" spans="1:2" x14ac:dyDescent="0.2">
      <c r="A2982" s="376">
        <v>3400300</v>
      </c>
      <c r="B2982" s="377" t="s">
        <v>680</v>
      </c>
    </row>
    <row r="2983" spans="1:2" x14ac:dyDescent="0.2">
      <c r="A2983" s="376">
        <v>3400400</v>
      </c>
      <c r="B2983" s="377" t="s">
        <v>2033</v>
      </c>
    </row>
    <row r="2984" spans="1:2" ht="25.5" x14ac:dyDescent="0.2">
      <c r="A2984" s="376">
        <v>3400500</v>
      </c>
      <c r="B2984" s="377" t="s">
        <v>2034</v>
      </c>
    </row>
    <row r="2985" spans="1:2" x14ac:dyDescent="0.2">
      <c r="A2985" s="376">
        <v>3400600</v>
      </c>
      <c r="B2985" s="377" t="s">
        <v>2035</v>
      </c>
    </row>
    <row r="2986" spans="1:2" x14ac:dyDescent="0.2">
      <c r="A2986" s="376">
        <v>3400700</v>
      </c>
      <c r="B2986" s="377" t="s">
        <v>2036</v>
      </c>
    </row>
    <row r="2987" spans="1:2" x14ac:dyDescent="0.2">
      <c r="A2987" s="376">
        <v>3400701</v>
      </c>
      <c r="B2987" s="377" t="s">
        <v>2037</v>
      </c>
    </row>
    <row r="2988" spans="1:2" x14ac:dyDescent="0.2">
      <c r="A2988" s="376">
        <v>3400702</v>
      </c>
      <c r="B2988" s="377" t="s">
        <v>2038</v>
      </c>
    </row>
    <row r="2989" spans="1:2" ht="25.5" x14ac:dyDescent="0.2">
      <c r="A2989" s="376">
        <v>3400800</v>
      </c>
      <c r="B2989" s="377" t="s">
        <v>2039</v>
      </c>
    </row>
    <row r="2990" spans="1:2" ht="38.25" x14ac:dyDescent="0.2">
      <c r="A2990" s="376">
        <v>3400900</v>
      </c>
      <c r="B2990" s="377" t="s">
        <v>2040</v>
      </c>
    </row>
    <row r="2991" spans="1:2" ht="25.5" x14ac:dyDescent="0.2">
      <c r="A2991" s="376">
        <v>3401000</v>
      </c>
      <c r="B2991" s="377" t="s">
        <v>2041</v>
      </c>
    </row>
    <row r="2992" spans="1:2" ht="25.5" x14ac:dyDescent="0.2">
      <c r="A2992" s="376">
        <v>3401100</v>
      </c>
      <c r="B2992" s="377" t="s">
        <v>2042</v>
      </c>
    </row>
    <row r="2993" spans="1:2" x14ac:dyDescent="0.2">
      <c r="A2993" s="376">
        <v>3401200</v>
      </c>
      <c r="B2993" s="377" t="s">
        <v>2043</v>
      </c>
    </row>
    <row r="2994" spans="1:2" ht="25.5" x14ac:dyDescent="0.2">
      <c r="A2994" s="376">
        <v>3401500</v>
      </c>
      <c r="B2994" s="377" t="s">
        <v>2044</v>
      </c>
    </row>
    <row r="2995" spans="1:2" ht="25.5" x14ac:dyDescent="0.2">
      <c r="A2995" s="376">
        <v>3401600</v>
      </c>
      <c r="B2995" s="377" t="s">
        <v>2045</v>
      </c>
    </row>
    <row r="2996" spans="1:2" ht="25.5" x14ac:dyDescent="0.2">
      <c r="A2996" s="376">
        <v>3401700</v>
      </c>
      <c r="B2996" s="377" t="s">
        <v>2046</v>
      </c>
    </row>
    <row r="2997" spans="1:2" ht="25.5" x14ac:dyDescent="0.2">
      <c r="A2997" s="376">
        <v>3401800</v>
      </c>
      <c r="B2997" s="377" t="s">
        <v>2047</v>
      </c>
    </row>
    <row r="2998" spans="1:2" ht="25.5" x14ac:dyDescent="0.2">
      <c r="A2998" s="376">
        <v>3408000</v>
      </c>
      <c r="B2998" s="377" t="s">
        <v>2039</v>
      </c>
    </row>
    <row r="2999" spans="1:2" x14ac:dyDescent="0.2">
      <c r="A2999" s="376">
        <v>3408300</v>
      </c>
      <c r="B2999" s="377" t="s">
        <v>1853</v>
      </c>
    </row>
    <row r="3000" spans="1:2" ht="38.25" x14ac:dyDescent="0.2">
      <c r="A3000" s="376">
        <v>3408301</v>
      </c>
      <c r="B3000" s="377" t="s">
        <v>2048</v>
      </c>
    </row>
    <row r="3001" spans="1:2" ht="51" x14ac:dyDescent="0.2">
      <c r="A3001" s="376">
        <v>3408302</v>
      </c>
      <c r="B3001" s="377" t="s">
        <v>2049</v>
      </c>
    </row>
    <row r="3002" spans="1:2" ht="51" x14ac:dyDescent="0.2">
      <c r="A3002" s="376">
        <v>3408303</v>
      </c>
      <c r="B3002" s="377" t="s">
        <v>2050</v>
      </c>
    </row>
    <row r="3003" spans="1:2" ht="38.25" x14ac:dyDescent="0.2">
      <c r="A3003" s="376">
        <v>3408304</v>
      </c>
      <c r="B3003" s="377" t="s">
        <v>2051</v>
      </c>
    </row>
    <row r="3004" spans="1:2" ht="38.25" x14ac:dyDescent="0.2">
      <c r="A3004" s="376">
        <v>3408305</v>
      </c>
      <c r="B3004" s="377" t="s">
        <v>2052</v>
      </c>
    </row>
    <row r="3005" spans="1:2" ht="76.5" x14ac:dyDescent="0.2">
      <c r="A3005" s="376">
        <v>3408306</v>
      </c>
      <c r="B3005" s="377" t="s">
        <v>2053</v>
      </c>
    </row>
    <row r="3006" spans="1:2" ht="38.25" x14ac:dyDescent="0.2">
      <c r="A3006" s="376">
        <v>3408307</v>
      </c>
      <c r="B3006" s="377" t="s">
        <v>2054</v>
      </c>
    </row>
    <row r="3007" spans="1:2" ht="63.75" x14ac:dyDescent="0.2">
      <c r="A3007" s="376">
        <v>3408308</v>
      </c>
      <c r="B3007" s="377" t="s">
        <v>2055</v>
      </c>
    </row>
    <row r="3008" spans="1:2" ht="51" x14ac:dyDescent="0.2">
      <c r="A3008" s="376">
        <v>3408309</v>
      </c>
      <c r="B3008" s="377" t="s">
        <v>2056</v>
      </c>
    </row>
    <row r="3009" spans="1:2" ht="25.5" x14ac:dyDescent="0.2">
      <c r="A3009" s="376">
        <v>3408310</v>
      </c>
      <c r="B3009" s="377" t="s">
        <v>2057</v>
      </c>
    </row>
    <row r="3010" spans="1:2" ht="63.75" x14ac:dyDescent="0.2">
      <c r="A3010" s="376">
        <v>3408311</v>
      </c>
      <c r="B3010" s="377" t="s">
        <v>2058</v>
      </c>
    </row>
    <row r="3011" spans="1:2" ht="51" x14ac:dyDescent="0.2">
      <c r="A3011" s="376">
        <v>3408313</v>
      </c>
      <c r="B3011" s="377" t="s">
        <v>2059</v>
      </c>
    </row>
    <row r="3012" spans="1:2" ht="63.75" x14ac:dyDescent="0.2">
      <c r="A3012" s="376">
        <v>3408314</v>
      </c>
      <c r="B3012" s="377" t="s">
        <v>2060</v>
      </c>
    </row>
    <row r="3013" spans="1:2" ht="51" x14ac:dyDescent="0.2">
      <c r="A3013" s="376">
        <v>3408315</v>
      </c>
      <c r="B3013" s="377" t="s">
        <v>2061</v>
      </c>
    </row>
    <row r="3014" spans="1:2" ht="38.25" x14ac:dyDescent="0.2">
      <c r="A3014" s="376">
        <v>3408316</v>
      </c>
      <c r="B3014" s="377" t="s">
        <v>2062</v>
      </c>
    </row>
    <row r="3015" spans="1:2" ht="38.25" x14ac:dyDescent="0.2">
      <c r="A3015" s="376">
        <v>3408317</v>
      </c>
      <c r="B3015" s="377" t="s">
        <v>2063</v>
      </c>
    </row>
    <row r="3016" spans="1:2" ht="38.25" x14ac:dyDescent="0.2">
      <c r="A3016" s="376">
        <v>3408318</v>
      </c>
      <c r="B3016" s="377" t="s">
        <v>2064</v>
      </c>
    </row>
    <row r="3017" spans="1:2" ht="63.75" x14ac:dyDescent="0.2">
      <c r="A3017" s="376">
        <v>3408319</v>
      </c>
      <c r="B3017" s="377" t="s">
        <v>2065</v>
      </c>
    </row>
    <row r="3018" spans="1:2" ht="38.25" x14ac:dyDescent="0.2">
      <c r="A3018" s="376">
        <v>3408320</v>
      </c>
      <c r="B3018" s="377" t="s">
        <v>2066</v>
      </c>
    </row>
    <row r="3019" spans="1:2" ht="63.75" x14ac:dyDescent="0.2">
      <c r="A3019" s="376">
        <v>3408321</v>
      </c>
      <c r="B3019" s="377" t="s">
        <v>2067</v>
      </c>
    </row>
    <row r="3020" spans="1:2" ht="25.5" x14ac:dyDescent="0.2">
      <c r="A3020" s="376">
        <v>3408322</v>
      </c>
      <c r="B3020" s="377" t="s">
        <v>2068</v>
      </c>
    </row>
    <row r="3021" spans="1:2" x14ac:dyDescent="0.2">
      <c r="A3021" s="376">
        <v>3410000</v>
      </c>
      <c r="B3021" s="377" t="s">
        <v>2069</v>
      </c>
    </row>
    <row r="3022" spans="1:2" x14ac:dyDescent="0.2">
      <c r="A3022" s="376">
        <v>3419900</v>
      </c>
      <c r="B3022" s="377" t="s">
        <v>1324</v>
      </c>
    </row>
    <row r="3023" spans="1:2" x14ac:dyDescent="0.2">
      <c r="A3023" s="376">
        <v>3450000</v>
      </c>
      <c r="B3023" s="377" t="s">
        <v>2070</v>
      </c>
    </row>
    <row r="3024" spans="1:2" ht="25.5" x14ac:dyDescent="0.2">
      <c r="A3024" s="376">
        <v>3450100</v>
      </c>
      <c r="B3024" s="377" t="s">
        <v>2071</v>
      </c>
    </row>
    <row r="3025" spans="1:2" x14ac:dyDescent="0.2">
      <c r="A3025" s="376">
        <v>3500000</v>
      </c>
      <c r="B3025" s="377" t="s">
        <v>2072</v>
      </c>
    </row>
    <row r="3026" spans="1:2" ht="25.5" x14ac:dyDescent="0.2">
      <c r="A3026" s="376">
        <v>3500100</v>
      </c>
      <c r="B3026" s="377" t="s">
        <v>2073</v>
      </c>
    </row>
    <row r="3027" spans="1:2" x14ac:dyDescent="0.2">
      <c r="A3027" s="376">
        <v>3500200</v>
      </c>
      <c r="B3027" s="377" t="s">
        <v>2074</v>
      </c>
    </row>
    <row r="3028" spans="1:2" ht="25.5" x14ac:dyDescent="0.2">
      <c r="A3028" s="376">
        <v>3500300</v>
      </c>
      <c r="B3028" s="377" t="s">
        <v>2075</v>
      </c>
    </row>
    <row r="3029" spans="1:2" ht="25.5" x14ac:dyDescent="0.2">
      <c r="A3029" s="376">
        <v>3500301</v>
      </c>
      <c r="B3029" s="377" t="s">
        <v>2076</v>
      </c>
    </row>
    <row r="3030" spans="1:2" x14ac:dyDescent="0.2">
      <c r="A3030" s="376">
        <v>3510000</v>
      </c>
      <c r="B3030" s="377" t="s">
        <v>2077</v>
      </c>
    </row>
    <row r="3031" spans="1:2" ht="25.5" x14ac:dyDescent="0.2">
      <c r="A3031" s="376">
        <v>3510100</v>
      </c>
      <c r="B3031" s="377" t="s">
        <v>2078</v>
      </c>
    </row>
    <row r="3032" spans="1:2" ht="25.5" x14ac:dyDescent="0.2">
      <c r="A3032" s="376">
        <v>3510200</v>
      </c>
      <c r="B3032" s="377" t="s">
        <v>2079</v>
      </c>
    </row>
    <row r="3033" spans="1:2" ht="25.5" x14ac:dyDescent="0.2">
      <c r="A3033" s="376">
        <v>3510300</v>
      </c>
      <c r="B3033" s="377" t="s">
        <v>2080</v>
      </c>
    </row>
    <row r="3034" spans="1:2" x14ac:dyDescent="0.2">
      <c r="A3034" s="376">
        <v>3510500</v>
      </c>
      <c r="B3034" s="377" t="s">
        <v>2081</v>
      </c>
    </row>
    <row r="3035" spans="1:2" ht="25.5" x14ac:dyDescent="0.2">
      <c r="A3035" s="376">
        <v>3510600</v>
      </c>
      <c r="B3035" s="377" t="s">
        <v>2082</v>
      </c>
    </row>
    <row r="3036" spans="1:2" ht="25.5" x14ac:dyDescent="0.2">
      <c r="A3036" s="376">
        <v>3510700</v>
      </c>
      <c r="B3036" s="377" t="s">
        <v>2083</v>
      </c>
    </row>
    <row r="3037" spans="1:2" ht="25.5" x14ac:dyDescent="0.2">
      <c r="A3037" s="376">
        <v>3510800</v>
      </c>
      <c r="B3037" s="377" t="s">
        <v>2084</v>
      </c>
    </row>
    <row r="3038" spans="1:2" x14ac:dyDescent="0.2">
      <c r="A3038" s="376">
        <v>3510900</v>
      </c>
      <c r="B3038" s="377" t="s">
        <v>2085</v>
      </c>
    </row>
    <row r="3039" spans="1:2" ht="25.5" x14ac:dyDescent="0.2">
      <c r="A3039" s="376">
        <v>3511000</v>
      </c>
      <c r="B3039" s="377" t="s">
        <v>2086</v>
      </c>
    </row>
    <row r="3040" spans="1:2" ht="25.5" x14ac:dyDescent="0.2">
      <c r="A3040" s="376">
        <v>3602600</v>
      </c>
      <c r="B3040" s="377" t="s">
        <v>2087</v>
      </c>
    </row>
    <row r="3041" spans="1:2" ht="25.5" x14ac:dyDescent="0.2">
      <c r="A3041" s="376">
        <v>3610000</v>
      </c>
      <c r="B3041" s="377" t="s">
        <v>2088</v>
      </c>
    </row>
    <row r="3042" spans="1:2" x14ac:dyDescent="0.2">
      <c r="A3042" s="376">
        <v>3610100</v>
      </c>
      <c r="B3042" s="377" t="s">
        <v>2089</v>
      </c>
    </row>
    <row r="3043" spans="1:2" x14ac:dyDescent="0.2">
      <c r="A3043" s="376">
        <v>3610101</v>
      </c>
      <c r="B3043" s="377" t="s">
        <v>2090</v>
      </c>
    </row>
    <row r="3044" spans="1:2" x14ac:dyDescent="0.2">
      <c r="A3044" s="376">
        <v>3610103</v>
      </c>
      <c r="B3044" s="377" t="s">
        <v>2091</v>
      </c>
    </row>
    <row r="3045" spans="1:2" ht="25.5" x14ac:dyDescent="0.2">
      <c r="A3045" s="376">
        <v>3610105</v>
      </c>
      <c r="B3045" s="377" t="s">
        <v>2092</v>
      </c>
    </row>
    <row r="3046" spans="1:2" ht="25.5" x14ac:dyDescent="0.2">
      <c r="A3046" s="376">
        <v>3610106</v>
      </c>
      <c r="B3046" s="377" t="s">
        <v>2093</v>
      </c>
    </row>
    <row r="3047" spans="1:2" ht="38.25" x14ac:dyDescent="0.2">
      <c r="A3047" s="376">
        <v>3610107</v>
      </c>
      <c r="B3047" s="377" t="s">
        <v>2094</v>
      </c>
    </row>
    <row r="3048" spans="1:2" x14ac:dyDescent="0.2">
      <c r="A3048" s="376">
        <v>3610300</v>
      </c>
      <c r="B3048" s="377" t="s">
        <v>2095</v>
      </c>
    </row>
    <row r="3049" spans="1:2" x14ac:dyDescent="0.2">
      <c r="A3049" s="376">
        <v>3610301</v>
      </c>
      <c r="B3049" s="377" t="s">
        <v>2096</v>
      </c>
    </row>
    <row r="3050" spans="1:2" x14ac:dyDescent="0.2">
      <c r="A3050" s="376">
        <v>3610302</v>
      </c>
      <c r="B3050" s="377" t="s">
        <v>2097</v>
      </c>
    </row>
    <row r="3051" spans="1:2" x14ac:dyDescent="0.2">
      <c r="A3051" s="376">
        <v>3610303</v>
      </c>
      <c r="B3051" s="377" t="s">
        <v>2098</v>
      </c>
    </row>
    <row r="3052" spans="1:2" x14ac:dyDescent="0.2">
      <c r="A3052" s="376">
        <v>3610304</v>
      </c>
      <c r="B3052" s="377" t="s">
        <v>2099</v>
      </c>
    </row>
    <row r="3053" spans="1:2" x14ac:dyDescent="0.2">
      <c r="A3053" s="376">
        <v>3610305</v>
      </c>
      <c r="B3053" s="377" t="s">
        <v>2100</v>
      </c>
    </row>
    <row r="3054" spans="1:2" x14ac:dyDescent="0.2">
      <c r="A3054" s="376">
        <v>3610400</v>
      </c>
      <c r="B3054" s="377" t="s">
        <v>2101</v>
      </c>
    </row>
    <row r="3055" spans="1:2" ht="25.5" x14ac:dyDescent="0.2">
      <c r="A3055" s="376">
        <v>3610403</v>
      </c>
      <c r="B3055" s="377" t="s">
        <v>2102</v>
      </c>
    </row>
    <row r="3056" spans="1:2" x14ac:dyDescent="0.2">
      <c r="A3056" s="376">
        <v>3610500</v>
      </c>
      <c r="B3056" s="377" t="s">
        <v>2103</v>
      </c>
    </row>
    <row r="3057" spans="1:2" x14ac:dyDescent="0.2">
      <c r="A3057" s="376">
        <v>3610502</v>
      </c>
      <c r="B3057" s="377" t="s">
        <v>2104</v>
      </c>
    </row>
    <row r="3058" spans="1:2" ht="25.5" x14ac:dyDescent="0.2">
      <c r="A3058" s="376">
        <v>3610600</v>
      </c>
      <c r="B3058" s="377" t="s">
        <v>2105</v>
      </c>
    </row>
    <row r="3059" spans="1:2" x14ac:dyDescent="0.2">
      <c r="A3059" s="376">
        <v>4100000</v>
      </c>
      <c r="B3059" s="377" t="s">
        <v>2106</v>
      </c>
    </row>
    <row r="3060" spans="1:2" x14ac:dyDescent="0.2">
      <c r="A3060" s="376">
        <v>4100100</v>
      </c>
      <c r="B3060" s="377" t="s">
        <v>2107</v>
      </c>
    </row>
    <row r="3061" spans="1:2" x14ac:dyDescent="0.2">
      <c r="A3061" s="376">
        <v>4110000</v>
      </c>
      <c r="B3061" s="377" t="s">
        <v>2108</v>
      </c>
    </row>
    <row r="3062" spans="1:2" x14ac:dyDescent="0.2">
      <c r="A3062" s="376">
        <v>4119900</v>
      </c>
      <c r="B3062" s="377" t="s">
        <v>1324</v>
      </c>
    </row>
    <row r="3063" spans="1:2" x14ac:dyDescent="0.2">
      <c r="A3063" s="376">
        <v>4130000</v>
      </c>
      <c r="B3063" s="377" t="s">
        <v>2109</v>
      </c>
    </row>
    <row r="3064" spans="1:2" x14ac:dyDescent="0.2">
      <c r="A3064" s="376">
        <v>4200000</v>
      </c>
      <c r="B3064" s="377" t="s">
        <v>2110</v>
      </c>
    </row>
    <row r="3065" spans="1:2" ht="25.5" x14ac:dyDescent="0.2">
      <c r="A3065" s="376">
        <v>4200100</v>
      </c>
      <c r="B3065" s="377" t="s">
        <v>2111</v>
      </c>
    </row>
    <row r="3066" spans="1:2" x14ac:dyDescent="0.2">
      <c r="A3066" s="376">
        <v>4207100</v>
      </c>
      <c r="B3066" s="377" t="s">
        <v>1312</v>
      </c>
    </row>
    <row r="3067" spans="1:2" x14ac:dyDescent="0.2">
      <c r="A3067" s="376">
        <v>4207101</v>
      </c>
      <c r="B3067" s="377" t="s">
        <v>1313</v>
      </c>
    </row>
    <row r="3068" spans="1:2" x14ac:dyDescent="0.2">
      <c r="A3068" s="376">
        <v>4207102</v>
      </c>
      <c r="B3068" s="377" t="s">
        <v>1314</v>
      </c>
    </row>
    <row r="3069" spans="1:2" x14ac:dyDescent="0.2">
      <c r="A3069" s="376">
        <v>4207103</v>
      </c>
      <c r="B3069" s="377" t="s">
        <v>1315</v>
      </c>
    </row>
    <row r="3070" spans="1:2" x14ac:dyDescent="0.2">
      <c r="A3070" s="376">
        <v>4209900</v>
      </c>
      <c r="B3070" s="377" t="s">
        <v>1324</v>
      </c>
    </row>
    <row r="3071" spans="1:2" x14ac:dyDescent="0.2">
      <c r="A3071" s="376">
        <v>4210000</v>
      </c>
      <c r="B3071" s="377" t="s">
        <v>2112</v>
      </c>
    </row>
    <row r="3072" spans="1:2" ht="25.5" x14ac:dyDescent="0.2">
      <c r="A3072" s="376">
        <v>4215600</v>
      </c>
      <c r="B3072" s="377" t="s">
        <v>1378</v>
      </c>
    </row>
    <row r="3073" spans="1:2" x14ac:dyDescent="0.2">
      <c r="A3073" s="376">
        <v>4215800</v>
      </c>
      <c r="B3073" s="377" t="s">
        <v>1306</v>
      </c>
    </row>
    <row r="3074" spans="1:2" x14ac:dyDescent="0.2">
      <c r="A3074" s="376">
        <v>4216800</v>
      </c>
      <c r="B3074" s="377" t="s">
        <v>1308</v>
      </c>
    </row>
    <row r="3075" spans="1:2" x14ac:dyDescent="0.2">
      <c r="A3075" s="376">
        <v>4216801</v>
      </c>
      <c r="B3075" s="377" t="s">
        <v>1309</v>
      </c>
    </row>
    <row r="3076" spans="1:2" ht="25.5" x14ac:dyDescent="0.2">
      <c r="A3076" s="376">
        <v>4216802</v>
      </c>
      <c r="B3076" s="377" t="s">
        <v>1310</v>
      </c>
    </row>
    <row r="3077" spans="1:2" x14ac:dyDescent="0.2">
      <c r="A3077" s="376">
        <v>4217100</v>
      </c>
      <c r="B3077" s="377" t="s">
        <v>1312</v>
      </c>
    </row>
    <row r="3078" spans="1:2" x14ac:dyDescent="0.2">
      <c r="A3078" s="376">
        <v>4217101</v>
      </c>
      <c r="B3078" s="377" t="s">
        <v>1313</v>
      </c>
    </row>
    <row r="3079" spans="1:2" x14ac:dyDescent="0.2">
      <c r="A3079" s="376">
        <v>4217102</v>
      </c>
      <c r="B3079" s="377" t="s">
        <v>1314</v>
      </c>
    </row>
    <row r="3080" spans="1:2" x14ac:dyDescent="0.2">
      <c r="A3080" s="376">
        <v>4217103</v>
      </c>
      <c r="B3080" s="377" t="s">
        <v>1315</v>
      </c>
    </row>
    <row r="3081" spans="1:2" x14ac:dyDescent="0.2">
      <c r="A3081" s="376">
        <v>4217200</v>
      </c>
      <c r="B3081" s="377" t="s">
        <v>1316</v>
      </c>
    </row>
    <row r="3082" spans="1:2" x14ac:dyDescent="0.2">
      <c r="A3082" s="376">
        <v>4217201</v>
      </c>
      <c r="B3082" s="377" t="s">
        <v>1317</v>
      </c>
    </row>
    <row r="3083" spans="1:2" x14ac:dyDescent="0.2">
      <c r="A3083" s="376">
        <v>4217202</v>
      </c>
      <c r="B3083" s="377" t="s">
        <v>1318</v>
      </c>
    </row>
    <row r="3084" spans="1:2" x14ac:dyDescent="0.2">
      <c r="A3084" s="376">
        <v>4217203</v>
      </c>
      <c r="B3084" s="377" t="s">
        <v>1319</v>
      </c>
    </row>
    <row r="3085" spans="1:2" x14ac:dyDescent="0.2">
      <c r="A3085" s="376">
        <v>4219900</v>
      </c>
      <c r="B3085" s="377" t="s">
        <v>1324</v>
      </c>
    </row>
    <row r="3086" spans="1:2" x14ac:dyDescent="0.2">
      <c r="A3086" s="376">
        <v>4220000</v>
      </c>
      <c r="B3086" s="377" t="s">
        <v>2113</v>
      </c>
    </row>
    <row r="3087" spans="1:2" x14ac:dyDescent="0.2">
      <c r="A3087" s="376">
        <v>4229900</v>
      </c>
      <c r="B3087" s="377" t="s">
        <v>1324</v>
      </c>
    </row>
    <row r="3088" spans="1:2" x14ac:dyDescent="0.2">
      <c r="A3088" s="376">
        <v>4230000</v>
      </c>
      <c r="B3088" s="377" t="s">
        <v>2114</v>
      </c>
    </row>
    <row r="3089" spans="1:2" x14ac:dyDescent="0.2">
      <c r="A3089" s="376">
        <v>4231200</v>
      </c>
      <c r="B3089" s="377" t="s">
        <v>2115</v>
      </c>
    </row>
    <row r="3090" spans="1:2" ht="25.5" x14ac:dyDescent="0.2">
      <c r="A3090" s="376">
        <v>4235600</v>
      </c>
      <c r="B3090" s="377" t="s">
        <v>1378</v>
      </c>
    </row>
    <row r="3091" spans="1:2" x14ac:dyDescent="0.2">
      <c r="A3091" s="376">
        <v>4239900</v>
      </c>
      <c r="B3091" s="377" t="s">
        <v>1324</v>
      </c>
    </row>
    <row r="3092" spans="1:2" x14ac:dyDescent="0.2">
      <c r="A3092" s="376">
        <v>4240000</v>
      </c>
      <c r="B3092" s="377" t="s">
        <v>2116</v>
      </c>
    </row>
    <row r="3093" spans="1:2" ht="25.5" x14ac:dyDescent="0.2">
      <c r="A3093" s="376">
        <v>4240200</v>
      </c>
      <c r="B3093" s="377" t="s">
        <v>2117</v>
      </c>
    </row>
    <row r="3094" spans="1:2" x14ac:dyDescent="0.2">
      <c r="A3094" s="376">
        <v>4249900</v>
      </c>
      <c r="B3094" s="377" t="s">
        <v>1324</v>
      </c>
    </row>
    <row r="3095" spans="1:2" x14ac:dyDescent="0.2">
      <c r="A3095" s="376">
        <v>4250000</v>
      </c>
      <c r="B3095" s="377" t="s">
        <v>2118</v>
      </c>
    </row>
    <row r="3096" spans="1:2" x14ac:dyDescent="0.2">
      <c r="A3096" s="376">
        <v>4259900</v>
      </c>
      <c r="B3096" s="377" t="s">
        <v>1324</v>
      </c>
    </row>
    <row r="3097" spans="1:2" x14ac:dyDescent="0.2">
      <c r="A3097" s="376">
        <v>4260000</v>
      </c>
      <c r="B3097" s="377" t="s">
        <v>2119</v>
      </c>
    </row>
    <row r="3098" spans="1:2" x14ac:dyDescent="0.2">
      <c r="A3098" s="376">
        <v>4265800</v>
      </c>
      <c r="B3098" s="377" t="s">
        <v>1306</v>
      </c>
    </row>
    <row r="3099" spans="1:2" x14ac:dyDescent="0.2">
      <c r="A3099" s="376">
        <v>4269900</v>
      </c>
      <c r="B3099" s="377" t="s">
        <v>1324</v>
      </c>
    </row>
    <row r="3100" spans="1:2" x14ac:dyDescent="0.2">
      <c r="A3100" s="376">
        <v>4270000</v>
      </c>
      <c r="B3100" s="377" t="s">
        <v>2120</v>
      </c>
    </row>
    <row r="3101" spans="1:2" x14ac:dyDescent="0.2">
      <c r="A3101" s="376">
        <v>4275800</v>
      </c>
      <c r="B3101" s="377" t="s">
        <v>1306</v>
      </c>
    </row>
    <row r="3102" spans="1:2" x14ac:dyDescent="0.2">
      <c r="A3102" s="376">
        <v>4276800</v>
      </c>
      <c r="B3102" s="377" t="s">
        <v>1308</v>
      </c>
    </row>
    <row r="3103" spans="1:2" x14ac:dyDescent="0.2">
      <c r="A3103" s="376">
        <v>4276801</v>
      </c>
      <c r="B3103" s="377" t="s">
        <v>1309</v>
      </c>
    </row>
    <row r="3104" spans="1:2" ht="25.5" x14ac:dyDescent="0.2">
      <c r="A3104" s="376">
        <v>4276802</v>
      </c>
      <c r="B3104" s="377" t="s">
        <v>1310</v>
      </c>
    </row>
    <row r="3105" spans="1:2" x14ac:dyDescent="0.2">
      <c r="A3105" s="376">
        <v>4277100</v>
      </c>
      <c r="B3105" s="377" t="s">
        <v>1312</v>
      </c>
    </row>
    <row r="3106" spans="1:2" x14ac:dyDescent="0.2">
      <c r="A3106" s="376">
        <v>4277101</v>
      </c>
      <c r="B3106" s="377" t="s">
        <v>1313</v>
      </c>
    </row>
    <row r="3107" spans="1:2" x14ac:dyDescent="0.2">
      <c r="A3107" s="376">
        <v>4277102</v>
      </c>
      <c r="B3107" s="377" t="s">
        <v>1314</v>
      </c>
    </row>
    <row r="3108" spans="1:2" x14ac:dyDescent="0.2">
      <c r="A3108" s="376">
        <v>4277103</v>
      </c>
      <c r="B3108" s="377" t="s">
        <v>1315</v>
      </c>
    </row>
    <row r="3109" spans="1:2" x14ac:dyDescent="0.2">
      <c r="A3109" s="376">
        <v>4277200</v>
      </c>
      <c r="B3109" s="377" t="s">
        <v>1316</v>
      </c>
    </row>
    <row r="3110" spans="1:2" x14ac:dyDescent="0.2">
      <c r="A3110" s="376">
        <v>4277201</v>
      </c>
      <c r="B3110" s="377" t="s">
        <v>1317</v>
      </c>
    </row>
    <row r="3111" spans="1:2" x14ac:dyDescent="0.2">
      <c r="A3111" s="376">
        <v>4277202</v>
      </c>
      <c r="B3111" s="377" t="s">
        <v>1318</v>
      </c>
    </row>
    <row r="3112" spans="1:2" x14ac:dyDescent="0.2">
      <c r="A3112" s="376">
        <v>4277203</v>
      </c>
      <c r="B3112" s="377" t="s">
        <v>1319</v>
      </c>
    </row>
    <row r="3113" spans="1:2" x14ac:dyDescent="0.2">
      <c r="A3113" s="376">
        <v>4277600</v>
      </c>
      <c r="B3113" s="377" t="s">
        <v>2121</v>
      </c>
    </row>
    <row r="3114" spans="1:2" x14ac:dyDescent="0.2">
      <c r="A3114" s="376">
        <v>4279900</v>
      </c>
      <c r="B3114" s="377" t="s">
        <v>1324</v>
      </c>
    </row>
    <row r="3115" spans="1:2" x14ac:dyDescent="0.2">
      <c r="A3115" s="376">
        <v>4280000</v>
      </c>
      <c r="B3115" s="377" t="s">
        <v>2122</v>
      </c>
    </row>
    <row r="3116" spans="1:2" x14ac:dyDescent="0.2">
      <c r="A3116" s="376">
        <v>4280100</v>
      </c>
      <c r="B3116" s="377" t="s">
        <v>2123</v>
      </c>
    </row>
    <row r="3117" spans="1:2" x14ac:dyDescent="0.2">
      <c r="A3117" s="376">
        <v>4285800</v>
      </c>
      <c r="B3117" s="377" t="s">
        <v>1306</v>
      </c>
    </row>
    <row r="3118" spans="1:2" x14ac:dyDescent="0.2">
      <c r="A3118" s="376">
        <v>4286800</v>
      </c>
      <c r="B3118" s="377" t="s">
        <v>1308</v>
      </c>
    </row>
    <row r="3119" spans="1:2" x14ac:dyDescent="0.2">
      <c r="A3119" s="376">
        <v>4286801</v>
      </c>
      <c r="B3119" s="377" t="s">
        <v>1309</v>
      </c>
    </row>
    <row r="3120" spans="1:2" ht="25.5" x14ac:dyDescent="0.2">
      <c r="A3120" s="376">
        <v>4286802</v>
      </c>
      <c r="B3120" s="377" t="s">
        <v>1310</v>
      </c>
    </row>
    <row r="3121" spans="1:2" x14ac:dyDescent="0.2">
      <c r="A3121" s="376">
        <v>4287100</v>
      </c>
      <c r="B3121" s="377" t="s">
        <v>1312</v>
      </c>
    </row>
    <row r="3122" spans="1:2" x14ac:dyDescent="0.2">
      <c r="A3122" s="376">
        <v>4287101</v>
      </c>
      <c r="B3122" s="377" t="s">
        <v>1313</v>
      </c>
    </row>
    <row r="3123" spans="1:2" x14ac:dyDescent="0.2">
      <c r="A3123" s="376">
        <v>4287102</v>
      </c>
      <c r="B3123" s="377" t="s">
        <v>1314</v>
      </c>
    </row>
    <row r="3124" spans="1:2" x14ac:dyDescent="0.2">
      <c r="A3124" s="376">
        <v>4287103</v>
      </c>
      <c r="B3124" s="377" t="s">
        <v>1315</v>
      </c>
    </row>
    <row r="3125" spans="1:2" x14ac:dyDescent="0.2">
      <c r="A3125" s="376">
        <v>4287200</v>
      </c>
      <c r="B3125" s="377" t="s">
        <v>1316</v>
      </c>
    </row>
    <row r="3126" spans="1:2" x14ac:dyDescent="0.2">
      <c r="A3126" s="376">
        <v>4287201</v>
      </c>
      <c r="B3126" s="377" t="s">
        <v>1317</v>
      </c>
    </row>
    <row r="3127" spans="1:2" x14ac:dyDescent="0.2">
      <c r="A3127" s="376">
        <v>4287202</v>
      </c>
      <c r="B3127" s="377" t="s">
        <v>1318</v>
      </c>
    </row>
    <row r="3128" spans="1:2" x14ac:dyDescent="0.2">
      <c r="A3128" s="376">
        <v>4287203</v>
      </c>
      <c r="B3128" s="377" t="s">
        <v>1319</v>
      </c>
    </row>
    <row r="3129" spans="1:2" x14ac:dyDescent="0.2">
      <c r="A3129" s="376">
        <v>4287300</v>
      </c>
      <c r="B3129" s="377" t="s">
        <v>2124</v>
      </c>
    </row>
    <row r="3130" spans="1:2" x14ac:dyDescent="0.2">
      <c r="A3130" s="376">
        <v>4287600</v>
      </c>
      <c r="B3130" s="377" t="s">
        <v>1321</v>
      </c>
    </row>
    <row r="3131" spans="1:2" x14ac:dyDescent="0.2">
      <c r="A3131" s="376">
        <v>4287800</v>
      </c>
      <c r="B3131" s="377" t="s">
        <v>2125</v>
      </c>
    </row>
    <row r="3132" spans="1:2" x14ac:dyDescent="0.2">
      <c r="A3132" s="376">
        <v>4289900</v>
      </c>
      <c r="B3132" s="377" t="s">
        <v>1324</v>
      </c>
    </row>
    <row r="3133" spans="1:2" x14ac:dyDescent="0.2">
      <c r="A3133" s="376">
        <v>4290000</v>
      </c>
      <c r="B3133" s="377" t="s">
        <v>2126</v>
      </c>
    </row>
    <row r="3134" spans="1:2" x14ac:dyDescent="0.2">
      <c r="A3134" s="376">
        <v>4297800</v>
      </c>
      <c r="B3134" s="377" t="s">
        <v>2125</v>
      </c>
    </row>
    <row r="3135" spans="1:2" x14ac:dyDescent="0.2">
      <c r="A3135" s="376">
        <v>4299900</v>
      </c>
      <c r="B3135" s="377" t="s">
        <v>1324</v>
      </c>
    </row>
    <row r="3136" spans="1:2" x14ac:dyDescent="0.2">
      <c r="A3136" s="376">
        <v>4300000</v>
      </c>
      <c r="B3136" s="377" t="s">
        <v>2127</v>
      </c>
    </row>
    <row r="3137" spans="1:2" x14ac:dyDescent="0.2">
      <c r="A3137" s="376">
        <v>4300100</v>
      </c>
      <c r="B3137" s="377" t="s">
        <v>2128</v>
      </c>
    </row>
    <row r="3138" spans="1:2" x14ac:dyDescent="0.2">
      <c r="A3138" s="376">
        <v>4300200</v>
      </c>
      <c r="B3138" s="377" t="s">
        <v>2129</v>
      </c>
    </row>
    <row r="3139" spans="1:2" x14ac:dyDescent="0.2">
      <c r="A3139" s="376">
        <v>4300201</v>
      </c>
      <c r="B3139" s="377" t="s">
        <v>2130</v>
      </c>
    </row>
    <row r="3140" spans="1:2" ht="38.25" x14ac:dyDescent="0.2">
      <c r="A3140" s="376">
        <v>4300202</v>
      </c>
      <c r="B3140" s="377" t="s">
        <v>2131</v>
      </c>
    </row>
    <row r="3141" spans="1:2" x14ac:dyDescent="0.2">
      <c r="A3141" s="376">
        <v>4300300</v>
      </c>
      <c r="B3141" s="377" t="s">
        <v>2132</v>
      </c>
    </row>
    <row r="3142" spans="1:2" ht="25.5" x14ac:dyDescent="0.2">
      <c r="A3142" s="376">
        <v>4300400</v>
      </c>
      <c r="B3142" s="377" t="s">
        <v>2133</v>
      </c>
    </row>
    <row r="3143" spans="1:2" ht="38.25" x14ac:dyDescent="0.2">
      <c r="A3143" s="376">
        <v>4300500</v>
      </c>
      <c r="B3143" s="377" t="s">
        <v>2134</v>
      </c>
    </row>
    <row r="3144" spans="1:2" ht="25.5" x14ac:dyDescent="0.2">
      <c r="A3144" s="376">
        <v>4305600</v>
      </c>
      <c r="B3144" s="377" t="s">
        <v>1378</v>
      </c>
    </row>
    <row r="3145" spans="1:2" x14ac:dyDescent="0.2">
      <c r="A3145" s="376">
        <v>4305800</v>
      </c>
      <c r="B3145" s="377" t="s">
        <v>1306</v>
      </c>
    </row>
    <row r="3146" spans="1:2" x14ac:dyDescent="0.2">
      <c r="A3146" s="376">
        <v>4306200</v>
      </c>
      <c r="B3146" s="377" t="s">
        <v>1797</v>
      </c>
    </row>
    <row r="3147" spans="1:2" x14ac:dyDescent="0.2">
      <c r="A3147" s="376">
        <v>4306800</v>
      </c>
      <c r="B3147" s="377" t="s">
        <v>1308</v>
      </c>
    </row>
    <row r="3148" spans="1:2" x14ac:dyDescent="0.2">
      <c r="A3148" s="376">
        <v>4306801</v>
      </c>
      <c r="B3148" s="377" t="s">
        <v>1309</v>
      </c>
    </row>
    <row r="3149" spans="1:2" ht="25.5" x14ac:dyDescent="0.2">
      <c r="A3149" s="376">
        <v>4306802</v>
      </c>
      <c r="B3149" s="377" t="s">
        <v>1310</v>
      </c>
    </row>
    <row r="3150" spans="1:2" x14ac:dyDescent="0.2">
      <c r="A3150" s="376">
        <v>4307100</v>
      </c>
      <c r="B3150" s="377" t="s">
        <v>1312</v>
      </c>
    </row>
    <row r="3151" spans="1:2" x14ac:dyDescent="0.2">
      <c r="A3151" s="376">
        <v>4307101</v>
      </c>
      <c r="B3151" s="377" t="s">
        <v>1313</v>
      </c>
    </row>
    <row r="3152" spans="1:2" x14ac:dyDescent="0.2">
      <c r="A3152" s="376">
        <v>4307102</v>
      </c>
      <c r="B3152" s="377" t="s">
        <v>1314</v>
      </c>
    </row>
    <row r="3153" spans="1:2" x14ac:dyDescent="0.2">
      <c r="A3153" s="376">
        <v>4307103</v>
      </c>
      <c r="B3153" s="377" t="s">
        <v>1315</v>
      </c>
    </row>
    <row r="3154" spans="1:2" x14ac:dyDescent="0.2">
      <c r="A3154" s="376">
        <v>4307200</v>
      </c>
      <c r="B3154" s="377" t="s">
        <v>1316</v>
      </c>
    </row>
    <row r="3155" spans="1:2" x14ac:dyDescent="0.2">
      <c r="A3155" s="376">
        <v>4307201</v>
      </c>
      <c r="B3155" s="377" t="s">
        <v>1317</v>
      </c>
    </row>
    <row r="3156" spans="1:2" x14ac:dyDescent="0.2">
      <c r="A3156" s="376">
        <v>4307202</v>
      </c>
      <c r="B3156" s="377" t="s">
        <v>1318</v>
      </c>
    </row>
    <row r="3157" spans="1:2" x14ac:dyDescent="0.2">
      <c r="A3157" s="376">
        <v>4307203</v>
      </c>
      <c r="B3157" s="377" t="s">
        <v>1319</v>
      </c>
    </row>
    <row r="3158" spans="1:2" x14ac:dyDescent="0.2">
      <c r="A3158" s="376">
        <v>4307300</v>
      </c>
      <c r="B3158" s="377" t="s">
        <v>2124</v>
      </c>
    </row>
    <row r="3159" spans="1:2" x14ac:dyDescent="0.2">
      <c r="A3159" s="376">
        <v>4307600</v>
      </c>
      <c r="B3159" s="377" t="s">
        <v>1321</v>
      </c>
    </row>
    <row r="3160" spans="1:2" x14ac:dyDescent="0.2">
      <c r="A3160" s="376">
        <v>4309200</v>
      </c>
      <c r="B3160" s="377" t="s">
        <v>1374</v>
      </c>
    </row>
    <row r="3161" spans="1:2" x14ac:dyDescent="0.2">
      <c r="A3161" s="376">
        <v>4309900</v>
      </c>
      <c r="B3161" s="377" t="s">
        <v>1324</v>
      </c>
    </row>
    <row r="3162" spans="1:2" x14ac:dyDescent="0.2">
      <c r="A3162" s="376">
        <v>4310000</v>
      </c>
      <c r="B3162" s="377" t="s">
        <v>2135</v>
      </c>
    </row>
    <row r="3163" spans="1:2" x14ac:dyDescent="0.2">
      <c r="A3163" s="376">
        <v>4310100</v>
      </c>
      <c r="B3163" s="377" t="s">
        <v>2136</v>
      </c>
    </row>
    <row r="3164" spans="1:2" x14ac:dyDescent="0.2">
      <c r="A3164" s="376">
        <v>4310102</v>
      </c>
      <c r="B3164" s="377" t="s">
        <v>2137</v>
      </c>
    </row>
    <row r="3165" spans="1:2" x14ac:dyDescent="0.2">
      <c r="A3165" s="376">
        <v>4310104</v>
      </c>
      <c r="B3165" s="377" t="s">
        <v>2136</v>
      </c>
    </row>
    <row r="3166" spans="1:2" ht="25.5" x14ac:dyDescent="0.2">
      <c r="A3166" s="376">
        <v>4310200</v>
      </c>
      <c r="B3166" s="377" t="s">
        <v>2138</v>
      </c>
    </row>
    <row r="3167" spans="1:2" x14ac:dyDescent="0.2">
      <c r="A3167" s="376">
        <v>4319400</v>
      </c>
      <c r="B3167" s="377" t="s">
        <v>1376</v>
      </c>
    </row>
    <row r="3168" spans="1:2" x14ac:dyDescent="0.2">
      <c r="A3168" s="376">
        <v>4319900</v>
      </c>
      <c r="B3168" s="377" t="s">
        <v>1324</v>
      </c>
    </row>
    <row r="3169" spans="1:2" x14ac:dyDescent="0.2">
      <c r="A3169" s="376">
        <v>4320000</v>
      </c>
      <c r="B3169" s="377" t="s">
        <v>2139</v>
      </c>
    </row>
    <row r="3170" spans="1:2" x14ac:dyDescent="0.2">
      <c r="A3170" s="376">
        <v>4320100</v>
      </c>
      <c r="B3170" s="377" t="s">
        <v>2140</v>
      </c>
    </row>
    <row r="3171" spans="1:2" x14ac:dyDescent="0.2">
      <c r="A3171" s="376">
        <v>4320200</v>
      </c>
      <c r="B3171" s="377" t="s">
        <v>2141</v>
      </c>
    </row>
    <row r="3172" spans="1:2" x14ac:dyDescent="0.2">
      <c r="A3172" s="376">
        <v>4320201</v>
      </c>
      <c r="B3172" s="377" t="s">
        <v>2142</v>
      </c>
    </row>
    <row r="3173" spans="1:2" x14ac:dyDescent="0.2">
      <c r="A3173" s="376">
        <v>4320202</v>
      </c>
      <c r="B3173" s="377" t="s">
        <v>2143</v>
      </c>
    </row>
    <row r="3174" spans="1:2" x14ac:dyDescent="0.2">
      <c r="A3174" s="376">
        <v>4320203</v>
      </c>
      <c r="B3174" s="377" t="s">
        <v>2144</v>
      </c>
    </row>
    <row r="3175" spans="1:2" x14ac:dyDescent="0.2">
      <c r="A3175" s="376">
        <v>4325800</v>
      </c>
      <c r="B3175" s="377" t="s">
        <v>1306</v>
      </c>
    </row>
    <row r="3176" spans="1:2" x14ac:dyDescent="0.2">
      <c r="A3176" s="376">
        <v>4326200</v>
      </c>
      <c r="B3176" s="377" t="s">
        <v>1797</v>
      </c>
    </row>
    <row r="3177" spans="1:2" x14ac:dyDescent="0.2">
      <c r="A3177" s="376">
        <v>4326800</v>
      </c>
      <c r="B3177" s="377" t="s">
        <v>1308</v>
      </c>
    </row>
    <row r="3178" spans="1:2" x14ac:dyDescent="0.2">
      <c r="A3178" s="376">
        <v>4326801</v>
      </c>
      <c r="B3178" s="377" t="s">
        <v>1309</v>
      </c>
    </row>
    <row r="3179" spans="1:2" ht="25.5" x14ac:dyDescent="0.2">
      <c r="A3179" s="376">
        <v>4326802</v>
      </c>
      <c r="B3179" s="377" t="s">
        <v>1310</v>
      </c>
    </row>
    <row r="3180" spans="1:2" x14ac:dyDescent="0.2">
      <c r="A3180" s="376">
        <v>4327100</v>
      </c>
      <c r="B3180" s="377" t="s">
        <v>1312</v>
      </c>
    </row>
    <row r="3181" spans="1:2" x14ac:dyDescent="0.2">
      <c r="A3181" s="376">
        <v>4327101</v>
      </c>
      <c r="B3181" s="377" t="s">
        <v>1313</v>
      </c>
    </row>
    <row r="3182" spans="1:2" x14ac:dyDescent="0.2">
      <c r="A3182" s="376">
        <v>4327102</v>
      </c>
      <c r="B3182" s="377" t="s">
        <v>1314</v>
      </c>
    </row>
    <row r="3183" spans="1:2" x14ac:dyDescent="0.2">
      <c r="A3183" s="376">
        <v>4327103</v>
      </c>
      <c r="B3183" s="377" t="s">
        <v>1315</v>
      </c>
    </row>
    <row r="3184" spans="1:2" x14ac:dyDescent="0.2">
      <c r="A3184" s="376">
        <v>4327200</v>
      </c>
      <c r="B3184" s="377" t="s">
        <v>1316</v>
      </c>
    </row>
    <row r="3185" spans="1:2" x14ac:dyDescent="0.2">
      <c r="A3185" s="376">
        <v>4327201</v>
      </c>
      <c r="B3185" s="377" t="s">
        <v>1317</v>
      </c>
    </row>
    <row r="3186" spans="1:2" x14ac:dyDescent="0.2">
      <c r="A3186" s="376">
        <v>4327202</v>
      </c>
      <c r="B3186" s="377" t="s">
        <v>1318</v>
      </c>
    </row>
    <row r="3187" spans="1:2" x14ac:dyDescent="0.2">
      <c r="A3187" s="376">
        <v>4327203</v>
      </c>
      <c r="B3187" s="377" t="s">
        <v>1319</v>
      </c>
    </row>
    <row r="3188" spans="1:2" x14ac:dyDescent="0.2">
      <c r="A3188" s="376">
        <v>4329900</v>
      </c>
      <c r="B3188" s="377" t="s">
        <v>1324</v>
      </c>
    </row>
    <row r="3189" spans="1:2" x14ac:dyDescent="0.2">
      <c r="A3189" s="376">
        <v>4350000</v>
      </c>
      <c r="B3189" s="377" t="s">
        <v>2145</v>
      </c>
    </row>
    <row r="3190" spans="1:2" x14ac:dyDescent="0.2">
      <c r="A3190" s="376">
        <v>4359900</v>
      </c>
      <c r="B3190" s="377" t="s">
        <v>1324</v>
      </c>
    </row>
    <row r="3191" spans="1:2" x14ac:dyDescent="0.2">
      <c r="A3191" s="376">
        <v>4360000</v>
      </c>
      <c r="B3191" s="377" t="s">
        <v>2146</v>
      </c>
    </row>
    <row r="3192" spans="1:2" x14ac:dyDescent="0.2">
      <c r="A3192" s="376">
        <v>4360100</v>
      </c>
      <c r="B3192" s="377" t="s">
        <v>750</v>
      </c>
    </row>
    <row r="3193" spans="1:2" x14ac:dyDescent="0.2">
      <c r="A3193" s="376">
        <v>4360200</v>
      </c>
      <c r="B3193" s="377" t="s">
        <v>2147</v>
      </c>
    </row>
    <row r="3194" spans="1:2" x14ac:dyDescent="0.2">
      <c r="A3194" s="376">
        <v>4360300</v>
      </c>
      <c r="B3194" s="377" t="s">
        <v>2148</v>
      </c>
    </row>
    <row r="3195" spans="1:2" x14ac:dyDescent="0.2">
      <c r="A3195" s="376">
        <v>4360400</v>
      </c>
      <c r="B3195" s="377" t="s">
        <v>2149</v>
      </c>
    </row>
    <row r="3196" spans="1:2" x14ac:dyDescent="0.2">
      <c r="A3196" s="376">
        <v>4360500</v>
      </c>
      <c r="B3196" s="377" t="s">
        <v>2150</v>
      </c>
    </row>
    <row r="3197" spans="1:2" x14ac:dyDescent="0.2">
      <c r="A3197" s="376">
        <v>4360600</v>
      </c>
      <c r="B3197" s="377" t="s">
        <v>2151</v>
      </c>
    </row>
    <row r="3198" spans="1:2" x14ac:dyDescent="0.2">
      <c r="A3198" s="376">
        <v>4360700</v>
      </c>
      <c r="B3198" s="377" t="s">
        <v>2152</v>
      </c>
    </row>
    <row r="3199" spans="1:2" ht="25.5" x14ac:dyDescent="0.2">
      <c r="A3199" s="376">
        <v>4360800</v>
      </c>
      <c r="B3199" s="377" t="s">
        <v>2153</v>
      </c>
    </row>
    <row r="3200" spans="1:2" x14ac:dyDescent="0.2">
      <c r="A3200" s="376">
        <v>4360900</v>
      </c>
      <c r="B3200" s="377" t="s">
        <v>2136</v>
      </c>
    </row>
    <row r="3201" spans="1:2" x14ac:dyDescent="0.2">
      <c r="A3201" s="376">
        <v>4361000</v>
      </c>
      <c r="B3201" s="377" t="s">
        <v>1320</v>
      </c>
    </row>
    <row r="3202" spans="1:2" x14ac:dyDescent="0.2">
      <c r="A3202" s="376">
        <v>4361100</v>
      </c>
      <c r="B3202" s="377" t="s">
        <v>2154</v>
      </c>
    </row>
    <row r="3203" spans="1:2" x14ac:dyDescent="0.2">
      <c r="A3203" s="376">
        <v>4361200</v>
      </c>
      <c r="B3203" s="377" t="s">
        <v>2115</v>
      </c>
    </row>
    <row r="3204" spans="1:2" x14ac:dyDescent="0.2">
      <c r="A3204" s="376">
        <v>4361400</v>
      </c>
      <c r="B3204" s="377" t="s">
        <v>2155</v>
      </c>
    </row>
    <row r="3205" spans="1:2" ht="25.5" x14ac:dyDescent="0.2">
      <c r="A3205" s="376">
        <v>4361500</v>
      </c>
      <c r="B3205" s="377" t="s">
        <v>2156</v>
      </c>
    </row>
    <row r="3206" spans="1:2" x14ac:dyDescent="0.2">
      <c r="A3206" s="376">
        <v>4361600</v>
      </c>
      <c r="B3206" s="377" t="s">
        <v>2157</v>
      </c>
    </row>
    <row r="3207" spans="1:2" x14ac:dyDescent="0.2">
      <c r="A3207" s="376">
        <v>4361700</v>
      </c>
      <c r="B3207" s="377" t="s">
        <v>2158</v>
      </c>
    </row>
    <row r="3208" spans="1:2" x14ac:dyDescent="0.2">
      <c r="A3208" s="376">
        <v>4361800</v>
      </c>
      <c r="B3208" s="377" t="s">
        <v>2159</v>
      </c>
    </row>
    <row r="3209" spans="1:2" x14ac:dyDescent="0.2">
      <c r="A3209" s="376">
        <v>4361900</v>
      </c>
      <c r="B3209" s="377" t="s">
        <v>2160</v>
      </c>
    </row>
    <row r="3210" spans="1:2" ht="25.5" x14ac:dyDescent="0.2">
      <c r="A3210" s="376">
        <v>4361901</v>
      </c>
      <c r="B3210" s="377" t="s">
        <v>2161</v>
      </c>
    </row>
    <row r="3211" spans="1:2" ht="25.5" x14ac:dyDescent="0.2">
      <c r="A3211" s="376">
        <v>4361902</v>
      </c>
      <c r="B3211" s="377" t="s">
        <v>2162</v>
      </c>
    </row>
    <row r="3212" spans="1:2" x14ac:dyDescent="0.2">
      <c r="A3212" s="376">
        <v>4362000</v>
      </c>
      <c r="B3212" s="377" t="s">
        <v>2163</v>
      </c>
    </row>
    <row r="3213" spans="1:2" x14ac:dyDescent="0.2">
      <c r="A3213" s="376">
        <v>4362100</v>
      </c>
      <c r="B3213" s="377" t="s">
        <v>2164</v>
      </c>
    </row>
    <row r="3214" spans="1:2" ht="25.5" x14ac:dyDescent="0.2">
      <c r="A3214" s="376">
        <v>4369300</v>
      </c>
      <c r="B3214" s="377" t="s">
        <v>1375</v>
      </c>
    </row>
    <row r="3215" spans="1:2" x14ac:dyDescent="0.2">
      <c r="A3215" s="376">
        <v>4369400</v>
      </c>
      <c r="B3215" s="377" t="s">
        <v>1376</v>
      </c>
    </row>
    <row r="3216" spans="1:2" x14ac:dyDescent="0.2">
      <c r="A3216" s="376">
        <v>4400000</v>
      </c>
      <c r="B3216" s="377" t="s">
        <v>2165</v>
      </c>
    </row>
    <row r="3217" spans="1:2" x14ac:dyDescent="0.2">
      <c r="A3217" s="376">
        <v>4400100</v>
      </c>
      <c r="B3217" s="377" t="s">
        <v>2166</v>
      </c>
    </row>
    <row r="3218" spans="1:2" x14ac:dyDescent="0.2">
      <c r="A3218" s="376">
        <v>4400200</v>
      </c>
      <c r="B3218" s="377" t="s">
        <v>2167</v>
      </c>
    </row>
    <row r="3219" spans="1:2" ht="25.5" x14ac:dyDescent="0.2">
      <c r="A3219" s="376">
        <v>4400300</v>
      </c>
      <c r="B3219" s="377" t="s">
        <v>2168</v>
      </c>
    </row>
    <row r="3220" spans="1:2" x14ac:dyDescent="0.2">
      <c r="A3220" s="376">
        <v>4400400</v>
      </c>
      <c r="B3220" s="377" t="s">
        <v>2169</v>
      </c>
    </row>
    <row r="3221" spans="1:2" x14ac:dyDescent="0.2">
      <c r="A3221" s="376">
        <v>4400500</v>
      </c>
      <c r="B3221" s="377" t="s">
        <v>2170</v>
      </c>
    </row>
    <row r="3222" spans="1:2" x14ac:dyDescent="0.2">
      <c r="A3222" s="376">
        <v>4400600</v>
      </c>
      <c r="B3222" s="377" t="s">
        <v>2171</v>
      </c>
    </row>
    <row r="3223" spans="1:2" x14ac:dyDescent="0.2">
      <c r="A3223" s="376">
        <v>4400700</v>
      </c>
      <c r="B3223" s="377" t="s">
        <v>2172</v>
      </c>
    </row>
    <row r="3224" spans="1:2" ht="25.5" x14ac:dyDescent="0.2">
      <c r="A3224" s="376">
        <v>4400800</v>
      </c>
      <c r="B3224" s="377" t="s">
        <v>2173</v>
      </c>
    </row>
    <row r="3225" spans="1:2" x14ac:dyDescent="0.2">
      <c r="A3225" s="376">
        <v>4400900</v>
      </c>
      <c r="B3225" s="377" t="s">
        <v>2174</v>
      </c>
    </row>
    <row r="3226" spans="1:2" x14ac:dyDescent="0.2">
      <c r="A3226" s="376">
        <v>4405800</v>
      </c>
      <c r="B3226" s="377" t="s">
        <v>1306</v>
      </c>
    </row>
    <row r="3227" spans="1:2" x14ac:dyDescent="0.2">
      <c r="A3227" s="376">
        <v>4409200</v>
      </c>
      <c r="B3227" s="377" t="s">
        <v>1374</v>
      </c>
    </row>
    <row r="3228" spans="1:2" x14ac:dyDescent="0.2">
      <c r="A3228" s="376">
        <v>4409400</v>
      </c>
      <c r="B3228" s="377" t="s">
        <v>1376</v>
      </c>
    </row>
    <row r="3229" spans="1:2" x14ac:dyDescent="0.2">
      <c r="A3229" s="376">
        <v>4409900</v>
      </c>
      <c r="B3229" s="377" t="s">
        <v>1324</v>
      </c>
    </row>
    <row r="3230" spans="1:2" x14ac:dyDescent="0.2">
      <c r="A3230" s="376">
        <v>4410000</v>
      </c>
      <c r="B3230" s="377" t="s">
        <v>2175</v>
      </c>
    </row>
    <row r="3231" spans="1:2" x14ac:dyDescent="0.2">
      <c r="A3231" s="376">
        <v>4415800</v>
      </c>
      <c r="B3231" s="377" t="s">
        <v>1306</v>
      </c>
    </row>
    <row r="3232" spans="1:2" x14ac:dyDescent="0.2">
      <c r="A3232" s="376">
        <v>4417100</v>
      </c>
      <c r="B3232" s="377" t="s">
        <v>1312</v>
      </c>
    </row>
    <row r="3233" spans="1:2" x14ac:dyDescent="0.2">
      <c r="A3233" s="376">
        <v>4417101</v>
      </c>
      <c r="B3233" s="377" t="s">
        <v>1313</v>
      </c>
    </row>
    <row r="3234" spans="1:2" x14ac:dyDescent="0.2">
      <c r="A3234" s="376">
        <v>4417102</v>
      </c>
      <c r="B3234" s="377" t="s">
        <v>1314</v>
      </c>
    </row>
    <row r="3235" spans="1:2" x14ac:dyDescent="0.2">
      <c r="A3235" s="376">
        <v>4417103</v>
      </c>
      <c r="B3235" s="377" t="s">
        <v>1315</v>
      </c>
    </row>
    <row r="3236" spans="1:2" x14ac:dyDescent="0.2">
      <c r="A3236" s="376">
        <v>4417200</v>
      </c>
      <c r="B3236" s="377" t="s">
        <v>1316</v>
      </c>
    </row>
    <row r="3237" spans="1:2" x14ac:dyDescent="0.2">
      <c r="A3237" s="376">
        <v>4417201</v>
      </c>
      <c r="B3237" s="377" t="s">
        <v>1317</v>
      </c>
    </row>
    <row r="3238" spans="1:2" x14ac:dyDescent="0.2">
      <c r="A3238" s="376">
        <v>4417202</v>
      </c>
      <c r="B3238" s="377" t="s">
        <v>1318</v>
      </c>
    </row>
    <row r="3239" spans="1:2" x14ac:dyDescent="0.2">
      <c r="A3239" s="376">
        <v>4417203</v>
      </c>
      <c r="B3239" s="377" t="s">
        <v>1319</v>
      </c>
    </row>
    <row r="3240" spans="1:2" x14ac:dyDescent="0.2">
      <c r="A3240" s="376">
        <v>4419200</v>
      </c>
      <c r="B3240" s="377" t="s">
        <v>1374</v>
      </c>
    </row>
    <row r="3241" spans="1:2" x14ac:dyDescent="0.2">
      <c r="A3241" s="376">
        <v>4419900</v>
      </c>
      <c r="B3241" s="377" t="s">
        <v>1324</v>
      </c>
    </row>
    <row r="3242" spans="1:2" x14ac:dyDescent="0.2">
      <c r="A3242" s="376">
        <v>4420000</v>
      </c>
      <c r="B3242" s="377" t="s">
        <v>2176</v>
      </c>
    </row>
    <row r="3243" spans="1:2" x14ac:dyDescent="0.2">
      <c r="A3243" s="376">
        <v>4420100</v>
      </c>
      <c r="B3243" s="377" t="s">
        <v>2177</v>
      </c>
    </row>
    <row r="3244" spans="1:2" x14ac:dyDescent="0.2">
      <c r="A3244" s="376">
        <v>4429200</v>
      </c>
      <c r="B3244" s="377" t="s">
        <v>1374</v>
      </c>
    </row>
    <row r="3245" spans="1:2" x14ac:dyDescent="0.2">
      <c r="A3245" s="376">
        <v>4429900</v>
      </c>
      <c r="B3245" s="377" t="s">
        <v>1324</v>
      </c>
    </row>
    <row r="3246" spans="1:2" x14ac:dyDescent="0.2">
      <c r="A3246" s="376">
        <v>4430000</v>
      </c>
      <c r="B3246" s="377" t="s">
        <v>2178</v>
      </c>
    </row>
    <row r="3247" spans="1:2" x14ac:dyDescent="0.2">
      <c r="A3247" s="376">
        <v>4430100</v>
      </c>
      <c r="B3247" s="377" t="s">
        <v>2179</v>
      </c>
    </row>
    <row r="3248" spans="1:2" x14ac:dyDescent="0.2">
      <c r="A3248" s="376">
        <v>4438500</v>
      </c>
      <c r="B3248" s="377" t="s">
        <v>2180</v>
      </c>
    </row>
    <row r="3249" spans="1:2" x14ac:dyDescent="0.2">
      <c r="A3249" s="376">
        <v>4439200</v>
      </c>
      <c r="B3249" s="377" t="s">
        <v>1374</v>
      </c>
    </row>
    <row r="3250" spans="1:2" x14ac:dyDescent="0.2">
      <c r="A3250" s="376">
        <v>4439900</v>
      </c>
      <c r="B3250" s="377" t="s">
        <v>1324</v>
      </c>
    </row>
    <row r="3251" spans="1:2" x14ac:dyDescent="0.2">
      <c r="A3251" s="376">
        <v>4440000</v>
      </c>
      <c r="B3251" s="377" t="s">
        <v>2181</v>
      </c>
    </row>
    <row r="3252" spans="1:2" x14ac:dyDescent="0.2">
      <c r="A3252" s="376">
        <v>4440100</v>
      </c>
      <c r="B3252" s="377" t="s">
        <v>2182</v>
      </c>
    </row>
    <row r="3253" spans="1:2" x14ac:dyDescent="0.2">
      <c r="A3253" s="376">
        <v>4440200</v>
      </c>
      <c r="B3253" s="377" t="s">
        <v>2183</v>
      </c>
    </row>
    <row r="3254" spans="1:2" x14ac:dyDescent="0.2">
      <c r="A3254" s="376">
        <v>4500000</v>
      </c>
      <c r="B3254" s="377" t="s">
        <v>2184</v>
      </c>
    </row>
    <row r="3255" spans="1:2" x14ac:dyDescent="0.2">
      <c r="A3255" s="376">
        <v>4500100</v>
      </c>
      <c r="B3255" s="377" t="s">
        <v>2170</v>
      </c>
    </row>
    <row r="3256" spans="1:2" x14ac:dyDescent="0.2">
      <c r="A3256" s="376">
        <v>4500200</v>
      </c>
      <c r="B3256" s="377" t="s">
        <v>2171</v>
      </c>
    </row>
    <row r="3257" spans="1:2" x14ac:dyDescent="0.2">
      <c r="A3257" s="376">
        <v>4500300</v>
      </c>
      <c r="B3257" s="377" t="s">
        <v>2172</v>
      </c>
    </row>
    <row r="3258" spans="1:2" x14ac:dyDescent="0.2">
      <c r="A3258" s="376">
        <v>4500500</v>
      </c>
      <c r="B3258" s="377" t="s">
        <v>2185</v>
      </c>
    </row>
    <row r="3259" spans="1:2" x14ac:dyDescent="0.2">
      <c r="A3259" s="376">
        <v>4500600</v>
      </c>
      <c r="B3259" s="377" t="s">
        <v>2167</v>
      </c>
    </row>
    <row r="3260" spans="1:2" ht="25.5" x14ac:dyDescent="0.2">
      <c r="A3260" s="376">
        <v>4500700</v>
      </c>
      <c r="B3260" s="377" t="s">
        <v>2186</v>
      </c>
    </row>
    <row r="3261" spans="1:2" x14ac:dyDescent="0.2">
      <c r="A3261" s="376">
        <v>4505800</v>
      </c>
      <c r="B3261" s="377" t="s">
        <v>1306</v>
      </c>
    </row>
    <row r="3262" spans="1:2" x14ac:dyDescent="0.2">
      <c r="A3262" s="376">
        <v>4506700</v>
      </c>
      <c r="B3262" s="377" t="s">
        <v>1307</v>
      </c>
    </row>
    <row r="3263" spans="1:2" x14ac:dyDescent="0.2">
      <c r="A3263" s="376">
        <v>4508500</v>
      </c>
      <c r="B3263" s="377" t="s">
        <v>2180</v>
      </c>
    </row>
    <row r="3264" spans="1:2" x14ac:dyDescent="0.2">
      <c r="A3264" s="376">
        <v>4509000</v>
      </c>
      <c r="B3264" s="377" t="s">
        <v>1379</v>
      </c>
    </row>
    <row r="3265" spans="1:2" ht="25.5" x14ac:dyDescent="0.2">
      <c r="A3265" s="376">
        <v>4509300</v>
      </c>
      <c r="B3265" s="377" t="s">
        <v>1375</v>
      </c>
    </row>
    <row r="3266" spans="1:2" x14ac:dyDescent="0.2">
      <c r="A3266" s="376">
        <v>4509400</v>
      </c>
      <c r="B3266" s="377" t="s">
        <v>1376</v>
      </c>
    </row>
    <row r="3267" spans="1:2" x14ac:dyDescent="0.2">
      <c r="A3267" s="376">
        <v>4510000</v>
      </c>
      <c r="B3267" s="377" t="s">
        <v>2187</v>
      </c>
    </row>
    <row r="3268" spans="1:2" x14ac:dyDescent="0.2">
      <c r="A3268" s="376">
        <v>4510100</v>
      </c>
      <c r="B3268" s="377" t="s">
        <v>2188</v>
      </c>
    </row>
    <row r="3269" spans="1:2" ht="76.5" x14ac:dyDescent="0.2">
      <c r="A3269" s="376">
        <v>4510102</v>
      </c>
      <c r="B3269" s="377" t="s">
        <v>2189</v>
      </c>
    </row>
    <row r="3270" spans="1:2" ht="63.75" x14ac:dyDescent="0.2">
      <c r="A3270" s="376">
        <v>4510103</v>
      </c>
      <c r="B3270" s="377" t="s">
        <v>2190</v>
      </c>
    </row>
    <row r="3271" spans="1:2" x14ac:dyDescent="0.2">
      <c r="A3271" s="376">
        <v>4518500</v>
      </c>
      <c r="B3271" s="377" t="s">
        <v>2180</v>
      </c>
    </row>
    <row r="3272" spans="1:2" ht="25.5" x14ac:dyDescent="0.2">
      <c r="A3272" s="376">
        <v>4520000</v>
      </c>
      <c r="B3272" s="377" t="s">
        <v>2191</v>
      </c>
    </row>
    <row r="3273" spans="1:2" x14ac:dyDescent="0.2">
      <c r="A3273" s="376">
        <v>4529900</v>
      </c>
      <c r="B3273" s="377" t="s">
        <v>1324</v>
      </c>
    </row>
    <row r="3274" spans="1:2" x14ac:dyDescent="0.2">
      <c r="A3274" s="376">
        <v>4530000</v>
      </c>
      <c r="B3274" s="377" t="s">
        <v>2192</v>
      </c>
    </row>
    <row r="3275" spans="1:2" x14ac:dyDescent="0.2">
      <c r="A3275" s="376">
        <v>4530100</v>
      </c>
      <c r="B3275" s="377" t="s">
        <v>2193</v>
      </c>
    </row>
    <row r="3276" spans="1:2" ht="38.25" x14ac:dyDescent="0.2">
      <c r="A3276" s="376">
        <v>4530101</v>
      </c>
      <c r="B3276" s="377" t="s">
        <v>2194</v>
      </c>
    </row>
    <row r="3277" spans="1:2" ht="63.75" x14ac:dyDescent="0.2">
      <c r="A3277" s="376">
        <v>4530102</v>
      </c>
      <c r="B3277" s="377" t="s">
        <v>2195</v>
      </c>
    </row>
    <row r="3278" spans="1:2" ht="63.75" x14ac:dyDescent="0.2">
      <c r="A3278" s="376">
        <v>4530103</v>
      </c>
      <c r="B3278" s="377" t="s">
        <v>2196</v>
      </c>
    </row>
    <row r="3279" spans="1:2" ht="51" x14ac:dyDescent="0.2">
      <c r="A3279" s="376">
        <v>4530104</v>
      </c>
      <c r="B3279" s="377" t="s">
        <v>2197</v>
      </c>
    </row>
    <row r="3280" spans="1:2" ht="25.5" x14ac:dyDescent="0.2">
      <c r="A3280" s="376">
        <v>4530105</v>
      </c>
      <c r="B3280" s="377" t="s">
        <v>2198</v>
      </c>
    </row>
    <row r="3281" spans="1:2" ht="38.25" x14ac:dyDescent="0.2">
      <c r="A3281" s="376">
        <v>4530106</v>
      </c>
      <c r="B3281" s="377" t="s">
        <v>2199</v>
      </c>
    </row>
    <row r="3282" spans="1:2" ht="51" x14ac:dyDescent="0.2">
      <c r="A3282" s="376">
        <v>4530107</v>
      </c>
      <c r="B3282" s="377" t="s">
        <v>2200</v>
      </c>
    </row>
    <row r="3283" spans="1:2" ht="25.5" x14ac:dyDescent="0.2">
      <c r="A3283" s="376">
        <v>4530109</v>
      </c>
      <c r="B3283" s="377" t="s">
        <v>2201</v>
      </c>
    </row>
    <row r="3284" spans="1:2" ht="25.5" x14ac:dyDescent="0.2">
      <c r="A3284" s="376">
        <v>4530111</v>
      </c>
      <c r="B3284" s="377" t="s">
        <v>2202</v>
      </c>
    </row>
    <row r="3285" spans="1:2" x14ac:dyDescent="0.2">
      <c r="A3285" s="376">
        <v>4538500</v>
      </c>
      <c r="B3285" s="377" t="s">
        <v>2180</v>
      </c>
    </row>
    <row r="3286" spans="1:2" x14ac:dyDescent="0.2">
      <c r="A3286" s="376">
        <v>4539400</v>
      </c>
      <c r="B3286" s="377" t="s">
        <v>1376</v>
      </c>
    </row>
    <row r="3287" spans="1:2" x14ac:dyDescent="0.2">
      <c r="A3287" s="376">
        <v>4539900</v>
      </c>
      <c r="B3287" s="377" t="s">
        <v>1324</v>
      </c>
    </row>
    <row r="3288" spans="1:2" x14ac:dyDescent="0.2">
      <c r="A3288" s="376">
        <v>4550000</v>
      </c>
      <c r="B3288" s="377" t="s">
        <v>2203</v>
      </c>
    </row>
    <row r="3289" spans="1:2" ht="25.5" x14ac:dyDescent="0.2">
      <c r="A3289" s="376">
        <v>4550100</v>
      </c>
      <c r="B3289" s="377" t="s">
        <v>2204</v>
      </c>
    </row>
    <row r="3290" spans="1:2" ht="25.5" x14ac:dyDescent="0.2">
      <c r="A3290" s="376">
        <v>4550101</v>
      </c>
      <c r="B3290" s="377" t="s">
        <v>2205</v>
      </c>
    </row>
    <row r="3291" spans="1:2" ht="25.5" x14ac:dyDescent="0.2">
      <c r="A3291" s="376">
        <v>4550102</v>
      </c>
      <c r="B3291" s="377" t="s">
        <v>2206</v>
      </c>
    </row>
    <row r="3292" spans="1:2" x14ac:dyDescent="0.2">
      <c r="A3292" s="376">
        <v>4555800</v>
      </c>
      <c r="B3292" s="377" t="s">
        <v>1306</v>
      </c>
    </row>
    <row r="3293" spans="1:2" x14ac:dyDescent="0.2">
      <c r="A3293" s="376">
        <v>4556800</v>
      </c>
      <c r="B3293" s="377" t="s">
        <v>1308</v>
      </c>
    </row>
    <row r="3294" spans="1:2" x14ac:dyDescent="0.2">
      <c r="A3294" s="376">
        <v>4556801</v>
      </c>
      <c r="B3294" s="377" t="s">
        <v>1309</v>
      </c>
    </row>
    <row r="3295" spans="1:2" ht="13.5" customHeight="1" x14ac:dyDescent="0.2">
      <c r="A3295" s="376">
        <v>4556802</v>
      </c>
      <c r="B3295" s="377" t="s">
        <v>1310</v>
      </c>
    </row>
    <row r="3296" spans="1:2" x14ac:dyDescent="0.2">
      <c r="A3296" s="376">
        <v>4557100</v>
      </c>
      <c r="B3296" s="377" t="s">
        <v>1312</v>
      </c>
    </row>
    <row r="3297" spans="1:2" x14ac:dyDescent="0.2">
      <c r="A3297" s="376">
        <v>4557101</v>
      </c>
      <c r="B3297" s="377" t="s">
        <v>1313</v>
      </c>
    </row>
    <row r="3298" spans="1:2" x14ac:dyDescent="0.2">
      <c r="A3298" s="376">
        <v>4557102</v>
      </c>
      <c r="B3298" s="377" t="s">
        <v>1314</v>
      </c>
    </row>
    <row r="3299" spans="1:2" x14ac:dyDescent="0.2">
      <c r="A3299" s="376">
        <v>4557103</v>
      </c>
      <c r="B3299" s="377" t="s">
        <v>1315</v>
      </c>
    </row>
    <row r="3300" spans="1:2" x14ac:dyDescent="0.2">
      <c r="A3300" s="376">
        <v>4557200</v>
      </c>
      <c r="B3300" s="377" t="s">
        <v>1316</v>
      </c>
    </row>
    <row r="3301" spans="1:2" x14ac:dyDescent="0.2">
      <c r="A3301" s="376">
        <v>4557201</v>
      </c>
      <c r="B3301" s="377" t="s">
        <v>1317</v>
      </c>
    </row>
    <row r="3302" spans="1:2" x14ac:dyDescent="0.2">
      <c r="A3302" s="376">
        <v>4557202</v>
      </c>
      <c r="B3302" s="377" t="s">
        <v>1318</v>
      </c>
    </row>
    <row r="3303" spans="1:2" x14ac:dyDescent="0.2">
      <c r="A3303" s="376">
        <v>4557203</v>
      </c>
      <c r="B3303" s="377" t="s">
        <v>1319</v>
      </c>
    </row>
    <row r="3304" spans="1:2" x14ac:dyDescent="0.2">
      <c r="A3304" s="376">
        <v>4558500</v>
      </c>
      <c r="B3304" s="377" t="s">
        <v>2180</v>
      </c>
    </row>
    <row r="3305" spans="1:2" x14ac:dyDescent="0.2">
      <c r="A3305" s="376">
        <v>4559900</v>
      </c>
      <c r="B3305" s="377" t="s">
        <v>1324</v>
      </c>
    </row>
    <row r="3306" spans="1:2" x14ac:dyDescent="0.2">
      <c r="A3306" s="376">
        <v>4560000</v>
      </c>
      <c r="B3306" s="377" t="s">
        <v>2207</v>
      </c>
    </row>
    <row r="3307" spans="1:2" ht="25.5" x14ac:dyDescent="0.2">
      <c r="A3307" s="376">
        <v>4560100</v>
      </c>
      <c r="B3307" s="377" t="s">
        <v>2208</v>
      </c>
    </row>
    <row r="3308" spans="1:2" x14ac:dyDescent="0.2">
      <c r="A3308" s="376">
        <v>4560101</v>
      </c>
      <c r="B3308" s="377" t="s">
        <v>2209</v>
      </c>
    </row>
    <row r="3309" spans="1:2" x14ac:dyDescent="0.2">
      <c r="A3309" s="376">
        <v>4560102</v>
      </c>
      <c r="B3309" s="377" t="s">
        <v>2210</v>
      </c>
    </row>
    <row r="3310" spans="1:2" x14ac:dyDescent="0.2">
      <c r="A3310" s="376">
        <v>4568500</v>
      </c>
      <c r="B3310" s="377" t="s">
        <v>2180</v>
      </c>
    </row>
    <row r="3311" spans="1:2" x14ac:dyDescent="0.2">
      <c r="A3311" s="376">
        <v>4570000</v>
      </c>
      <c r="B3311" s="377" t="s">
        <v>2211</v>
      </c>
    </row>
    <row r="3312" spans="1:2" ht="25.5" x14ac:dyDescent="0.2">
      <c r="A3312" s="376">
        <v>4570100</v>
      </c>
      <c r="B3312" s="377" t="s">
        <v>2212</v>
      </c>
    </row>
    <row r="3313" spans="1:2" x14ac:dyDescent="0.2">
      <c r="A3313" s="376">
        <v>4575800</v>
      </c>
      <c r="B3313" s="377" t="s">
        <v>1306</v>
      </c>
    </row>
    <row r="3314" spans="1:2" x14ac:dyDescent="0.2">
      <c r="A3314" s="376">
        <v>4577100</v>
      </c>
      <c r="B3314" s="377" t="s">
        <v>1312</v>
      </c>
    </row>
    <row r="3315" spans="1:2" x14ac:dyDescent="0.2">
      <c r="A3315" s="376">
        <v>4577101</v>
      </c>
      <c r="B3315" s="377" t="s">
        <v>1313</v>
      </c>
    </row>
    <row r="3316" spans="1:2" x14ac:dyDescent="0.2">
      <c r="A3316" s="376">
        <v>4577102</v>
      </c>
      <c r="B3316" s="377" t="s">
        <v>1314</v>
      </c>
    </row>
    <row r="3317" spans="1:2" x14ac:dyDescent="0.2">
      <c r="A3317" s="376">
        <v>4577103</v>
      </c>
      <c r="B3317" s="377" t="s">
        <v>1315</v>
      </c>
    </row>
    <row r="3318" spans="1:2" x14ac:dyDescent="0.2">
      <c r="A3318" s="376">
        <v>4577200</v>
      </c>
      <c r="B3318" s="377" t="s">
        <v>1316</v>
      </c>
    </row>
    <row r="3319" spans="1:2" x14ac:dyDescent="0.2">
      <c r="A3319" s="376">
        <v>4577201</v>
      </c>
      <c r="B3319" s="377" t="s">
        <v>1317</v>
      </c>
    </row>
    <row r="3320" spans="1:2" x14ac:dyDescent="0.2">
      <c r="A3320" s="376">
        <v>4577202</v>
      </c>
      <c r="B3320" s="377" t="s">
        <v>1318</v>
      </c>
    </row>
    <row r="3321" spans="1:2" x14ac:dyDescent="0.2">
      <c r="A3321" s="376">
        <v>4577203</v>
      </c>
      <c r="B3321" s="377" t="s">
        <v>1319</v>
      </c>
    </row>
    <row r="3322" spans="1:2" x14ac:dyDescent="0.2">
      <c r="A3322" s="376">
        <v>4577600</v>
      </c>
      <c r="B3322" s="377" t="s">
        <v>1321</v>
      </c>
    </row>
    <row r="3323" spans="1:2" x14ac:dyDescent="0.2">
      <c r="A3323" s="376">
        <v>4578500</v>
      </c>
      <c r="B3323" s="377" t="s">
        <v>2180</v>
      </c>
    </row>
    <row r="3324" spans="1:2" x14ac:dyDescent="0.2">
      <c r="A3324" s="376">
        <v>4579900</v>
      </c>
      <c r="B3324" s="377" t="s">
        <v>1324</v>
      </c>
    </row>
    <row r="3325" spans="1:2" x14ac:dyDescent="0.2">
      <c r="A3325" s="376">
        <v>4680000</v>
      </c>
      <c r="B3325" s="377" t="s">
        <v>2213</v>
      </c>
    </row>
    <row r="3326" spans="1:2" x14ac:dyDescent="0.2">
      <c r="A3326" s="376">
        <v>4689900</v>
      </c>
      <c r="B3326" s="377" t="s">
        <v>1324</v>
      </c>
    </row>
    <row r="3327" spans="1:2" x14ac:dyDescent="0.2">
      <c r="A3327" s="376">
        <v>4690000</v>
      </c>
      <c r="B3327" s="377" t="s">
        <v>2214</v>
      </c>
    </row>
    <row r="3328" spans="1:2" x14ac:dyDescent="0.2">
      <c r="A3328" s="376">
        <v>4695800</v>
      </c>
      <c r="B3328" s="377" t="s">
        <v>1306</v>
      </c>
    </row>
    <row r="3329" spans="1:2" x14ac:dyDescent="0.2">
      <c r="A3329" s="376">
        <v>4697100</v>
      </c>
      <c r="B3329" s="377" t="s">
        <v>1312</v>
      </c>
    </row>
    <row r="3330" spans="1:2" x14ac:dyDescent="0.2">
      <c r="A3330" s="376">
        <v>4697101</v>
      </c>
      <c r="B3330" s="377" t="s">
        <v>1313</v>
      </c>
    </row>
    <row r="3331" spans="1:2" x14ac:dyDescent="0.2">
      <c r="A3331" s="376">
        <v>4697102</v>
      </c>
      <c r="B3331" s="377" t="s">
        <v>1314</v>
      </c>
    </row>
    <row r="3332" spans="1:2" x14ac:dyDescent="0.2">
      <c r="A3332" s="376">
        <v>4697103</v>
      </c>
      <c r="B3332" s="377" t="s">
        <v>1315</v>
      </c>
    </row>
    <row r="3333" spans="1:2" x14ac:dyDescent="0.2">
      <c r="A3333" s="376">
        <v>4697200</v>
      </c>
      <c r="B3333" s="377" t="s">
        <v>1316</v>
      </c>
    </row>
    <row r="3334" spans="1:2" x14ac:dyDescent="0.2">
      <c r="A3334" s="376">
        <v>4697201</v>
      </c>
      <c r="B3334" s="377" t="s">
        <v>1317</v>
      </c>
    </row>
    <row r="3335" spans="1:2" x14ac:dyDescent="0.2">
      <c r="A3335" s="376">
        <v>4697202</v>
      </c>
      <c r="B3335" s="377" t="s">
        <v>1318</v>
      </c>
    </row>
    <row r="3336" spans="1:2" x14ac:dyDescent="0.2">
      <c r="A3336" s="376">
        <v>4697203</v>
      </c>
      <c r="B3336" s="377" t="s">
        <v>1319</v>
      </c>
    </row>
    <row r="3337" spans="1:2" x14ac:dyDescent="0.2">
      <c r="A3337" s="376">
        <v>4699900</v>
      </c>
      <c r="B3337" s="377" t="s">
        <v>1324</v>
      </c>
    </row>
    <row r="3338" spans="1:2" x14ac:dyDescent="0.2">
      <c r="A3338" s="376">
        <v>4700000</v>
      </c>
      <c r="B3338" s="377" t="s">
        <v>2215</v>
      </c>
    </row>
    <row r="3339" spans="1:2" ht="51" x14ac:dyDescent="0.2">
      <c r="A3339" s="376">
        <v>4700100</v>
      </c>
      <c r="B3339" s="377" t="s">
        <v>2216</v>
      </c>
    </row>
    <row r="3340" spans="1:2" x14ac:dyDescent="0.2">
      <c r="A3340" s="376">
        <v>4700200</v>
      </c>
      <c r="B3340" s="377" t="s">
        <v>2217</v>
      </c>
    </row>
    <row r="3341" spans="1:2" ht="38.25" x14ac:dyDescent="0.2">
      <c r="A3341" s="376">
        <v>4700300</v>
      </c>
      <c r="B3341" s="377" t="s">
        <v>2218</v>
      </c>
    </row>
    <row r="3342" spans="1:2" x14ac:dyDescent="0.2">
      <c r="A3342" s="376">
        <v>4705800</v>
      </c>
      <c r="B3342" s="377" t="s">
        <v>1306</v>
      </c>
    </row>
    <row r="3343" spans="1:2" x14ac:dyDescent="0.2">
      <c r="A3343" s="376">
        <v>4706200</v>
      </c>
      <c r="B3343" s="377" t="s">
        <v>1797</v>
      </c>
    </row>
    <row r="3344" spans="1:2" x14ac:dyDescent="0.2">
      <c r="A3344" s="376">
        <v>4706800</v>
      </c>
      <c r="B3344" s="377" t="s">
        <v>1308</v>
      </c>
    </row>
    <row r="3345" spans="1:2" x14ac:dyDescent="0.2">
      <c r="A3345" s="376">
        <v>4706801</v>
      </c>
      <c r="B3345" s="377" t="s">
        <v>1309</v>
      </c>
    </row>
    <row r="3346" spans="1:2" ht="25.5" x14ac:dyDescent="0.2">
      <c r="A3346" s="376">
        <v>4706802</v>
      </c>
      <c r="B3346" s="377" t="s">
        <v>1310</v>
      </c>
    </row>
    <row r="3347" spans="1:2" x14ac:dyDescent="0.2">
      <c r="A3347" s="376">
        <v>4707100</v>
      </c>
      <c r="B3347" s="377" t="s">
        <v>1312</v>
      </c>
    </row>
    <row r="3348" spans="1:2" x14ac:dyDescent="0.2">
      <c r="A3348" s="376">
        <v>4707101</v>
      </c>
      <c r="B3348" s="377" t="s">
        <v>1313</v>
      </c>
    </row>
    <row r="3349" spans="1:2" x14ac:dyDescent="0.2">
      <c r="A3349" s="376">
        <v>4707102</v>
      </c>
      <c r="B3349" s="377" t="s">
        <v>1314</v>
      </c>
    </row>
    <row r="3350" spans="1:2" x14ac:dyDescent="0.2">
      <c r="A3350" s="376">
        <v>4707103</v>
      </c>
      <c r="B3350" s="377" t="s">
        <v>1315</v>
      </c>
    </row>
    <row r="3351" spans="1:2" x14ac:dyDescent="0.2">
      <c r="A3351" s="376">
        <v>4707200</v>
      </c>
      <c r="B3351" s="377" t="s">
        <v>1316</v>
      </c>
    </row>
    <row r="3352" spans="1:2" x14ac:dyDescent="0.2">
      <c r="A3352" s="376">
        <v>4707201</v>
      </c>
      <c r="B3352" s="377" t="s">
        <v>1317</v>
      </c>
    </row>
    <row r="3353" spans="1:2" x14ac:dyDescent="0.2">
      <c r="A3353" s="376">
        <v>4707202</v>
      </c>
      <c r="B3353" s="377" t="s">
        <v>1318</v>
      </c>
    </row>
    <row r="3354" spans="1:2" x14ac:dyDescent="0.2">
      <c r="A3354" s="376">
        <v>4707203</v>
      </c>
      <c r="B3354" s="377" t="s">
        <v>1319</v>
      </c>
    </row>
    <row r="3355" spans="1:2" x14ac:dyDescent="0.2">
      <c r="A3355" s="376">
        <v>4707600</v>
      </c>
      <c r="B3355" s="377" t="s">
        <v>1321</v>
      </c>
    </row>
    <row r="3356" spans="1:2" x14ac:dyDescent="0.2">
      <c r="A3356" s="376">
        <v>4709900</v>
      </c>
      <c r="B3356" s="377" t="s">
        <v>1324</v>
      </c>
    </row>
    <row r="3357" spans="1:2" x14ac:dyDescent="0.2">
      <c r="A3357" s="376">
        <v>4710000</v>
      </c>
      <c r="B3357" s="377" t="s">
        <v>2219</v>
      </c>
    </row>
    <row r="3358" spans="1:2" x14ac:dyDescent="0.2">
      <c r="A3358" s="376">
        <v>4715800</v>
      </c>
      <c r="B3358" s="377" t="s">
        <v>1306</v>
      </c>
    </row>
    <row r="3359" spans="1:2" x14ac:dyDescent="0.2">
      <c r="A3359" s="376">
        <v>4716200</v>
      </c>
      <c r="B3359" s="377" t="s">
        <v>1797</v>
      </c>
    </row>
    <row r="3360" spans="1:2" x14ac:dyDescent="0.2">
      <c r="A3360" s="376">
        <v>4716800</v>
      </c>
      <c r="B3360" s="377" t="s">
        <v>1398</v>
      </c>
    </row>
    <row r="3361" spans="1:2" x14ac:dyDescent="0.2">
      <c r="A3361" s="376">
        <v>4716801</v>
      </c>
      <c r="B3361" s="377" t="s">
        <v>1309</v>
      </c>
    </row>
    <row r="3362" spans="1:2" ht="25.5" x14ac:dyDescent="0.2">
      <c r="A3362" s="376">
        <v>4716802</v>
      </c>
      <c r="B3362" s="377" t="s">
        <v>1310</v>
      </c>
    </row>
    <row r="3363" spans="1:2" x14ac:dyDescent="0.2">
      <c r="A3363" s="376">
        <v>4717100</v>
      </c>
      <c r="B3363" s="377" t="s">
        <v>1312</v>
      </c>
    </row>
    <row r="3364" spans="1:2" x14ac:dyDescent="0.2">
      <c r="A3364" s="376">
        <v>4717101</v>
      </c>
      <c r="B3364" s="377" t="s">
        <v>1313</v>
      </c>
    </row>
    <row r="3365" spans="1:2" x14ac:dyDescent="0.2">
      <c r="A3365" s="376">
        <v>4717102</v>
      </c>
      <c r="B3365" s="377" t="s">
        <v>1314</v>
      </c>
    </row>
    <row r="3366" spans="1:2" x14ac:dyDescent="0.2">
      <c r="A3366" s="376">
        <v>4717103</v>
      </c>
      <c r="B3366" s="377" t="s">
        <v>1315</v>
      </c>
    </row>
    <row r="3367" spans="1:2" x14ac:dyDescent="0.2">
      <c r="A3367" s="376">
        <v>4717200</v>
      </c>
      <c r="B3367" s="377" t="s">
        <v>1316</v>
      </c>
    </row>
    <row r="3368" spans="1:2" x14ac:dyDescent="0.2">
      <c r="A3368" s="376">
        <v>4717201</v>
      </c>
      <c r="B3368" s="377" t="s">
        <v>1317</v>
      </c>
    </row>
    <row r="3369" spans="1:2" x14ac:dyDescent="0.2">
      <c r="A3369" s="376">
        <v>4717202</v>
      </c>
      <c r="B3369" s="377" t="s">
        <v>1318</v>
      </c>
    </row>
    <row r="3370" spans="1:2" x14ac:dyDescent="0.2">
      <c r="A3370" s="376">
        <v>4717203</v>
      </c>
      <c r="B3370" s="377" t="s">
        <v>1319</v>
      </c>
    </row>
    <row r="3371" spans="1:2" x14ac:dyDescent="0.2">
      <c r="A3371" s="376">
        <v>4717600</v>
      </c>
      <c r="B3371" s="377" t="s">
        <v>2121</v>
      </c>
    </row>
    <row r="3372" spans="1:2" x14ac:dyDescent="0.2">
      <c r="A3372" s="376">
        <v>4719900</v>
      </c>
      <c r="B3372" s="377" t="s">
        <v>1324</v>
      </c>
    </row>
    <row r="3373" spans="1:2" x14ac:dyDescent="0.2">
      <c r="A3373" s="376">
        <v>4720000</v>
      </c>
      <c r="B3373" s="377" t="s">
        <v>2220</v>
      </c>
    </row>
    <row r="3374" spans="1:2" x14ac:dyDescent="0.2">
      <c r="A3374" s="376">
        <v>4729900</v>
      </c>
      <c r="B3374" s="377" t="s">
        <v>1324</v>
      </c>
    </row>
    <row r="3375" spans="1:2" x14ac:dyDescent="0.2">
      <c r="A3375" s="376">
        <v>4730000</v>
      </c>
      <c r="B3375" s="377" t="s">
        <v>2221</v>
      </c>
    </row>
    <row r="3376" spans="1:2" x14ac:dyDescent="0.2">
      <c r="A3376" s="376">
        <v>4739900</v>
      </c>
      <c r="B3376" s="377" t="s">
        <v>1324</v>
      </c>
    </row>
    <row r="3377" spans="1:2" x14ac:dyDescent="0.2">
      <c r="A3377" s="376">
        <v>4740000</v>
      </c>
      <c r="B3377" s="377" t="s">
        <v>2222</v>
      </c>
    </row>
    <row r="3378" spans="1:2" x14ac:dyDescent="0.2">
      <c r="A3378" s="376">
        <v>4749900</v>
      </c>
      <c r="B3378" s="377" t="s">
        <v>1324</v>
      </c>
    </row>
    <row r="3379" spans="1:2" x14ac:dyDescent="0.2">
      <c r="A3379" s="376">
        <v>4750000</v>
      </c>
      <c r="B3379" s="377" t="s">
        <v>2223</v>
      </c>
    </row>
    <row r="3380" spans="1:2" x14ac:dyDescent="0.2">
      <c r="A3380" s="376">
        <v>4755800</v>
      </c>
      <c r="B3380" s="377" t="s">
        <v>1306</v>
      </c>
    </row>
    <row r="3381" spans="1:2" x14ac:dyDescent="0.2">
      <c r="A3381" s="376">
        <v>4756800</v>
      </c>
      <c r="B3381" s="377" t="s">
        <v>1308</v>
      </c>
    </row>
    <row r="3382" spans="1:2" x14ac:dyDescent="0.2">
      <c r="A3382" s="376">
        <v>4756801</v>
      </c>
      <c r="B3382" s="377" t="s">
        <v>1309</v>
      </c>
    </row>
    <row r="3383" spans="1:2" ht="25.5" x14ac:dyDescent="0.2">
      <c r="A3383" s="376">
        <v>4756802</v>
      </c>
      <c r="B3383" s="377" t="s">
        <v>1310</v>
      </c>
    </row>
    <row r="3384" spans="1:2" x14ac:dyDescent="0.2">
      <c r="A3384" s="376">
        <v>4757100</v>
      </c>
      <c r="B3384" s="377" t="s">
        <v>1312</v>
      </c>
    </row>
    <row r="3385" spans="1:2" x14ac:dyDescent="0.2">
      <c r="A3385" s="376">
        <v>4757101</v>
      </c>
      <c r="B3385" s="377" t="s">
        <v>1313</v>
      </c>
    </row>
    <row r="3386" spans="1:2" x14ac:dyDescent="0.2">
      <c r="A3386" s="376">
        <v>4757102</v>
      </c>
      <c r="B3386" s="377" t="s">
        <v>1314</v>
      </c>
    </row>
    <row r="3387" spans="1:2" x14ac:dyDescent="0.2">
      <c r="A3387" s="376">
        <v>4757103</v>
      </c>
      <c r="B3387" s="377" t="s">
        <v>1315</v>
      </c>
    </row>
    <row r="3388" spans="1:2" x14ac:dyDescent="0.2">
      <c r="A3388" s="376">
        <v>4757200</v>
      </c>
      <c r="B3388" s="377" t="s">
        <v>1316</v>
      </c>
    </row>
    <row r="3389" spans="1:2" x14ac:dyDescent="0.2">
      <c r="A3389" s="376">
        <v>4757201</v>
      </c>
      <c r="B3389" s="377" t="s">
        <v>1317</v>
      </c>
    </row>
    <row r="3390" spans="1:2" x14ac:dyDescent="0.2">
      <c r="A3390" s="376">
        <v>4757202</v>
      </c>
      <c r="B3390" s="377" t="s">
        <v>1318</v>
      </c>
    </row>
    <row r="3391" spans="1:2" x14ac:dyDescent="0.2">
      <c r="A3391" s="376">
        <v>4757203</v>
      </c>
      <c r="B3391" s="377" t="s">
        <v>1319</v>
      </c>
    </row>
    <row r="3392" spans="1:2" x14ac:dyDescent="0.2">
      <c r="A3392" s="376">
        <v>4757600</v>
      </c>
      <c r="B3392" s="377" t="s">
        <v>1321</v>
      </c>
    </row>
    <row r="3393" spans="1:2" x14ac:dyDescent="0.2">
      <c r="A3393" s="376">
        <v>4759900</v>
      </c>
      <c r="B3393" s="377" t="s">
        <v>1324</v>
      </c>
    </row>
    <row r="3394" spans="1:2" x14ac:dyDescent="0.2">
      <c r="A3394" s="376">
        <v>4790000</v>
      </c>
      <c r="B3394" s="377" t="s">
        <v>2224</v>
      </c>
    </row>
    <row r="3395" spans="1:2" x14ac:dyDescent="0.2">
      <c r="A3395" s="376">
        <v>4799900</v>
      </c>
      <c r="B3395" s="377" t="s">
        <v>1324</v>
      </c>
    </row>
    <row r="3396" spans="1:2" x14ac:dyDescent="0.2">
      <c r="A3396" s="376">
        <v>4800000</v>
      </c>
      <c r="B3396" s="377" t="s">
        <v>2225</v>
      </c>
    </row>
    <row r="3397" spans="1:2" x14ac:dyDescent="0.2">
      <c r="A3397" s="376">
        <v>4805800</v>
      </c>
      <c r="B3397" s="377" t="s">
        <v>1306</v>
      </c>
    </row>
    <row r="3398" spans="1:2" x14ac:dyDescent="0.2">
      <c r="A3398" s="376">
        <v>4806800</v>
      </c>
      <c r="B3398" s="377" t="s">
        <v>1398</v>
      </c>
    </row>
    <row r="3399" spans="1:2" x14ac:dyDescent="0.2">
      <c r="A3399" s="376">
        <v>4806801</v>
      </c>
      <c r="B3399" s="377" t="s">
        <v>1309</v>
      </c>
    </row>
    <row r="3400" spans="1:2" ht="25.5" x14ac:dyDescent="0.2">
      <c r="A3400" s="376">
        <v>4806802</v>
      </c>
      <c r="B3400" s="377" t="s">
        <v>1310</v>
      </c>
    </row>
    <row r="3401" spans="1:2" x14ac:dyDescent="0.2">
      <c r="A3401" s="376">
        <v>4807100</v>
      </c>
      <c r="B3401" s="377" t="s">
        <v>1312</v>
      </c>
    </row>
    <row r="3402" spans="1:2" x14ac:dyDescent="0.2">
      <c r="A3402" s="376">
        <v>4807101</v>
      </c>
      <c r="B3402" s="377" t="s">
        <v>1313</v>
      </c>
    </row>
    <row r="3403" spans="1:2" x14ac:dyDescent="0.2">
      <c r="A3403" s="376">
        <v>4807102</v>
      </c>
      <c r="B3403" s="377" t="s">
        <v>1314</v>
      </c>
    </row>
    <row r="3404" spans="1:2" x14ac:dyDescent="0.2">
      <c r="A3404" s="376">
        <v>4807103</v>
      </c>
      <c r="B3404" s="377" t="s">
        <v>1315</v>
      </c>
    </row>
    <row r="3405" spans="1:2" x14ac:dyDescent="0.2">
      <c r="A3405" s="376">
        <v>4807200</v>
      </c>
      <c r="B3405" s="377" t="s">
        <v>1316</v>
      </c>
    </row>
    <row r="3406" spans="1:2" x14ac:dyDescent="0.2">
      <c r="A3406" s="376">
        <v>4807201</v>
      </c>
      <c r="B3406" s="377" t="s">
        <v>1317</v>
      </c>
    </row>
    <row r="3407" spans="1:2" x14ac:dyDescent="0.2">
      <c r="A3407" s="376">
        <v>4807202</v>
      </c>
      <c r="B3407" s="377" t="s">
        <v>1318</v>
      </c>
    </row>
    <row r="3408" spans="1:2" x14ac:dyDescent="0.2">
      <c r="A3408" s="376">
        <v>4807203</v>
      </c>
      <c r="B3408" s="377" t="s">
        <v>1319</v>
      </c>
    </row>
    <row r="3409" spans="1:2" x14ac:dyDescent="0.2">
      <c r="A3409" s="376">
        <v>4807600</v>
      </c>
      <c r="B3409" s="377" t="s">
        <v>1321</v>
      </c>
    </row>
    <row r="3410" spans="1:2" x14ac:dyDescent="0.2">
      <c r="A3410" s="376">
        <v>4809900</v>
      </c>
      <c r="B3410" s="377" t="s">
        <v>1324</v>
      </c>
    </row>
    <row r="3411" spans="1:2" x14ac:dyDescent="0.2">
      <c r="A3411" s="376">
        <v>4810000</v>
      </c>
      <c r="B3411" s="377" t="s">
        <v>2226</v>
      </c>
    </row>
    <row r="3412" spans="1:2" x14ac:dyDescent="0.2">
      <c r="A3412" s="376">
        <v>4810100</v>
      </c>
      <c r="B3412" s="377" t="s">
        <v>1400</v>
      </c>
    </row>
    <row r="3413" spans="1:2" x14ac:dyDescent="0.2">
      <c r="A3413" s="376">
        <v>4810200</v>
      </c>
      <c r="B3413" s="377" t="s">
        <v>2227</v>
      </c>
    </row>
    <row r="3414" spans="1:2" ht="25.5" x14ac:dyDescent="0.2">
      <c r="A3414" s="376">
        <v>4810300</v>
      </c>
      <c r="B3414" s="377" t="s">
        <v>2228</v>
      </c>
    </row>
    <row r="3415" spans="1:2" ht="25.5" x14ac:dyDescent="0.2">
      <c r="A3415" s="376">
        <v>4810400</v>
      </c>
      <c r="B3415" s="377" t="s">
        <v>2229</v>
      </c>
    </row>
    <row r="3416" spans="1:2" x14ac:dyDescent="0.2">
      <c r="A3416" s="376">
        <v>4817700</v>
      </c>
      <c r="B3416" s="377" t="s">
        <v>2230</v>
      </c>
    </row>
    <row r="3417" spans="1:2" x14ac:dyDescent="0.2">
      <c r="A3417" s="376">
        <v>4820000</v>
      </c>
      <c r="B3417" s="377" t="s">
        <v>2231</v>
      </c>
    </row>
    <row r="3418" spans="1:2" x14ac:dyDescent="0.2">
      <c r="A3418" s="376">
        <v>4825800</v>
      </c>
      <c r="B3418" s="377" t="s">
        <v>1306</v>
      </c>
    </row>
    <row r="3419" spans="1:2" x14ac:dyDescent="0.2">
      <c r="A3419" s="376">
        <v>4827100</v>
      </c>
      <c r="B3419" s="377" t="s">
        <v>1312</v>
      </c>
    </row>
    <row r="3420" spans="1:2" x14ac:dyDescent="0.2">
      <c r="A3420" s="376">
        <v>4827101</v>
      </c>
      <c r="B3420" s="377" t="s">
        <v>1313</v>
      </c>
    </row>
    <row r="3421" spans="1:2" x14ac:dyDescent="0.2">
      <c r="A3421" s="376">
        <v>4827102</v>
      </c>
      <c r="B3421" s="377" t="s">
        <v>1314</v>
      </c>
    </row>
    <row r="3422" spans="1:2" x14ac:dyDescent="0.2">
      <c r="A3422" s="376">
        <v>4827103</v>
      </c>
      <c r="B3422" s="377" t="s">
        <v>1315</v>
      </c>
    </row>
    <row r="3423" spans="1:2" x14ac:dyDescent="0.2">
      <c r="A3423" s="376">
        <v>4827200</v>
      </c>
      <c r="B3423" s="377" t="s">
        <v>1316</v>
      </c>
    </row>
    <row r="3424" spans="1:2" x14ac:dyDescent="0.2">
      <c r="A3424" s="376">
        <v>4827201</v>
      </c>
      <c r="B3424" s="377" t="s">
        <v>1317</v>
      </c>
    </row>
    <row r="3425" spans="1:2" x14ac:dyDescent="0.2">
      <c r="A3425" s="376">
        <v>4827202</v>
      </c>
      <c r="B3425" s="377" t="s">
        <v>1318</v>
      </c>
    </row>
    <row r="3426" spans="1:2" x14ac:dyDescent="0.2">
      <c r="A3426" s="376">
        <v>4827203</v>
      </c>
      <c r="B3426" s="377" t="s">
        <v>1319</v>
      </c>
    </row>
    <row r="3427" spans="1:2" x14ac:dyDescent="0.2">
      <c r="A3427" s="376">
        <v>4829900</v>
      </c>
      <c r="B3427" s="377" t="s">
        <v>1324</v>
      </c>
    </row>
    <row r="3428" spans="1:2" x14ac:dyDescent="0.2">
      <c r="A3428" s="376">
        <v>4830000</v>
      </c>
      <c r="B3428" s="377" t="s">
        <v>2232</v>
      </c>
    </row>
    <row r="3429" spans="1:2" x14ac:dyDescent="0.2">
      <c r="A3429" s="376">
        <v>4839900</v>
      </c>
      <c r="B3429" s="377" t="s">
        <v>1324</v>
      </c>
    </row>
    <row r="3430" spans="1:2" x14ac:dyDescent="0.2">
      <c r="A3430" s="376">
        <v>4840000</v>
      </c>
      <c r="B3430" s="377" t="s">
        <v>2233</v>
      </c>
    </row>
    <row r="3431" spans="1:2" x14ac:dyDescent="0.2">
      <c r="A3431" s="376">
        <v>4849900</v>
      </c>
      <c r="B3431" s="377" t="s">
        <v>1324</v>
      </c>
    </row>
    <row r="3432" spans="1:2" x14ac:dyDescent="0.2">
      <c r="A3432" s="376">
        <v>4850000</v>
      </c>
      <c r="B3432" s="377" t="s">
        <v>2234</v>
      </c>
    </row>
    <row r="3433" spans="1:2" x14ac:dyDescent="0.2">
      <c r="A3433" s="376">
        <v>4850100</v>
      </c>
      <c r="B3433" s="377" t="s">
        <v>2235</v>
      </c>
    </row>
    <row r="3434" spans="1:2" x14ac:dyDescent="0.2">
      <c r="A3434" s="376">
        <v>4850200</v>
      </c>
      <c r="B3434" s="377" t="s">
        <v>2236</v>
      </c>
    </row>
    <row r="3435" spans="1:2" ht="38.25" x14ac:dyDescent="0.2">
      <c r="A3435" s="376">
        <v>4850300</v>
      </c>
      <c r="B3435" s="377" t="s">
        <v>2237</v>
      </c>
    </row>
    <row r="3436" spans="1:2" ht="25.5" x14ac:dyDescent="0.2">
      <c r="A3436" s="376">
        <v>4850400</v>
      </c>
      <c r="B3436" s="377" t="s">
        <v>2238</v>
      </c>
    </row>
    <row r="3437" spans="1:2" x14ac:dyDescent="0.2">
      <c r="A3437" s="376">
        <v>4850500</v>
      </c>
      <c r="B3437" s="377" t="s">
        <v>2239</v>
      </c>
    </row>
    <row r="3438" spans="1:2" x14ac:dyDescent="0.2">
      <c r="A3438" s="376">
        <v>4850600</v>
      </c>
      <c r="B3438" s="377" t="s">
        <v>2240</v>
      </c>
    </row>
    <row r="3439" spans="1:2" x14ac:dyDescent="0.2">
      <c r="A3439" s="376">
        <v>4850700</v>
      </c>
      <c r="B3439" s="377" t="s">
        <v>1320</v>
      </c>
    </row>
    <row r="3440" spans="1:2" x14ac:dyDescent="0.2">
      <c r="A3440" s="376">
        <v>4850800</v>
      </c>
      <c r="B3440" s="377" t="s">
        <v>2241</v>
      </c>
    </row>
    <row r="3441" spans="1:2" x14ac:dyDescent="0.2">
      <c r="A3441" s="376">
        <v>4850900</v>
      </c>
      <c r="B3441" s="377" t="s">
        <v>2242</v>
      </c>
    </row>
    <row r="3442" spans="1:2" ht="38.25" x14ac:dyDescent="0.2">
      <c r="A3442" s="376">
        <v>4851000</v>
      </c>
      <c r="B3442" s="377" t="s">
        <v>2243</v>
      </c>
    </row>
    <row r="3443" spans="1:2" x14ac:dyDescent="0.2">
      <c r="A3443" s="376">
        <v>4851300</v>
      </c>
      <c r="B3443" s="377" t="s">
        <v>2244</v>
      </c>
    </row>
    <row r="3444" spans="1:2" ht="51" x14ac:dyDescent="0.2">
      <c r="A3444" s="376">
        <v>4851400</v>
      </c>
      <c r="B3444" s="377" t="s">
        <v>2245</v>
      </c>
    </row>
    <row r="3445" spans="1:2" x14ac:dyDescent="0.2">
      <c r="A3445" s="376">
        <v>4851600</v>
      </c>
      <c r="B3445" s="377" t="s">
        <v>2246</v>
      </c>
    </row>
    <row r="3446" spans="1:2" ht="25.5" x14ac:dyDescent="0.2">
      <c r="A3446" s="376">
        <v>4851700</v>
      </c>
      <c r="B3446" s="377" t="s">
        <v>2247</v>
      </c>
    </row>
    <row r="3447" spans="1:2" x14ac:dyDescent="0.2">
      <c r="A3447" s="376">
        <v>4851800</v>
      </c>
      <c r="B3447" s="377" t="s">
        <v>2248</v>
      </c>
    </row>
    <row r="3448" spans="1:2" ht="25.5" x14ac:dyDescent="0.2">
      <c r="A3448" s="376">
        <v>4851900</v>
      </c>
      <c r="B3448" s="377" t="s">
        <v>2249</v>
      </c>
    </row>
    <row r="3449" spans="1:2" x14ac:dyDescent="0.2">
      <c r="A3449" s="376">
        <v>4852000</v>
      </c>
      <c r="B3449" s="377" t="s">
        <v>2250</v>
      </c>
    </row>
    <row r="3450" spans="1:2" x14ac:dyDescent="0.2">
      <c r="A3450" s="376">
        <v>4852300</v>
      </c>
      <c r="B3450" s="377" t="s">
        <v>2251</v>
      </c>
    </row>
    <row r="3451" spans="1:2" x14ac:dyDescent="0.2">
      <c r="A3451" s="376">
        <v>4852400</v>
      </c>
      <c r="B3451" s="377" t="s">
        <v>2252</v>
      </c>
    </row>
    <row r="3452" spans="1:2" x14ac:dyDescent="0.2">
      <c r="A3452" s="376">
        <v>4852500</v>
      </c>
      <c r="B3452" s="377" t="s">
        <v>2253</v>
      </c>
    </row>
    <row r="3453" spans="1:2" x14ac:dyDescent="0.2">
      <c r="A3453" s="376">
        <v>4857700</v>
      </c>
      <c r="B3453" s="377" t="s">
        <v>2254</v>
      </c>
    </row>
    <row r="3454" spans="1:2" x14ac:dyDescent="0.2">
      <c r="A3454" s="376">
        <v>4859700</v>
      </c>
      <c r="B3454" s="377" t="s">
        <v>1358</v>
      </c>
    </row>
    <row r="3455" spans="1:2" x14ac:dyDescent="0.2">
      <c r="A3455" s="376">
        <v>4870000</v>
      </c>
      <c r="B3455" s="377" t="s">
        <v>2255</v>
      </c>
    </row>
    <row r="3456" spans="1:2" x14ac:dyDescent="0.2">
      <c r="A3456" s="376">
        <v>4870100</v>
      </c>
      <c r="B3456" s="377" t="s">
        <v>2235</v>
      </c>
    </row>
    <row r="3457" spans="1:2" ht="25.5" x14ac:dyDescent="0.2">
      <c r="A3457" s="376">
        <v>4870200</v>
      </c>
      <c r="B3457" s="377" t="s">
        <v>2256</v>
      </c>
    </row>
    <row r="3458" spans="1:2" x14ac:dyDescent="0.2">
      <c r="A3458" s="376">
        <v>4880000</v>
      </c>
      <c r="B3458" s="377" t="s">
        <v>2257</v>
      </c>
    </row>
    <row r="3459" spans="1:2" x14ac:dyDescent="0.2">
      <c r="A3459" s="376">
        <v>4900000</v>
      </c>
      <c r="B3459" s="377" t="s">
        <v>2258</v>
      </c>
    </row>
    <row r="3460" spans="1:2" ht="38.25" x14ac:dyDescent="0.2">
      <c r="A3460" s="376">
        <v>4900100</v>
      </c>
      <c r="B3460" s="377" t="s">
        <v>2259</v>
      </c>
    </row>
    <row r="3461" spans="1:2" ht="25.5" x14ac:dyDescent="0.2">
      <c r="A3461" s="376">
        <v>4900101</v>
      </c>
      <c r="B3461" s="377" t="s">
        <v>2260</v>
      </c>
    </row>
    <row r="3462" spans="1:2" ht="38.25" x14ac:dyDescent="0.2">
      <c r="A3462" s="376">
        <v>4900200</v>
      </c>
      <c r="B3462" s="377" t="s">
        <v>2261</v>
      </c>
    </row>
    <row r="3463" spans="1:2" x14ac:dyDescent="0.2">
      <c r="A3463" s="376">
        <v>4900201</v>
      </c>
      <c r="B3463" s="377" t="s">
        <v>2262</v>
      </c>
    </row>
    <row r="3464" spans="1:2" ht="25.5" x14ac:dyDescent="0.2">
      <c r="A3464" s="376">
        <v>4900300</v>
      </c>
      <c r="B3464" s="377" t="s">
        <v>2263</v>
      </c>
    </row>
    <row r="3465" spans="1:2" x14ac:dyDescent="0.2">
      <c r="A3465" s="376">
        <v>4900301</v>
      </c>
      <c r="B3465" s="377" t="s">
        <v>2264</v>
      </c>
    </row>
    <row r="3466" spans="1:2" x14ac:dyDescent="0.2">
      <c r="A3466" s="376">
        <v>4900400</v>
      </c>
      <c r="B3466" s="377" t="s">
        <v>2265</v>
      </c>
    </row>
    <row r="3467" spans="1:2" ht="56.25" customHeight="1" x14ac:dyDescent="0.2">
      <c r="A3467" s="376">
        <v>4900500</v>
      </c>
      <c r="B3467" s="377" t="s">
        <v>2266</v>
      </c>
    </row>
    <row r="3468" spans="1:2" x14ac:dyDescent="0.2">
      <c r="A3468" s="376">
        <v>4900501</v>
      </c>
      <c r="B3468" s="377" t="s">
        <v>2267</v>
      </c>
    </row>
    <row r="3469" spans="1:2" x14ac:dyDescent="0.2">
      <c r="A3469" s="376">
        <v>4910000</v>
      </c>
      <c r="B3469" s="377" t="s">
        <v>2268</v>
      </c>
    </row>
    <row r="3470" spans="1:2" x14ac:dyDescent="0.2">
      <c r="A3470" s="376">
        <v>4910100</v>
      </c>
      <c r="B3470" s="377" t="s">
        <v>2269</v>
      </c>
    </row>
    <row r="3471" spans="1:2" x14ac:dyDescent="0.2">
      <c r="A3471" s="376">
        <v>5000000</v>
      </c>
      <c r="B3471" s="377" t="s">
        <v>2270</v>
      </c>
    </row>
    <row r="3472" spans="1:2" x14ac:dyDescent="0.2">
      <c r="A3472" s="376">
        <v>5009900</v>
      </c>
      <c r="B3472" s="377" t="s">
        <v>1324</v>
      </c>
    </row>
    <row r="3473" spans="1:2" x14ac:dyDescent="0.2">
      <c r="A3473" s="376">
        <v>5010000</v>
      </c>
      <c r="B3473" s="377" t="s">
        <v>2271</v>
      </c>
    </row>
    <row r="3474" spans="1:2" x14ac:dyDescent="0.2">
      <c r="A3474" s="376">
        <v>5019900</v>
      </c>
      <c r="B3474" s="377" t="s">
        <v>1324</v>
      </c>
    </row>
    <row r="3475" spans="1:2" x14ac:dyDescent="0.2">
      <c r="A3475" s="376">
        <v>5020000</v>
      </c>
      <c r="B3475" s="377" t="s">
        <v>2272</v>
      </c>
    </row>
    <row r="3476" spans="1:2" x14ac:dyDescent="0.2">
      <c r="A3476" s="376">
        <v>5029900</v>
      </c>
      <c r="B3476" s="377" t="s">
        <v>1324</v>
      </c>
    </row>
    <row r="3477" spans="1:2" x14ac:dyDescent="0.2">
      <c r="A3477" s="376">
        <v>5050000</v>
      </c>
      <c r="B3477" s="377" t="s">
        <v>2273</v>
      </c>
    </row>
    <row r="3478" spans="1:2" ht="25.5" x14ac:dyDescent="0.2">
      <c r="A3478" s="376">
        <v>5050100</v>
      </c>
      <c r="B3478" s="377" t="s">
        <v>2274</v>
      </c>
    </row>
    <row r="3479" spans="1:2" ht="25.5" x14ac:dyDescent="0.2">
      <c r="A3479" s="376">
        <v>5050101</v>
      </c>
      <c r="B3479" s="377" t="s">
        <v>2275</v>
      </c>
    </row>
    <row r="3480" spans="1:2" ht="25.5" x14ac:dyDescent="0.2">
      <c r="A3480" s="376">
        <v>5050102</v>
      </c>
      <c r="B3480" s="377" t="s">
        <v>2276</v>
      </c>
    </row>
    <row r="3481" spans="1:2" x14ac:dyDescent="0.2">
      <c r="A3481" s="376">
        <v>5050103</v>
      </c>
      <c r="B3481" s="377" t="s">
        <v>2277</v>
      </c>
    </row>
    <row r="3482" spans="1:2" x14ac:dyDescent="0.2">
      <c r="A3482" s="376">
        <v>5050104</v>
      </c>
      <c r="B3482" s="377" t="s">
        <v>2278</v>
      </c>
    </row>
    <row r="3483" spans="1:2" x14ac:dyDescent="0.2">
      <c r="A3483" s="376">
        <v>5050105</v>
      </c>
      <c r="B3483" s="377" t="s">
        <v>2279</v>
      </c>
    </row>
    <row r="3484" spans="1:2" x14ac:dyDescent="0.2">
      <c r="A3484" s="376">
        <v>5050200</v>
      </c>
      <c r="B3484" s="377" t="s">
        <v>2280</v>
      </c>
    </row>
    <row r="3485" spans="1:2" ht="25.5" x14ac:dyDescent="0.2">
      <c r="A3485" s="376">
        <v>5050201</v>
      </c>
      <c r="B3485" s="377" t="s">
        <v>2281</v>
      </c>
    </row>
    <row r="3486" spans="1:2" x14ac:dyDescent="0.2">
      <c r="A3486" s="376">
        <v>5050202</v>
      </c>
      <c r="B3486" s="377" t="s">
        <v>2282</v>
      </c>
    </row>
    <row r="3487" spans="1:2" x14ac:dyDescent="0.2">
      <c r="A3487" s="376">
        <v>5050300</v>
      </c>
      <c r="B3487" s="377" t="s">
        <v>2283</v>
      </c>
    </row>
    <row r="3488" spans="1:2" ht="25.5" x14ac:dyDescent="0.2">
      <c r="A3488" s="376">
        <v>5050301</v>
      </c>
      <c r="B3488" s="377" t="s">
        <v>2284</v>
      </c>
    </row>
    <row r="3489" spans="1:2" ht="38.25" x14ac:dyDescent="0.2">
      <c r="A3489" s="376">
        <v>5050302</v>
      </c>
      <c r="B3489" s="377" t="s">
        <v>2285</v>
      </c>
    </row>
    <row r="3490" spans="1:2" ht="25.5" x14ac:dyDescent="0.2">
      <c r="A3490" s="376">
        <v>5050303</v>
      </c>
      <c r="B3490" s="377" t="s">
        <v>2286</v>
      </c>
    </row>
    <row r="3491" spans="1:2" x14ac:dyDescent="0.2">
      <c r="A3491" s="376">
        <v>5050304</v>
      </c>
      <c r="B3491" s="377" t="s">
        <v>2287</v>
      </c>
    </row>
    <row r="3492" spans="1:2" x14ac:dyDescent="0.2">
      <c r="A3492" s="376">
        <v>5050400</v>
      </c>
      <c r="B3492" s="377" t="s">
        <v>2288</v>
      </c>
    </row>
    <row r="3493" spans="1:2" x14ac:dyDescent="0.2">
      <c r="A3493" s="376">
        <v>5050401</v>
      </c>
      <c r="B3493" s="377" t="s">
        <v>2289</v>
      </c>
    </row>
    <row r="3494" spans="1:2" x14ac:dyDescent="0.2">
      <c r="A3494" s="376">
        <v>5050500</v>
      </c>
      <c r="B3494" s="377" t="s">
        <v>2290</v>
      </c>
    </row>
    <row r="3495" spans="1:2" ht="25.5" x14ac:dyDescent="0.2">
      <c r="A3495" s="376">
        <v>5050501</v>
      </c>
      <c r="B3495" s="377" t="s">
        <v>2291</v>
      </c>
    </row>
    <row r="3496" spans="1:2" x14ac:dyDescent="0.2">
      <c r="A3496" s="376">
        <v>5050502</v>
      </c>
      <c r="B3496" s="377" t="s">
        <v>2292</v>
      </c>
    </row>
    <row r="3497" spans="1:2" ht="25.5" x14ac:dyDescent="0.2">
      <c r="A3497" s="376">
        <v>5050503</v>
      </c>
      <c r="B3497" s="377" t="s">
        <v>2293</v>
      </c>
    </row>
    <row r="3498" spans="1:2" ht="25.5" x14ac:dyDescent="0.2">
      <c r="A3498" s="376">
        <v>5050504</v>
      </c>
      <c r="B3498" s="377" t="s">
        <v>2294</v>
      </c>
    </row>
    <row r="3499" spans="1:2" ht="38.25" x14ac:dyDescent="0.2">
      <c r="A3499" s="376">
        <v>5050505</v>
      </c>
      <c r="B3499" s="377" t="s">
        <v>2295</v>
      </c>
    </row>
    <row r="3500" spans="1:2" x14ac:dyDescent="0.2">
      <c r="A3500" s="376">
        <v>5050506</v>
      </c>
      <c r="B3500" s="377" t="s">
        <v>2296</v>
      </c>
    </row>
    <row r="3501" spans="1:2" ht="25.5" x14ac:dyDescent="0.2">
      <c r="A3501" s="376">
        <v>5050507</v>
      </c>
      <c r="B3501" s="377" t="s">
        <v>2297</v>
      </c>
    </row>
    <row r="3502" spans="1:2" ht="38.25" x14ac:dyDescent="0.2">
      <c r="A3502" s="376">
        <v>5050508</v>
      </c>
      <c r="B3502" s="377" t="s">
        <v>2298</v>
      </c>
    </row>
    <row r="3503" spans="1:2" ht="25.5" x14ac:dyDescent="0.2">
      <c r="A3503" s="376">
        <v>5050509</v>
      </c>
      <c r="B3503" s="377" t="s">
        <v>2299</v>
      </c>
    </row>
    <row r="3504" spans="1:2" ht="25.5" x14ac:dyDescent="0.2">
      <c r="A3504" s="376">
        <v>5050600</v>
      </c>
      <c r="B3504" s="377" t="s">
        <v>2300</v>
      </c>
    </row>
    <row r="3505" spans="1:2" ht="25.5" x14ac:dyDescent="0.2">
      <c r="A3505" s="376">
        <v>5050601</v>
      </c>
      <c r="B3505" s="377" t="s">
        <v>2275</v>
      </c>
    </row>
    <row r="3506" spans="1:2" ht="25.5" x14ac:dyDescent="0.2">
      <c r="A3506" s="376">
        <v>5050602</v>
      </c>
      <c r="B3506" s="377" t="s">
        <v>2276</v>
      </c>
    </row>
    <row r="3507" spans="1:2" x14ac:dyDescent="0.2">
      <c r="A3507" s="376">
        <v>5050604</v>
      </c>
      <c r="B3507" s="377" t="s">
        <v>2278</v>
      </c>
    </row>
    <row r="3508" spans="1:2" ht="38.25" x14ac:dyDescent="0.2">
      <c r="A3508" s="376">
        <v>5050700</v>
      </c>
      <c r="B3508" s="377" t="s">
        <v>2301</v>
      </c>
    </row>
    <row r="3509" spans="1:2" ht="25.5" x14ac:dyDescent="0.2">
      <c r="A3509" s="376">
        <v>5050701</v>
      </c>
      <c r="B3509" s="377" t="s">
        <v>2275</v>
      </c>
    </row>
    <row r="3510" spans="1:2" ht="25.5" x14ac:dyDescent="0.2">
      <c r="A3510" s="376">
        <v>5050702</v>
      </c>
      <c r="B3510" s="377" t="s">
        <v>2276</v>
      </c>
    </row>
    <row r="3511" spans="1:2" x14ac:dyDescent="0.2">
      <c r="A3511" s="376">
        <v>5050703</v>
      </c>
      <c r="B3511" s="377" t="s">
        <v>2277</v>
      </c>
    </row>
    <row r="3512" spans="1:2" x14ac:dyDescent="0.2">
      <c r="A3512" s="376">
        <v>5050704</v>
      </c>
      <c r="B3512" s="377" t="s">
        <v>2278</v>
      </c>
    </row>
    <row r="3513" spans="1:2" x14ac:dyDescent="0.2">
      <c r="A3513" s="376">
        <v>5050705</v>
      </c>
      <c r="B3513" s="377" t="s">
        <v>2279</v>
      </c>
    </row>
    <row r="3514" spans="1:2" ht="25.5" x14ac:dyDescent="0.2">
      <c r="A3514" s="376">
        <v>5050800</v>
      </c>
      <c r="B3514" s="377" t="s">
        <v>2302</v>
      </c>
    </row>
    <row r="3515" spans="1:2" ht="25.5" x14ac:dyDescent="0.2">
      <c r="A3515" s="376">
        <v>5050801</v>
      </c>
      <c r="B3515" s="377" t="s">
        <v>2303</v>
      </c>
    </row>
    <row r="3516" spans="1:2" x14ac:dyDescent="0.2">
      <c r="A3516" s="376">
        <v>5050802</v>
      </c>
      <c r="B3516" s="377" t="s">
        <v>2304</v>
      </c>
    </row>
    <row r="3517" spans="1:2" ht="25.5" x14ac:dyDescent="0.2">
      <c r="A3517" s="376">
        <v>5050900</v>
      </c>
      <c r="B3517" s="377" t="s">
        <v>2305</v>
      </c>
    </row>
    <row r="3518" spans="1:2" ht="25.5" x14ac:dyDescent="0.2">
      <c r="A3518" s="376">
        <v>5050901</v>
      </c>
      <c r="B3518" s="377" t="s">
        <v>2306</v>
      </c>
    </row>
    <row r="3519" spans="1:2" x14ac:dyDescent="0.2">
      <c r="A3519" s="376">
        <v>5050902</v>
      </c>
      <c r="B3519" s="377" t="s">
        <v>2307</v>
      </c>
    </row>
    <row r="3520" spans="1:2" ht="25.5" x14ac:dyDescent="0.2">
      <c r="A3520" s="376">
        <v>5051000</v>
      </c>
      <c r="B3520" s="377" t="s">
        <v>2308</v>
      </c>
    </row>
    <row r="3521" spans="1:2" x14ac:dyDescent="0.2">
      <c r="A3521" s="376">
        <v>5051001</v>
      </c>
      <c r="B3521" s="377" t="s">
        <v>2309</v>
      </c>
    </row>
    <row r="3522" spans="1:2" ht="38.25" x14ac:dyDescent="0.2">
      <c r="A3522" s="376">
        <v>5051100</v>
      </c>
      <c r="B3522" s="377" t="s">
        <v>2310</v>
      </c>
    </row>
    <row r="3523" spans="1:2" ht="25.5" x14ac:dyDescent="0.2">
      <c r="A3523" s="376">
        <v>5051101</v>
      </c>
      <c r="B3523" s="377" t="s">
        <v>2311</v>
      </c>
    </row>
    <row r="3524" spans="1:2" ht="25.5" x14ac:dyDescent="0.2">
      <c r="A3524" s="376">
        <v>5051200</v>
      </c>
      <c r="B3524" s="377" t="s">
        <v>2312</v>
      </c>
    </row>
    <row r="3525" spans="1:2" x14ac:dyDescent="0.2">
      <c r="A3525" s="376">
        <v>5051201</v>
      </c>
      <c r="B3525" s="377" t="s">
        <v>2313</v>
      </c>
    </row>
    <row r="3526" spans="1:2" x14ac:dyDescent="0.2">
      <c r="A3526" s="376">
        <v>5051300</v>
      </c>
      <c r="B3526" s="377" t="s">
        <v>2314</v>
      </c>
    </row>
    <row r="3527" spans="1:2" x14ac:dyDescent="0.2">
      <c r="A3527" s="376">
        <v>5051301</v>
      </c>
      <c r="B3527" s="377" t="s">
        <v>2315</v>
      </c>
    </row>
    <row r="3528" spans="1:2" x14ac:dyDescent="0.2">
      <c r="A3528" s="376">
        <v>5051302</v>
      </c>
      <c r="B3528" s="377" t="s">
        <v>2316</v>
      </c>
    </row>
    <row r="3529" spans="1:2" x14ac:dyDescent="0.2">
      <c r="A3529" s="376">
        <v>5051303</v>
      </c>
      <c r="B3529" s="377" t="s">
        <v>2317</v>
      </c>
    </row>
    <row r="3530" spans="1:2" x14ac:dyDescent="0.2">
      <c r="A3530" s="376">
        <v>5051304</v>
      </c>
      <c r="B3530" s="377" t="s">
        <v>2318</v>
      </c>
    </row>
    <row r="3531" spans="1:2" ht="25.5" x14ac:dyDescent="0.2">
      <c r="A3531" s="376">
        <v>5051400</v>
      </c>
      <c r="B3531" s="377" t="s">
        <v>2319</v>
      </c>
    </row>
    <row r="3532" spans="1:2" x14ac:dyDescent="0.2">
      <c r="A3532" s="376">
        <v>5051401</v>
      </c>
      <c r="B3532" s="377" t="s">
        <v>2320</v>
      </c>
    </row>
    <row r="3533" spans="1:2" ht="25.5" x14ac:dyDescent="0.2">
      <c r="A3533" s="376">
        <v>5051500</v>
      </c>
      <c r="B3533" s="377" t="s">
        <v>2321</v>
      </c>
    </row>
    <row r="3534" spans="1:2" x14ac:dyDescent="0.2">
      <c r="A3534" s="376">
        <v>5051501</v>
      </c>
      <c r="B3534" s="377" t="s">
        <v>2322</v>
      </c>
    </row>
    <row r="3535" spans="1:2" ht="63.75" x14ac:dyDescent="0.2">
      <c r="A3535" s="376">
        <v>5051600</v>
      </c>
      <c r="B3535" s="377" t="s">
        <v>2323</v>
      </c>
    </row>
    <row r="3536" spans="1:2" x14ac:dyDescent="0.2">
      <c r="A3536" s="376">
        <v>5051601</v>
      </c>
      <c r="B3536" s="377" t="s">
        <v>2324</v>
      </c>
    </row>
    <row r="3537" spans="1:2" ht="25.5" x14ac:dyDescent="0.2">
      <c r="A3537" s="376">
        <v>5051700</v>
      </c>
      <c r="B3537" s="377" t="s">
        <v>2325</v>
      </c>
    </row>
    <row r="3538" spans="1:2" x14ac:dyDescent="0.2">
      <c r="A3538" s="376">
        <v>5051701</v>
      </c>
      <c r="B3538" s="377" t="s">
        <v>2326</v>
      </c>
    </row>
    <row r="3539" spans="1:2" ht="25.5" x14ac:dyDescent="0.2">
      <c r="A3539" s="376">
        <v>5051702</v>
      </c>
      <c r="B3539" s="377" t="s">
        <v>2327</v>
      </c>
    </row>
    <row r="3540" spans="1:2" ht="25.5" x14ac:dyDescent="0.2">
      <c r="A3540" s="376">
        <v>5051703</v>
      </c>
      <c r="B3540" s="377" t="s">
        <v>2328</v>
      </c>
    </row>
    <row r="3541" spans="1:2" x14ac:dyDescent="0.2">
      <c r="A3541" s="376">
        <v>5051704</v>
      </c>
      <c r="B3541" s="377" t="s">
        <v>2329</v>
      </c>
    </row>
    <row r="3542" spans="1:2" ht="25.5" x14ac:dyDescent="0.2">
      <c r="A3542" s="376">
        <v>5051800</v>
      </c>
      <c r="B3542" s="377" t="s">
        <v>2330</v>
      </c>
    </row>
    <row r="3543" spans="1:2" ht="25.5" x14ac:dyDescent="0.2">
      <c r="A3543" s="376">
        <v>5051900</v>
      </c>
      <c r="B3543" s="377" t="s">
        <v>2331</v>
      </c>
    </row>
    <row r="3544" spans="1:2" ht="25.5" x14ac:dyDescent="0.2">
      <c r="A3544" s="376">
        <v>5052000</v>
      </c>
      <c r="B3544" s="377" t="s">
        <v>2332</v>
      </c>
    </row>
    <row r="3545" spans="1:2" x14ac:dyDescent="0.2">
      <c r="A3545" s="376">
        <v>5052001</v>
      </c>
      <c r="B3545" s="377" t="s">
        <v>2333</v>
      </c>
    </row>
    <row r="3546" spans="1:2" ht="25.5" x14ac:dyDescent="0.2">
      <c r="A3546" s="376">
        <v>5052100</v>
      </c>
      <c r="B3546" s="377" t="s">
        <v>2334</v>
      </c>
    </row>
    <row r="3547" spans="1:2" ht="25.5" x14ac:dyDescent="0.2">
      <c r="A3547" s="376">
        <v>5052102</v>
      </c>
      <c r="B3547" s="377" t="s">
        <v>2335</v>
      </c>
    </row>
    <row r="3548" spans="1:2" x14ac:dyDescent="0.2">
      <c r="A3548" s="376">
        <v>5052200</v>
      </c>
      <c r="B3548" s="377" t="s">
        <v>2336</v>
      </c>
    </row>
    <row r="3549" spans="1:2" ht="25.5" x14ac:dyDescent="0.2">
      <c r="A3549" s="376">
        <v>5052201</v>
      </c>
      <c r="B3549" s="377" t="s">
        <v>2337</v>
      </c>
    </row>
    <row r="3550" spans="1:2" ht="25.5" x14ac:dyDescent="0.2">
      <c r="A3550" s="376">
        <v>5052202</v>
      </c>
      <c r="B3550" s="377" t="s">
        <v>2338</v>
      </c>
    </row>
    <row r="3551" spans="1:2" ht="38.25" x14ac:dyDescent="0.2">
      <c r="A3551" s="376">
        <v>5052203</v>
      </c>
      <c r="B3551" s="377" t="s">
        <v>2339</v>
      </c>
    </row>
    <row r="3552" spans="1:2" ht="25.5" x14ac:dyDescent="0.2">
      <c r="A3552" s="376">
        <v>5052204</v>
      </c>
      <c r="B3552" s="377" t="s">
        <v>2340</v>
      </c>
    </row>
    <row r="3553" spans="1:2" x14ac:dyDescent="0.2">
      <c r="A3553" s="376">
        <v>5052205</v>
      </c>
      <c r="B3553" s="377" t="s">
        <v>2341</v>
      </c>
    </row>
    <row r="3554" spans="1:2" ht="25.5" x14ac:dyDescent="0.2">
      <c r="A3554" s="376">
        <v>5052300</v>
      </c>
      <c r="B3554" s="377" t="s">
        <v>2342</v>
      </c>
    </row>
    <row r="3555" spans="1:2" ht="25.5" x14ac:dyDescent="0.2">
      <c r="A3555" s="376">
        <v>5052301</v>
      </c>
      <c r="B3555" s="377" t="s">
        <v>2343</v>
      </c>
    </row>
    <row r="3556" spans="1:2" x14ac:dyDescent="0.2">
      <c r="A3556" s="376">
        <v>5052302</v>
      </c>
      <c r="B3556" s="377" t="s">
        <v>2344</v>
      </c>
    </row>
    <row r="3557" spans="1:2" x14ac:dyDescent="0.2">
      <c r="A3557" s="376">
        <v>5052400</v>
      </c>
      <c r="B3557" s="377" t="s">
        <v>2345</v>
      </c>
    </row>
    <row r="3558" spans="1:2" ht="25.5" x14ac:dyDescent="0.2">
      <c r="A3558" s="376">
        <v>5052500</v>
      </c>
      <c r="B3558" s="377" t="s">
        <v>2346</v>
      </c>
    </row>
    <row r="3559" spans="1:2" x14ac:dyDescent="0.2">
      <c r="A3559" s="376">
        <v>5052501</v>
      </c>
      <c r="B3559" s="377" t="s">
        <v>2347</v>
      </c>
    </row>
    <row r="3560" spans="1:2" ht="38.25" x14ac:dyDescent="0.2">
      <c r="A3560" s="376">
        <v>5052600</v>
      </c>
      <c r="B3560" s="377" t="s">
        <v>2348</v>
      </c>
    </row>
    <row r="3561" spans="1:2" x14ac:dyDescent="0.2">
      <c r="A3561" s="376">
        <v>5052601</v>
      </c>
      <c r="B3561" s="377" t="s">
        <v>2349</v>
      </c>
    </row>
    <row r="3562" spans="1:2" ht="38.25" x14ac:dyDescent="0.2">
      <c r="A3562" s="376">
        <v>5052700</v>
      </c>
      <c r="B3562" s="377" t="s">
        <v>2350</v>
      </c>
    </row>
    <row r="3563" spans="1:2" ht="25.5" x14ac:dyDescent="0.2">
      <c r="A3563" s="376">
        <v>5052701</v>
      </c>
      <c r="B3563" s="377" t="s">
        <v>2351</v>
      </c>
    </row>
    <row r="3564" spans="1:2" x14ac:dyDescent="0.2">
      <c r="A3564" s="376">
        <v>5052800</v>
      </c>
      <c r="B3564" s="377" t="s">
        <v>2352</v>
      </c>
    </row>
    <row r="3565" spans="1:2" x14ac:dyDescent="0.2">
      <c r="A3565" s="376">
        <v>5052900</v>
      </c>
      <c r="B3565" s="377" t="s">
        <v>2353</v>
      </c>
    </row>
    <row r="3566" spans="1:2" ht="25.5" x14ac:dyDescent="0.2">
      <c r="A3566" s="376">
        <v>5052901</v>
      </c>
      <c r="B3566" s="377" t="s">
        <v>2354</v>
      </c>
    </row>
    <row r="3567" spans="1:2" x14ac:dyDescent="0.2">
      <c r="A3567" s="376">
        <v>5053000</v>
      </c>
      <c r="B3567" s="377" t="s">
        <v>2355</v>
      </c>
    </row>
    <row r="3568" spans="1:2" x14ac:dyDescent="0.2">
      <c r="A3568" s="376">
        <v>5053100</v>
      </c>
      <c r="B3568" s="377" t="s">
        <v>2355</v>
      </c>
    </row>
    <row r="3569" spans="1:2" x14ac:dyDescent="0.2">
      <c r="A3569" s="376">
        <v>5053110</v>
      </c>
      <c r="B3569" s="377" t="s">
        <v>2355</v>
      </c>
    </row>
    <row r="3570" spans="1:2" x14ac:dyDescent="0.2">
      <c r="A3570" s="376">
        <v>5053120</v>
      </c>
      <c r="B3570" s="377" t="s">
        <v>2355</v>
      </c>
    </row>
    <row r="3571" spans="1:2" ht="25.5" x14ac:dyDescent="0.2">
      <c r="A3571" s="376">
        <v>5053200</v>
      </c>
      <c r="B3571" s="377" t="s">
        <v>2356</v>
      </c>
    </row>
    <row r="3572" spans="1:2" ht="25.5" x14ac:dyDescent="0.2">
      <c r="A3572" s="376">
        <v>5053201</v>
      </c>
      <c r="B3572" s="377" t="s">
        <v>2357</v>
      </c>
    </row>
    <row r="3573" spans="1:2" ht="25.5" x14ac:dyDescent="0.2">
      <c r="A3573" s="376">
        <v>5053202</v>
      </c>
      <c r="B3573" s="377" t="s">
        <v>2358</v>
      </c>
    </row>
    <row r="3574" spans="1:2" ht="25.5" x14ac:dyDescent="0.2">
      <c r="A3574" s="376">
        <v>5053204</v>
      </c>
      <c r="B3574" s="377" t="s">
        <v>2359</v>
      </c>
    </row>
    <row r="3575" spans="1:2" ht="25.5" x14ac:dyDescent="0.2">
      <c r="A3575" s="376">
        <v>5053205</v>
      </c>
      <c r="B3575" s="377" t="s">
        <v>2360</v>
      </c>
    </row>
    <row r="3576" spans="1:2" x14ac:dyDescent="0.2">
      <c r="A3576" s="376">
        <v>5053300</v>
      </c>
      <c r="B3576" s="377" t="s">
        <v>1766</v>
      </c>
    </row>
    <row r="3577" spans="1:2" x14ac:dyDescent="0.2">
      <c r="A3577" s="376">
        <v>5053301</v>
      </c>
      <c r="B3577" s="377" t="s">
        <v>2361</v>
      </c>
    </row>
    <row r="3578" spans="1:2" x14ac:dyDescent="0.2">
      <c r="A3578" s="376">
        <v>5053302</v>
      </c>
      <c r="B3578" s="377" t="s">
        <v>2362</v>
      </c>
    </row>
    <row r="3579" spans="1:2" ht="63.75" x14ac:dyDescent="0.2">
      <c r="A3579" s="376">
        <v>5053400</v>
      </c>
      <c r="B3579" s="377" t="s">
        <v>2363</v>
      </c>
    </row>
    <row r="3580" spans="1:2" ht="38.25" x14ac:dyDescent="0.2">
      <c r="A3580" s="376">
        <v>5053401</v>
      </c>
      <c r="B3580" s="377" t="s">
        <v>2364</v>
      </c>
    </row>
    <row r="3581" spans="1:2" ht="25.5" x14ac:dyDescent="0.2">
      <c r="A3581" s="376">
        <v>5053402</v>
      </c>
      <c r="B3581" s="377" t="s">
        <v>2365</v>
      </c>
    </row>
    <row r="3582" spans="1:2" ht="25.5" x14ac:dyDescent="0.2">
      <c r="A3582" s="376">
        <v>5053500</v>
      </c>
      <c r="B3582" s="377" t="s">
        <v>2366</v>
      </c>
    </row>
    <row r="3583" spans="1:2" ht="25.5" x14ac:dyDescent="0.2">
      <c r="A3583" s="376">
        <v>5053600</v>
      </c>
      <c r="B3583" s="377" t="s">
        <v>2335</v>
      </c>
    </row>
    <row r="3584" spans="1:2" ht="25.5" x14ac:dyDescent="0.2">
      <c r="A3584" s="376">
        <v>5053601</v>
      </c>
      <c r="B3584" s="377" t="s">
        <v>2335</v>
      </c>
    </row>
    <row r="3585" spans="1:2" ht="25.5" x14ac:dyDescent="0.2">
      <c r="A3585" s="376">
        <v>5053602</v>
      </c>
      <c r="B3585" s="377" t="s">
        <v>2367</v>
      </c>
    </row>
    <row r="3586" spans="1:2" ht="38.25" x14ac:dyDescent="0.2">
      <c r="A3586" s="376">
        <v>5053700</v>
      </c>
      <c r="B3586" s="377" t="s">
        <v>2368</v>
      </c>
    </row>
    <row r="3587" spans="1:2" x14ac:dyDescent="0.2">
      <c r="A3587" s="376">
        <v>5053800</v>
      </c>
      <c r="B3587" s="377" t="s">
        <v>2369</v>
      </c>
    </row>
    <row r="3588" spans="1:2" ht="25.5" x14ac:dyDescent="0.2">
      <c r="A3588" s="376">
        <v>5053801</v>
      </c>
      <c r="B3588" s="377" t="s">
        <v>2370</v>
      </c>
    </row>
    <row r="3589" spans="1:2" ht="25.5" x14ac:dyDescent="0.2">
      <c r="A3589" s="376">
        <v>5053900</v>
      </c>
      <c r="B3589" s="377" t="s">
        <v>2371</v>
      </c>
    </row>
    <row r="3590" spans="1:2" ht="25.5" x14ac:dyDescent="0.2">
      <c r="A3590" s="376">
        <v>5053901</v>
      </c>
      <c r="B3590" s="377" t="s">
        <v>2372</v>
      </c>
    </row>
    <row r="3591" spans="1:2" x14ac:dyDescent="0.2">
      <c r="A3591" s="376">
        <v>5053902</v>
      </c>
      <c r="B3591" s="377" t="s">
        <v>2373</v>
      </c>
    </row>
    <row r="3592" spans="1:2" x14ac:dyDescent="0.2">
      <c r="A3592" s="376">
        <v>5053903</v>
      </c>
      <c r="B3592" s="377" t="s">
        <v>2374</v>
      </c>
    </row>
    <row r="3593" spans="1:2" ht="25.5" x14ac:dyDescent="0.2">
      <c r="A3593" s="376">
        <v>5053904</v>
      </c>
      <c r="B3593" s="377" t="s">
        <v>2375</v>
      </c>
    </row>
    <row r="3594" spans="1:2" x14ac:dyDescent="0.2">
      <c r="A3594" s="376">
        <v>5053905</v>
      </c>
      <c r="B3594" s="377" t="s">
        <v>2376</v>
      </c>
    </row>
    <row r="3595" spans="1:2" x14ac:dyDescent="0.2">
      <c r="A3595" s="376">
        <v>5053906</v>
      </c>
      <c r="B3595" s="377" t="s">
        <v>2377</v>
      </c>
    </row>
    <row r="3596" spans="1:2" x14ac:dyDescent="0.2">
      <c r="A3596" s="376">
        <v>5053907</v>
      </c>
      <c r="B3596" s="377" t="s">
        <v>2378</v>
      </c>
    </row>
    <row r="3597" spans="1:2" ht="25.5" x14ac:dyDescent="0.2">
      <c r="A3597" s="376">
        <v>5054000</v>
      </c>
      <c r="B3597" s="377" t="s">
        <v>2379</v>
      </c>
    </row>
    <row r="3598" spans="1:2" ht="63.75" x14ac:dyDescent="0.2">
      <c r="A3598" s="376">
        <v>5054100</v>
      </c>
      <c r="B3598" s="377" t="s">
        <v>2380</v>
      </c>
    </row>
    <row r="3599" spans="1:2" ht="25.5" x14ac:dyDescent="0.2">
      <c r="A3599" s="376">
        <v>5054200</v>
      </c>
      <c r="B3599" s="377" t="s">
        <v>2381</v>
      </c>
    </row>
    <row r="3600" spans="1:2" x14ac:dyDescent="0.2">
      <c r="A3600" s="376">
        <v>5054201</v>
      </c>
      <c r="B3600" s="377" t="s">
        <v>2382</v>
      </c>
    </row>
    <row r="3601" spans="1:2" ht="25.5" x14ac:dyDescent="0.2">
      <c r="A3601" s="376">
        <v>5054202</v>
      </c>
      <c r="B3601" s="377" t="s">
        <v>2383</v>
      </c>
    </row>
    <row r="3602" spans="1:2" x14ac:dyDescent="0.2">
      <c r="A3602" s="376">
        <v>5054300</v>
      </c>
      <c r="B3602" s="377" t="s">
        <v>2384</v>
      </c>
    </row>
    <row r="3603" spans="1:2" x14ac:dyDescent="0.2">
      <c r="A3603" s="376">
        <v>5054301</v>
      </c>
      <c r="B3603" s="377" t="s">
        <v>2141</v>
      </c>
    </row>
    <row r="3604" spans="1:2" x14ac:dyDescent="0.2">
      <c r="A3604" s="376">
        <v>5054302</v>
      </c>
      <c r="B3604" s="377" t="s">
        <v>2385</v>
      </c>
    </row>
    <row r="3605" spans="1:2" x14ac:dyDescent="0.2">
      <c r="A3605" s="376">
        <v>5054400</v>
      </c>
      <c r="B3605" s="377" t="s">
        <v>2386</v>
      </c>
    </row>
    <row r="3606" spans="1:2" ht="25.5" x14ac:dyDescent="0.2">
      <c r="A3606" s="376">
        <v>5054401</v>
      </c>
      <c r="B3606" s="377" t="s">
        <v>2387</v>
      </c>
    </row>
    <row r="3607" spans="1:2" ht="25.5" x14ac:dyDescent="0.2">
      <c r="A3607" s="376">
        <v>5054500</v>
      </c>
      <c r="B3607" s="377" t="s">
        <v>2388</v>
      </c>
    </row>
    <row r="3608" spans="1:2" x14ac:dyDescent="0.2">
      <c r="A3608" s="376">
        <v>5054600</v>
      </c>
      <c r="B3608" s="377" t="s">
        <v>2389</v>
      </c>
    </row>
    <row r="3609" spans="1:2" x14ac:dyDescent="0.2">
      <c r="A3609" s="376">
        <v>5054700</v>
      </c>
      <c r="B3609" s="377" t="s">
        <v>2355</v>
      </c>
    </row>
    <row r="3610" spans="1:2" x14ac:dyDescent="0.2">
      <c r="A3610" s="376">
        <v>5054800</v>
      </c>
      <c r="B3610" s="377" t="s">
        <v>2390</v>
      </c>
    </row>
    <row r="3611" spans="1:2" x14ac:dyDescent="0.2">
      <c r="A3611" s="376">
        <v>5054900</v>
      </c>
      <c r="B3611" s="377" t="s">
        <v>2391</v>
      </c>
    </row>
    <row r="3612" spans="1:2" x14ac:dyDescent="0.2">
      <c r="A3612" s="376">
        <v>5054901</v>
      </c>
      <c r="B3612" s="377" t="s">
        <v>2392</v>
      </c>
    </row>
    <row r="3613" spans="1:2" ht="25.5" x14ac:dyDescent="0.2">
      <c r="A3613" s="376">
        <v>5055000</v>
      </c>
      <c r="B3613" s="377" t="s">
        <v>2393</v>
      </c>
    </row>
    <row r="3614" spans="1:2" x14ac:dyDescent="0.2">
      <c r="A3614" s="376">
        <v>5055100</v>
      </c>
      <c r="B3614" s="377" t="s">
        <v>2394</v>
      </c>
    </row>
    <row r="3615" spans="1:2" x14ac:dyDescent="0.2">
      <c r="A3615" s="376">
        <v>5055101</v>
      </c>
      <c r="B3615" s="377" t="s">
        <v>2395</v>
      </c>
    </row>
    <row r="3616" spans="1:2" ht="25.5" x14ac:dyDescent="0.2">
      <c r="A3616" s="376">
        <v>5055200</v>
      </c>
      <c r="B3616" s="377" t="s">
        <v>2396</v>
      </c>
    </row>
    <row r="3617" spans="1:2" x14ac:dyDescent="0.2">
      <c r="A3617" s="376">
        <v>5055201</v>
      </c>
      <c r="B3617" s="377" t="s">
        <v>2397</v>
      </c>
    </row>
    <row r="3618" spans="1:2" ht="25.5" x14ac:dyDescent="0.2">
      <c r="A3618" s="376">
        <v>5055300</v>
      </c>
      <c r="B3618" s="377" t="s">
        <v>2398</v>
      </c>
    </row>
    <row r="3619" spans="1:2" ht="25.5" x14ac:dyDescent="0.2">
      <c r="A3619" s="376">
        <v>5055400</v>
      </c>
      <c r="B3619" s="377" t="s">
        <v>2399</v>
      </c>
    </row>
    <row r="3620" spans="1:2" ht="38.25" x14ac:dyDescent="0.2">
      <c r="A3620" s="376">
        <v>5055402</v>
      </c>
      <c r="B3620" s="377" t="s">
        <v>2400</v>
      </c>
    </row>
    <row r="3621" spans="1:2" x14ac:dyDescent="0.2">
      <c r="A3621" s="376">
        <v>5055500</v>
      </c>
      <c r="B3621" s="377" t="s">
        <v>2401</v>
      </c>
    </row>
    <row r="3622" spans="1:2" x14ac:dyDescent="0.2">
      <c r="A3622" s="376">
        <v>5055510</v>
      </c>
      <c r="B3622" s="377" t="s">
        <v>2402</v>
      </c>
    </row>
    <row r="3623" spans="1:2" x14ac:dyDescent="0.2">
      <c r="A3623" s="376">
        <v>5055520</v>
      </c>
      <c r="B3623" s="377" t="s">
        <v>2403</v>
      </c>
    </row>
    <row r="3624" spans="1:2" x14ac:dyDescent="0.2">
      <c r="A3624" s="376">
        <v>5055521</v>
      </c>
      <c r="B3624" s="377" t="s">
        <v>2404</v>
      </c>
    </row>
    <row r="3625" spans="1:2" x14ac:dyDescent="0.2">
      <c r="A3625" s="376">
        <v>5055522</v>
      </c>
      <c r="B3625" s="377" t="s">
        <v>2405</v>
      </c>
    </row>
    <row r="3626" spans="1:2" ht="25.5" x14ac:dyDescent="0.2">
      <c r="A3626" s="376">
        <v>5055530</v>
      </c>
      <c r="B3626" s="377" t="s">
        <v>2406</v>
      </c>
    </row>
    <row r="3627" spans="1:2" ht="25.5" x14ac:dyDescent="0.2">
      <c r="A3627" s="376">
        <v>5055531</v>
      </c>
      <c r="B3627" s="377" t="s">
        <v>2406</v>
      </c>
    </row>
    <row r="3628" spans="1:2" x14ac:dyDescent="0.2">
      <c r="A3628" s="376">
        <v>5055900</v>
      </c>
      <c r="B3628" s="377" t="s">
        <v>2407</v>
      </c>
    </row>
    <row r="3629" spans="1:2" x14ac:dyDescent="0.2">
      <c r="A3629" s="376">
        <v>5055901</v>
      </c>
      <c r="B3629" s="377" t="s">
        <v>2408</v>
      </c>
    </row>
    <row r="3630" spans="1:2" x14ac:dyDescent="0.2">
      <c r="A3630" s="376">
        <v>5055902</v>
      </c>
      <c r="B3630" s="377" t="s">
        <v>2409</v>
      </c>
    </row>
    <row r="3631" spans="1:2" x14ac:dyDescent="0.2">
      <c r="A3631" s="376">
        <v>5055903</v>
      </c>
      <c r="B3631" s="377" t="s">
        <v>2410</v>
      </c>
    </row>
    <row r="3632" spans="1:2" x14ac:dyDescent="0.2">
      <c r="A3632" s="376">
        <v>5055904</v>
      </c>
      <c r="B3632" s="377" t="s">
        <v>2411</v>
      </c>
    </row>
    <row r="3633" spans="1:2" x14ac:dyDescent="0.2">
      <c r="A3633" s="376">
        <v>5056400</v>
      </c>
      <c r="B3633" s="377" t="s">
        <v>1788</v>
      </c>
    </row>
    <row r="3634" spans="1:2" x14ac:dyDescent="0.2">
      <c r="A3634" s="376">
        <v>5057600</v>
      </c>
      <c r="B3634" s="377" t="s">
        <v>2121</v>
      </c>
    </row>
    <row r="3635" spans="1:2" x14ac:dyDescent="0.2">
      <c r="A3635" s="376">
        <v>5058000</v>
      </c>
      <c r="B3635" s="377" t="s">
        <v>2412</v>
      </c>
    </row>
    <row r="3636" spans="1:2" x14ac:dyDescent="0.2">
      <c r="A3636" s="376">
        <v>5058001</v>
      </c>
      <c r="B3636" s="377" t="s">
        <v>2413</v>
      </c>
    </row>
    <row r="3637" spans="1:2" ht="38.25" x14ac:dyDescent="0.2">
      <c r="A3637" s="376">
        <v>5058100</v>
      </c>
      <c r="B3637" s="377" t="s">
        <v>2414</v>
      </c>
    </row>
    <row r="3638" spans="1:2" ht="25.5" x14ac:dyDescent="0.2">
      <c r="A3638" s="376">
        <v>5058101</v>
      </c>
      <c r="B3638" s="377" t="s">
        <v>2415</v>
      </c>
    </row>
    <row r="3639" spans="1:2" x14ac:dyDescent="0.2">
      <c r="A3639" s="376">
        <v>5058500</v>
      </c>
      <c r="B3639" s="377" t="s">
        <v>2416</v>
      </c>
    </row>
    <row r="3640" spans="1:2" x14ac:dyDescent="0.2">
      <c r="A3640" s="376">
        <v>5058600</v>
      </c>
      <c r="B3640" s="377" t="s">
        <v>2416</v>
      </c>
    </row>
    <row r="3641" spans="1:2" x14ac:dyDescent="0.2">
      <c r="A3641" s="376">
        <v>5058610</v>
      </c>
      <c r="B3641" s="377" t="s">
        <v>2417</v>
      </c>
    </row>
    <row r="3642" spans="1:2" x14ac:dyDescent="0.2">
      <c r="A3642" s="376">
        <v>5060000</v>
      </c>
      <c r="B3642" s="377" t="s">
        <v>2418</v>
      </c>
    </row>
    <row r="3643" spans="1:2" x14ac:dyDescent="0.2">
      <c r="A3643" s="376">
        <v>5060100</v>
      </c>
      <c r="B3643" s="377" t="s">
        <v>2419</v>
      </c>
    </row>
    <row r="3644" spans="1:2" x14ac:dyDescent="0.2">
      <c r="A3644" s="376">
        <v>5060200</v>
      </c>
      <c r="B3644" s="377" t="s">
        <v>2420</v>
      </c>
    </row>
    <row r="3645" spans="1:2" ht="25.5" x14ac:dyDescent="0.2">
      <c r="A3645" s="376">
        <v>5060300</v>
      </c>
      <c r="B3645" s="377" t="s">
        <v>2421</v>
      </c>
    </row>
    <row r="3646" spans="1:2" x14ac:dyDescent="0.2">
      <c r="A3646" s="376">
        <v>5070000</v>
      </c>
      <c r="B3646" s="377" t="s">
        <v>2422</v>
      </c>
    </row>
    <row r="3647" spans="1:2" x14ac:dyDescent="0.2">
      <c r="A3647" s="376">
        <v>5070100</v>
      </c>
      <c r="B3647" s="377" t="s">
        <v>2423</v>
      </c>
    </row>
    <row r="3648" spans="1:2" x14ac:dyDescent="0.2">
      <c r="A3648" s="376">
        <v>5079900</v>
      </c>
      <c r="B3648" s="377" t="s">
        <v>2355</v>
      </c>
    </row>
    <row r="3649" spans="1:2" x14ac:dyDescent="0.2">
      <c r="A3649" s="376">
        <v>5080000</v>
      </c>
      <c r="B3649" s="377" t="s">
        <v>2424</v>
      </c>
    </row>
    <row r="3650" spans="1:2" x14ac:dyDescent="0.2">
      <c r="A3650" s="376">
        <v>5089900</v>
      </c>
      <c r="B3650" s="377" t="s">
        <v>1324</v>
      </c>
    </row>
    <row r="3651" spans="1:2" x14ac:dyDescent="0.2">
      <c r="A3651" s="376">
        <v>5090000</v>
      </c>
      <c r="B3651" s="377" t="s">
        <v>2425</v>
      </c>
    </row>
    <row r="3652" spans="1:2" ht="25.5" x14ac:dyDescent="0.2">
      <c r="A3652" s="376">
        <v>5090100</v>
      </c>
      <c r="B3652" s="377" t="s">
        <v>2426</v>
      </c>
    </row>
    <row r="3653" spans="1:2" x14ac:dyDescent="0.2">
      <c r="A3653" s="376">
        <v>5090101</v>
      </c>
      <c r="B3653" s="377" t="s">
        <v>2427</v>
      </c>
    </row>
    <row r="3654" spans="1:2" ht="25.5" x14ac:dyDescent="0.2">
      <c r="A3654" s="376">
        <v>5090200</v>
      </c>
      <c r="B3654" s="377" t="s">
        <v>2428</v>
      </c>
    </row>
    <row r="3655" spans="1:2" x14ac:dyDescent="0.2">
      <c r="A3655" s="376">
        <v>5090201</v>
      </c>
      <c r="B3655" s="377" t="s">
        <v>2429</v>
      </c>
    </row>
    <row r="3656" spans="1:2" ht="25.5" x14ac:dyDescent="0.2">
      <c r="A3656" s="376">
        <v>5090300</v>
      </c>
      <c r="B3656" s="377" t="s">
        <v>2430</v>
      </c>
    </row>
    <row r="3657" spans="1:2" x14ac:dyDescent="0.2">
      <c r="A3657" s="376">
        <v>5090301</v>
      </c>
      <c r="B3657" s="377" t="s">
        <v>2431</v>
      </c>
    </row>
    <row r="3658" spans="1:2" ht="25.5" x14ac:dyDescent="0.2">
      <c r="A3658" s="376">
        <v>5090400</v>
      </c>
      <c r="B3658" s="377" t="s">
        <v>2432</v>
      </c>
    </row>
    <row r="3659" spans="1:2" ht="25.5" x14ac:dyDescent="0.2">
      <c r="A3659" s="376">
        <v>5090401</v>
      </c>
      <c r="B3659" s="377" t="s">
        <v>2433</v>
      </c>
    </row>
    <row r="3660" spans="1:2" ht="51" x14ac:dyDescent="0.2">
      <c r="A3660" s="376">
        <v>5090500</v>
      </c>
      <c r="B3660" s="377" t="s">
        <v>2434</v>
      </c>
    </row>
    <row r="3661" spans="1:2" ht="38.25" x14ac:dyDescent="0.2">
      <c r="A3661" s="376">
        <v>5090501</v>
      </c>
      <c r="B3661" s="377" t="s">
        <v>2435</v>
      </c>
    </row>
    <row r="3662" spans="1:2" ht="25.5" x14ac:dyDescent="0.2">
      <c r="A3662" s="376">
        <v>5090600</v>
      </c>
      <c r="B3662" s="377" t="s">
        <v>2436</v>
      </c>
    </row>
    <row r="3663" spans="1:2" x14ac:dyDescent="0.2">
      <c r="A3663" s="376">
        <v>5090601</v>
      </c>
      <c r="B3663" s="377" t="s">
        <v>2437</v>
      </c>
    </row>
    <row r="3664" spans="1:2" ht="25.5" x14ac:dyDescent="0.2">
      <c r="A3664" s="376">
        <v>5090700</v>
      </c>
      <c r="B3664" s="377" t="s">
        <v>2438</v>
      </c>
    </row>
    <row r="3665" spans="1:2" x14ac:dyDescent="0.2">
      <c r="A3665" s="376">
        <v>5090701</v>
      </c>
      <c r="B3665" s="377" t="s">
        <v>2439</v>
      </c>
    </row>
    <row r="3666" spans="1:2" ht="25.5" x14ac:dyDescent="0.2">
      <c r="A3666" s="376">
        <v>5090800</v>
      </c>
      <c r="B3666" s="377" t="s">
        <v>2440</v>
      </c>
    </row>
    <row r="3667" spans="1:2" x14ac:dyDescent="0.2">
      <c r="A3667" s="376">
        <v>5090801</v>
      </c>
      <c r="B3667" s="377" t="s">
        <v>2441</v>
      </c>
    </row>
    <row r="3668" spans="1:2" ht="25.5" x14ac:dyDescent="0.2">
      <c r="A3668" s="376">
        <v>5090900</v>
      </c>
      <c r="B3668" s="377" t="s">
        <v>2442</v>
      </c>
    </row>
    <row r="3669" spans="1:2" x14ac:dyDescent="0.2">
      <c r="A3669" s="376">
        <v>5090901</v>
      </c>
      <c r="B3669" s="377" t="s">
        <v>2443</v>
      </c>
    </row>
    <row r="3670" spans="1:2" ht="25.5" x14ac:dyDescent="0.2">
      <c r="A3670" s="376">
        <v>5091000</v>
      </c>
      <c r="B3670" s="377" t="s">
        <v>2444</v>
      </c>
    </row>
    <row r="3671" spans="1:2" x14ac:dyDescent="0.2">
      <c r="A3671" s="376">
        <v>5091001</v>
      </c>
      <c r="B3671" s="377" t="s">
        <v>2445</v>
      </c>
    </row>
    <row r="3672" spans="1:2" ht="25.5" x14ac:dyDescent="0.2">
      <c r="A3672" s="376">
        <v>5091100</v>
      </c>
      <c r="B3672" s="377" t="s">
        <v>2446</v>
      </c>
    </row>
    <row r="3673" spans="1:2" x14ac:dyDescent="0.2">
      <c r="A3673" s="376">
        <v>5091101</v>
      </c>
      <c r="B3673" s="377" t="s">
        <v>2447</v>
      </c>
    </row>
    <row r="3674" spans="1:2" ht="25.5" x14ac:dyDescent="0.2">
      <c r="A3674" s="376">
        <v>5091200</v>
      </c>
      <c r="B3674" s="377" t="s">
        <v>2448</v>
      </c>
    </row>
    <row r="3675" spans="1:2" x14ac:dyDescent="0.2">
      <c r="A3675" s="376">
        <v>5091201</v>
      </c>
      <c r="B3675" s="377" t="s">
        <v>2449</v>
      </c>
    </row>
    <row r="3676" spans="1:2" ht="25.5" x14ac:dyDescent="0.2">
      <c r="A3676" s="376">
        <v>5091300</v>
      </c>
      <c r="B3676" s="377" t="s">
        <v>2450</v>
      </c>
    </row>
    <row r="3677" spans="1:2" x14ac:dyDescent="0.2">
      <c r="A3677" s="376">
        <v>5091301</v>
      </c>
      <c r="B3677" s="377" t="s">
        <v>2451</v>
      </c>
    </row>
    <row r="3678" spans="1:2" x14ac:dyDescent="0.2">
      <c r="A3678" s="376">
        <v>5100000</v>
      </c>
      <c r="B3678" s="377" t="s">
        <v>2452</v>
      </c>
    </row>
    <row r="3679" spans="1:2" x14ac:dyDescent="0.2">
      <c r="A3679" s="376">
        <v>5100100</v>
      </c>
      <c r="B3679" s="377" t="s">
        <v>2453</v>
      </c>
    </row>
    <row r="3680" spans="1:2" ht="25.5" x14ac:dyDescent="0.2">
      <c r="A3680" s="376">
        <v>5100200</v>
      </c>
      <c r="B3680" s="377" t="s">
        <v>2454</v>
      </c>
    </row>
    <row r="3681" spans="1:2" ht="25.5" x14ac:dyDescent="0.2">
      <c r="A3681" s="376">
        <v>5100300</v>
      </c>
      <c r="B3681" s="377" t="s">
        <v>2455</v>
      </c>
    </row>
    <row r="3682" spans="1:2" x14ac:dyDescent="0.2">
      <c r="A3682" s="376">
        <v>5110000</v>
      </c>
      <c r="B3682" s="377" t="s">
        <v>2456</v>
      </c>
    </row>
    <row r="3683" spans="1:2" ht="25.5" x14ac:dyDescent="0.2">
      <c r="A3683" s="376">
        <v>5110200</v>
      </c>
      <c r="B3683" s="377" t="s">
        <v>2457</v>
      </c>
    </row>
    <row r="3684" spans="1:2" x14ac:dyDescent="0.2">
      <c r="A3684" s="376">
        <v>5120000</v>
      </c>
      <c r="B3684" s="377" t="s">
        <v>2458</v>
      </c>
    </row>
    <row r="3685" spans="1:2" x14ac:dyDescent="0.2">
      <c r="A3685" s="376">
        <v>5129400</v>
      </c>
      <c r="B3685" s="377" t="s">
        <v>1376</v>
      </c>
    </row>
    <row r="3686" spans="1:2" x14ac:dyDescent="0.2">
      <c r="A3686" s="376">
        <v>5129700</v>
      </c>
      <c r="B3686" s="377" t="s">
        <v>1358</v>
      </c>
    </row>
    <row r="3687" spans="1:2" x14ac:dyDescent="0.2">
      <c r="A3687" s="376">
        <v>5130000</v>
      </c>
      <c r="B3687" s="377" t="s">
        <v>2459</v>
      </c>
    </row>
    <row r="3688" spans="1:2" x14ac:dyDescent="0.2">
      <c r="A3688" s="376">
        <v>5139700</v>
      </c>
      <c r="B3688" s="377" t="s">
        <v>1358</v>
      </c>
    </row>
    <row r="3689" spans="1:2" x14ac:dyDescent="0.2">
      <c r="A3689" s="376">
        <v>5140000</v>
      </c>
      <c r="B3689" s="377" t="s">
        <v>2460</v>
      </c>
    </row>
    <row r="3690" spans="1:2" x14ac:dyDescent="0.2">
      <c r="A3690" s="376">
        <v>5140100</v>
      </c>
      <c r="B3690" s="377" t="s">
        <v>1766</v>
      </c>
    </row>
    <row r="3691" spans="1:2" x14ac:dyDescent="0.2">
      <c r="A3691" s="376">
        <v>5140101</v>
      </c>
      <c r="B3691" s="377" t="s">
        <v>2461</v>
      </c>
    </row>
    <row r="3692" spans="1:2" x14ac:dyDescent="0.2">
      <c r="A3692" s="376">
        <v>5140102</v>
      </c>
      <c r="B3692" s="377" t="s">
        <v>2462</v>
      </c>
    </row>
    <row r="3693" spans="1:2" x14ac:dyDescent="0.2">
      <c r="A3693" s="376">
        <v>5140103</v>
      </c>
      <c r="B3693" s="377" t="s">
        <v>2461</v>
      </c>
    </row>
    <row r="3694" spans="1:2" x14ac:dyDescent="0.2">
      <c r="A3694" s="376">
        <v>5140110</v>
      </c>
      <c r="B3694" s="377" t="s">
        <v>2463</v>
      </c>
    </row>
    <row r="3695" spans="1:2" x14ac:dyDescent="0.2">
      <c r="A3695" s="376">
        <v>5140200</v>
      </c>
      <c r="B3695" s="377" t="s">
        <v>2464</v>
      </c>
    </row>
    <row r="3696" spans="1:2" x14ac:dyDescent="0.2">
      <c r="A3696" s="376">
        <v>5140300</v>
      </c>
      <c r="B3696" s="377" t="s">
        <v>2465</v>
      </c>
    </row>
    <row r="3697" spans="1:2" x14ac:dyDescent="0.2">
      <c r="A3697" s="376">
        <v>5140400</v>
      </c>
      <c r="B3697" s="377" t="s">
        <v>2466</v>
      </c>
    </row>
    <row r="3698" spans="1:2" x14ac:dyDescent="0.2">
      <c r="A3698" s="376">
        <v>5140500</v>
      </c>
      <c r="B3698" s="377" t="s">
        <v>2467</v>
      </c>
    </row>
    <row r="3699" spans="1:2" ht="25.5" x14ac:dyDescent="0.2">
      <c r="A3699" s="376">
        <v>5140600</v>
      </c>
      <c r="B3699" s="377" t="s">
        <v>2468</v>
      </c>
    </row>
    <row r="3700" spans="1:2" x14ac:dyDescent="0.2">
      <c r="A3700" s="376">
        <v>5140700</v>
      </c>
      <c r="B3700" s="377" t="s">
        <v>2469</v>
      </c>
    </row>
    <row r="3701" spans="1:2" x14ac:dyDescent="0.2">
      <c r="A3701" s="376">
        <v>5140800</v>
      </c>
      <c r="B3701" s="377" t="s">
        <v>2470</v>
      </c>
    </row>
    <row r="3702" spans="1:2" x14ac:dyDescent="0.2">
      <c r="A3702" s="376">
        <v>5140900</v>
      </c>
      <c r="B3702" s="377" t="s">
        <v>2471</v>
      </c>
    </row>
    <row r="3703" spans="1:2" ht="38.25" x14ac:dyDescent="0.2">
      <c r="A3703" s="376">
        <v>5141000</v>
      </c>
      <c r="B3703" s="377" t="s">
        <v>2472</v>
      </c>
    </row>
    <row r="3704" spans="1:2" ht="25.5" x14ac:dyDescent="0.2">
      <c r="A3704" s="376">
        <v>5141500</v>
      </c>
      <c r="B3704" s="377" t="s">
        <v>2473</v>
      </c>
    </row>
    <row r="3705" spans="1:2" ht="38.25" x14ac:dyDescent="0.2">
      <c r="A3705" s="376">
        <v>5142000</v>
      </c>
      <c r="B3705" s="377" t="s">
        <v>2474</v>
      </c>
    </row>
    <row r="3706" spans="1:2" x14ac:dyDescent="0.2">
      <c r="A3706" s="376">
        <v>5142100</v>
      </c>
      <c r="B3706" s="377" t="s">
        <v>2475</v>
      </c>
    </row>
    <row r="3707" spans="1:2" x14ac:dyDescent="0.2">
      <c r="A3707" s="376">
        <v>5142200</v>
      </c>
      <c r="B3707" s="377" t="s">
        <v>2476</v>
      </c>
    </row>
    <row r="3708" spans="1:2" ht="25.5" x14ac:dyDescent="0.2">
      <c r="A3708" s="376">
        <v>5142201</v>
      </c>
      <c r="B3708" s="377" t="s">
        <v>2477</v>
      </c>
    </row>
    <row r="3709" spans="1:2" x14ac:dyDescent="0.2">
      <c r="A3709" s="376">
        <v>5142202</v>
      </c>
      <c r="B3709" s="377" t="s">
        <v>2478</v>
      </c>
    </row>
    <row r="3710" spans="1:2" x14ac:dyDescent="0.2">
      <c r="A3710" s="376">
        <v>5142300</v>
      </c>
      <c r="B3710" s="377" t="s">
        <v>2479</v>
      </c>
    </row>
    <row r="3711" spans="1:2" ht="38.25" x14ac:dyDescent="0.2">
      <c r="A3711" s="376">
        <v>5142301</v>
      </c>
      <c r="B3711" s="377" t="s">
        <v>2480</v>
      </c>
    </row>
    <row r="3712" spans="1:2" ht="38.25" x14ac:dyDescent="0.2">
      <c r="A3712" s="376">
        <v>5142400</v>
      </c>
      <c r="B3712" s="377" t="s">
        <v>2481</v>
      </c>
    </row>
    <row r="3713" spans="1:2" ht="25.5" x14ac:dyDescent="0.2">
      <c r="A3713" s="376">
        <v>5142401</v>
      </c>
      <c r="B3713" s="377" t="s">
        <v>2482</v>
      </c>
    </row>
    <row r="3714" spans="1:2" x14ac:dyDescent="0.2">
      <c r="A3714" s="376">
        <v>5142500</v>
      </c>
      <c r="B3714" s="377" t="s">
        <v>2483</v>
      </c>
    </row>
    <row r="3715" spans="1:2" x14ac:dyDescent="0.2">
      <c r="A3715" s="376">
        <v>5142501</v>
      </c>
      <c r="B3715" s="377" t="s">
        <v>2484</v>
      </c>
    </row>
    <row r="3716" spans="1:2" x14ac:dyDescent="0.2">
      <c r="A3716" s="376">
        <v>5142600</v>
      </c>
      <c r="B3716" s="377" t="s">
        <v>2485</v>
      </c>
    </row>
    <row r="3717" spans="1:2" ht="25.5" x14ac:dyDescent="0.2">
      <c r="A3717" s="376">
        <v>5142601</v>
      </c>
      <c r="B3717" s="377" t="s">
        <v>2486</v>
      </c>
    </row>
    <row r="3718" spans="1:2" x14ac:dyDescent="0.2">
      <c r="A3718" s="376">
        <v>5142800</v>
      </c>
      <c r="B3718" s="377" t="s">
        <v>2487</v>
      </c>
    </row>
    <row r="3719" spans="1:2" ht="25.5" x14ac:dyDescent="0.2">
      <c r="A3719" s="376">
        <v>5142801</v>
      </c>
      <c r="B3719" s="377" t="s">
        <v>2488</v>
      </c>
    </row>
    <row r="3720" spans="1:2" x14ac:dyDescent="0.2">
      <c r="A3720" s="376">
        <v>5142900</v>
      </c>
      <c r="B3720" s="377" t="s">
        <v>2489</v>
      </c>
    </row>
    <row r="3721" spans="1:2" ht="25.5" x14ac:dyDescent="0.2">
      <c r="A3721" s="376">
        <v>5142901</v>
      </c>
      <c r="B3721" s="377" t="s">
        <v>2490</v>
      </c>
    </row>
    <row r="3722" spans="1:2" x14ac:dyDescent="0.2">
      <c r="A3722" s="376">
        <v>5143100</v>
      </c>
      <c r="B3722" s="377" t="s">
        <v>2491</v>
      </c>
    </row>
    <row r="3723" spans="1:2" ht="38.25" x14ac:dyDescent="0.2">
      <c r="A3723" s="376">
        <v>5143101</v>
      </c>
      <c r="B3723" s="377" t="s">
        <v>2492</v>
      </c>
    </row>
    <row r="3724" spans="1:2" x14ac:dyDescent="0.2">
      <c r="A3724" s="376">
        <v>5143300</v>
      </c>
      <c r="B3724" s="377" t="s">
        <v>2493</v>
      </c>
    </row>
    <row r="3725" spans="1:2" ht="25.5" x14ac:dyDescent="0.2">
      <c r="A3725" s="376">
        <v>5143301</v>
      </c>
      <c r="B3725" s="377" t="s">
        <v>2494</v>
      </c>
    </row>
    <row r="3726" spans="1:2" x14ac:dyDescent="0.2">
      <c r="A3726" s="376">
        <v>5143400</v>
      </c>
      <c r="B3726" s="377" t="s">
        <v>2495</v>
      </c>
    </row>
    <row r="3727" spans="1:2" x14ac:dyDescent="0.2">
      <c r="A3727" s="376">
        <v>5143401</v>
      </c>
      <c r="B3727" s="377" t="s">
        <v>2496</v>
      </c>
    </row>
    <row r="3728" spans="1:2" ht="25.5" x14ac:dyDescent="0.2">
      <c r="A3728" s="376">
        <v>5143500</v>
      </c>
      <c r="B3728" s="377" t="s">
        <v>2497</v>
      </c>
    </row>
    <row r="3729" spans="1:2" x14ac:dyDescent="0.2">
      <c r="A3729" s="376">
        <v>5143501</v>
      </c>
      <c r="B3729" s="377" t="s">
        <v>2498</v>
      </c>
    </row>
    <row r="3730" spans="1:2" ht="38.25" x14ac:dyDescent="0.2">
      <c r="A3730" s="376">
        <v>5143600</v>
      </c>
      <c r="B3730" s="377" t="s">
        <v>2499</v>
      </c>
    </row>
    <row r="3731" spans="1:2" x14ac:dyDescent="0.2">
      <c r="A3731" s="376">
        <v>5143601</v>
      </c>
      <c r="B3731" s="377" t="s">
        <v>2500</v>
      </c>
    </row>
    <row r="3732" spans="1:2" ht="38.25" x14ac:dyDescent="0.2">
      <c r="A3732" s="376">
        <v>5143700</v>
      </c>
      <c r="B3732" s="377" t="s">
        <v>2501</v>
      </c>
    </row>
    <row r="3733" spans="1:2" ht="38.25" x14ac:dyDescent="0.2">
      <c r="A3733" s="376">
        <v>5143701</v>
      </c>
      <c r="B3733" s="377" t="s">
        <v>2502</v>
      </c>
    </row>
    <row r="3734" spans="1:2" ht="25.5" x14ac:dyDescent="0.2">
      <c r="A3734" s="376">
        <v>5143800</v>
      </c>
      <c r="B3734" s="377" t="s">
        <v>2503</v>
      </c>
    </row>
    <row r="3735" spans="1:2" ht="25.5" x14ac:dyDescent="0.2">
      <c r="A3735" s="376">
        <v>5143801</v>
      </c>
      <c r="B3735" s="377" t="s">
        <v>2504</v>
      </c>
    </row>
    <row r="3736" spans="1:2" ht="102" x14ac:dyDescent="0.2">
      <c r="A3736" s="376">
        <v>5143900</v>
      </c>
      <c r="B3736" s="377" t="s">
        <v>2505</v>
      </c>
    </row>
    <row r="3737" spans="1:2" ht="51" x14ac:dyDescent="0.2">
      <c r="A3737" s="376">
        <v>5143901</v>
      </c>
      <c r="B3737" s="377" t="s">
        <v>2506</v>
      </c>
    </row>
    <row r="3738" spans="1:2" x14ac:dyDescent="0.2">
      <c r="A3738" s="376">
        <v>5144000</v>
      </c>
      <c r="B3738" s="377" t="s">
        <v>2507</v>
      </c>
    </row>
    <row r="3739" spans="1:2" ht="38.25" x14ac:dyDescent="0.2">
      <c r="A3739" s="376">
        <v>5144001</v>
      </c>
      <c r="B3739" s="377" t="s">
        <v>2508</v>
      </c>
    </row>
    <row r="3740" spans="1:2" ht="38.25" x14ac:dyDescent="0.2">
      <c r="A3740" s="376">
        <v>5144100</v>
      </c>
      <c r="B3740" s="377" t="s">
        <v>2509</v>
      </c>
    </row>
    <row r="3741" spans="1:2" ht="38.25" x14ac:dyDescent="0.2">
      <c r="A3741" s="376">
        <v>5150000</v>
      </c>
      <c r="B3741" s="377" t="s">
        <v>2510</v>
      </c>
    </row>
    <row r="3742" spans="1:2" ht="38.25" x14ac:dyDescent="0.2">
      <c r="A3742" s="376">
        <v>5150100</v>
      </c>
      <c r="B3742" s="377" t="s">
        <v>2510</v>
      </c>
    </row>
    <row r="3743" spans="1:2" x14ac:dyDescent="0.2">
      <c r="A3743" s="376">
        <v>5160000</v>
      </c>
      <c r="B3743" s="377" t="s">
        <v>2511</v>
      </c>
    </row>
    <row r="3744" spans="1:2" x14ac:dyDescent="0.2">
      <c r="A3744" s="376">
        <v>5160100</v>
      </c>
      <c r="B3744" s="377" t="s">
        <v>2511</v>
      </c>
    </row>
    <row r="3745" spans="1:2" x14ac:dyDescent="0.2">
      <c r="A3745" s="376">
        <v>5160130</v>
      </c>
      <c r="B3745" s="377" t="s">
        <v>2512</v>
      </c>
    </row>
    <row r="3746" spans="1:2" x14ac:dyDescent="0.2">
      <c r="A3746" s="376">
        <v>5170000</v>
      </c>
      <c r="B3746" s="377" t="s">
        <v>2513</v>
      </c>
    </row>
    <row r="3747" spans="1:2" x14ac:dyDescent="0.2">
      <c r="A3747" s="376">
        <v>5170100</v>
      </c>
      <c r="B3747" s="377" t="s">
        <v>2514</v>
      </c>
    </row>
    <row r="3748" spans="1:2" x14ac:dyDescent="0.2">
      <c r="A3748" s="376">
        <v>5170200</v>
      </c>
      <c r="B3748" s="377" t="s">
        <v>2515</v>
      </c>
    </row>
    <row r="3749" spans="1:2" x14ac:dyDescent="0.2">
      <c r="A3749" s="376">
        <v>5170220</v>
      </c>
      <c r="B3749" s="377" t="s">
        <v>2516</v>
      </c>
    </row>
    <row r="3750" spans="1:2" x14ac:dyDescent="0.2">
      <c r="A3750" s="376">
        <v>5170400</v>
      </c>
      <c r="B3750" s="377" t="s">
        <v>2517</v>
      </c>
    </row>
    <row r="3751" spans="1:2" x14ac:dyDescent="0.2">
      <c r="A3751" s="376">
        <v>5170500</v>
      </c>
      <c r="B3751" s="377" t="s">
        <v>2518</v>
      </c>
    </row>
    <row r="3752" spans="1:2" ht="25.5" x14ac:dyDescent="0.2">
      <c r="A3752" s="376">
        <v>5170600</v>
      </c>
      <c r="B3752" s="377" t="s">
        <v>2519</v>
      </c>
    </row>
    <row r="3753" spans="1:2" x14ac:dyDescent="0.2">
      <c r="A3753" s="376">
        <v>5170700</v>
      </c>
      <c r="B3753" s="377" t="s">
        <v>2520</v>
      </c>
    </row>
    <row r="3754" spans="1:2" ht="25.5" x14ac:dyDescent="0.2">
      <c r="A3754" s="376">
        <v>5171000</v>
      </c>
      <c r="B3754" s="377" t="s">
        <v>2521</v>
      </c>
    </row>
    <row r="3755" spans="1:2" x14ac:dyDescent="0.2">
      <c r="A3755" s="376">
        <v>5180000</v>
      </c>
      <c r="B3755" s="377" t="s">
        <v>2522</v>
      </c>
    </row>
    <row r="3756" spans="1:2" x14ac:dyDescent="0.2">
      <c r="A3756" s="376">
        <v>5180100</v>
      </c>
      <c r="B3756" s="377" t="s">
        <v>2523</v>
      </c>
    </row>
    <row r="3757" spans="1:2" x14ac:dyDescent="0.2">
      <c r="A3757" s="376">
        <v>5180101</v>
      </c>
      <c r="B3757" s="377" t="s">
        <v>2524</v>
      </c>
    </row>
    <row r="3758" spans="1:2" x14ac:dyDescent="0.2">
      <c r="A3758" s="376">
        <v>5180200</v>
      </c>
      <c r="B3758" s="377" t="s">
        <v>2525</v>
      </c>
    </row>
    <row r="3759" spans="1:2" x14ac:dyDescent="0.2">
      <c r="A3759" s="376">
        <v>5190000</v>
      </c>
      <c r="B3759" s="377" t="s">
        <v>2526</v>
      </c>
    </row>
    <row r="3760" spans="1:2" ht="25.5" x14ac:dyDescent="0.2">
      <c r="A3760" s="376">
        <v>5190100</v>
      </c>
      <c r="B3760" s="377" t="s">
        <v>2527</v>
      </c>
    </row>
    <row r="3761" spans="1:2" x14ac:dyDescent="0.2">
      <c r="A3761" s="376">
        <v>5200000</v>
      </c>
      <c r="B3761" s="377" t="s">
        <v>2528</v>
      </c>
    </row>
    <row r="3762" spans="1:2" x14ac:dyDescent="0.2">
      <c r="A3762" s="376">
        <v>5200100</v>
      </c>
      <c r="B3762" s="377" t="s">
        <v>2529</v>
      </c>
    </row>
    <row r="3763" spans="1:2" x14ac:dyDescent="0.2">
      <c r="A3763" s="376">
        <v>5200200</v>
      </c>
      <c r="B3763" s="377" t="s">
        <v>2530</v>
      </c>
    </row>
    <row r="3764" spans="1:2" ht="25.5" x14ac:dyDescent="0.2">
      <c r="A3764" s="376">
        <v>5200300</v>
      </c>
      <c r="B3764" s="377" t="s">
        <v>2531</v>
      </c>
    </row>
    <row r="3765" spans="1:2" ht="25.5" x14ac:dyDescent="0.2">
      <c r="A3765" s="376">
        <v>5200302</v>
      </c>
      <c r="B3765" s="377" t="s">
        <v>2532</v>
      </c>
    </row>
    <row r="3766" spans="1:2" x14ac:dyDescent="0.2">
      <c r="A3766" s="376">
        <v>5200400</v>
      </c>
      <c r="B3766" s="377" t="s">
        <v>2533</v>
      </c>
    </row>
    <row r="3767" spans="1:2" ht="25.5" x14ac:dyDescent="0.2">
      <c r="A3767" s="376">
        <v>5200402</v>
      </c>
      <c r="B3767" s="377" t="s">
        <v>2534</v>
      </c>
    </row>
    <row r="3768" spans="1:2" x14ac:dyDescent="0.2">
      <c r="A3768" s="376">
        <v>5200500</v>
      </c>
      <c r="B3768" s="377" t="s">
        <v>2535</v>
      </c>
    </row>
    <row r="3769" spans="1:2" x14ac:dyDescent="0.2">
      <c r="A3769" s="376">
        <v>5200600</v>
      </c>
      <c r="B3769" s="377" t="s">
        <v>2536</v>
      </c>
    </row>
    <row r="3770" spans="1:2" ht="25.5" x14ac:dyDescent="0.2">
      <c r="A3770" s="376">
        <v>5200700</v>
      </c>
      <c r="B3770" s="377" t="s">
        <v>2537</v>
      </c>
    </row>
    <row r="3771" spans="1:2" x14ac:dyDescent="0.2">
      <c r="A3771" s="376">
        <v>5200800</v>
      </c>
      <c r="B3771" s="377" t="s">
        <v>2538</v>
      </c>
    </row>
    <row r="3772" spans="1:2" x14ac:dyDescent="0.2">
      <c r="A3772" s="376">
        <v>5200900</v>
      </c>
      <c r="B3772" s="377" t="s">
        <v>2539</v>
      </c>
    </row>
    <row r="3773" spans="1:2" x14ac:dyDescent="0.2">
      <c r="A3773" s="376">
        <v>5200901</v>
      </c>
      <c r="B3773" s="377" t="s">
        <v>2539</v>
      </c>
    </row>
    <row r="3774" spans="1:2" ht="25.5" x14ac:dyDescent="0.2">
      <c r="A3774" s="376">
        <v>5201000</v>
      </c>
      <c r="B3774" s="377" t="s">
        <v>2540</v>
      </c>
    </row>
    <row r="3775" spans="1:2" x14ac:dyDescent="0.2">
      <c r="A3775" s="376">
        <v>5201001</v>
      </c>
      <c r="B3775" s="377" t="s">
        <v>2541</v>
      </c>
    </row>
    <row r="3776" spans="1:2" x14ac:dyDescent="0.2">
      <c r="A3776" s="376">
        <v>5201100</v>
      </c>
      <c r="B3776" s="377" t="s">
        <v>2154</v>
      </c>
    </row>
    <row r="3777" spans="1:2" x14ac:dyDescent="0.2">
      <c r="A3777" s="376">
        <v>5201200</v>
      </c>
      <c r="B3777" s="377" t="s">
        <v>2542</v>
      </c>
    </row>
    <row r="3778" spans="1:2" x14ac:dyDescent="0.2">
      <c r="A3778" s="376">
        <v>5201300</v>
      </c>
      <c r="B3778" s="377" t="s">
        <v>2543</v>
      </c>
    </row>
    <row r="3779" spans="1:2" x14ac:dyDescent="0.2">
      <c r="A3779" s="376">
        <v>5201301</v>
      </c>
      <c r="B3779" s="377" t="s">
        <v>2543</v>
      </c>
    </row>
    <row r="3780" spans="1:2" x14ac:dyDescent="0.2">
      <c r="A3780" s="376">
        <v>5201311</v>
      </c>
      <c r="B3780" s="377" t="s">
        <v>2544</v>
      </c>
    </row>
    <row r="3781" spans="1:2" x14ac:dyDescent="0.2">
      <c r="A3781" s="376">
        <v>5201312</v>
      </c>
      <c r="B3781" s="377" t="s">
        <v>2545</v>
      </c>
    </row>
    <row r="3782" spans="1:2" x14ac:dyDescent="0.2">
      <c r="A3782" s="376">
        <v>5201313</v>
      </c>
      <c r="B3782" s="377" t="s">
        <v>2546</v>
      </c>
    </row>
    <row r="3783" spans="1:2" x14ac:dyDescent="0.2">
      <c r="A3783" s="376">
        <v>5201320</v>
      </c>
      <c r="B3783" s="377" t="s">
        <v>2546</v>
      </c>
    </row>
    <row r="3784" spans="1:2" x14ac:dyDescent="0.2">
      <c r="A3784" s="376">
        <v>5201400</v>
      </c>
      <c r="B3784" s="377" t="s">
        <v>2547</v>
      </c>
    </row>
    <row r="3785" spans="1:2" ht="25.5" x14ac:dyDescent="0.2">
      <c r="A3785" s="376">
        <v>5201500</v>
      </c>
      <c r="B3785" s="377" t="s">
        <v>2548</v>
      </c>
    </row>
    <row r="3786" spans="1:2" ht="25.5" x14ac:dyDescent="0.2">
      <c r="A3786" s="376">
        <v>5201600</v>
      </c>
      <c r="B3786" s="377" t="s">
        <v>2549</v>
      </c>
    </row>
    <row r="3787" spans="1:2" ht="25.5" x14ac:dyDescent="0.2">
      <c r="A3787" s="376">
        <v>5201800</v>
      </c>
      <c r="B3787" s="377" t="s">
        <v>2550</v>
      </c>
    </row>
    <row r="3788" spans="1:2" x14ac:dyDescent="0.2">
      <c r="A3788" s="376">
        <v>5202000</v>
      </c>
      <c r="B3788" s="377" t="s">
        <v>2551</v>
      </c>
    </row>
    <row r="3789" spans="1:2" ht="51" x14ac:dyDescent="0.2">
      <c r="A3789" s="376">
        <v>5202100</v>
      </c>
      <c r="B3789" s="377" t="s">
        <v>2552</v>
      </c>
    </row>
    <row r="3790" spans="1:2" x14ac:dyDescent="0.2">
      <c r="A3790" s="376">
        <v>5202300</v>
      </c>
      <c r="B3790" s="377" t="s">
        <v>2553</v>
      </c>
    </row>
    <row r="3791" spans="1:2" x14ac:dyDescent="0.2">
      <c r="A3791" s="376">
        <v>5202400</v>
      </c>
      <c r="B3791" s="377" t="s">
        <v>2554</v>
      </c>
    </row>
    <row r="3792" spans="1:2" ht="25.5" x14ac:dyDescent="0.2">
      <c r="A3792" s="376">
        <v>5202500</v>
      </c>
      <c r="B3792" s="377" t="s">
        <v>2555</v>
      </c>
    </row>
    <row r="3793" spans="1:2" x14ac:dyDescent="0.2">
      <c r="A3793" s="376">
        <v>5202600</v>
      </c>
      <c r="B3793" s="377" t="s">
        <v>2556</v>
      </c>
    </row>
    <row r="3794" spans="1:2" ht="38.25" x14ac:dyDescent="0.2">
      <c r="A3794" s="376">
        <v>5202700</v>
      </c>
      <c r="B3794" s="377" t="s">
        <v>2557</v>
      </c>
    </row>
    <row r="3795" spans="1:2" x14ac:dyDescent="0.2">
      <c r="A3795" s="376">
        <v>5202800</v>
      </c>
      <c r="B3795" s="377" t="s">
        <v>2558</v>
      </c>
    </row>
    <row r="3796" spans="1:2" x14ac:dyDescent="0.2">
      <c r="A3796" s="376">
        <v>5203010</v>
      </c>
      <c r="B3796" s="377" t="s">
        <v>2559</v>
      </c>
    </row>
    <row r="3797" spans="1:2" x14ac:dyDescent="0.2">
      <c r="A3797" s="376">
        <v>5203012</v>
      </c>
      <c r="B3797" s="377" t="s">
        <v>2560</v>
      </c>
    </row>
    <row r="3798" spans="1:2" x14ac:dyDescent="0.2">
      <c r="A3798" s="376">
        <v>5210000</v>
      </c>
      <c r="B3798" s="377" t="s">
        <v>2561</v>
      </c>
    </row>
    <row r="3799" spans="1:2" ht="25.5" x14ac:dyDescent="0.2">
      <c r="A3799" s="376">
        <v>5210100</v>
      </c>
      <c r="B3799" s="377" t="s">
        <v>2562</v>
      </c>
    </row>
    <row r="3800" spans="1:2" x14ac:dyDescent="0.2">
      <c r="A3800" s="376">
        <v>5210110</v>
      </c>
      <c r="B3800" s="377" t="s">
        <v>2563</v>
      </c>
    </row>
    <row r="3801" spans="1:2" x14ac:dyDescent="0.2">
      <c r="A3801" s="376">
        <v>5210112</v>
      </c>
      <c r="B3801" s="377" t="s">
        <v>2564</v>
      </c>
    </row>
    <row r="3802" spans="1:2" ht="25.5" x14ac:dyDescent="0.2">
      <c r="A3802" s="376">
        <v>5210113</v>
      </c>
      <c r="B3802" s="377" t="s">
        <v>2565</v>
      </c>
    </row>
    <row r="3803" spans="1:2" x14ac:dyDescent="0.2">
      <c r="A3803" s="376">
        <v>5210114</v>
      </c>
      <c r="B3803" s="377" t="s">
        <v>2566</v>
      </c>
    </row>
    <row r="3804" spans="1:2" ht="25.5" x14ac:dyDescent="0.2">
      <c r="A3804" s="376">
        <v>5210125</v>
      </c>
      <c r="B3804" s="377" t="s">
        <v>2567</v>
      </c>
    </row>
    <row r="3805" spans="1:2" x14ac:dyDescent="0.2">
      <c r="A3805" s="376">
        <v>5210129</v>
      </c>
      <c r="B3805" s="377" t="s">
        <v>2568</v>
      </c>
    </row>
    <row r="3806" spans="1:2" x14ac:dyDescent="0.2">
      <c r="A3806" s="376">
        <v>5210300</v>
      </c>
      <c r="B3806" s="377" t="s">
        <v>2569</v>
      </c>
    </row>
    <row r="3807" spans="1:2" x14ac:dyDescent="0.2">
      <c r="A3807" s="376">
        <v>5210301</v>
      </c>
      <c r="B3807" s="377" t="s">
        <v>2570</v>
      </c>
    </row>
    <row r="3808" spans="1:2" ht="25.5" x14ac:dyDescent="0.2">
      <c r="A3808" s="376">
        <v>5210302</v>
      </c>
      <c r="B3808" s="377" t="s">
        <v>2571</v>
      </c>
    </row>
    <row r="3809" spans="1:2" ht="25.5" x14ac:dyDescent="0.2">
      <c r="A3809" s="376">
        <v>5210303</v>
      </c>
      <c r="B3809" s="377" t="s">
        <v>2572</v>
      </c>
    </row>
    <row r="3810" spans="1:2" x14ac:dyDescent="0.2">
      <c r="A3810" s="376">
        <v>5220000</v>
      </c>
      <c r="B3810" s="377" t="s">
        <v>2573</v>
      </c>
    </row>
    <row r="3811" spans="1:2" x14ac:dyDescent="0.2">
      <c r="A3811" s="376">
        <v>5220100</v>
      </c>
      <c r="B3811" s="377" t="s">
        <v>2574</v>
      </c>
    </row>
    <row r="3812" spans="1:2" x14ac:dyDescent="0.2">
      <c r="A3812" s="376">
        <v>5220200</v>
      </c>
      <c r="B3812" s="377" t="s">
        <v>2575</v>
      </c>
    </row>
    <row r="3813" spans="1:2" ht="25.5" x14ac:dyDescent="0.2">
      <c r="A3813" s="376">
        <v>5220202</v>
      </c>
      <c r="B3813" s="377" t="s">
        <v>2576</v>
      </c>
    </row>
    <row r="3814" spans="1:2" x14ac:dyDescent="0.2">
      <c r="A3814" s="376">
        <v>5220400</v>
      </c>
      <c r="B3814" s="377" t="s">
        <v>2577</v>
      </c>
    </row>
    <row r="3815" spans="1:2" ht="25.5" x14ac:dyDescent="0.2">
      <c r="A3815" s="376">
        <v>5220700</v>
      </c>
      <c r="B3815" s="377" t="s">
        <v>2578</v>
      </c>
    </row>
    <row r="3816" spans="1:2" x14ac:dyDescent="0.2">
      <c r="A3816" s="376">
        <v>5220900</v>
      </c>
      <c r="B3816" s="377" t="s">
        <v>2579</v>
      </c>
    </row>
    <row r="3817" spans="1:2" x14ac:dyDescent="0.2">
      <c r="A3817" s="376">
        <v>5221200</v>
      </c>
      <c r="B3817" s="377" t="s">
        <v>2580</v>
      </c>
    </row>
    <row r="3818" spans="1:2" x14ac:dyDescent="0.2">
      <c r="A3818" s="376">
        <v>5221201</v>
      </c>
      <c r="B3818" s="377" t="s">
        <v>2581</v>
      </c>
    </row>
    <row r="3819" spans="1:2" ht="25.5" x14ac:dyDescent="0.2">
      <c r="A3819" s="376">
        <v>5221202</v>
      </c>
      <c r="B3819" s="377" t="s">
        <v>2582</v>
      </c>
    </row>
    <row r="3820" spans="1:2" x14ac:dyDescent="0.2">
      <c r="A3820" s="376">
        <v>5221300</v>
      </c>
      <c r="B3820" s="377" t="s">
        <v>2583</v>
      </c>
    </row>
    <row r="3821" spans="1:2" x14ac:dyDescent="0.2">
      <c r="A3821" s="376">
        <v>5221301</v>
      </c>
      <c r="B3821" s="377" t="s">
        <v>2579</v>
      </c>
    </row>
    <row r="3822" spans="1:2" x14ac:dyDescent="0.2">
      <c r="A3822" s="376">
        <v>5221302</v>
      </c>
      <c r="B3822" s="377" t="s">
        <v>2461</v>
      </c>
    </row>
    <row r="3823" spans="1:2" x14ac:dyDescent="0.2">
      <c r="A3823" s="376">
        <v>5221303</v>
      </c>
      <c r="B3823" s="377" t="s">
        <v>2461</v>
      </c>
    </row>
    <row r="3824" spans="1:2" x14ac:dyDescent="0.2">
      <c r="A3824" s="376">
        <v>5221304</v>
      </c>
      <c r="B3824" s="377" t="s">
        <v>2461</v>
      </c>
    </row>
    <row r="3825" spans="1:2" x14ac:dyDescent="0.2">
      <c r="A3825" s="376">
        <v>5221305</v>
      </c>
      <c r="B3825" s="377" t="s">
        <v>2461</v>
      </c>
    </row>
    <row r="3826" spans="1:2" x14ac:dyDescent="0.2">
      <c r="A3826" s="376">
        <v>5221306</v>
      </c>
      <c r="B3826" s="377" t="s">
        <v>2584</v>
      </c>
    </row>
    <row r="3827" spans="1:2" x14ac:dyDescent="0.2">
      <c r="A3827" s="376">
        <v>5221307</v>
      </c>
      <c r="B3827" s="377" t="s">
        <v>2461</v>
      </c>
    </row>
    <row r="3828" spans="1:2" x14ac:dyDescent="0.2">
      <c r="A3828" s="376">
        <v>5221308</v>
      </c>
      <c r="B3828" s="377" t="s">
        <v>2585</v>
      </c>
    </row>
    <row r="3829" spans="1:2" ht="25.5" x14ac:dyDescent="0.2">
      <c r="A3829" s="376">
        <v>5221309</v>
      </c>
      <c r="B3829" s="377" t="s">
        <v>2586</v>
      </c>
    </row>
    <row r="3830" spans="1:2" x14ac:dyDescent="0.2">
      <c r="A3830" s="376">
        <v>5221310</v>
      </c>
      <c r="B3830" s="377" t="s">
        <v>2587</v>
      </c>
    </row>
    <row r="3831" spans="1:2" x14ac:dyDescent="0.2">
      <c r="A3831" s="376">
        <v>5221312</v>
      </c>
      <c r="B3831" s="377" t="s">
        <v>2588</v>
      </c>
    </row>
    <row r="3832" spans="1:2" x14ac:dyDescent="0.2">
      <c r="A3832" s="376">
        <v>5221313</v>
      </c>
      <c r="B3832" s="377" t="s">
        <v>2589</v>
      </c>
    </row>
    <row r="3833" spans="1:2" ht="25.5" x14ac:dyDescent="0.2">
      <c r="A3833" s="376">
        <v>5221314</v>
      </c>
      <c r="B3833" s="377" t="s">
        <v>2590</v>
      </c>
    </row>
    <row r="3834" spans="1:2" x14ac:dyDescent="0.2">
      <c r="A3834" s="376">
        <v>5221315</v>
      </c>
      <c r="B3834" s="377" t="s">
        <v>2591</v>
      </c>
    </row>
    <row r="3835" spans="1:2" x14ac:dyDescent="0.2">
      <c r="A3835" s="376">
        <v>5221400</v>
      </c>
      <c r="B3835" s="377" t="s">
        <v>2592</v>
      </c>
    </row>
    <row r="3836" spans="1:2" x14ac:dyDescent="0.2">
      <c r="A3836" s="376">
        <v>5221401</v>
      </c>
      <c r="B3836" s="377" t="s">
        <v>2593</v>
      </c>
    </row>
    <row r="3837" spans="1:2" x14ac:dyDescent="0.2">
      <c r="A3837" s="376">
        <v>5221900</v>
      </c>
      <c r="B3837" s="377" t="s">
        <v>2594</v>
      </c>
    </row>
    <row r="3838" spans="1:2" ht="25.5" x14ac:dyDescent="0.2">
      <c r="A3838" s="376">
        <v>5222100</v>
      </c>
      <c r="B3838" s="377" t="s">
        <v>2595</v>
      </c>
    </row>
    <row r="3839" spans="1:2" ht="25.5" x14ac:dyDescent="0.2">
      <c r="A3839" s="376">
        <v>5222101</v>
      </c>
      <c r="B3839" s="377" t="s">
        <v>2596</v>
      </c>
    </row>
    <row r="3840" spans="1:2" ht="25.5" x14ac:dyDescent="0.2">
      <c r="A3840" s="376">
        <v>5222900</v>
      </c>
      <c r="B3840" s="377" t="s">
        <v>2597</v>
      </c>
    </row>
    <row r="3841" spans="1:2" ht="25.5" x14ac:dyDescent="0.2">
      <c r="A3841" s="376">
        <v>5222902</v>
      </c>
      <c r="B3841" s="377" t="s">
        <v>2597</v>
      </c>
    </row>
    <row r="3842" spans="1:2" x14ac:dyDescent="0.2">
      <c r="A3842" s="376">
        <v>5223100</v>
      </c>
      <c r="B3842" s="377" t="s">
        <v>2598</v>
      </c>
    </row>
    <row r="3843" spans="1:2" x14ac:dyDescent="0.2">
      <c r="A3843" s="376">
        <v>5223101</v>
      </c>
      <c r="B3843" s="377" t="s">
        <v>2599</v>
      </c>
    </row>
    <row r="3844" spans="1:2" ht="25.5" x14ac:dyDescent="0.2">
      <c r="A3844" s="376">
        <v>5223102</v>
      </c>
      <c r="B3844" s="377" t="s">
        <v>2600</v>
      </c>
    </row>
    <row r="3845" spans="1:2" ht="25.5" x14ac:dyDescent="0.2">
      <c r="A3845" s="376">
        <v>5223103</v>
      </c>
      <c r="B3845" s="377" t="s">
        <v>2601</v>
      </c>
    </row>
    <row r="3846" spans="1:2" x14ac:dyDescent="0.2">
      <c r="A3846" s="376">
        <v>5223200</v>
      </c>
      <c r="B3846" s="377" t="s">
        <v>2602</v>
      </c>
    </row>
    <row r="3847" spans="1:2" x14ac:dyDescent="0.2">
      <c r="A3847" s="376">
        <v>5223300</v>
      </c>
      <c r="B3847" s="377" t="s">
        <v>2603</v>
      </c>
    </row>
    <row r="3848" spans="1:2" ht="38.25" x14ac:dyDescent="0.2">
      <c r="A3848" s="376">
        <v>5223302</v>
      </c>
      <c r="B3848" s="377" t="s">
        <v>2604</v>
      </c>
    </row>
    <row r="3849" spans="1:2" ht="25.5" x14ac:dyDescent="0.2">
      <c r="A3849" s="376">
        <v>5223400</v>
      </c>
      <c r="B3849" s="377" t="s">
        <v>2605</v>
      </c>
    </row>
    <row r="3850" spans="1:2" x14ac:dyDescent="0.2">
      <c r="A3850" s="376">
        <v>5223500</v>
      </c>
      <c r="B3850" s="377" t="s">
        <v>2606</v>
      </c>
    </row>
    <row r="3851" spans="1:2" x14ac:dyDescent="0.2">
      <c r="A3851" s="376">
        <v>5223502</v>
      </c>
      <c r="B3851" s="377" t="s">
        <v>2606</v>
      </c>
    </row>
    <row r="3852" spans="1:2" ht="25.5" x14ac:dyDescent="0.2">
      <c r="A3852" s="376">
        <v>5223800</v>
      </c>
      <c r="B3852" s="377" t="s">
        <v>2607</v>
      </c>
    </row>
    <row r="3853" spans="1:2" ht="25.5" x14ac:dyDescent="0.2">
      <c r="A3853" s="376">
        <v>5223803</v>
      </c>
      <c r="B3853" s="377" t="s">
        <v>2608</v>
      </c>
    </row>
    <row r="3854" spans="1:2" x14ac:dyDescent="0.2">
      <c r="A3854" s="376">
        <v>5224000</v>
      </c>
      <c r="B3854" s="377" t="s">
        <v>1445</v>
      </c>
    </row>
    <row r="3855" spans="1:2" x14ac:dyDescent="0.2">
      <c r="A3855" s="376">
        <v>5224002</v>
      </c>
      <c r="B3855" s="377" t="s">
        <v>2609</v>
      </c>
    </row>
    <row r="3856" spans="1:2" x14ac:dyDescent="0.2">
      <c r="A3856" s="376">
        <v>5224005</v>
      </c>
      <c r="B3856" s="377" t="s">
        <v>2610</v>
      </c>
    </row>
    <row r="3857" spans="1:2" x14ac:dyDescent="0.2">
      <c r="A3857" s="376">
        <v>5224400</v>
      </c>
      <c r="B3857" s="377" t="s">
        <v>2611</v>
      </c>
    </row>
    <row r="3858" spans="1:2" ht="25.5" x14ac:dyDescent="0.2">
      <c r="A3858" s="376">
        <v>5224600</v>
      </c>
      <c r="B3858" s="377" t="s">
        <v>2612</v>
      </c>
    </row>
    <row r="3859" spans="1:2" ht="25.5" x14ac:dyDescent="0.2">
      <c r="A3859" s="376">
        <v>5224602</v>
      </c>
      <c r="B3859" s="377" t="s">
        <v>2613</v>
      </c>
    </row>
    <row r="3860" spans="1:2" ht="38.25" x14ac:dyDescent="0.2">
      <c r="A3860" s="376">
        <v>5224603</v>
      </c>
      <c r="B3860" s="377" t="s">
        <v>2614</v>
      </c>
    </row>
    <row r="3861" spans="1:2" ht="25.5" x14ac:dyDescent="0.2">
      <c r="A3861" s="376">
        <v>5225100</v>
      </c>
      <c r="B3861" s="377" t="s">
        <v>2615</v>
      </c>
    </row>
    <row r="3862" spans="1:2" x14ac:dyDescent="0.2">
      <c r="A3862" s="376">
        <v>5225101</v>
      </c>
      <c r="B3862" s="377" t="s">
        <v>2616</v>
      </c>
    </row>
    <row r="3863" spans="1:2" x14ac:dyDescent="0.2">
      <c r="A3863" s="376">
        <v>5225300</v>
      </c>
      <c r="B3863" s="377" t="s">
        <v>2617</v>
      </c>
    </row>
    <row r="3864" spans="1:2" ht="25.5" x14ac:dyDescent="0.2">
      <c r="A3864" s="376">
        <v>5225301</v>
      </c>
      <c r="B3864" s="377" t="s">
        <v>2618</v>
      </c>
    </row>
    <row r="3865" spans="1:2" x14ac:dyDescent="0.2">
      <c r="A3865" s="376">
        <v>5225302</v>
      </c>
      <c r="B3865" s="377" t="s">
        <v>2619</v>
      </c>
    </row>
    <row r="3866" spans="1:2" x14ac:dyDescent="0.2">
      <c r="A3866" s="376">
        <v>5225600</v>
      </c>
      <c r="B3866" s="377" t="s">
        <v>2620</v>
      </c>
    </row>
    <row r="3867" spans="1:2" x14ac:dyDescent="0.2">
      <c r="A3867" s="376">
        <v>5225700</v>
      </c>
      <c r="B3867" s="377" t="s">
        <v>2621</v>
      </c>
    </row>
    <row r="3868" spans="1:2" ht="25.5" x14ac:dyDescent="0.2">
      <c r="A3868" s="376">
        <v>5225705</v>
      </c>
      <c r="B3868" s="377" t="s">
        <v>2622</v>
      </c>
    </row>
    <row r="3869" spans="1:2" ht="25.5" x14ac:dyDescent="0.2">
      <c r="A3869" s="376">
        <v>5225800</v>
      </c>
      <c r="B3869" s="377" t="s">
        <v>2623</v>
      </c>
    </row>
    <row r="3870" spans="1:2" ht="25.5" x14ac:dyDescent="0.2">
      <c r="A3870" s="376">
        <v>5225803</v>
      </c>
      <c r="B3870" s="377" t="s">
        <v>2624</v>
      </c>
    </row>
    <row r="3871" spans="1:2" ht="38.25" x14ac:dyDescent="0.2">
      <c r="A3871" s="376">
        <v>5225900</v>
      </c>
      <c r="B3871" s="377" t="s">
        <v>2625</v>
      </c>
    </row>
    <row r="3872" spans="1:2" ht="25.5" x14ac:dyDescent="0.2">
      <c r="A3872" s="376">
        <v>5225901</v>
      </c>
      <c r="B3872" s="377" t="s">
        <v>2626</v>
      </c>
    </row>
    <row r="3873" spans="1:2" x14ac:dyDescent="0.2">
      <c r="A3873" s="376">
        <v>5226000</v>
      </c>
      <c r="B3873" s="349" t="s">
        <v>2627</v>
      </c>
    </row>
    <row r="3874" spans="1:2" ht="25.5" x14ac:dyDescent="0.2">
      <c r="A3874" s="376">
        <v>5226003</v>
      </c>
      <c r="B3874" s="377" t="s">
        <v>2628</v>
      </c>
    </row>
    <row r="3875" spans="1:2" ht="25.5" x14ac:dyDescent="0.2">
      <c r="A3875" s="376">
        <v>5226004</v>
      </c>
      <c r="B3875" s="377" t="s">
        <v>2629</v>
      </c>
    </row>
    <row r="3876" spans="1:2" ht="25.5" x14ac:dyDescent="0.2">
      <c r="A3876" s="376">
        <v>5226006</v>
      </c>
      <c r="B3876" s="378" t="s">
        <v>2630</v>
      </c>
    </row>
    <row r="3877" spans="1:2" x14ac:dyDescent="0.2">
      <c r="A3877" s="376">
        <v>5226100</v>
      </c>
      <c r="B3877" s="377" t="s">
        <v>2631</v>
      </c>
    </row>
    <row r="3878" spans="1:2" x14ac:dyDescent="0.2">
      <c r="A3878" s="376">
        <v>5226102</v>
      </c>
      <c r="B3878" s="377" t="s">
        <v>2632</v>
      </c>
    </row>
    <row r="3879" spans="1:2" x14ac:dyDescent="0.2">
      <c r="A3879" s="376">
        <v>5226400</v>
      </c>
      <c r="B3879" s="377" t="s">
        <v>2633</v>
      </c>
    </row>
    <row r="3880" spans="1:2" ht="25.5" x14ac:dyDescent="0.2">
      <c r="A3880" s="376">
        <v>5226401</v>
      </c>
      <c r="B3880" s="377" t="s">
        <v>2634</v>
      </c>
    </row>
    <row r="3881" spans="1:2" ht="25.5" x14ac:dyDescent="0.2">
      <c r="A3881" s="376">
        <v>5226404</v>
      </c>
      <c r="B3881" s="377" t="s">
        <v>2635</v>
      </c>
    </row>
    <row r="3882" spans="1:2" x14ac:dyDescent="0.2">
      <c r="A3882" s="376">
        <v>5226900</v>
      </c>
      <c r="B3882" s="377" t="s">
        <v>2636</v>
      </c>
    </row>
    <row r="3883" spans="1:2" ht="25.5" x14ac:dyDescent="0.2">
      <c r="A3883" s="376">
        <v>5226902</v>
      </c>
      <c r="B3883" s="377" t="s">
        <v>2637</v>
      </c>
    </row>
    <row r="3884" spans="1:2" x14ac:dyDescent="0.2">
      <c r="A3884" s="376">
        <v>5226904</v>
      </c>
      <c r="B3884" s="377" t="s">
        <v>2638</v>
      </c>
    </row>
    <row r="3885" spans="1:2" ht="25.5" x14ac:dyDescent="0.2">
      <c r="A3885" s="376">
        <v>5226905</v>
      </c>
      <c r="B3885" s="377" t="s">
        <v>2639</v>
      </c>
    </row>
    <row r="3886" spans="1:2" x14ac:dyDescent="0.2">
      <c r="A3886" s="376">
        <v>5227200</v>
      </c>
      <c r="B3886" s="377" t="s">
        <v>2640</v>
      </c>
    </row>
    <row r="3887" spans="1:2" x14ac:dyDescent="0.2">
      <c r="A3887" s="376">
        <v>5227201</v>
      </c>
      <c r="B3887" s="377" t="s">
        <v>2641</v>
      </c>
    </row>
    <row r="3888" spans="1:2" ht="25.5" x14ac:dyDescent="0.2">
      <c r="A3888" s="376">
        <v>5227209</v>
      </c>
      <c r="B3888" s="377" t="s">
        <v>2642</v>
      </c>
    </row>
    <row r="3889" spans="1:2" x14ac:dyDescent="0.2">
      <c r="A3889" s="376">
        <v>5227210</v>
      </c>
      <c r="B3889" s="377" t="s">
        <v>2643</v>
      </c>
    </row>
    <row r="3890" spans="1:2" x14ac:dyDescent="0.2">
      <c r="A3890" s="376">
        <v>5228000</v>
      </c>
      <c r="B3890" s="377" t="s">
        <v>2644</v>
      </c>
    </row>
    <row r="3891" spans="1:2" ht="25.5" x14ac:dyDescent="0.2">
      <c r="A3891" s="376">
        <v>5228001</v>
      </c>
      <c r="B3891" s="377" t="s">
        <v>2645</v>
      </c>
    </row>
    <row r="3892" spans="1:2" x14ac:dyDescent="0.2">
      <c r="A3892" s="376">
        <v>5230000</v>
      </c>
      <c r="B3892" s="377" t="s">
        <v>2646</v>
      </c>
    </row>
    <row r="3893" spans="1:2" x14ac:dyDescent="0.2">
      <c r="A3893" s="376">
        <v>5230100</v>
      </c>
      <c r="B3893" s="377" t="s">
        <v>2647</v>
      </c>
    </row>
    <row r="3894" spans="1:2" ht="25.5" x14ac:dyDescent="0.2">
      <c r="A3894" s="376">
        <v>5260000</v>
      </c>
      <c r="B3894" s="377" t="s">
        <v>2648</v>
      </c>
    </row>
    <row r="3895" spans="1:2" ht="25.5" x14ac:dyDescent="0.2">
      <c r="A3895" s="376">
        <v>5260100</v>
      </c>
      <c r="B3895" s="377" t="s">
        <v>2649</v>
      </c>
    </row>
    <row r="3896" spans="1:2" ht="25.5" x14ac:dyDescent="0.2">
      <c r="A3896" s="376">
        <v>5260200</v>
      </c>
      <c r="B3896" s="377" t="s">
        <v>2650</v>
      </c>
    </row>
    <row r="3897" spans="1:2" x14ac:dyDescent="0.2">
      <c r="A3897" s="376">
        <v>5268200</v>
      </c>
      <c r="B3897" s="377" t="s">
        <v>1323</v>
      </c>
    </row>
    <row r="3898" spans="1:2" ht="25.5" x14ac:dyDescent="0.2">
      <c r="A3898" s="376">
        <v>5270000</v>
      </c>
      <c r="B3898" s="377" t="s">
        <v>2651</v>
      </c>
    </row>
    <row r="3899" spans="1:2" ht="51" x14ac:dyDescent="0.2">
      <c r="A3899" s="376">
        <v>5300000</v>
      </c>
      <c r="B3899" s="377" t="s">
        <v>2652</v>
      </c>
    </row>
    <row r="3900" spans="1:2" x14ac:dyDescent="0.2">
      <c r="A3900" s="376">
        <v>5300100</v>
      </c>
      <c r="B3900" s="377" t="s">
        <v>2653</v>
      </c>
    </row>
    <row r="3901" spans="1:2" ht="25.5" x14ac:dyDescent="0.2">
      <c r="A3901" s="376">
        <v>5500000</v>
      </c>
      <c r="B3901" s="377" t="s">
        <v>2654</v>
      </c>
    </row>
    <row r="3902" spans="1:2" x14ac:dyDescent="0.2">
      <c r="A3902" s="376">
        <v>5500200</v>
      </c>
      <c r="B3902" s="377" t="s">
        <v>1416</v>
      </c>
    </row>
    <row r="3903" spans="1:2" x14ac:dyDescent="0.2">
      <c r="A3903" s="376">
        <v>5500300</v>
      </c>
      <c r="B3903" s="377" t="s">
        <v>2655</v>
      </c>
    </row>
    <row r="3904" spans="1:2" x14ac:dyDescent="0.2">
      <c r="A3904" s="376">
        <v>5500301</v>
      </c>
      <c r="B3904" s="377" t="s">
        <v>2656</v>
      </c>
    </row>
    <row r="3905" spans="1:2" x14ac:dyDescent="0.2">
      <c r="A3905" s="376">
        <v>5500302</v>
      </c>
      <c r="B3905" s="377" t="s">
        <v>2657</v>
      </c>
    </row>
    <row r="3906" spans="1:2" ht="25.5" x14ac:dyDescent="0.2">
      <c r="A3906" s="376">
        <v>5500303</v>
      </c>
      <c r="B3906" s="377" t="s">
        <v>2658</v>
      </c>
    </row>
    <row r="3907" spans="1:2" x14ac:dyDescent="0.2">
      <c r="A3907" s="376">
        <v>5500400</v>
      </c>
      <c r="B3907" s="377" t="s">
        <v>1260</v>
      </c>
    </row>
    <row r="3908" spans="1:2" x14ac:dyDescent="0.2">
      <c r="A3908" s="376">
        <v>5500500</v>
      </c>
      <c r="B3908" s="377" t="s">
        <v>1271</v>
      </c>
    </row>
    <row r="3909" spans="1:2" x14ac:dyDescent="0.2">
      <c r="A3909" s="376">
        <v>5500600</v>
      </c>
      <c r="B3909" s="377" t="s">
        <v>2659</v>
      </c>
    </row>
    <row r="3910" spans="1:2" x14ac:dyDescent="0.2">
      <c r="A3910" s="376">
        <v>5500601</v>
      </c>
      <c r="B3910" s="377" t="s">
        <v>2660</v>
      </c>
    </row>
    <row r="3911" spans="1:2" x14ac:dyDescent="0.2">
      <c r="A3911" s="376">
        <v>6000000</v>
      </c>
      <c r="B3911" s="377" t="s">
        <v>246</v>
      </c>
    </row>
    <row r="3912" spans="1:2" x14ac:dyDescent="0.2">
      <c r="A3912" s="376">
        <v>6000100</v>
      </c>
      <c r="B3912" s="377" t="s">
        <v>2661</v>
      </c>
    </row>
    <row r="3913" spans="1:2" ht="25.5" x14ac:dyDescent="0.2">
      <c r="A3913" s="376">
        <v>6000200</v>
      </c>
      <c r="B3913" s="377" t="s">
        <v>2662</v>
      </c>
    </row>
    <row r="3914" spans="1:2" x14ac:dyDescent="0.2">
      <c r="A3914" s="376">
        <v>6000300</v>
      </c>
      <c r="B3914" s="377" t="s">
        <v>2663</v>
      </c>
    </row>
    <row r="3915" spans="1:2" x14ac:dyDescent="0.2">
      <c r="A3915" s="376">
        <v>6000400</v>
      </c>
      <c r="B3915" s="377" t="s">
        <v>2664</v>
      </c>
    </row>
    <row r="3916" spans="1:2" x14ac:dyDescent="0.2">
      <c r="A3916" s="376">
        <v>6000500</v>
      </c>
      <c r="B3916" s="377" t="s">
        <v>2665</v>
      </c>
    </row>
    <row r="3917" spans="1:2" ht="25.5" x14ac:dyDescent="0.2">
      <c r="A3917" s="376">
        <v>6010000</v>
      </c>
      <c r="B3917" s="377" t="s">
        <v>2666</v>
      </c>
    </row>
    <row r="3918" spans="1:2" x14ac:dyDescent="0.2">
      <c r="A3918" s="376">
        <v>7010000</v>
      </c>
      <c r="B3918" s="377" t="s">
        <v>2667</v>
      </c>
    </row>
    <row r="3919" spans="1:2" x14ac:dyDescent="0.2">
      <c r="A3919" s="376">
        <v>7010100</v>
      </c>
      <c r="B3919" s="377" t="s">
        <v>2668</v>
      </c>
    </row>
    <row r="3920" spans="1:2" ht="25.5" x14ac:dyDescent="0.2">
      <c r="A3920" s="376">
        <v>7050000</v>
      </c>
      <c r="B3920" s="377" t="s">
        <v>2669</v>
      </c>
    </row>
    <row r="3921" spans="1:2" ht="38.25" x14ac:dyDescent="0.2">
      <c r="A3921" s="376">
        <v>7050100</v>
      </c>
      <c r="B3921" s="377" t="s">
        <v>2670</v>
      </c>
    </row>
    <row r="3922" spans="1:2" ht="25.5" x14ac:dyDescent="0.2">
      <c r="A3922" s="376">
        <v>7050200</v>
      </c>
      <c r="B3922" s="377" t="s">
        <v>1728</v>
      </c>
    </row>
    <row r="3923" spans="1:2" ht="25.5" x14ac:dyDescent="0.2">
      <c r="A3923" s="376">
        <v>7050300</v>
      </c>
      <c r="B3923" s="377" t="s">
        <v>1729</v>
      </c>
    </row>
    <row r="3924" spans="1:2" ht="25.5" x14ac:dyDescent="0.2">
      <c r="A3924" s="376">
        <v>7050400</v>
      </c>
      <c r="B3924" s="377" t="s">
        <v>2671</v>
      </c>
    </row>
    <row r="3925" spans="1:2" x14ac:dyDescent="0.2">
      <c r="A3925" s="376">
        <v>7050401</v>
      </c>
      <c r="B3925" s="377" t="s">
        <v>2672</v>
      </c>
    </row>
    <row r="3926" spans="1:2" x14ac:dyDescent="0.2">
      <c r="A3926" s="376">
        <v>7050402</v>
      </c>
      <c r="B3926" s="377" t="s">
        <v>2673</v>
      </c>
    </row>
    <row r="3927" spans="1:2" x14ac:dyDescent="0.2">
      <c r="A3927" s="376">
        <v>7050403</v>
      </c>
      <c r="B3927" s="377" t="s">
        <v>2674</v>
      </c>
    </row>
    <row r="3928" spans="1:2" x14ac:dyDescent="0.2">
      <c r="A3928" s="376">
        <v>7050404</v>
      </c>
      <c r="B3928" s="377" t="s">
        <v>2675</v>
      </c>
    </row>
    <row r="3929" spans="1:2" x14ac:dyDescent="0.2">
      <c r="A3929" s="376">
        <v>7050405</v>
      </c>
      <c r="B3929" s="377" t="s">
        <v>2676</v>
      </c>
    </row>
    <row r="3930" spans="1:2" x14ac:dyDescent="0.2">
      <c r="A3930" s="376">
        <v>7050406</v>
      </c>
      <c r="B3930" s="377" t="s">
        <v>2677</v>
      </c>
    </row>
    <row r="3931" spans="1:2" x14ac:dyDescent="0.2">
      <c r="A3931" s="376">
        <v>7050407</v>
      </c>
      <c r="B3931" s="377" t="s">
        <v>2678</v>
      </c>
    </row>
    <row r="3932" spans="1:2" x14ac:dyDescent="0.2">
      <c r="A3932" s="376">
        <v>7050408</v>
      </c>
      <c r="B3932" s="377" t="s">
        <v>1730</v>
      </c>
    </row>
    <row r="3933" spans="1:2" x14ac:dyDescent="0.2">
      <c r="A3933" s="376">
        <v>7050409</v>
      </c>
      <c r="B3933" s="377" t="s">
        <v>2679</v>
      </c>
    </row>
    <row r="3934" spans="1:2" ht="25.5" x14ac:dyDescent="0.2">
      <c r="A3934" s="376">
        <v>7050500</v>
      </c>
      <c r="B3934" s="377" t="s">
        <v>2680</v>
      </c>
    </row>
    <row r="3935" spans="1:2" x14ac:dyDescent="0.2">
      <c r="A3935" s="376">
        <v>7050501</v>
      </c>
      <c r="B3935" s="377" t="s">
        <v>2672</v>
      </c>
    </row>
    <row r="3936" spans="1:2" x14ac:dyDescent="0.2">
      <c r="A3936" s="376">
        <v>7050502</v>
      </c>
      <c r="B3936" s="377" t="s">
        <v>2673</v>
      </c>
    </row>
    <row r="3937" spans="1:2" x14ac:dyDescent="0.2">
      <c r="A3937" s="376">
        <v>7050503</v>
      </c>
      <c r="B3937" s="377" t="s">
        <v>2674</v>
      </c>
    </row>
    <row r="3938" spans="1:2" x14ac:dyDescent="0.2">
      <c r="A3938" s="376">
        <v>7050505</v>
      </c>
      <c r="B3938" s="377" t="s">
        <v>2676</v>
      </c>
    </row>
    <row r="3939" spans="1:2" x14ac:dyDescent="0.2">
      <c r="A3939" s="376">
        <v>7050506</v>
      </c>
      <c r="B3939" s="377" t="s">
        <v>2677</v>
      </c>
    </row>
    <row r="3940" spans="1:2" x14ac:dyDescent="0.2">
      <c r="A3940" s="376">
        <v>7050507</v>
      </c>
      <c r="B3940" s="377" t="s">
        <v>2678</v>
      </c>
    </row>
    <row r="3941" spans="1:2" x14ac:dyDescent="0.2">
      <c r="A3941" s="376">
        <v>7050508</v>
      </c>
      <c r="B3941" s="377" t="s">
        <v>1730</v>
      </c>
    </row>
    <row r="3942" spans="1:2" x14ac:dyDescent="0.2">
      <c r="A3942" s="376">
        <v>7050509</v>
      </c>
      <c r="B3942" s="377" t="s">
        <v>2679</v>
      </c>
    </row>
    <row r="3943" spans="1:2" ht="25.5" x14ac:dyDescent="0.2">
      <c r="A3943" s="376">
        <v>7050600</v>
      </c>
      <c r="B3943" s="377" t="s">
        <v>2681</v>
      </c>
    </row>
    <row r="3944" spans="1:2" x14ac:dyDescent="0.2">
      <c r="A3944" s="376">
        <v>7050601</v>
      </c>
      <c r="B3944" s="377" t="s">
        <v>2672</v>
      </c>
    </row>
    <row r="3945" spans="1:2" x14ac:dyDescent="0.2">
      <c r="A3945" s="376">
        <v>7050602</v>
      </c>
      <c r="B3945" s="377" t="s">
        <v>2673</v>
      </c>
    </row>
    <row r="3946" spans="1:2" x14ac:dyDescent="0.2">
      <c r="A3946" s="376">
        <v>7050603</v>
      </c>
      <c r="B3946" s="377" t="s">
        <v>2674</v>
      </c>
    </row>
    <row r="3947" spans="1:2" x14ac:dyDescent="0.2">
      <c r="A3947" s="376">
        <v>7050604</v>
      </c>
      <c r="B3947" s="377" t="s">
        <v>2675</v>
      </c>
    </row>
    <row r="3948" spans="1:2" x14ac:dyDescent="0.2">
      <c r="A3948" s="376">
        <v>7050605</v>
      </c>
      <c r="B3948" s="377" t="s">
        <v>2676</v>
      </c>
    </row>
    <row r="3949" spans="1:2" x14ac:dyDescent="0.2">
      <c r="A3949" s="376">
        <v>7050606</v>
      </c>
      <c r="B3949" s="377" t="s">
        <v>2677</v>
      </c>
    </row>
    <row r="3950" spans="1:2" x14ac:dyDescent="0.2">
      <c r="A3950" s="376">
        <v>7050607</v>
      </c>
      <c r="B3950" s="377" t="s">
        <v>2678</v>
      </c>
    </row>
    <row r="3951" spans="1:2" x14ac:dyDescent="0.2">
      <c r="A3951" s="376">
        <v>7050608</v>
      </c>
      <c r="B3951" s="377" t="s">
        <v>1730</v>
      </c>
    </row>
    <row r="3952" spans="1:2" x14ac:dyDescent="0.2">
      <c r="A3952" s="376">
        <v>7050609</v>
      </c>
      <c r="B3952" s="377" t="s">
        <v>2679</v>
      </c>
    </row>
    <row r="3953" spans="1:2" ht="25.5" x14ac:dyDescent="0.2">
      <c r="A3953" s="376">
        <v>7050700</v>
      </c>
      <c r="B3953" s="377" t="s">
        <v>2682</v>
      </c>
    </row>
    <row r="3954" spans="1:2" x14ac:dyDescent="0.2">
      <c r="A3954" s="376">
        <v>7050703</v>
      </c>
      <c r="B3954" s="377" t="s">
        <v>2674</v>
      </c>
    </row>
    <row r="3955" spans="1:2" x14ac:dyDescent="0.2">
      <c r="A3955" s="376">
        <v>7050706</v>
      </c>
      <c r="B3955" s="377" t="s">
        <v>2677</v>
      </c>
    </row>
    <row r="3956" spans="1:2" x14ac:dyDescent="0.2">
      <c r="A3956" s="376">
        <v>7050707</v>
      </c>
      <c r="B3956" s="377" t="s">
        <v>2678</v>
      </c>
    </row>
    <row r="3957" spans="1:2" x14ac:dyDescent="0.2">
      <c r="A3957" s="376">
        <v>7050708</v>
      </c>
      <c r="B3957" s="377" t="s">
        <v>1730</v>
      </c>
    </row>
    <row r="3958" spans="1:2" x14ac:dyDescent="0.2">
      <c r="A3958" s="376">
        <v>7050709</v>
      </c>
      <c r="B3958" s="377" t="s">
        <v>2679</v>
      </c>
    </row>
    <row r="3959" spans="1:2" x14ac:dyDescent="0.2">
      <c r="A3959" s="376">
        <v>7950000</v>
      </c>
      <c r="B3959" s="377" t="s">
        <v>2683</v>
      </c>
    </row>
    <row r="3960" spans="1:2" x14ac:dyDescent="0.2">
      <c r="A3960" s="376">
        <v>7950100</v>
      </c>
      <c r="B3960" s="377" t="s">
        <v>1056</v>
      </c>
    </row>
    <row r="3961" spans="1:2" x14ac:dyDescent="0.2">
      <c r="A3961" s="376">
        <v>7950200</v>
      </c>
      <c r="B3961" s="377" t="s">
        <v>1057</v>
      </c>
    </row>
    <row r="3962" spans="1:2" x14ac:dyDescent="0.2">
      <c r="A3962" s="376">
        <v>7950300</v>
      </c>
      <c r="B3962" s="377" t="s">
        <v>2684</v>
      </c>
    </row>
    <row r="3963" spans="1:2" x14ac:dyDescent="0.2">
      <c r="A3963" s="376">
        <v>7950400</v>
      </c>
      <c r="B3963" s="377" t="s">
        <v>2685</v>
      </c>
    </row>
    <row r="3964" spans="1:2" ht="25.5" x14ac:dyDescent="0.2">
      <c r="A3964" s="376">
        <v>7950500</v>
      </c>
      <c r="B3964" s="377" t="s">
        <v>2686</v>
      </c>
    </row>
    <row r="3965" spans="1:2" ht="25.5" x14ac:dyDescent="0.2">
      <c r="A3965" s="376">
        <v>7950600</v>
      </c>
      <c r="B3965" s="377" t="s">
        <v>2687</v>
      </c>
    </row>
    <row r="3966" spans="1:2" ht="25.5" x14ac:dyDescent="0.2">
      <c r="A3966" s="376">
        <v>7950700</v>
      </c>
      <c r="B3966" s="377" t="s">
        <v>2688</v>
      </c>
    </row>
    <row r="3967" spans="1:2" ht="15" customHeight="1" x14ac:dyDescent="0.2">
      <c r="A3967" s="376">
        <v>7950800</v>
      </c>
      <c r="B3967" s="377" t="s">
        <v>2689</v>
      </c>
    </row>
    <row r="3968" spans="1:2" x14ac:dyDescent="0.2">
      <c r="A3968" s="376">
        <v>7950900</v>
      </c>
      <c r="B3968" s="377" t="s">
        <v>1058</v>
      </c>
    </row>
    <row r="3969" spans="1:2" x14ac:dyDescent="0.2">
      <c r="A3969" s="376">
        <v>7951000</v>
      </c>
      <c r="B3969" s="377" t="s">
        <v>2690</v>
      </c>
    </row>
    <row r="3970" spans="1:2" x14ac:dyDescent="0.2">
      <c r="A3970" s="376">
        <v>7951100</v>
      </c>
      <c r="B3970" s="377" t="s">
        <v>2691</v>
      </c>
    </row>
    <row r="3971" spans="1:2" x14ac:dyDescent="0.2">
      <c r="A3971" s="376">
        <v>7951200</v>
      </c>
      <c r="B3971" s="377" t="s">
        <v>2692</v>
      </c>
    </row>
    <row r="3972" spans="1:2" x14ac:dyDescent="0.2">
      <c r="A3972" s="376">
        <v>7951300</v>
      </c>
      <c r="B3972" s="377" t="s">
        <v>2693</v>
      </c>
    </row>
    <row r="3973" spans="1:2" ht="25.5" x14ac:dyDescent="0.2">
      <c r="A3973" s="376">
        <v>7951301</v>
      </c>
      <c r="B3973" s="377" t="s">
        <v>2694</v>
      </c>
    </row>
    <row r="3974" spans="1:2" ht="25.5" x14ac:dyDescent="0.2">
      <c r="A3974" s="376">
        <v>7951302</v>
      </c>
      <c r="B3974" s="377" t="s">
        <v>2695</v>
      </c>
    </row>
    <row r="3975" spans="1:2" ht="25.5" x14ac:dyDescent="0.2">
      <c r="A3975" s="376">
        <v>7951303</v>
      </c>
      <c r="B3975" s="377" t="s">
        <v>2696</v>
      </c>
    </row>
    <row r="3976" spans="1:2" ht="25.5" x14ac:dyDescent="0.2">
      <c r="A3976" s="376">
        <v>7951304</v>
      </c>
      <c r="B3976" s="377" t="s">
        <v>2697</v>
      </c>
    </row>
    <row r="3977" spans="1:2" ht="25.5" x14ac:dyDescent="0.2">
      <c r="A3977" s="376">
        <v>7951400</v>
      </c>
      <c r="B3977" s="377" t="s">
        <v>2698</v>
      </c>
    </row>
    <row r="3978" spans="1:2" ht="17.25" customHeight="1" x14ac:dyDescent="0.2">
      <c r="A3978" s="376">
        <v>7951500</v>
      </c>
      <c r="B3978" s="377" t="s">
        <v>1059</v>
      </c>
    </row>
    <row r="3979" spans="1:2" x14ac:dyDescent="0.2">
      <c r="A3979" s="376">
        <v>7951600</v>
      </c>
      <c r="B3979" s="377" t="s">
        <v>1060</v>
      </c>
    </row>
    <row r="3980" spans="1:2" x14ac:dyDescent="0.2">
      <c r="A3980" s="376">
        <v>7951700</v>
      </c>
      <c r="B3980" s="377" t="s">
        <v>1061</v>
      </c>
    </row>
    <row r="3981" spans="1:2" x14ac:dyDescent="0.2">
      <c r="A3981" s="376">
        <v>7951800</v>
      </c>
      <c r="B3981" s="377" t="s">
        <v>1062</v>
      </c>
    </row>
    <row r="3982" spans="1:2" x14ac:dyDescent="0.2">
      <c r="A3982" s="376">
        <v>7951900</v>
      </c>
      <c r="B3982" s="377" t="s">
        <v>1063</v>
      </c>
    </row>
    <row r="3983" spans="1:2" x14ac:dyDescent="0.2">
      <c r="A3983" s="376">
        <v>7952000</v>
      </c>
      <c r="B3983" s="377" t="s">
        <v>1064</v>
      </c>
    </row>
    <row r="3984" spans="1:2" x14ac:dyDescent="0.2">
      <c r="A3984" s="376">
        <v>7952100</v>
      </c>
      <c r="B3984" s="377" t="s">
        <v>2699</v>
      </c>
    </row>
    <row r="3985" spans="1:2" x14ac:dyDescent="0.2">
      <c r="A3985" s="376">
        <v>7952200</v>
      </c>
      <c r="B3985" s="377" t="s">
        <v>1066</v>
      </c>
    </row>
    <row r="3986" spans="1:2" x14ac:dyDescent="0.2">
      <c r="A3986" s="376">
        <v>7952300</v>
      </c>
      <c r="B3986" s="379" t="s">
        <v>2700</v>
      </c>
    </row>
    <row r="3987" spans="1:2" ht="25.5" x14ac:dyDescent="0.2">
      <c r="A3987" s="376">
        <v>7952400</v>
      </c>
      <c r="B3987" s="379" t="s">
        <v>2701</v>
      </c>
    </row>
    <row r="3988" spans="1:2" ht="25.5" x14ac:dyDescent="0.2">
      <c r="A3988" s="376">
        <v>9907123</v>
      </c>
      <c r="B3988" s="379" t="s">
        <v>2702</v>
      </c>
    </row>
    <row r="3989" spans="1:2" x14ac:dyDescent="0.2">
      <c r="A3989" s="376">
        <v>9907294</v>
      </c>
      <c r="B3989" s="379" t="s">
        <v>1399</v>
      </c>
    </row>
    <row r="3990" spans="1:2" x14ac:dyDescent="0.2">
      <c r="A3990" s="376">
        <v>9980000</v>
      </c>
      <c r="B3990" s="377" t="s">
        <v>2703</v>
      </c>
    </row>
    <row r="3991" spans="1:2" x14ac:dyDescent="0.2">
      <c r="A3991" s="376">
        <v>9990000</v>
      </c>
      <c r="B3991" s="377" t="s">
        <v>305</v>
      </c>
    </row>
  </sheetData>
  <printOptions gridLinesSet="0"/>
  <pageMargins left="0.75" right="0.75" top="1" bottom="1" header="0.5" footer="0.5"/>
  <pageSetup paperSize="9" orientation="portrait"/>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930"/>
  <sheetViews>
    <sheetView showGridLines="0" topLeftCell="A1820" workbookViewId="0">
      <selection activeCell="B1917" sqref="B1917"/>
    </sheetView>
  </sheetViews>
  <sheetFormatPr defaultColWidth="9.140625" defaultRowHeight="12.75" x14ac:dyDescent="0.2"/>
  <cols>
    <col min="1" max="1" width="7.140625" style="381" customWidth="1"/>
    <col min="2" max="2" width="128" style="382" customWidth="1"/>
    <col min="3" max="16384" width="9.140625" style="380"/>
  </cols>
  <sheetData>
    <row r="1" spans="2:2" hidden="1" x14ac:dyDescent="0.2">
      <c r="B1" s="383"/>
    </row>
    <row r="2" spans="2:2" hidden="1" x14ac:dyDescent="0.2"/>
    <row r="3" spans="2:2" hidden="1" x14ac:dyDescent="0.2"/>
    <row r="4" spans="2:2" hidden="1" x14ac:dyDescent="0.2"/>
    <row r="5" spans="2:2" hidden="1" x14ac:dyDescent="0.2"/>
    <row r="6" spans="2:2" hidden="1" x14ac:dyDescent="0.2"/>
    <row r="7" spans="2:2" hidden="1" x14ac:dyDescent="0.2"/>
    <row r="8" spans="2:2" hidden="1" x14ac:dyDescent="0.2"/>
    <row r="9" spans="2:2" hidden="1" x14ac:dyDescent="0.2"/>
    <row r="10" spans="2:2" hidden="1" x14ac:dyDescent="0.2"/>
    <row r="11" spans="2:2" hidden="1" x14ac:dyDescent="0.2"/>
    <row r="12" spans="2:2" hidden="1" x14ac:dyDescent="0.2"/>
    <row r="13" spans="2:2" hidden="1" x14ac:dyDescent="0.2"/>
    <row r="14" spans="2:2" hidden="1" x14ac:dyDescent="0.2"/>
    <row r="15" spans="2:2" hidden="1" x14ac:dyDescent="0.2"/>
    <row r="16" spans="2:2" hidden="1" x14ac:dyDescent="0.2"/>
    <row r="17" hidden="1" x14ac:dyDescent="0.2"/>
    <row r="18" hidden="1" x14ac:dyDescent="0.2"/>
    <row r="19" hidden="1" x14ac:dyDescent="0.2"/>
    <row r="20" hidden="1" x14ac:dyDescent="0.2"/>
    <row r="21" hidden="1" x14ac:dyDescent="0.2"/>
    <row r="22" hidden="1" x14ac:dyDescent="0.2"/>
    <row r="23" hidden="1" x14ac:dyDescent="0.2"/>
    <row r="24" hidden="1" x14ac:dyDescent="0.2"/>
    <row r="25" hidden="1" x14ac:dyDescent="0.2"/>
    <row r="26" hidden="1" x14ac:dyDescent="0.2"/>
    <row r="27" hidden="1" x14ac:dyDescent="0.2"/>
    <row r="28" hidden="1" x14ac:dyDescent="0.2"/>
    <row r="29" hidden="1" x14ac:dyDescent="0.2"/>
    <row r="30" hidden="1" x14ac:dyDescent="0.2"/>
    <row r="31" hidden="1" x14ac:dyDescent="0.2"/>
    <row r="32" hidden="1" x14ac:dyDescent="0.2"/>
    <row r="33" hidden="1" x14ac:dyDescent="0.2"/>
    <row r="34" hidden="1" x14ac:dyDescent="0.2"/>
    <row r="35" hidden="1" x14ac:dyDescent="0.2"/>
    <row r="36" hidden="1" x14ac:dyDescent="0.2"/>
    <row r="37" hidden="1" x14ac:dyDescent="0.2"/>
    <row r="38" hidden="1" x14ac:dyDescent="0.2"/>
    <row r="39" hidden="1" x14ac:dyDescent="0.2"/>
    <row r="40" hidden="1" x14ac:dyDescent="0.2"/>
    <row r="41" hidden="1" x14ac:dyDescent="0.2"/>
    <row r="42" hidden="1" x14ac:dyDescent="0.2"/>
    <row r="43" hidden="1" x14ac:dyDescent="0.2"/>
    <row r="44" hidden="1" x14ac:dyDescent="0.2"/>
    <row r="45" hidden="1" x14ac:dyDescent="0.2"/>
    <row r="46" hidden="1" x14ac:dyDescent="0.2"/>
    <row r="47" hidden="1" x14ac:dyDescent="0.2"/>
    <row r="48" hidden="1" x14ac:dyDescent="0.2"/>
    <row r="49" hidden="1" x14ac:dyDescent="0.2"/>
    <row r="50" hidden="1" x14ac:dyDescent="0.2"/>
    <row r="51" hidden="1" x14ac:dyDescent="0.2"/>
    <row r="52" hidden="1" x14ac:dyDescent="0.2"/>
    <row r="53" hidden="1" x14ac:dyDescent="0.2"/>
    <row r="54" hidden="1" x14ac:dyDescent="0.2"/>
    <row r="55" hidden="1" x14ac:dyDescent="0.2"/>
    <row r="56" hidden="1" x14ac:dyDescent="0.2"/>
    <row r="57" hidden="1" x14ac:dyDescent="0.2"/>
    <row r="58" hidden="1" x14ac:dyDescent="0.2"/>
    <row r="59" hidden="1" x14ac:dyDescent="0.2"/>
    <row r="60" hidden="1" x14ac:dyDescent="0.2"/>
    <row r="61" hidden="1" x14ac:dyDescent="0.2"/>
    <row r="62" hidden="1" x14ac:dyDescent="0.2"/>
    <row r="63" hidden="1" x14ac:dyDescent="0.2"/>
    <row r="64" hidden="1" x14ac:dyDescent="0.2"/>
    <row r="65" hidden="1" x14ac:dyDescent="0.2"/>
    <row r="66" hidden="1" x14ac:dyDescent="0.2"/>
    <row r="67" hidden="1" x14ac:dyDescent="0.2"/>
    <row r="68" hidden="1" x14ac:dyDescent="0.2"/>
    <row r="69" hidden="1" x14ac:dyDescent="0.2"/>
    <row r="70" hidden="1" x14ac:dyDescent="0.2"/>
    <row r="71" hidden="1" x14ac:dyDescent="0.2"/>
    <row r="72" hidden="1" x14ac:dyDescent="0.2"/>
    <row r="73" hidden="1" x14ac:dyDescent="0.2"/>
    <row r="74" hidden="1" x14ac:dyDescent="0.2"/>
    <row r="75" hidden="1" x14ac:dyDescent="0.2"/>
    <row r="76" hidden="1" x14ac:dyDescent="0.2"/>
    <row r="77" hidden="1" x14ac:dyDescent="0.2"/>
    <row r="78" hidden="1" x14ac:dyDescent="0.2"/>
    <row r="79" hidden="1" x14ac:dyDescent="0.2"/>
    <row r="80" hidden="1" x14ac:dyDescent="0.2"/>
    <row r="81" hidden="1" x14ac:dyDescent="0.2"/>
    <row r="82" hidden="1" x14ac:dyDescent="0.2"/>
    <row r="83" hidden="1" x14ac:dyDescent="0.2"/>
    <row r="84" hidden="1" x14ac:dyDescent="0.2"/>
    <row r="85" hidden="1" x14ac:dyDescent="0.2"/>
    <row r="86" hidden="1" x14ac:dyDescent="0.2"/>
    <row r="87" hidden="1" x14ac:dyDescent="0.2"/>
    <row r="88" hidden="1" x14ac:dyDescent="0.2"/>
    <row r="89" hidden="1" x14ac:dyDescent="0.2"/>
    <row r="90" hidden="1" x14ac:dyDescent="0.2"/>
    <row r="91" hidden="1" x14ac:dyDescent="0.2"/>
    <row r="92" hidden="1" x14ac:dyDescent="0.2"/>
    <row r="93" hidden="1" x14ac:dyDescent="0.2"/>
    <row r="94" hidden="1" x14ac:dyDescent="0.2"/>
    <row r="95" hidden="1" x14ac:dyDescent="0.2"/>
    <row r="96" hidden="1" x14ac:dyDescent="0.2"/>
    <row r="97" hidden="1" x14ac:dyDescent="0.2"/>
    <row r="98" hidden="1" x14ac:dyDescent="0.2"/>
    <row r="99" hidden="1" x14ac:dyDescent="0.2"/>
    <row r="100" hidden="1" x14ac:dyDescent="0.2"/>
    <row r="101" hidden="1" x14ac:dyDescent="0.2"/>
    <row r="102" hidden="1" x14ac:dyDescent="0.2"/>
    <row r="103" hidden="1" x14ac:dyDescent="0.2"/>
    <row r="104" hidden="1" x14ac:dyDescent="0.2"/>
    <row r="105" hidden="1" x14ac:dyDescent="0.2"/>
    <row r="106" hidden="1" x14ac:dyDescent="0.2"/>
    <row r="107" hidden="1" x14ac:dyDescent="0.2"/>
    <row r="108" hidden="1" x14ac:dyDescent="0.2"/>
    <row r="109" hidden="1" x14ac:dyDescent="0.2"/>
    <row r="110" hidden="1" x14ac:dyDescent="0.2"/>
    <row r="111" hidden="1" x14ac:dyDescent="0.2"/>
    <row r="112" hidden="1" x14ac:dyDescent="0.2"/>
    <row r="113" hidden="1" x14ac:dyDescent="0.2"/>
    <row r="114" hidden="1" x14ac:dyDescent="0.2"/>
    <row r="115" hidden="1" x14ac:dyDescent="0.2"/>
    <row r="116" hidden="1" x14ac:dyDescent="0.2"/>
    <row r="117" hidden="1" x14ac:dyDescent="0.2"/>
    <row r="118" hidden="1" x14ac:dyDescent="0.2"/>
    <row r="119" hidden="1" x14ac:dyDescent="0.2"/>
    <row r="120" hidden="1" x14ac:dyDescent="0.2"/>
    <row r="121" hidden="1" x14ac:dyDescent="0.2"/>
    <row r="122" hidden="1" x14ac:dyDescent="0.2"/>
    <row r="123" hidden="1" x14ac:dyDescent="0.2"/>
    <row r="124" hidden="1" x14ac:dyDescent="0.2"/>
    <row r="125" hidden="1" x14ac:dyDescent="0.2"/>
    <row r="126" hidden="1" x14ac:dyDescent="0.2"/>
    <row r="127" hidden="1" x14ac:dyDescent="0.2"/>
    <row r="128" hidden="1" x14ac:dyDescent="0.2"/>
    <row r="129" hidden="1" x14ac:dyDescent="0.2"/>
    <row r="130" hidden="1" x14ac:dyDescent="0.2"/>
    <row r="131" hidden="1" x14ac:dyDescent="0.2"/>
    <row r="132" hidden="1" x14ac:dyDescent="0.2"/>
    <row r="133" hidden="1" x14ac:dyDescent="0.2"/>
    <row r="134" hidden="1" x14ac:dyDescent="0.2"/>
    <row r="135" hidden="1" x14ac:dyDescent="0.2"/>
    <row r="136" hidden="1" x14ac:dyDescent="0.2"/>
    <row r="137" hidden="1" x14ac:dyDescent="0.2"/>
    <row r="138" hidden="1" x14ac:dyDescent="0.2"/>
    <row r="139" hidden="1" x14ac:dyDescent="0.2"/>
    <row r="140" hidden="1" x14ac:dyDescent="0.2"/>
    <row r="141" hidden="1" x14ac:dyDescent="0.2"/>
    <row r="142" hidden="1" x14ac:dyDescent="0.2"/>
    <row r="143" hidden="1" x14ac:dyDescent="0.2"/>
    <row r="144" hidden="1" x14ac:dyDescent="0.2"/>
    <row r="145" hidden="1" x14ac:dyDescent="0.2"/>
    <row r="146" hidden="1" x14ac:dyDescent="0.2"/>
    <row r="147" hidden="1" x14ac:dyDescent="0.2"/>
    <row r="148" hidden="1" x14ac:dyDescent="0.2"/>
    <row r="149" hidden="1" x14ac:dyDescent="0.2"/>
    <row r="150" hidden="1" x14ac:dyDescent="0.2"/>
    <row r="151" hidden="1" x14ac:dyDescent="0.2"/>
    <row r="152" hidden="1" x14ac:dyDescent="0.2"/>
    <row r="153" hidden="1" x14ac:dyDescent="0.2"/>
    <row r="154" hidden="1" x14ac:dyDescent="0.2"/>
    <row r="155" hidden="1" x14ac:dyDescent="0.2"/>
    <row r="156" hidden="1" x14ac:dyDescent="0.2"/>
    <row r="157" hidden="1" x14ac:dyDescent="0.2"/>
    <row r="158" hidden="1" x14ac:dyDescent="0.2"/>
    <row r="159" hidden="1" x14ac:dyDescent="0.2"/>
    <row r="160" hidden="1" x14ac:dyDescent="0.2"/>
    <row r="161" hidden="1" x14ac:dyDescent="0.2"/>
    <row r="162" hidden="1" x14ac:dyDescent="0.2"/>
    <row r="163" hidden="1" x14ac:dyDescent="0.2"/>
    <row r="164" hidden="1" x14ac:dyDescent="0.2"/>
    <row r="165" hidden="1" x14ac:dyDescent="0.2"/>
    <row r="166" hidden="1" x14ac:dyDescent="0.2"/>
    <row r="167" hidden="1" x14ac:dyDescent="0.2"/>
    <row r="168" hidden="1" x14ac:dyDescent="0.2"/>
    <row r="169" hidden="1" x14ac:dyDescent="0.2"/>
    <row r="170" hidden="1" x14ac:dyDescent="0.2"/>
    <row r="171" hidden="1" x14ac:dyDescent="0.2"/>
    <row r="172" hidden="1" x14ac:dyDescent="0.2"/>
    <row r="173" hidden="1" x14ac:dyDescent="0.2"/>
    <row r="174" hidden="1" x14ac:dyDescent="0.2"/>
    <row r="175" hidden="1" x14ac:dyDescent="0.2"/>
    <row r="176" hidden="1" x14ac:dyDescent="0.2"/>
    <row r="177" hidden="1" x14ac:dyDescent="0.2"/>
    <row r="178" hidden="1" x14ac:dyDescent="0.2"/>
    <row r="179" hidden="1" x14ac:dyDescent="0.2"/>
    <row r="180" hidden="1" x14ac:dyDescent="0.2"/>
    <row r="181" hidden="1" x14ac:dyDescent="0.2"/>
    <row r="182" hidden="1" x14ac:dyDescent="0.2"/>
    <row r="183" hidden="1" x14ac:dyDescent="0.2"/>
    <row r="184" hidden="1" x14ac:dyDescent="0.2"/>
    <row r="185" hidden="1" x14ac:dyDescent="0.2"/>
    <row r="186" hidden="1" x14ac:dyDescent="0.2"/>
    <row r="187" hidden="1" x14ac:dyDescent="0.2"/>
    <row r="188" hidden="1" x14ac:dyDescent="0.2"/>
    <row r="189" hidden="1" x14ac:dyDescent="0.2"/>
    <row r="190" hidden="1" x14ac:dyDescent="0.2"/>
    <row r="191" hidden="1" x14ac:dyDescent="0.2"/>
    <row r="192" hidden="1" x14ac:dyDescent="0.2"/>
    <row r="193" hidden="1" x14ac:dyDescent="0.2"/>
    <row r="194" hidden="1" x14ac:dyDescent="0.2"/>
    <row r="195" hidden="1" x14ac:dyDescent="0.2"/>
    <row r="196" hidden="1" x14ac:dyDescent="0.2"/>
    <row r="197" hidden="1" x14ac:dyDescent="0.2"/>
    <row r="198" hidden="1" x14ac:dyDescent="0.2"/>
    <row r="199" hidden="1" x14ac:dyDescent="0.2"/>
    <row r="200" hidden="1" x14ac:dyDescent="0.2"/>
    <row r="201" hidden="1" x14ac:dyDescent="0.2"/>
    <row r="202" hidden="1" x14ac:dyDescent="0.2"/>
    <row r="203" hidden="1" x14ac:dyDescent="0.2"/>
    <row r="204" hidden="1" x14ac:dyDescent="0.2"/>
    <row r="205" hidden="1" x14ac:dyDescent="0.2"/>
    <row r="206" hidden="1" x14ac:dyDescent="0.2"/>
    <row r="207" hidden="1" x14ac:dyDescent="0.2"/>
    <row r="208" hidden="1" x14ac:dyDescent="0.2"/>
    <row r="209" hidden="1" x14ac:dyDescent="0.2"/>
    <row r="210" hidden="1" x14ac:dyDescent="0.2"/>
    <row r="211" hidden="1" x14ac:dyDescent="0.2"/>
    <row r="212" hidden="1" x14ac:dyDescent="0.2"/>
    <row r="213" hidden="1" x14ac:dyDescent="0.2"/>
    <row r="214" hidden="1" x14ac:dyDescent="0.2"/>
    <row r="215" hidden="1" x14ac:dyDescent="0.2"/>
    <row r="216" hidden="1" x14ac:dyDescent="0.2"/>
    <row r="217" hidden="1" x14ac:dyDescent="0.2"/>
    <row r="218" hidden="1" x14ac:dyDescent="0.2"/>
    <row r="219" hidden="1" x14ac:dyDescent="0.2"/>
    <row r="220" hidden="1" x14ac:dyDescent="0.2"/>
    <row r="221" hidden="1" x14ac:dyDescent="0.2"/>
    <row r="222" hidden="1" x14ac:dyDescent="0.2"/>
    <row r="223" hidden="1" x14ac:dyDescent="0.2"/>
    <row r="224" hidden="1" x14ac:dyDescent="0.2"/>
    <row r="225" hidden="1" x14ac:dyDescent="0.2"/>
    <row r="226" hidden="1" x14ac:dyDescent="0.2"/>
    <row r="227" hidden="1" x14ac:dyDescent="0.2"/>
    <row r="228" hidden="1" x14ac:dyDescent="0.2"/>
    <row r="229" hidden="1" x14ac:dyDescent="0.2"/>
    <row r="230" hidden="1" x14ac:dyDescent="0.2"/>
    <row r="231" hidden="1" x14ac:dyDescent="0.2"/>
    <row r="232" hidden="1" x14ac:dyDescent="0.2"/>
    <row r="233" hidden="1" x14ac:dyDescent="0.2"/>
    <row r="234" hidden="1" x14ac:dyDescent="0.2"/>
    <row r="235" hidden="1" x14ac:dyDescent="0.2"/>
    <row r="236" hidden="1" x14ac:dyDescent="0.2"/>
    <row r="237" hidden="1" x14ac:dyDescent="0.2"/>
    <row r="238" hidden="1" x14ac:dyDescent="0.2"/>
    <row r="239" hidden="1" x14ac:dyDescent="0.2"/>
    <row r="240" hidden="1" x14ac:dyDescent="0.2"/>
    <row r="241" hidden="1" x14ac:dyDescent="0.2"/>
    <row r="242" hidden="1" x14ac:dyDescent="0.2"/>
    <row r="243" hidden="1" x14ac:dyDescent="0.2"/>
    <row r="244" hidden="1" x14ac:dyDescent="0.2"/>
    <row r="245" hidden="1" x14ac:dyDescent="0.2"/>
    <row r="246" hidden="1" x14ac:dyDescent="0.2"/>
    <row r="247" hidden="1" x14ac:dyDescent="0.2"/>
    <row r="248" hidden="1" x14ac:dyDescent="0.2"/>
    <row r="249" hidden="1" x14ac:dyDescent="0.2"/>
    <row r="250" hidden="1" x14ac:dyDescent="0.2"/>
    <row r="251" hidden="1" x14ac:dyDescent="0.2"/>
    <row r="252" hidden="1" x14ac:dyDescent="0.2"/>
    <row r="253" hidden="1" x14ac:dyDescent="0.2"/>
    <row r="254" hidden="1" x14ac:dyDescent="0.2"/>
    <row r="255" hidden="1" x14ac:dyDescent="0.2"/>
    <row r="256" hidden="1" x14ac:dyDescent="0.2"/>
    <row r="257" hidden="1" x14ac:dyDescent="0.2"/>
    <row r="258" hidden="1" x14ac:dyDescent="0.2"/>
    <row r="259" hidden="1" x14ac:dyDescent="0.2"/>
    <row r="260" hidden="1" x14ac:dyDescent="0.2"/>
    <row r="261" hidden="1" x14ac:dyDescent="0.2"/>
    <row r="262" hidden="1" x14ac:dyDescent="0.2"/>
    <row r="263" hidden="1" x14ac:dyDescent="0.2"/>
    <row r="264" hidden="1" x14ac:dyDescent="0.2"/>
    <row r="265" hidden="1" x14ac:dyDescent="0.2"/>
    <row r="266" hidden="1" x14ac:dyDescent="0.2"/>
    <row r="267" hidden="1" x14ac:dyDescent="0.2"/>
    <row r="268" hidden="1" x14ac:dyDescent="0.2"/>
    <row r="269" hidden="1" x14ac:dyDescent="0.2"/>
    <row r="270" hidden="1" x14ac:dyDescent="0.2"/>
    <row r="271" hidden="1" x14ac:dyDescent="0.2"/>
    <row r="272" hidden="1" x14ac:dyDescent="0.2"/>
    <row r="273" hidden="1" x14ac:dyDescent="0.2"/>
    <row r="274" hidden="1" x14ac:dyDescent="0.2"/>
    <row r="275" hidden="1" x14ac:dyDescent="0.2"/>
    <row r="276" hidden="1" x14ac:dyDescent="0.2"/>
    <row r="277" hidden="1" x14ac:dyDescent="0.2"/>
    <row r="278" hidden="1" x14ac:dyDescent="0.2"/>
    <row r="279" hidden="1" x14ac:dyDescent="0.2"/>
    <row r="280" hidden="1" x14ac:dyDescent="0.2"/>
    <row r="281" hidden="1" x14ac:dyDescent="0.2"/>
    <row r="282" hidden="1" x14ac:dyDescent="0.2"/>
    <row r="283" hidden="1" x14ac:dyDescent="0.2"/>
    <row r="284" hidden="1" x14ac:dyDescent="0.2"/>
    <row r="285" hidden="1" x14ac:dyDescent="0.2"/>
    <row r="286" hidden="1" x14ac:dyDescent="0.2"/>
    <row r="287" hidden="1" x14ac:dyDescent="0.2"/>
    <row r="288" hidden="1" x14ac:dyDescent="0.2"/>
    <row r="289" hidden="1" x14ac:dyDescent="0.2"/>
    <row r="290" hidden="1" x14ac:dyDescent="0.2"/>
    <row r="291" hidden="1" x14ac:dyDescent="0.2"/>
    <row r="292" hidden="1" x14ac:dyDescent="0.2"/>
    <row r="293" hidden="1" x14ac:dyDescent="0.2"/>
    <row r="294" hidden="1" x14ac:dyDescent="0.2"/>
    <row r="295" hidden="1" x14ac:dyDescent="0.2"/>
    <row r="296" hidden="1" x14ac:dyDescent="0.2"/>
    <row r="297" hidden="1" x14ac:dyDescent="0.2"/>
    <row r="298" hidden="1" x14ac:dyDescent="0.2"/>
    <row r="299" hidden="1" x14ac:dyDescent="0.2"/>
    <row r="300" hidden="1" x14ac:dyDescent="0.2"/>
    <row r="301" hidden="1" x14ac:dyDescent="0.2"/>
    <row r="302" hidden="1" x14ac:dyDescent="0.2"/>
    <row r="303" hidden="1" x14ac:dyDescent="0.2"/>
    <row r="304" hidden="1" x14ac:dyDescent="0.2"/>
    <row r="305" hidden="1" x14ac:dyDescent="0.2"/>
    <row r="306" hidden="1" x14ac:dyDescent="0.2"/>
    <row r="307" hidden="1" x14ac:dyDescent="0.2"/>
    <row r="308" hidden="1" x14ac:dyDescent="0.2"/>
    <row r="309" hidden="1" x14ac:dyDescent="0.2"/>
    <row r="310" hidden="1" x14ac:dyDescent="0.2"/>
    <row r="311" hidden="1" x14ac:dyDescent="0.2"/>
    <row r="312" hidden="1" x14ac:dyDescent="0.2"/>
    <row r="313" hidden="1" x14ac:dyDescent="0.2"/>
    <row r="314" hidden="1" x14ac:dyDescent="0.2"/>
    <row r="315" hidden="1" x14ac:dyDescent="0.2"/>
    <row r="316" hidden="1" x14ac:dyDescent="0.2"/>
    <row r="317" hidden="1" x14ac:dyDescent="0.2"/>
    <row r="318" hidden="1" x14ac:dyDescent="0.2"/>
    <row r="319" hidden="1" x14ac:dyDescent="0.2"/>
    <row r="320" hidden="1" x14ac:dyDescent="0.2"/>
    <row r="321" hidden="1" x14ac:dyDescent="0.2"/>
    <row r="322" hidden="1" x14ac:dyDescent="0.2"/>
    <row r="323" hidden="1" x14ac:dyDescent="0.2"/>
    <row r="324" hidden="1" x14ac:dyDescent="0.2"/>
    <row r="325" hidden="1" x14ac:dyDescent="0.2"/>
    <row r="326" hidden="1" x14ac:dyDescent="0.2"/>
    <row r="327" hidden="1" x14ac:dyDescent="0.2"/>
    <row r="328" hidden="1" x14ac:dyDescent="0.2"/>
    <row r="329" hidden="1" x14ac:dyDescent="0.2"/>
    <row r="330" hidden="1" x14ac:dyDescent="0.2"/>
    <row r="331" hidden="1" x14ac:dyDescent="0.2"/>
    <row r="332" hidden="1" x14ac:dyDescent="0.2"/>
    <row r="333" hidden="1" x14ac:dyDescent="0.2"/>
    <row r="334" hidden="1" x14ac:dyDescent="0.2"/>
    <row r="335" hidden="1" x14ac:dyDescent="0.2"/>
    <row r="336" hidden="1" x14ac:dyDescent="0.2"/>
    <row r="337" hidden="1" x14ac:dyDescent="0.2"/>
    <row r="338" hidden="1" x14ac:dyDescent="0.2"/>
    <row r="339" hidden="1" x14ac:dyDescent="0.2"/>
    <row r="340" hidden="1" x14ac:dyDescent="0.2"/>
    <row r="341" hidden="1" x14ac:dyDescent="0.2"/>
    <row r="342" hidden="1" x14ac:dyDescent="0.2"/>
    <row r="343" hidden="1" x14ac:dyDescent="0.2"/>
    <row r="344" hidden="1" x14ac:dyDescent="0.2"/>
    <row r="345" hidden="1" x14ac:dyDescent="0.2"/>
    <row r="346" hidden="1" x14ac:dyDescent="0.2"/>
    <row r="347" hidden="1" x14ac:dyDescent="0.2"/>
    <row r="348" hidden="1" x14ac:dyDescent="0.2"/>
    <row r="349" hidden="1" x14ac:dyDescent="0.2"/>
    <row r="350" hidden="1" x14ac:dyDescent="0.2"/>
    <row r="351" hidden="1" x14ac:dyDescent="0.2"/>
    <row r="352" hidden="1" x14ac:dyDescent="0.2"/>
    <row r="353" hidden="1" x14ac:dyDescent="0.2"/>
    <row r="354" hidden="1" x14ac:dyDescent="0.2"/>
    <row r="355" hidden="1" x14ac:dyDescent="0.2"/>
    <row r="356" hidden="1" x14ac:dyDescent="0.2"/>
    <row r="357" hidden="1" x14ac:dyDescent="0.2"/>
    <row r="358" hidden="1" x14ac:dyDescent="0.2"/>
    <row r="359" hidden="1" x14ac:dyDescent="0.2"/>
    <row r="360" hidden="1" x14ac:dyDescent="0.2"/>
    <row r="361" hidden="1" x14ac:dyDescent="0.2"/>
    <row r="362" hidden="1" x14ac:dyDescent="0.2"/>
    <row r="363" hidden="1" x14ac:dyDescent="0.2"/>
    <row r="364" hidden="1" x14ac:dyDescent="0.2"/>
    <row r="365" hidden="1" x14ac:dyDescent="0.2"/>
    <row r="366" hidden="1" x14ac:dyDescent="0.2"/>
    <row r="367" hidden="1" x14ac:dyDescent="0.2"/>
    <row r="368" hidden="1" x14ac:dyDescent="0.2"/>
    <row r="369" hidden="1" x14ac:dyDescent="0.2"/>
    <row r="370" hidden="1" x14ac:dyDescent="0.2"/>
    <row r="371" hidden="1" x14ac:dyDescent="0.2"/>
    <row r="372" hidden="1" x14ac:dyDescent="0.2"/>
    <row r="373" hidden="1" x14ac:dyDescent="0.2"/>
    <row r="374" hidden="1" x14ac:dyDescent="0.2"/>
    <row r="375" hidden="1" x14ac:dyDescent="0.2"/>
    <row r="376" hidden="1" x14ac:dyDescent="0.2"/>
    <row r="377" hidden="1" x14ac:dyDescent="0.2"/>
    <row r="378" hidden="1" x14ac:dyDescent="0.2"/>
    <row r="379" hidden="1" x14ac:dyDescent="0.2"/>
    <row r="380" hidden="1" x14ac:dyDescent="0.2"/>
    <row r="381" hidden="1" x14ac:dyDescent="0.2"/>
    <row r="382" hidden="1" x14ac:dyDescent="0.2"/>
    <row r="383" hidden="1" x14ac:dyDescent="0.2"/>
    <row r="384" hidden="1" x14ac:dyDescent="0.2"/>
    <row r="385" hidden="1" x14ac:dyDescent="0.2"/>
    <row r="386" hidden="1" x14ac:dyDescent="0.2"/>
    <row r="387" hidden="1" x14ac:dyDescent="0.2"/>
    <row r="388" hidden="1" x14ac:dyDescent="0.2"/>
    <row r="389" hidden="1" x14ac:dyDescent="0.2"/>
    <row r="390" hidden="1" x14ac:dyDescent="0.2"/>
    <row r="391" hidden="1" x14ac:dyDescent="0.2"/>
    <row r="392" hidden="1" x14ac:dyDescent="0.2"/>
    <row r="393" hidden="1" x14ac:dyDescent="0.2"/>
    <row r="394" hidden="1" x14ac:dyDescent="0.2"/>
    <row r="395" hidden="1" x14ac:dyDescent="0.2"/>
    <row r="396" hidden="1" x14ac:dyDescent="0.2"/>
    <row r="397" hidden="1" x14ac:dyDescent="0.2"/>
    <row r="398" hidden="1" x14ac:dyDescent="0.2"/>
    <row r="399" hidden="1" x14ac:dyDescent="0.2"/>
    <row r="400" hidden="1" x14ac:dyDescent="0.2"/>
    <row r="401" hidden="1" x14ac:dyDescent="0.2"/>
    <row r="402" hidden="1" x14ac:dyDescent="0.2"/>
    <row r="403" hidden="1" x14ac:dyDescent="0.2"/>
    <row r="404" hidden="1" x14ac:dyDescent="0.2"/>
    <row r="405" hidden="1" x14ac:dyDescent="0.2"/>
    <row r="406" hidden="1" x14ac:dyDescent="0.2"/>
    <row r="407" hidden="1" x14ac:dyDescent="0.2"/>
    <row r="408" hidden="1" x14ac:dyDescent="0.2"/>
    <row r="409" hidden="1" x14ac:dyDescent="0.2"/>
    <row r="410" hidden="1" x14ac:dyDescent="0.2"/>
    <row r="411" hidden="1" x14ac:dyDescent="0.2"/>
    <row r="412" hidden="1" x14ac:dyDescent="0.2"/>
    <row r="413" hidden="1" x14ac:dyDescent="0.2"/>
    <row r="414" hidden="1" x14ac:dyDescent="0.2"/>
    <row r="415" hidden="1" x14ac:dyDescent="0.2"/>
    <row r="416" hidden="1" x14ac:dyDescent="0.2"/>
    <row r="417" hidden="1" x14ac:dyDescent="0.2"/>
    <row r="418" hidden="1" x14ac:dyDescent="0.2"/>
    <row r="419" hidden="1" x14ac:dyDescent="0.2"/>
    <row r="420" hidden="1" x14ac:dyDescent="0.2"/>
    <row r="421" hidden="1" x14ac:dyDescent="0.2"/>
    <row r="422" hidden="1" x14ac:dyDescent="0.2"/>
    <row r="423" hidden="1" x14ac:dyDescent="0.2"/>
    <row r="424" hidden="1" x14ac:dyDescent="0.2"/>
    <row r="425" hidden="1" x14ac:dyDescent="0.2"/>
    <row r="426" hidden="1" x14ac:dyDescent="0.2"/>
    <row r="427" hidden="1" x14ac:dyDescent="0.2"/>
    <row r="428" hidden="1" x14ac:dyDescent="0.2"/>
    <row r="429" hidden="1" x14ac:dyDescent="0.2"/>
    <row r="430" hidden="1" x14ac:dyDescent="0.2"/>
    <row r="431" hidden="1" x14ac:dyDescent="0.2"/>
    <row r="432" hidden="1" x14ac:dyDescent="0.2"/>
    <row r="433" hidden="1" x14ac:dyDescent="0.2"/>
    <row r="434" hidden="1" x14ac:dyDescent="0.2"/>
    <row r="435" hidden="1" x14ac:dyDescent="0.2"/>
    <row r="436" hidden="1" x14ac:dyDescent="0.2"/>
    <row r="437" hidden="1" x14ac:dyDescent="0.2"/>
    <row r="438" hidden="1" x14ac:dyDescent="0.2"/>
    <row r="439" hidden="1" x14ac:dyDescent="0.2"/>
    <row r="440" hidden="1" x14ac:dyDescent="0.2"/>
    <row r="441" hidden="1" x14ac:dyDescent="0.2"/>
    <row r="442" hidden="1" x14ac:dyDescent="0.2"/>
    <row r="443" hidden="1" x14ac:dyDescent="0.2"/>
    <row r="444" hidden="1" x14ac:dyDescent="0.2"/>
    <row r="445" hidden="1" x14ac:dyDescent="0.2"/>
    <row r="446" hidden="1" x14ac:dyDescent="0.2"/>
    <row r="447" hidden="1" x14ac:dyDescent="0.2"/>
    <row r="448" hidden="1" x14ac:dyDescent="0.2"/>
    <row r="449" hidden="1" x14ac:dyDescent="0.2"/>
    <row r="450" hidden="1" x14ac:dyDescent="0.2"/>
    <row r="451" hidden="1" x14ac:dyDescent="0.2"/>
    <row r="452" hidden="1" x14ac:dyDescent="0.2"/>
    <row r="453" hidden="1" x14ac:dyDescent="0.2"/>
    <row r="454" hidden="1" x14ac:dyDescent="0.2"/>
    <row r="455" hidden="1" x14ac:dyDescent="0.2"/>
    <row r="456" hidden="1" x14ac:dyDescent="0.2"/>
    <row r="457" hidden="1" x14ac:dyDescent="0.2"/>
    <row r="458" hidden="1" x14ac:dyDescent="0.2"/>
    <row r="459" hidden="1" x14ac:dyDescent="0.2"/>
    <row r="460" hidden="1" x14ac:dyDescent="0.2"/>
    <row r="461" hidden="1" x14ac:dyDescent="0.2"/>
    <row r="462" hidden="1" x14ac:dyDescent="0.2"/>
    <row r="463" hidden="1" x14ac:dyDescent="0.2"/>
    <row r="464" hidden="1" x14ac:dyDescent="0.2"/>
    <row r="465" hidden="1" x14ac:dyDescent="0.2"/>
    <row r="466" hidden="1" x14ac:dyDescent="0.2"/>
    <row r="467" hidden="1" x14ac:dyDescent="0.2"/>
    <row r="468" hidden="1" x14ac:dyDescent="0.2"/>
    <row r="469" hidden="1" x14ac:dyDescent="0.2"/>
    <row r="470" hidden="1" x14ac:dyDescent="0.2"/>
    <row r="471" hidden="1" x14ac:dyDescent="0.2"/>
    <row r="472" hidden="1" x14ac:dyDescent="0.2"/>
    <row r="473" hidden="1" x14ac:dyDescent="0.2"/>
    <row r="474" hidden="1" x14ac:dyDescent="0.2"/>
    <row r="475" hidden="1" x14ac:dyDescent="0.2"/>
    <row r="476" hidden="1" x14ac:dyDescent="0.2"/>
    <row r="477" hidden="1" x14ac:dyDescent="0.2"/>
    <row r="478" hidden="1" x14ac:dyDescent="0.2"/>
    <row r="479" hidden="1" x14ac:dyDescent="0.2"/>
    <row r="480" hidden="1" x14ac:dyDescent="0.2"/>
    <row r="481" hidden="1" x14ac:dyDescent="0.2"/>
    <row r="482" hidden="1" x14ac:dyDescent="0.2"/>
    <row r="483" hidden="1" x14ac:dyDescent="0.2"/>
    <row r="484" hidden="1" x14ac:dyDescent="0.2"/>
    <row r="485" hidden="1" x14ac:dyDescent="0.2"/>
    <row r="486" hidden="1" x14ac:dyDescent="0.2"/>
    <row r="487" hidden="1" x14ac:dyDescent="0.2"/>
    <row r="488" hidden="1" x14ac:dyDescent="0.2"/>
    <row r="489" hidden="1" x14ac:dyDescent="0.2"/>
    <row r="490" hidden="1" x14ac:dyDescent="0.2"/>
    <row r="491" hidden="1" x14ac:dyDescent="0.2"/>
    <row r="492" hidden="1" x14ac:dyDescent="0.2"/>
    <row r="493" hidden="1" x14ac:dyDescent="0.2"/>
    <row r="494" hidden="1" x14ac:dyDescent="0.2"/>
    <row r="495" hidden="1" x14ac:dyDescent="0.2"/>
    <row r="496" hidden="1" x14ac:dyDescent="0.2"/>
    <row r="497" hidden="1" x14ac:dyDescent="0.2"/>
    <row r="498" hidden="1" x14ac:dyDescent="0.2"/>
    <row r="499" hidden="1" x14ac:dyDescent="0.2"/>
    <row r="500" hidden="1" x14ac:dyDescent="0.2"/>
    <row r="501" hidden="1" x14ac:dyDescent="0.2"/>
    <row r="502" hidden="1" x14ac:dyDescent="0.2"/>
    <row r="503" hidden="1" x14ac:dyDescent="0.2"/>
    <row r="504" hidden="1" x14ac:dyDescent="0.2"/>
    <row r="505" hidden="1" x14ac:dyDescent="0.2"/>
    <row r="506" hidden="1" x14ac:dyDescent="0.2"/>
    <row r="507" hidden="1" x14ac:dyDescent="0.2"/>
    <row r="508" hidden="1" x14ac:dyDescent="0.2"/>
    <row r="509" hidden="1" x14ac:dyDescent="0.2"/>
    <row r="510" hidden="1" x14ac:dyDescent="0.2"/>
    <row r="511" hidden="1" x14ac:dyDescent="0.2"/>
    <row r="512" hidden="1" x14ac:dyDescent="0.2"/>
    <row r="513" hidden="1" x14ac:dyDescent="0.2"/>
    <row r="514" hidden="1" x14ac:dyDescent="0.2"/>
    <row r="515" hidden="1" x14ac:dyDescent="0.2"/>
    <row r="516" hidden="1" x14ac:dyDescent="0.2"/>
    <row r="517" hidden="1" x14ac:dyDescent="0.2"/>
    <row r="518" hidden="1" x14ac:dyDescent="0.2"/>
    <row r="519" hidden="1" x14ac:dyDescent="0.2"/>
    <row r="520" hidden="1" x14ac:dyDescent="0.2"/>
    <row r="521" hidden="1" x14ac:dyDescent="0.2"/>
    <row r="522" hidden="1" x14ac:dyDescent="0.2"/>
    <row r="523" hidden="1" x14ac:dyDescent="0.2"/>
    <row r="524" hidden="1" x14ac:dyDescent="0.2"/>
    <row r="525" hidden="1" x14ac:dyDescent="0.2"/>
    <row r="526" hidden="1" x14ac:dyDescent="0.2"/>
    <row r="527" hidden="1" x14ac:dyDescent="0.2"/>
    <row r="528" hidden="1" x14ac:dyDescent="0.2"/>
    <row r="529" hidden="1" x14ac:dyDescent="0.2"/>
    <row r="530" hidden="1" x14ac:dyDescent="0.2"/>
    <row r="531" hidden="1" x14ac:dyDescent="0.2"/>
    <row r="532" hidden="1" x14ac:dyDescent="0.2"/>
    <row r="533" hidden="1" x14ac:dyDescent="0.2"/>
    <row r="534" hidden="1" x14ac:dyDescent="0.2"/>
    <row r="535" hidden="1" x14ac:dyDescent="0.2"/>
    <row r="536" hidden="1" x14ac:dyDescent="0.2"/>
    <row r="537" hidden="1" x14ac:dyDescent="0.2"/>
    <row r="538" hidden="1" x14ac:dyDescent="0.2"/>
    <row r="539" hidden="1" x14ac:dyDescent="0.2"/>
    <row r="540" hidden="1" x14ac:dyDescent="0.2"/>
    <row r="541" hidden="1" x14ac:dyDescent="0.2"/>
    <row r="542" hidden="1" x14ac:dyDescent="0.2"/>
    <row r="543" hidden="1" x14ac:dyDescent="0.2"/>
    <row r="544" hidden="1" x14ac:dyDescent="0.2"/>
    <row r="545" hidden="1" x14ac:dyDescent="0.2"/>
    <row r="546" hidden="1" x14ac:dyDescent="0.2"/>
    <row r="547" hidden="1" x14ac:dyDescent="0.2"/>
    <row r="548" hidden="1" x14ac:dyDescent="0.2"/>
    <row r="549" hidden="1" x14ac:dyDescent="0.2"/>
    <row r="550" hidden="1" x14ac:dyDescent="0.2"/>
    <row r="551" hidden="1" x14ac:dyDescent="0.2"/>
    <row r="552" hidden="1" x14ac:dyDescent="0.2"/>
    <row r="553" hidden="1" x14ac:dyDescent="0.2"/>
    <row r="554" hidden="1" x14ac:dyDescent="0.2"/>
    <row r="555" hidden="1" x14ac:dyDescent="0.2"/>
    <row r="556" hidden="1" x14ac:dyDescent="0.2"/>
    <row r="557" hidden="1" x14ac:dyDescent="0.2"/>
    <row r="558" hidden="1" x14ac:dyDescent="0.2"/>
    <row r="559" hidden="1" x14ac:dyDescent="0.2"/>
    <row r="560" hidden="1" x14ac:dyDescent="0.2"/>
    <row r="561" hidden="1" x14ac:dyDescent="0.2"/>
    <row r="562" hidden="1" x14ac:dyDescent="0.2"/>
    <row r="563" hidden="1" x14ac:dyDescent="0.2"/>
    <row r="564" hidden="1" x14ac:dyDescent="0.2"/>
    <row r="565" hidden="1" x14ac:dyDescent="0.2"/>
    <row r="566" hidden="1" x14ac:dyDescent="0.2"/>
    <row r="567" hidden="1" x14ac:dyDescent="0.2"/>
    <row r="568" hidden="1" x14ac:dyDescent="0.2"/>
    <row r="569" hidden="1" x14ac:dyDescent="0.2"/>
    <row r="570" hidden="1" x14ac:dyDescent="0.2"/>
    <row r="571" hidden="1" x14ac:dyDescent="0.2"/>
    <row r="572" hidden="1" x14ac:dyDescent="0.2"/>
    <row r="573" hidden="1" x14ac:dyDescent="0.2"/>
    <row r="574" hidden="1" x14ac:dyDescent="0.2"/>
    <row r="575" hidden="1" x14ac:dyDescent="0.2"/>
    <row r="576" hidden="1" x14ac:dyDescent="0.2"/>
    <row r="577" hidden="1" x14ac:dyDescent="0.2"/>
    <row r="578" hidden="1" x14ac:dyDescent="0.2"/>
    <row r="579" hidden="1" x14ac:dyDescent="0.2"/>
    <row r="580" hidden="1" x14ac:dyDescent="0.2"/>
    <row r="581" hidden="1" x14ac:dyDescent="0.2"/>
    <row r="582" hidden="1" x14ac:dyDescent="0.2"/>
    <row r="583" hidden="1" x14ac:dyDescent="0.2"/>
    <row r="584" hidden="1" x14ac:dyDescent="0.2"/>
    <row r="585" hidden="1" x14ac:dyDescent="0.2"/>
    <row r="586" hidden="1" x14ac:dyDescent="0.2"/>
    <row r="587" hidden="1" x14ac:dyDescent="0.2"/>
    <row r="588" hidden="1" x14ac:dyDescent="0.2"/>
    <row r="589" hidden="1" x14ac:dyDescent="0.2"/>
    <row r="590" hidden="1" x14ac:dyDescent="0.2"/>
    <row r="591" hidden="1" x14ac:dyDescent="0.2"/>
    <row r="592" hidden="1" x14ac:dyDescent="0.2"/>
    <row r="593" hidden="1" x14ac:dyDescent="0.2"/>
    <row r="594" hidden="1" x14ac:dyDescent="0.2"/>
    <row r="595" hidden="1" x14ac:dyDescent="0.2"/>
    <row r="596" hidden="1" x14ac:dyDescent="0.2"/>
    <row r="597" hidden="1" x14ac:dyDescent="0.2"/>
    <row r="598" hidden="1" x14ac:dyDescent="0.2"/>
    <row r="599" hidden="1" x14ac:dyDescent="0.2"/>
    <row r="600" hidden="1" x14ac:dyDescent="0.2"/>
    <row r="601" hidden="1" x14ac:dyDescent="0.2"/>
    <row r="602" hidden="1" x14ac:dyDescent="0.2"/>
    <row r="603" hidden="1" x14ac:dyDescent="0.2"/>
    <row r="604" hidden="1" x14ac:dyDescent="0.2"/>
    <row r="605" hidden="1" x14ac:dyDescent="0.2"/>
    <row r="606" hidden="1" x14ac:dyDescent="0.2"/>
    <row r="607" hidden="1" x14ac:dyDescent="0.2"/>
    <row r="608" hidden="1" x14ac:dyDescent="0.2"/>
    <row r="609" hidden="1" x14ac:dyDescent="0.2"/>
    <row r="610" hidden="1" x14ac:dyDescent="0.2"/>
    <row r="611" hidden="1" x14ac:dyDescent="0.2"/>
    <row r="612" hidden="1" x14ac:dyDescent="0.2"/>
    <row r="613" hidden="1" x14ac:dyDescent="0.2"/>
    <row r="614" hidden="1" x14ac:dyDescent="0.2"/>
    <row r="615" hidden="1" x14ac:dyDescent="0.2"/>
    <row r="616" hidden="1" x14ac:dyDescent="0.2"/>
    <row r="617" hidden="1" x14ac:dyDescent="0.2"/>
    <row r="618" hidden="1" x14ac:dyDescent="0.2"/>
    <row r="619" hidden="1" x14ac:dyDescent="0.2"/>
    <row r="620" hidden="1" x14ac:dyDescent="0.2"/>
    <row r="621" hidden="1" x14ac:dyDescent="0.2"/>
    <row r="622" hidden="1" x14ac:dyDescent="0.2"/>
    <row r="623" hidden="1" x14ac:dyDescent="0.2"/>
    <row r="624" hidden="1" x14ac:dyDescent="0.2"/>
    <row r="625" hidden="1" x14ac:dyDescent="0.2"/>
    <row r="626" hidden="1" x14ac:dyDescent="0.2"/>
    <row r="627" hidden="1" x14ac:dyDescent="0.2"/>
    <row r="628" hidden="1" x14ac:dyDescent="0.2"/>
    <row r="629" hidden="1" x14ac:dyDescent="0.2"/>
    <row r="630" hidden="1" x14ac:dyDescent="0.2"/>
    <row r="631" hidden="1" x14ac:dyDescent="0.2"/>
    <row r="632" hidden="1" x14ac:dyDescent="0.2"/>
    <row r="633" hidden="1" x14ac:dyDescent="0.2"/>
    <row r="634" hidden="1" x14ac:dyDescent="0.2"/>
    <row r="635" hidden="1" x14ac:dyDescent="0.2"/>
    <row r="636" hidden="1" x14ac:dyDescent="0.2"/>
    <row r="637" hidden="1" x14ac:dyDescent="0.2"/>
    <row r="638" hidden="1" x14ac:dyDescent="0.2"/>
    <row r="639" hidden="1" x14ac:dyDescent="0.2"/>
    <row r="640" hidden="1" x14ac:dyDescent="0.2"/>
    <row r="641" hidden="1" x14ac:dyDescent="0.2"/>
    <row r="642" hidden="1" x14ac:dyDescent="0.2"/>
    <row r="643" hidden="1" x14ac:dyDescent="0.2"/>
    <row r="644" hidden="1" x14ac:dyDescent="0.2"/>
    <row r="645" hidden="1" x14ac:dyDescent="0.2"/>
    <row r="646" hidden="1" x14ac:dyDescent="0.2"/>
    <row r="647" hidden="1" x14ac:dyDescent="0.2"/>
    <row r="648" hidden="1" x14ac:dyDescent="0.2"/>
    <row r="649" hidden="1" x14ac:dyDescent="0.2"/>
    <row r="650" hidden="1" x14ac:dyDescent="0.2"/>
    <row r="651" hidden="1" x14ac:dyDescent="0.2"/>
    <row r="652" hidden="1" x14ac:dyDescent="0.2"/>
    <row r="653" hidden="1" x14ac:dyDescent="0.2"/>
    <row r="654" hidden="1" x14ac:dyDescent="0.2"/>
    <row r="655" hidden="1" x14ac:dyDescent="0.2"/>
    <row r="656" hidden="1" x14ac:dyDescent="0.2"/>
    <row r="657" hidden="1" x14ac:dyDescent="0.2"/>
    <row r="658" hidden="1" x14ac:dyDescent="0.2"/>
    <row r="659" hidden="1" x14ac:dyDescent="0.2"/>
    <row r="660" hidden="1" x14ac:dyDescent="0.2"/>
    <row r="661" hidden="1" x14ac:dyDescent="0.2"/>
    <row r="662" hidden="1" x14ac:dyDescent="0.2"/>
    <row r="663" hidden="1" x14ac:dyDescent="0.2"/>
    <row r="664" hidden="1" x14ac:dyDescent="0.2"/>
    <row r="665" hidden="1" x14ac:dyDescent="0.2"/>
    <row r="666" hidden="1" x14ac:dyDescent="0.2"/>
    <row r="667" hidden="1" x14ac:dyDescent="0.2"/>
    <row r="668" hidden="1" x14ac:dyDescent="0.2"/>
    <row r="669" hidden="1" x14ac:dyDescent="0.2"/>
    <row r="670" hidden="1" x14ac:dyDescent="0.2"/>
    <row r="671" hidden="1" x14ac:dyDescent="0.2"/>
    <row r="672" hidden="1" x14ac:dyDescent="0.2"/>
    <row r="673" hidden="1" x14ac:dyDescent="0.2"/>
    <row r="674" hidden="1" x14ac:dyDescent="0.2"/>
    <row r="675" hidden="1" x14ac:dyDescent="0.2"/>
    <row r="676" hidden="1" x14ac:dyDescent="0.2"/>
    <row r="677" hidden="1" x14ac:dyDescent="0.2"/>
    <row r="678" hidden="1" x14ac:dyDescent="0.2"/>
    <row r="679" hidden="1" x14ac:dyDescent="0.2"/>
    <row r="680" hidden="1" x14ac:dyDescent="0.2"/>
    <row r="681" hidden="1" x14ac:dyDescent="0.2"/>
    <row r="682" hidden="1" x14ac:dyDescent="0.2"/>
    <row r="683" hidden="1" x14ac:dyDescent="0.2"/>
    <row r="684" hidden="1" x14ac:dyDescent="0.2"/>
    <row r="685" hidden="1" x14ac:dyDescent="0.2"/>
    <row r="686" hidden="1" x14ac:dyDescent="0.2"/>
    <row r="687" hidden="1" x14ac:dyDescent="0.2"/>
    <row r="688" hidden="1" x14ac:dyDescent="0.2"/>
    <row r="689" hidden="1" x14ac:dyDescent="0.2"/>
    <row r="690" hidden="1" x14ac:dyDescent="0.2"/>
    <row r="691" hidden="1" x14ac:dyDescent="0.2"/>
    <row r="692" hidden="1" x14ac:dyDescent="0.2"/>
    <row r="693" hidden="1" x14ac:dyDescent="0.2"/>
    <row r="694" hidden="1" x14ac:dyDescent="0.2"/>
    <row r="695" hidden="1" x14ac:dyDescent="0.2"/>
    <row r="696" hidden="1" x14ac:dyDescent="0.2"/>
    <row r="697" hidden="1" x14ac:dyDescent="0.2"/>
    <row r="698" hidden="1" x14ac:dyDescent="0.2"/>
    <row r="699" hidden="1" x14ac:dyDescent="0.2"/>
    <row r="700" hidden="1" x14ac:dyDescent="0.2"/>
    <row r="701" hidden="1" x14ac:dyDescent="0.2"/>
    <row r="702" hidden="1" x14ac:dyDescent="0.2"/>
    <row r="703" hidden="1" x14ac:dyDescent="0.2"/>
    <row r="704" hidden="1" x14ac:dyDescent="0.2"/>
    <row r="705" hidden="1" x14ac:dyDescent="0.2"/>
    <row r="706" hidden="1" x14ac:dyDescent="0.2"/>
    <row r="707" hidden="1" x14ac:dyDescent="0.2"/>
    <row r="708" hidden="1" x14ac:dyDescent="0.2"/>
    <row r="709" hidden="1" x14ac:dyDescent="0.2"/>
    <row r="710" hidden="1" x14ac:dyDescent="0.2"/>
    <row r="711" hidden="1" x14ac:dyDescent="0.2"/>
    <row r="712" hidden="1" x14ac:dyDescent="0.2"/>
    <row r="713" hidden="1" x14ac:dyDescent="0.2"/>
    <row r="714" hidden="1" x14ac:dyDescent="0.2"/>
    <row r="715" hidden="1" x14ac:dyDescent="0.2"/>
    <row r="716" hidden="1" x14ac:dyDescent="0.2"/>
    <row r="717" hidden="1" x14ac:dyDescent="0.2"/>
    <row r="718" hidden="1" x14ac:dyDescent="0.2"/>
    <row r="719" hidden="1" x14ac:dyDescent="0.2"/>
    <row r="720" hidden="1" x14ac:dyDescent="0.2"/>
    <row r="721" hidden="1" x14ac:dyDescent="0.2"/>
    <row r="722" hidden="1" x14ac:dyDescent="0.2"/>
    <row r="723" hidden="1" x14ac:dyDescent="0.2"/>
    <row r="724" hidden="1" x14ac:dyDescent="0.2"/>
    <row r="725" hidden="1" x14ac:dyDescent="0.2"/>
    <row r="726" hidden="1" x14ac:dyDescent="0.2"/>
    <row r="727" hidden="1" x14ac:dyDescent="0.2"/>
    <row r="728" hidden="1" x14ac:dyDescent="0.2"/>
    <row r="729" hidden="1" x14ac:dyDescent="0.2"/>
    <row r="730" hidden="1" x14ac:dyDescent="0.2"/>
    <row r="731" hidden="1" x14ac:dyDescent="0.2"/>
    <row r="732" hidden="1" x14ac:dyDescent="0.2"/>
    <row r="733" hidden="1" x14ac:dyDescent="0.2"/>
    <row r="734" hidden="1" x14ac:dyDescent="0.2"/>
    <row r="735" hidden="1" x14ac:dyDescent="0.2"/>
    <row r="736" hidden="1" x14ac:dyDescent="0.2"/>
    <row r="737" hidden="1" x14ac:dyDescent="0.2"/>
    <row r="738" hidden="1" x14ac:dyDescent="0.2"/>
    <row r="739" hidden="1" x14ac:dyDescent="0.2"/>
    <row r="740" hidden="1" x14ac:dyDescent="0.2"/>
    <row r="741" hidden="1" x14ac:dyDescent="0.2"/>
    <row r="742" hidden="1" x14ac:dyDescent="0.2"/>
    <row r="743" hidden="1" x14ac:dyDescent="0.2"/>
    <row r="744" hidden="1" x14ac:dyDescent="0.2"/>
    <row r="745" hidden="1" x14ac:dyDescent="0.2"/>
    <row r="746" hidden="1" x14ac:dyDescent="0.2"/>
    <row r="747" hidden="1" x14ac:dyDescent="0.2"/>
    <row r="748" hidden="1" x14ac:dyDescent="0.2"/>
    <row r="749" hidden="1" x14ac:dyDescent="0.2"/>
    <row r="750" hidden="1" x14ac:dyDescent="0.2"/>
    <row r="751" hidden="1" x14ac:dyDescent="0.2"/>
    <row r="752" hidden="1" x14ac:dyDescent="0.2"/>
    <row r="753" hidden="1" x14ac:dyDescent="0.2"/>
    <row r="754" hidden="1" x14ac:dyDescent="0.2"/>
    <row r="755" hidden="1" x14ac:dyDescent="0.2"/>
    <row r="756" hidden="1" x14ac:dyDescent="0.2"/>
    <row r="757" hidden="1" x14ac:dyDescent="0.2"/>
    <row r="758" hidden="1" x14ac:dyDescent="0.2"/>
    <row r="759" hidden="1" x14ac:dyDescent="0.2"/>
    <row r="760" hidden="1" x14ac:dyDescent="0.2"/>
    <row r="761" hidden="1" x14ac:dyDescent="0.2"/>
    <row r="762" hidden="1" x14ac:dyDescent="0.2"/>
    <row r="763" hidden="1" x14ac:dyDescent="0.2"/>
    <row r="764" hidden="1" x14ac:dyDescent="0.2"/>
    <row r="765" hidden="1" x14ac:dyDescent="0.2"/>
    <row r="766" hidden="1" x14ac:dyDescent="0.2"/>
    <row r="767" hidden="1" x14ac:dyDescent="0.2"/>
    <row r="768" hidden="1" x14ac:dyDescent="0.2"/>
    <row r="769" hidden="1" x14ac:dyDescent="0.2"/>
    <row r="770" hidden="1" x14ac:dyDescent="0.2"/>
    <row r="771" hidden="1" x14ac:dyDescent="0.2"/>
    <row r="772" hidden="1" x14ac:dyDescent="0.2"/>
    <row r="773" hidden="1" x14ac:dyDescent="0.2"/>
    <row r="774" hidden="1" x14ac:dyDescent="0.2"/>
    <row r="775" hidden="1" x14ac:dyDescent="0.2"/>
    <row r="776" hidden="1" x14ac:dyDescent="0.2"/>
    <row r="777" hidden="1" x14ac:dyDescent="0.2"/>
    <row r="778" hidden="1" x14ac:dyDescent="0.2"/>
    <row r="779" hidden="1" x14ac:dyDescent="0.2"/>
    <row r="780" hidden="1" x14ac:dyDescent="0.2"/>
    <row r="781" hidden="1" x14ac:dyDescent="0.2"/>
    <row r="782" hidden="1" x14ac:dyDescent="0.2"/>
    <row r="783" hidden="1" x14ac:dyDescent="0.2"/>
    <row r="784" hidden="1" x14ac:dyDescent="0.2"/>
    <row r="785" hidden="1" x14ac:dyDescent="0.2"/>
    <row r="786" hidden="1" x14ac:dyDescent="0.2"/>
    <row r="787" hidden="1" x14ac:dyDescent="0.2"/>
    <row r="788" hidden="1" x14ac:dyDescent="0.2"/>
    <row r="789" hidden="1" x14ac:dyDescent="0.2"/>
    <row r="790" hidden="1" x14ac:dyDescent="0.2"/>
    <row r="791" hidden="1" x14ac:dyDescent="0.2"/>
    <row r="792" hidden="1" x14ac:dyDescent="0.2"/>
    <row r="793" hidden="1" x14ac:dyDescent="0.2"/>
    <row r="794" hidden="1" x14ac:dyDescent="0.2"/>
    <row r="795" hidden="1" x14ac:dyDescent="0.2"/>
    <row r="796" hidden="1" x14ac:dyDescent="0.2"/>
    <row r="797" hidden="1" x14ac:dyDescent="0.2"/>
    <row r="798" hidden="1" x14ac:dyDescent="0.2"/>
    <row r="799" hidden="1" x14ac:dyDescent="0.2"/>
    <row r="800" hidden="1" x14ac:dyDescent="0.2"/>
    <row r="801" hidden="1" x14ac:dyDescent="0.2"/>
    <row r="802" hidden="1" x14ac:dyDescent="0.2"/>
    <row r="803" hidden="1" x14ac:dyDescent="0.2"/>
    <row r="804" hidden="1" x14ac:dyDescent="0.2"/>
    <row r="805" hidden="1" x14ac:dyDescent="0.2"/>
    <row r="806" hidden="1" x14ac:dyDescent="0.2"/>
    <row r="807" hidden="1" x14ac:dyDescent="0.2"/>
    <row r="808" hidden="1" x14ac:dyDescent="0.2"/>
    <row r="809" hidden="1" x14ac:dyDescent="0.2"/>
    <row r="810" hidden="1" x14ac:dyDescent="0.2"/>
    <row r="811" hidden="1" x14ac:dyDescent="0.2"/>
    <row r="812" hidden="1" x14ac:dyDescent="0.2"/>
    <row r="813" hidden="1" x14ac:dyDescent="0.2"/>
    <row r="814" hidden="1" x14ac:dyDescent="0.2"/>
    <row r="815" hidden="1" x14ac:dyDescent="0.2"/>
    <row r="816" hidden="1" x14ac:dyDescent="0.2"/>
    <row r="817" hidden="1" x14ac:dyDescent="0.2"/>
    <row r="818" hidden="1" x14ac:dyDescent="0.2"/>
    <row r="819" hidden="1" x14ac:dyDescent="0.2"/>
    <row r="820" hidden="1" x14ac:dyDescent="0.2"/>
    <row r="821" hidden="1" x14ac:dyDescent="0.2"/>
    <row r="822" hidden="1" x14ac:dyDescent="0.2"/>
    <row r="823" hidden="1" x14ac:dyDescent="0.2"/>
    <row r="824" hidden="1" x14ac:dyDescent="0.2"/>
    <row r="825" hidden="1" x14ac:dyDescent="0.2"/>
    <row r="826" hidden="1" x14ac:dyDescent="0.2"/>
    <row r="827" hidden="1" x14ac:dyDescent="0.2"/>
    <row r="828" hidden="1" x14ac:dyDescent="0.2"/>
    <row r="829" hidden="1" x14ac:dyDescent="0.2"/>
    <row r="830" hidden="1" x14ac:dyDescent="0.2"/>
    <row r="831" hidden="1" x14ac:dyDescent="0.2"/>
    <row r="832" hidden="1" x14ac:dyDescent="0.2"/>
    <row r="833" hidden="1" x14ac:dyDescent="0.2"/>
    <row r="834" hidden="1" x14ac:dyDescent="0.2"/>
    <row r="835" hidden="1" x14ac:dyDescent="0.2"/>
    <row r="836" hidden="1" x14ac:dyDescent="0.2"/>
    <row r="837" hidden="1" x14ac:dyDescent="0.2"/>
    <row r="838" hidden="1" x14ac:dyDescent="0.2"/>
    <row r="839" hidden="1" x14ac:dyDescent="0.2"/>
    <row r="840" hidden="1" x14ac:dyDescent="0.2"/>
    <row r="841" hidden="1" x14ac:dyDescent="0.2"/>
    <row r="842" hidden="1" x14ac:dyDescent="0.2"/>
    <row r="843" hidden="1" x14ac:dyDescent="0.2"/>
    <row r="844" hidden="1" x14ac:dyDescent="0.2"/>
    <row r="845" hidden="1" x14ac:dyDescent="0.2"/>
    <row r="846" hidden="1" x14ac:dyDescent="0.2"/>
    <row r="847" hidden="1" x14ac:dyDescent="0.2"/>
    <row r="848" hidden="1" x14ac:dyDescent="0.2"/>
    <row r="849" hidden="1" x14ac:dyDescent="0.2"/>
    <row r="850" hidden="1" x14ac:dyDescent="0.2"/>
    <row r="851" hidden="1" x14ac:dyDescent="0.2"/>
    <row r="852" hidden="1" x14ac:dyDescent="0.2"/>
    <row r="853" hidden="1" x14ac:dyDescent="0.2"/>
    <row r="854" hidden="1" x14ac:dyDescent="0.2"/>
    <row r="855" hidden="1" x14ac:dyDescent="0.2"/>
    <row r="856" hidden="1" x14ac:dyDescent="0.2"/>
    <row r="857" hidden="1" x14ac:dyDescent="0.2"/>
    <row r="858" hidden="1" x14ac:dyDescent="0.2"/>
    <row r="859" hidden="1" x14ac:dyDescent="0.2"/>
    <row r="860" hidden="1" x14ac:dyDescent="0.2"/>
    <row r="861" hidden="1" x14ac:dyDescent="0.2"/>
    <row r="862" hidden="1" x14ac:dyDescent="0.2"/>
    <row r="863" hidden="1" x14ac:dyDescent="0.2"/>
    <row r="864" hidden="1" x14ac:dyDescent="0.2"/>
    <row r="865" hidden="1" x14ac:dyDescent="0.2"/>
    <row r="866" hidden="1" x14ac:dyDescent="0.2"/>
    <row r="867" hidden="1" x14ac:dyDescent="0.2"/>
    <row r="868" hidden="1" x14ac:dyDescent="0.2"/>
    <row r="869" hidden="1" x14ac:dyDescent="0.2"/>
    <row r="870" hidden="1" x14ac:dyDescent="0.2"/>
    <row r="871" hidden="1" x14ac:dyDescent="0.2"/>
    <row r="872" hidden="1" x14ac:dyDescent="0.2"/>
    <row r="873" hidden="1" x14ac:dyDescent="0.2"/>
    <row r="874" hidden="1" x14ac:dyDescent="0.2"/>
    <row r="875" hidden="1" x14ac:dyDescent="0.2"/>
    <row r="876" hidden="1" x14ac:dyDescent="0.2"/>
    <row r="877" hidden="1" x14ac:dyDescent="0.2"/>
    <row r="878" hidden="1" x14ac:dyDescent="0.2"/>
    <row r="879" hidden="1" x14ac:dyDescent="0.2"/>
    <row r="880" hidden="1" x14ac:dyDescent="0.2"/>
    <row r="881" hidden="1" x14ac:dyDescent="0.2"/>
    <row r="882" hidden="1" x14ac:dyDescent="0.2"/>
    <row r="883" hidden="1" x14ac:dyDescent="0.2"/>
    <row r="884" hidden="1" x14ac:dyDescent="0.2"/>
    <row r="885" hidden="1" x14ac:dyDescent="0.2"/>
    <row r="886" hidden="1" x14ac:dyDescent="0.2"/>
    <row r="887" hidden="1" x14ac:dyDescent="0.2"/>
    <row r="888" hidden="1" x14ac:dyDescent="0.2"/>
    <row r="889" hidden="1" x14ac:dyDescent="0.2"/>
    <row r="890" hidden="1" x14ac:dyDescent="0.2"/>
    <row r="891" hidden="1" x14ac:dyDescent="0.2"/>
    <row r="892" hidden="1" x14ac:dyDescent="0.2"/>
    <row r="893" hidden="1" x14ac:dyDescent="0.2"/>
    <row r="894" hidden="1" x14ac:dyDescent="0.2"/>
    <row r="895" hidden="1" x14ac:dyDescent="0.2"/>
    <row r="896" hidden="1" x14ac:dyDescent="0.2"/>
    <row r="897" hidden="1" x14ac:dyDescent="0.2"/>
    <row r="898" hidden="1" x14ac:dyDescent="0.2"/>
    <row r="899" hidden="1" x14ac:dyDescent="0.2"/>
    <row r="900" hidden="1" x14ac:dyDescent="0.2"/>
    <row r="901" hidden="1" x14ac:dyDescent="0.2"/>
    <row r="902" hidden="1" x14ac:dyDescent="0.2"/>
    <row r="903" hidden="1" x14ac:dyDescent="0.2"/>
    <row r="904" hidden="1" x14ac:dyDescent="0.2"/>
    <row r="905" hidden="1" x14ac:dyDescent="0.2"/>
    <row r="906" hidden="1" x14ac:dyDescent="0.2"/>
    <row r="907" hidden="1" x14ac:dyDescent="0.2"/>
    <row r="908" hidden="1" x14ac:dyDescent="0.2"/>
    <row r="909" hidden="1" x14ac:dyDescent="0.2"/>
    <row r="910" hidden="1" x14ac:dyDescent="0.2"/>
    <row r="911" hidden="1" x14ac:dyDescent="0.2"/>
    <row r="912" hidden="1" x14ac:dyDescent="0.2"/>
    <row r="913" hidden="1" x14ac:dyDescent="0.2"/>
    <row r="914" hidden="1" x14ac:dyDescent="0.2"/>
    <row r="915" hidden="1" x14ac:dyDescent="0.2"/>
    <row r="916" hidden="1" x14ac:dyDescent="0.2"/>
    <row r="917" hidden="1" x14ac:dyDescent="0.2"/>
    <row r="918" hidden="1" x14ac:dyDescent="0.2"/>
    <row r="919" hidden="1" x14ac:dyDescent="0.2"/>
    <row r="920" hidden="1" x14ac:dyDescent="0.2"/>
    <row r="921" hidden="1" x14ac:dyDescent="0.2"/>
    <row r="922" hidden="1" x14ac:dyDescent="0.2"/>
    <row r="923" hidden="1" x14ac:dyDescent="0.2"/>
    <row r="924" hidden="1" x14ac:dyDescent="0.2"/>
    <row r="925" hidden="1" x14ac:dyDescent="0.2"/>
    <row r="926" hidden="1" x14ac:dyDescent="0.2"/>
    <row r="927" hidden="1" x14ac:dyDescent="0.2"/>
    <row r="928" hidden="1" x14ac:dyDescent="0.2"/>
    <row r="929" hidden="1" x14ac:dyDescent="0.2"/>
    <row r="930" hidden="1" x14ac:dyDescent="0.2"/>
    <row r="931" hidden="1" x14ac:dyDescent="0.2"/>
    <row r="932" hidden="1" x14ac:dyDescent="0.2"/>
    <row r="933" hidden="1" x14ac:dyDescent="0.2"/>
    <row r="934" hidden="1" x14ac:dyDescent="0.2"/>
    <row r="935" hidden="1" x14ac:dyDescent="0.2"/>
    <row r="936" hidden="1" x14ac:dyDescent="0.2"/>
    <row r="937" hidden="1" x14ac:dyDescent="0.2"/>
    <row r="938" hidden="1" x14ac:dyDescent="0.2"/>
    <row r="939" hidden="1" x14ac:dyDescent="0.2"/>
    <row r="940" hidden="1" x14ac:dyDescent="0.2"/>
    <row r="941" hidden="1" x14ac:dyDescent="0.2"/>
    <row r="942" hidden="1" x14ac:dyDescent="0.2"/>
    <row r="943" hidden="1" x14ac:dyDescent="0.2"/>
    <row r="944" hidden="1" x14ac:dyDescent="0.2"/>
    <row r="945" hidden="1" x14ac:dyDescent="0.2"/>
    <row r="946" hidden="1" x14ac:dyDescent="0.2"/>
    <row r="947" hidden="1" x14ac:dyDescent="0.2"/>
    <row r="948" hidden="1" x14ac:dyDescent="0.2"/>
    <row r="949" hidden="1" x14ac:dyDescent="0.2"/>
    <row r="950" hidden="1" x14ac:dyDescent="0.2"/>
    <row r="951" hidden="1" x14ac:dyDescent="0.2"/>
    <row r="952" hidden="1" x14ac:dyDescent="0.2"/>
    <row r="953" hidden="1" x14ac:dyDescent="0.2"/>
    <row r="954" hidden="1" x14ac:dyDescent="0.2"/>
    <row r="955" hidden="1" x14ac:dyDescent="0.2"/>
    <row r="956" hidden="1" x14ac:dyDescent="0.2"/>
    <row r="957" hidden="1" x14ac:dyDescent="0.2"/>
    <row r="958" hidden="1" x14ac:dyDescent="0.2"/>
    <row r="959" hidden="1" x14ac:dyDescent="0.2"/>
    <row r="960" hidden="1" x14ac:dyDescent="0.2"/>
    <row r="961" hidden="1" x14ac:dyDescent="0.2"/>
    <row r="962" hidden="1" x14ac:dyDescent="0.2"/>
    <row r="963" hidden="1" x14ac:dyDescent="0.2"/>
    <row r="964" hidden="1" x14ac:dyDescent="0.2"/>
    <row r="965" hidden="1" x14ac:dyDescent="0.2"/>
    <row r="966" hidden="1" x14ac:dyDescent="0.2"/>
    <row r="967" hidden="1" x14ac:dyDescent="0.2"/>
    <row r="968" hidden="1" x14ac:dyDescent="0.2"/>
    <row r="969" hidden="1" x14ac:dyDescent="0.2"/>
    <row r="970" hidden="1" x14ac:dyDescent="0.2"/>
    <row r="971" hidden="1" x14ac:dyDescent="0.2"/>
    <row r="972" hidden="1" x14ac:dyDescent="0.2"/>
    <row r="973" hidden="1" x14ac:dyDescent="0.2"/>
    <row r="974" hidden="1" x14ac:dyDescent="0.2"/>
    <row r="975" hidden="1" x14ac:dyDescent="0.2"/>
    <row r="976" hidden="1" x14ac:dyDescent="0.2"/>
    <row r="977" hidden="1" x14ac:dyDescent="0.2"/>
    <row r="978" hidden="1" x14ac:dyDescent="0.2"/>
    <row r="979" hidden="1" x14ac:dyDescent="0.2"/>
    <row r="980" hidden="1" x14ac:dyDescent="0.2"/>
    <row r="981" hidden="1" x14ac:dyDescent="0.2"/>
    <row r="982" hidden="1" x14ac:dyDescent="0.2"/>
    <row r="983" hidden="1" x14ac:dyDescent="0.2"/>
    <row r="984" hidden="1" x14ac:dyDescent="0.2"/>
    <row r="985" hidden="1" x14ac:dyDescent="0.2"/>
    <row r="986" hidden="1" x14ac:dyDescent="0.2"/>
    <row r="987" hidden="1" x14ac:dyDescent="0.2"/>
    <row r="988" hidden="1" x14ac:dyDescent="0.2"/>
    <row r="989" hidden="1" x14ac:dyDescent="0.2"/>
    <row r="990" hidden="1" x14ac:dyDescent="0.2"/>
    <row r="991" hidden="1" x14ac:dyDescent="0.2"/>
    <row r="992" hidden="1" x14ac:dyDescent="0.2"/>
    <row r="993" hidden="1" x14ac:dyDescent="0.2"/>
    <row r="994" hidden="1" x14ac:dyDescent="0.2"/>
    <row r="995" hidden="1" x14ac:dyDescent="0.2"/>
    <row r="996" hidden="1" x14ac:dyDescent="0.2"/>
    <row r="997" hidden="1" x14ac:dyDescent="0.2"/>
    <row r="998" hidden="1" x14ac:dyDescent="0.2"/>
    <row r="999" hidden="1" x14ac:dyDescent="0.2"/>
    <row r="1000" hidden="1" x14ac:dyDescent="0.2"/>
    <row r="1001" hidden="1" x14ac:dyDescent="0.2"/>
    <row r="1002" hidden="1" x14ac:dyDescent="0.2"/>
    <row r="1003" hidden="1" x14ac:dyDescent="0.2"/>
    <row r="1004" hidden="1" x14ac:dyDescent="0.2"/>
    <row r="1005" hidden="1" x14ac:dyDescent="0.2"/>
    <row r="1006" hidden="1" x14ac:dyDescent="0.2"/>
    <row r="1007" hidden="1" x14ac:dyDescent="0.2"/>
    <row r="1008" hidden="1" x14ac:dyDescent="0.2"/>
    <row r="1009" hidden="1" x14ac:dyDescent="0.2"/>
    <row r="1010" hidden="1" x14ac:dyDescent="0.2"/>
    <row r="1011" hidden="1" x14ac:dyDescent="0.2"/>
    <row r="1012" hidden="1" x14ac:dyDescent="0.2"/>
    <row r="1013" hidden="1" x14ac:dyDescent="0.2"/>
    <row r="1014" hidden="1" x14ac:dyDescent="0.2"/>
    <row r="1015" hidden="1" x14ac:dyDescent="0.2"/>
    <row r="1016" hidden="1" x14ac:dyDescent="0.2"/>
    <row r="1017" hidden="1" x14ac:dyDescent="0.2"/>
    <row r="1018" hidden="1" x14ac:dyDescent="0.2"/>
    <row r="1019" hidden="1" x14ac:dyDescent="0.2"/>
    <row r="1020" hidden="1" x14ac:dyDescent="0.2"/>
    <row r="1021" hidden="1" x14ac:dyDescent="0.2"/>
    <row r="1022" hidden="1" x14ac:dyDescent="0.2"/>
    <row r="1023" hidden="1" x14ac:dyDescent="0.2"/>
    <row r="1024" hidden="1" x14ac:dyDescent="0.2"/>
    <row r="1025" hidden="1" x14ac:dyDescent="0.2"/>
    <row r="1026" hidden="1" x14ac:dyDescent="0.2"/>
    <row r="1027" hidden="1" x14ac:dyDescent="0.2"/>
    <row r="1028" hidden="1" x14ac:dyDescent="0.2"/>
    <row r="1029" hidden="1" x14ac:dyDescent="0.2"/>
    <row r="1030" hidden="1" x14ac:dyDescent="0.2"/>
    <row r="1031" hidden="1" x14ac:dyDescent="0.2"/>
    <row r="1032" hidden="1" x14ac:dyDescent="0.2"/>
    <row r="1033" hidden="1" x14ac:dyDescent="0.2"/>
    <row r="1034" hidden="1" x14ac:dyDescent="0.2"/>
    <row r="1035" hidden="1" x14ac:dyDescent="0.2"/>
    <row r="1036" hidden="1" x14ac:dyDescent="0.2"/>
    <row r="1037" hidden="1" x14ac:dyDescent="0.2"/>
    <row r="1038" hidden="1" x14ac:dyDescent="0.2"/>
    <row r="1039" hidden="1" x14ac:dyDescent="0.2"/>
    <row r="1040" hidden="1" x14ac:dyDescent="0.2"/>
    <row r="1041" hidden="1" x14ac:dyDescent="0.2"/>
    <row r="1042" hidden="1" x14ac:dyDescent="0.2"/>
    <row r="1043" hidden="1" x14ac:dyDescent="0.2"/>
    <row r="1044" hidden="1" x14ac:dyDescent="0.2"/>
    <row r="1045" hidden="1" x14ac:dyDescent="0.2"/>
    <row r="1046" hidden="1" x14ac:dyDescent="0.2"/>
    <row r="1047" hidden="1" x14ac:dyDescent="0.2"/>
    <row r="1048" hidden="1" x14ac:dyDescent="0.2"/>
    <row r="1049" hidden="1" x14ac:dyDescent="0.2"/>
    <row r="1050" hidden="1" x14ac:dyDescent="0.2"/>
    <row r="1051" hidden="1" x14ac:dyDescent="0.2"/>
    <row r="1052" hidden="1" x14ac:dyDescent="0.2"/>
    <row r="1053" hidden="1" x14ac:dyDescent="0.2"/>
    <row r="1054" hidden="1" x14ac:dyDescent="0.2"/>
    <row r="1055" hidden="1" x14ac:dyDescent="0.2"/>
    <row r="1056" hidden="1" x14ac:dyDescent="0.2"/>
    <row r="1057" hidden="1" x14ac:dyDescent="0.2"/>
    <row r="1058" hidden="1" x14ac:dyDescent="0.2"/>
    <row r="1059" hidden="1" x14ac:dyDescent="0.2"/>
    <row r="1060" hidden="1" x14ac:dyDescent="0.2"/>
    <row r="1061" hidden="1" x14ac:dyDescent="0.2"/>
    <row r="1062" hidden="1" x14ac:dyDescent="0.2"/>
    <row r="1063" hidden="1" x14ac:dyDescent="0.2"/>
    <row r="1064" hidden="1" x14ac:dyDescent="0.2"/>
    <row r="1065" hidden="1" x14ac:dyDescent="0.2"/>
    <row r="1066" hidden="1" x14ac:dyDescent="0.2"/>
    <row r="1067" hidden="1" x14ac:dyDescent="0.2"/>
    <row r="1068" hidden="1" x14ac:dyDescent="0.2"/>
    <row r="1069" hidden="1" x14ac:dyDescent="0.2"/>
    <row r="1070" hidden="1" x14ac:dyDescent="0.2"/>
    <row r="1071" hidden="1" x14ac:dyDescent="0.2"/>
    <row r="1072" hidden="1" x14ac:dyDescent="0.2"/>
    <row r="1073" hidden="1" x14ac:dyDescent="0.2"/>
    <row r="1074" hidden="1" x14ac:dyDescent="0.2"/>
    <row r="1075" hidden="1" x14ac:dyDescent="0.2"/>
    <row r="1076" hidden="1" x14ac:dyDescent="0.2"/>
    <row r="1077" hidden="1" x14ac:dyDescent="0.2"/>
    <row r="1078" hidden="1" x14ac:dyDescent="0.2"/>
    <row r="1079" hidden="1" x14ac:dyDescent="0.2"/>
    <row r="1080" hidden="1" x14ac:dyDescent="0.2"/>
    <row r="1081" hidden="1" x14ac:dyDescent="0.2"/>
    <row r="1082" hidden="1" x14ac:dyDescent="0.2"/>
    <row r="1083" hidden="1" x14ac:dyDescent="0.2"/>
    <row r="1084" hidden="1" x14ac:dyDescent="0.2"/>
    <row r="1085" hidden="1" x14ac:dyDescent="0.2"/>
    <row r="1086" hidden="1" x14ac:dyDescent="0.2"/>
    <row r="1087" hidden="1" x14ac:dyDescent="0.2"/>
    <row r="1088" hidden="1" x14ac:dyDescent="0.2"/>
    <row r="1089" hidden="1" x14ac:dyDescent="0.2"/>
    <row r="1090" hidden="1" x14ac:dyDescent="0.2"/>
    <row r="1091" hidden="1" x14ac:dyDescent="0.2"/>
    <row r="1092" hidden="1" x14ac:dyDescent="0.2"/>
    <row r="1093" hidden="1" x14ac:dyDescent="0.2"/>
    <row r="1094" hidden="1" x14ac:dyDescent="0.2"/>
    <row r="1095" hidden="1" x14ac:dyDescent="0.2"/>
    <row r="1096" hidden="1" x14ac:dyDescent="0.2"/>
    <row r="1097" hidden="1" x14ac:dyDescent="0.2"/>
    <row r="1098" hidden="1" x14ac:dyDescent="0.2"/>
    <row r="1099" hidden="1" x14ac:dyDescent="0.2"/>
    <row r="1100" hidden="1" x14ac:dyDescent="0.2"/>
    <row r="1101" hidden="1" x14ac:dyDescent="0.2"/>
    <row r="1102" hidden="1" x14ac:dyDescent="0.2"/>
    <row r="1103" hidden="1" x14ac:dyDescent="0.2"/>
    <row r="1104" hidden="1" x14ac:dyDescent="0.2"/>
    <row r="1105" hidden="1" x14ac:dyDescent="0.2"/>
    <row r="1106" hidden="1" x14ac:dyDescent="0.2"/>
    <row r="1107" hidden="1" x14ac:dyDescent="0.2"/>
    <row r="1108" hidden="1" x14ac:dyDescent="0.2"/>
    <row r="1109" hidden="1" x14ac:dyDescent="0.2"/>
    <row r="1110" hidden="1" x14ac:dyDescent="0.2"/>
    <row r="1111" hidden="1" x14ac:dyDescent="0.2"/>
    <row r="1112" hidden="1" x14ac:dyDescent="0.2"/>
    <row r="1113" hidden="1" x14ac:dyDescent="0.2"/>
    <row r="1114" hidden="1" x14ac:dyDescent="0.2"/>
    <row r="1115" hidden="1" x14ac:dyDescent="0.2"/>
    <row r="1116" hidden="1" x14ac:dyDescent="0.2"/>
    <row r="1117" hidden="1" x14ac:dyDescent="0.2"/>
    <row r="1118" hidden="1" x14ac:dyDescent="0.2"/>
    <row r="1119" hidden="1" x14ac:dyDescent="0.2"/>
    <row r="1120" hidden="1" x14ac:dyDescent="0.2"/>
    <row r="1121" hidden="1" x14ac:dyDescent="0.2"/>
    <row r="1122" hidden="1" x14ac:dyDescent="0.2"/>
    <row r="1123" hidden="1" x14ac:dyDescent="0.2"/>
    <row r="1124" hidden="1" x14ac:dyDescent="0.2"/>
    <row r="1125" hidden="1" x14ac:dyDescent="0.2"/>
    <row r="1126" hidden="1" x14ac:dyDescent="0.2"/>
    <row r="1127" hidden="1" x14ac:dyDescent="0.2"/>
    <row r="1128" hidden="1" x14ac:dyDescent="0.2"/>
    <row r="1129" hidden="1" x14ac:dyDescent="0.2"/>
    <row r="1130" hidden="1" x14ac:dyDescent="0.2"/>
    <row r="1131" hidden="1" x14ac:dyDescent="0.2"/>
    <row r="1132" hidden="1" x14ac:dyDescent="0.2"/>
    <row r="1133" hidden="1" x14ac:dyDescent="0.2"/>
    <row r="1134" hidden="1" x14ac:dyDescent="0.2"/>
    <row r="1135" hidden="1" x14ac:dyDescent="0.2"/>
    <row r="1136" hidden="1" x14ac:dyDescent="0.2"/>
    <row r="1137" hidden="1" x14ac:dyDescent="0.2"/>
    <row r="1138" hidden="1" x14ac:dyDescent="0.2"/>
    <row r="1139" hidden="1" x14ac:dyDescent="0.2"/>
    <row r="1140" hidden="1" x14ac:dyDescent="0.2"/>
    <row r="1141" hidden="1" x14ac:dyDescent="0.2"/>
    <row r="1142" hidden="1" x14ac:dyDescent="0.2"/>
    <row r="1143" hidden="1" x14ac:dyDescent="0.2"/>
    <row r="1144" hidden="1" x14ac:dyDescent="0.2"/>
    <row r="1145" hidden="1" x14ac:dyDescent="0.2"/>
    <row r="1146" hidden="1" x14ac:dyDescent="0.2"/>
    <row r="1147" hidden="1" x14ac:dyDescent="0.2"/>
    <row r="1148" hidden="1" x14ac:dyDescent="0.2"/>
    <row r="1149" hidden="1" x14ac:dyDescent="0.2"/>
    <row r="1150" hidden="1" x14ac:dyDescent="0.2"/>
    <row r="1151" hidden="1" x14ac:dyDescent="0.2"/>
    <row r="1152" hidden="1" x14ac:dyDescent="0.2"/>
    <row r="1153" hidden="1" x14ac:dyDescent="0.2"/>
    <row r="1154" hidden="1" x14ac:dyDescent="0.2"/>
    <row r="1155" hidden="1" x14ac:dyDescent="0.2"/>
    <row r="1156" hidden="1" x14ac:dyDescent="0.2"/>
    <row r="1157" hidden="1" x14ac:dyDescent="0.2"/>
    <row r="1158" hidden="1" x14ac:dyDescent="0.2"/>
    <row r="1159" hidden="1" x14ac:dyDescent="0.2"/>
    <row r="1160" hidden="1" x14ac:dyDescent="0.2"/>
    <row r="1161" hidden="1" x14ac:dyDescent="0.2"/>
    <row r="1162" hidden="1" x14ac:dyDescent="0.2"/>
    <row r="1163" hidden="1" x14ac:dyDescent="0.2"/>
    <row r="1164" hidden="1" x14ac:dyDescent="0.2"/>
    <row r="1165" hidden="1" x14ac:dyDescent="0.2"/>
    <row r="1166" hidden="1" x14ac:dyDescent="0.2"/>
    <row r="1167" hidden="1" x14ac:dyDescent="0.2"/>
    <row r="1168" hidden="1" x14ac:dyDescent="0.2"/>
    <row r="1169" hidden="1" x14ac:dyDescent="0.2"/>
    <row r="1170" hidden="1" x14ac:dyDescent="0.2"/>
    <row r="1171" hidden="1" x14ac:dyDescent="0.2"/>
    <row r="1172" hidden="1" x14ac:dyDescent="0.2"/>
    <row r="1173" hidden="1" x14ac:dyDescent="0.2"/>
    <row r="1174" hidden="1" x14ac:dyDescent="0.2"/>
    <row r="1175" hidden="1" x14ac:dyDescent="0.2"/>
    <row r="1176" hidden="1" x14ac:dyDescent="0.2"/>
    <row r="1177" hidden="1" x14ac:dyDescent="0.2"/>
    <row r="1178" hidden="1" x14ac:dyDescent="0.2"/>
    <row r="1179" hidden="1" x14ac:dyDescent="0.2"/>
    <row r="1180" hidden="1" x14ac:dyDescent="0.2"/>
    <row r="1181" hidden="1" x14ac:dyDescent="0.2"/>
    <row r="1182" hidden="1" x14ac:dyDescent="0.2"/>
    <row r="1183" hidden="1" x14ac:dyDescent="0.2"/>
    <row r="1184" hidden="1" x14ac:dyDescent="0.2"/>
    <row r="1185" hidden="1" x14ac:dyDescent="0.2"/>
    <row r="1186" hidden="1" x14ac:dyDescent="0.2"/>
    <row r="1187" hidden="1" x14ac:dyDescent="0.2"/>
    <row r="1188" hidden="1" x14ac:dyDescent="0.2"/>
    <row r="1189" hidden="1" x14ac:dyDescent="0.2"/>
    <row r="1190" hidden="1" x14ac:dyDescent="0.2"/>
    <row r="1191" hidden="1" x14ac:dyDescent="0.2"/>
    <row r="1192" hidden="1" x14ac:dyDescent="0.2"/>
    <row r="1193" hidden="1" x14ac:dyDescent="0.2"/>
    <row r="1194" hidden="1" x14ac:dyDescent="0.2"/>
    <row r="1195" hidden="1" x14ac:dyDescent="0.2"/>
    <row r="1196" hidden="1" x14ac:dyDescent="0.2"/>
    <row r="1197" hidden="1" x14ac:dyDescent="0.2"/>
    <row r="1198" hidden="1" x14ac:dyDescent="0.2"/>
    <row r="1199" hidden="1" x14ac:dyDescent="0.2"/>
    <row r="1200" hidden="1" x14ac:dyDescent="0.2"/>
    <row r="1201" hidden="1" x14ac:dyDescent="0.2"/>
    <row r="1202" hidden="1" x14ac:dyDescent="0.2"/>
    <row r="1203" hidden="1" x14ac:dyDescent="0.2"/>
    <row r="1204" hidden="1" x14ac:dyDescent="0.2"/>
    <row r="1205" hidden="1" x14ac:dyDescent="0.2"/>
    <row r="1206" hidden="1" x14ac:dyDescent="0.2"/>
    <row r="1207" hidden="1" x14ac:dyDescent="0.2"/>
    <row r="1208" hidden="1" x14ac:dyDescent="0.2"/>
    <row r="1209" hidden="1" x14ac:dyDescent="0.2"/>
    <row r="1210" hidden="1" x14ac:dyDescent="0.2"/>
    <row r="1211" hidden="1" x14ac:dyDescent="0.2"/>
    <row r="1212" hidden="1" x14ac:dyDescent="0.2"/>
    <row r="1213" hidden="1" x14ac:dyDescent="0.2"/>
    <row r="1214" hidden="1" x14ac:dyDescent="0.2"/>
    <row r="1215" hidden="1" x14ac:dyDescent="0.2"/>
    <row r="1216" hidden="1" x14ac:dyDescent="0.2"/>
    <row r="1217" hidden="1" x14ac:dyDescent="0.2"/>
    <row r="1218" hidden="1" x14ac:dyDescent="0.2"/>
    <row r="1219" hidden="1" x14ac:dyDescent="0.2"/>
    <row r="1220" hidden="1" x14ac:dyDescent="0.2"/>
    <row r="1221" hidden="1" x14ac:dyDescent="0.2"/>
    <row r="1222" hidden="1" x14ac:dyDescent="0.2"/>
    <row r="1223" hidden="1" x14ac:dyDescent="0.2"/>
    <row r="1224" hidden="1" x14ac:dyDescent="0.2"/>
    <row r="1225" hidden="1" x14ac:dyDescent="0.2"/>
    <row r="1226" hidden="1" x14ac:dyDescent="0.2"/>
    <row r="1227" hidden="1" x14ac:dyDescent="0.2"/>
    <row r="1228" hidden="1" x14ac:dyDescent="0.2"/>
    <row r="1229" hidden="1" x14ac:dyDescent="0.2"/>
    <row r="1230" hidden="1" x14ac:dyDescent="0.2"/>
    <row r="1231" hidden="1" x14ac:dyDescent="0.2"/>
    <row r="1232" hidden="1" x14ac:dyDescent="0.2"/>
    <row r="1233" hidden="1" x14ac:dyDescent="0.2"/>
    <row r="1234" hidden="1" x14ac:dyDescent="0.2"/>
    <row r="1235" hidden="1" x14ac:dyDescent="0.2"/>
    <row r="1236" hidden="1" x14ac:dyDescent="0.2"/>
    <row r="1237" hidden="1" x14ac:dyDescent="0.2"/>
    <row r="1238" hidden="1" x14ac:dyDescent="0.2"/>
    <row r="1239" hidden="1" x14ac:dyDescent="0.2"/>
    <row r="1240" hidden="1" x14ac:dyDescent="0.2"/>
    <row r="1241" hidden="1" x14ac:dyDescent="0.2"/>
    <row r="1242" hidden="1" x14ac:dyDescent="0.2"/>
    <row r="1243" hidden="1" x14ac:dyDescent="0.2"/>
    <row r="1244" hidden="1" x14ac:dyDescent="0.2"/>
    <row r="1245" hidden="1" x14ac:dyDescent="0.2"/>
    <row r="1246" hidden="1" x14ac:dyDescent="0.2"/>
    <row r="1247" hidden="1" x14ac:dyDescent="0.2"/>
    <row r="1248" hidden="1" x14ac:dyDescent="0.2"/>
    <row r="1249" hidden="1" x14ac:dyDescent="0.2"/>
    <row r="1250" hidden="1" x14ac:dyDescent="0.2"/>
    <row r="1251" hidden="1" x14ac:dyDescent="0.2"/>
    <row r="1252" hidden="1" x14ac:dyDescent="0.2"/>
    <row r="1253" hidden="1" x14ac:dyDescent="0.2"/>
    <row r="1254" hidden="1" x14ac:dyDescent="0.2"/>
    <row r="1255" hidden="1" x14ac:dyDescent="0.2"/>
    <row r="1256" hidden="1" x14ac:dyDescent="0.2"/>
    <row r="1257" hidden="1" x14ac:dyDescent="0.2"/>
    <row r="1258" hidden="1" x14ac:dyDescent="0.2"/>
    <row r="1259" hidden="1" x14ac:dyDescent="0.2"/>
    <row r="1260" hidden="1" x14ac:dyDescent="0.2"/>
    <row r="1261" hidden="1" x14ac:dyDescent="0.2"/>
    <row r="1262" hidden="1" x14ac:dyDescent="0.2"/>
    <row r="1263" hidden="1" x14ac:dyDescent="0.2"/>
    <row r="1264" hidden="1" x14ac:dyDescent="0.2"/>
    <row r="1265" hidden="1" x14ac:dyDescent="0.2"/>
    <row r="1266" hidden="1" x14ac:dyDescent="0.2"/>
    <row r="1267" hidden="1" x14ac:dyDescent="0.2"/>
    <row r="1268" hidden="1" x14ac:dyDescent="0.2"/>
    <row r="1269" hidden="1" x14ac:dyDescent="0.2"/>
    <row r="1270" hidden="1" x14ac:dyDescent="0.2"/>
    <row r="1271" hidden="1" x14ac:dyDescent="0.2"/>
    <row r="1272" hidden="1" x14ac:dyDescent="0.2"/>
    <row r="1273" hidden="1" x14ac:dyDescent="0.2"/>
    <row r="1274" hidden="1" x14ac:dyDescent="0.2"/>
    <row r="1275" hidden="1" x14ac:dyDescent="0.2"/>
    <row r="1276" hidden="1" x14ac:dyDescent="0.2"/>
    <row r="1277" hidden="1" x14ac:dyDescent="0.2"/>
    <row r="1278" hidden="1" x14ac:dyDescent="0.2"/>
    <row r="1279" hidden="1" x14ac:dyDescent="0.2"/>
    <row r="1280" hidden="1" x14ac:dyDescent="0.2"/>
    <row r="1281" hidden="1" x14ac:dyDescent="0.2"/>
    <row r="1282" hidden="1" x14ac:dyDescent="0.2"/>
    <row r="1283" hidden="1" x14ac:dyDescent="0.2"/>
    <row r="1284" hidden="1" x14ac:dyDescent="0.2"/>
    <row r="1285" hidden="1" x14ac:dyDescent="0.2"/>
    <row r="1286" hidden="1" x14ac:dyDescent="0.2"/>
    <row r="1287" hidden="1" x14ac:dyDescent="0.2"/>
    <row r="1288" hidden="1" x14ac:dyDescent="0.2"/>
    <row r="1289" hidden="1" x14ac:dyDescent="0.2"/>
    <row r="1290" hidden="1" x14ac:dyDescent="0.2"/>
    <row r="1291" hidden="1" x14ac:dyDescent="0.2"/>
    <row r="1292" hidden="1" x14ac:dyDescent="0.2"/>
    <row r="1293" hidden="1" x14ac:dyDescent="0.2"/>
    <row r="1294" hidden="1" x14ac:dyDescent="0.2"/>
    <row r="1295" hidden="1" x14ac:dyDescent="0.2"/>
    <row r="1296" hidden="1" x14ac:dyDescent="0.2"/>
    <row r="1297" hidden="1" x14ac:dyDescent="0.2"/>
    <row r="1298" hidden="1" x14ac:dyDescent="0.2"/>
    <row r="1299" hidden="1" x14ac:dyDescent="0.2"/>
    <row r="1300" hidden="1" x14ac:dyDescent="0.2"/>
    <row r="1301" hidden="1" x14ac:dyDescent="0.2"/>
    <row r="1302" hidden="1" x14ac:dyDescent="0.2"/>
    <row r="1303" hidden="1" x14ac:dyDescent="0.2"/>
    <row r="1304" hidden="1" x14ac:dyDescent="0.2"/>
    <row r="1305" hidden="1" x14ac:dyDescent="0.2"/>
    <row r="1306" hidden="1" x14ac:dyDescent="0.2"/>
    <row r="1307" hidden="1" x14ac:dyDescent="0.2"/>
    <row r="1308" hidden="1" x14ac:dyDescent="0.2"/>
    <row r="1309" hidden="1" x14ac:dyDescent="0.2"/>
    <row r="1310" hidden="1" x14ac:dyDescent="0.2"/>
    <row r="1311" hidden="1" x14ac:dyDescent="0.2"/>
    <row r="1312" hidden="1" x14ac:dyDescent="0.2"/>
    <row r="1313" hidden="1" x14ac:dyDescent="0.2"/>
    <row r="1314" hidden="1" x14ac:dyDescent="0.2"/>
    <row r="1315" hidden="1" x14ac:dyDescent="0.2"/>
    <row r="1316" hidden="1" x14ac:dyDescent="0.2"/>
    <row r="1317" hidden="1" x14ac:dyDescent="0.2"/>
    <row r="1318" hidden="1" x14ac:dyDescent="0.2"/>
    <row r="1319" hidden="1" x14ac:dyDescent="0.2"/>
    <row r="1320" hidden="1" x14ac:dyDescent="0.2"/>
    <row r="1321" hidden="1" x14ac:dyDescent="0.2"/>
    <row r="1322" hidden="1" x14ac:dyDescent="0.2"/>
    <row r="1323" hidden="1" x14ac:dyDescent="0.2"/>
    <row r="1324" hidden="1" x14ac:dyDescent="0.2"/>
    <row r="1325" hidden="1" x14ac:dyDescent="0.2"/>
    <row r="1326" hidden="1" x14ac:dyDescent="0.2"/>
    <row r="1327" hidden="1" x14ac:dyDescent="0.2"/>
    <row r="1328" hidden="1" x14ac:dyDescent="0.2"/>
    <row r="1329" hidden="1" x14ac:dyDescent="0.2"/>
    <row r="1330" hidden="1" x14ac:dyDescent="0.2"/>
    <row r="1331" hidden="1" x14ac:dyDescent="0.2"/>
    <row r="1332" hidden="1" x14ac:dyDescent="0.2"/>
    <row r="1333" hidden="1" x14ac:dyDescent="0.2"/>
    <row r="1334" hidden="1" x14ac:dyDescent="0.2"/>
    <row r="1335" hidden="1" x14ac:dyDescent="0.2"/>
    <row r="1336" hidden="1" x14ac:dyDescent="0.2"/>
    <row r="1337" hidden="1" x14ac:dyDescent="0.2"/>
    <row r="1338" hidden="1" x14ac:dyDescent="0.2"/>
    <row r="1339" hidden="1" x14ac:dyDescent="0.2"/>
    <row r="1340" hidden="1" x14ac:dyDescent="0.2"/>
    <row r="1341" hidden="1" x14ac:dyDescent="0.2"/>
    <row r="1342" hidden="1" x14ac:dyDescent="0.2"/>
    <row r="1343" hidden="1" x14ac:dyDescent="0.2"/>
    <row r="1344" hidden="1" x14ac:dyDescent="0.2"/>
    <row r="1345" hidden="1" x14ac:dyDescent="0.2"/>
    <row r="1346" hidden="1" x14ac:dyDescent="0.2"/>
    <row r="1347" hidden="1" x14ac:dyDescent="0.2"/>
    <row r="1348" hidden="1" x14ac:dyDescent="0.2"/>
    <row r="1349" hidden="1" x14ac:dyDescent="0.2"/>
    <row r="1350" hidden="1" x14ac:dyDescent="0.2"/>
    <row r="1351" hidden="1" x14ac:dyDescent="0.2"/>
    <row r="1352" hidden="1" x14ac:dyDescent="0.2"/>
    <row r="1353" hidden="1" x14ac:dyDescent="0.2"/>
    <row r="1354" hidden="1" x14ac:dyDescent="0.2"/>
    <row r="1355" hidden="1" x14ac:dyDescent="0.2"/>
    <row r="1356" hidden="1" x14ac:dyDescent="0.2"/>
    <row r="1357" hidden="1" x14ac:dyDescent="0.2"/>
    <row r="1358" hidden="1" x14ac:dyDescent="0.2"/>
    <row r="1359" hidden="1" x14ac:dyDescent="0.2"/>
    <row r="1360" hidden="1" x14ac:dyDescent="0.2"/>
    <row r="1361" hidden="1" x14ac:dyDescent="0.2"/>
    <row r="1362" hidden="1" x14ac:dyDescent="0.2"/>
    <row r="1363" hidden="1" x14ac:dyDescent="0.2"/>
    <row r="1364" hidden="1" x14ac:dyDescent="0.2"/>
    <row r="1365" hidden="1" x14ac:dyDescent="0.2"/>
    <row r="1366" hidden="1" x14ac:dyDescent="0.2"/>
    <row r="1367" hidden="1" x14ac:dyDescent="0.2"/>
    <row r="1368" hidden="1" x14ac:dyDescent="0.2"/>
    <row r="1369" hidden="1" x14ac:dyDescent="0.2"/>
    <row r="1370" hidden="1" x14ac:dyDescent="0.2"/>
    <row r="1371" hidden="1" x14ac:dyDescent="0.2"/>
    <row r="1372" hidden="1" x14ac:dyDescent="0.2"/>
    <row r="1373" hidden="1" x14ac:dyDescent="0.2"/>
    <row r="1374" hidden="1" x14ac:dyDescent="0.2"/>
    <row r="1375" hidden="1" x14ac:dyDescent="0.2"/>
    <row r="1376" hidden="1" x14ac:dyDescent="0.2"/>
    <row r="1377" hidden="1" x14ac:dyDescent="0.2"/>
    <row r="1378" hidden="1" x14ac:dyDescent="0.2"/>
    <row r="1379" hidden="1" x14ac:dyDescent="0.2"/>
    <row r="1380" hidden="1" x14ac:dyDescent="0.2"/>
    <row r="1381" hidden="1" x14ac:dyDescent="0.2"/>
    <row r="1382" hidden="1" x14ac:dyDescent="0.2"/>
    <row r="1383" hidden="1" x14ac:dyDescent="0.2"/>
    <row r="1384" hidden="1" x14ac:dyDescent="0.2"/>
    <row r="1385" hidden="1" x14ac:dyDescent="0.2"/>
    <row r="1386" hidden="1" x14ac:dyDescent="0.2"/>
    <row r="1387" hidden="1" x14ac:dyDescent="0.2"/>
    <row r="1388" hidden="1" x14ac:dyDescent="0.2"/>
    <row r="1389" hidden="1" x14ac:dyDescent="0.2"/>
    <row r="1390" hidden="1" x14ac:dyDescent="0.2"/>
    <row r="1391" hidden="1" x14ac:dyDescent="0.2"/>
    <row r="1392" hidden="1" x14ac:dyDescent="0.2"/>
    <row r="1393" hidden="1" x14ac:dyDescent="0.2"/>
    <row r="1394" hidden="1" x14ac:dyDescent="0.2"/>
    <row r="1395" hidden="1" x14ac:dyDescent="0.2"/>
    <row r="1396" hidden="1" x14ac:dyDescent="0.2"/>
    <row r="1397" hidden="1" x14ac:dyDescent="0.2"/>
    <row r="1398" hidden="1" x14ac:dyDescent="0.2"/>
    <row r="1399" hidden="1" x14ac:dyDescent="0.2"/>
    <row r="1400" hidden="1" x14ac:dyDescent="0.2"/>
    <row r="1401" hidden="1" x14ac:dyDescent="0.2"/>
    <row r="1402" hidden="1" x14ac:dyDescent="0.2"/>
    <row r="1403" hidden="1" x14ac:dyDescent="0.2"/>
    <row r="1404" hidden="1" x14ac:dyDescent="0.2"/>
    <row r="1405" hidden="1" x14ac:dyDescent="0.2"/>
    <row r="1406" hidden="1" x14ac:dyDescent="0.2"/>
    <row r="1407" hidden="1" x14ac:dyDescent="0.2"/>
    <row r="1408" hidden="1" x14ac:dyDescent="0.2"/>
    <row r="1409" hidden="1" x14ac:dyDescent="0.2"/>
    <row r="1410" hidden="1" x14ac:dyDescent="0.2"/>
    <row r="1411" hidden="1" x14ac:dyDescent="0.2"/>
    <row r="1412" hidden="1" x14ac:dyDescent="0.2"/>
    <row r="1413" hidden="1" x14ac:dyDescent="0.2"/>
    <row r="1414" hidden="1" x14ac:dyDescent="0.2"/>
    <row r="1415" hidden="1" x14ac:dyDescent="0.2"/>
    <row r="1416" hidden="1" x14ac:dyDescent="0.2"/>
    <row r="1417" hidden="1" x14ac:dyDescent="0.2"/>
    <row r="1418" hidden="1" x14ac:dyDescent="0.2"/>
    <row r="1419" hidden="1" x14ac:dyDescent="0.2"/>
    <row r="1420" hidden="1" x14ac:dyDescent="0.2"/>
    <row r="1421" hidden="1" x14ac:dyDescent="0.2"/>
    <row r="1422" hidden="1" x14ac:dyDescent="0.2"/>
    <row r="1423" hidden="1" x14ac:dyDescent="0.2"/>
    <row r="1424" hidden="1" x14ac:dyDescent="0.2"/>
    <row r="1425" hidden="1" x14ac:dyDescent="0.2"/>
    <row r="1426" hidden="1" x14ac:dyDescent="0.2"/>
    <row r="1427" hidden="1" x14ac:dyDescent="0.2"/>
    <row r="1428" hidden="1" x14ac:dyDescent="0.2"/>
    <row r="1429" hidden="1" x14ac:dyDescent="0.2"/>
    <row r="1430" hidden="1" x14ac:dyDescent="0.2"/>
    <row r="1431" hidden="1" x14ac:dyDescent="0.2"/>
    <row r="1432" hidden="1" x14ac:dyDescent="0.2"/>
    <row r="1433" hidden="1" x14ac:dyDescent="0.2"/>
    <row r="1434" hidden="1" x14ac:dyDescent="0.2"/>
    <row r="1435" hidden="1" x14ac:dyDescent="0.2"/>
    <row r="1436" hidden="1" x14ac:dyDescent="0.2"/>
    <row r="1437" hidden="1" x14ac:dyDescent="0.2"/>
    <row r="1438" hidden="1" x14ac:dyDescent="0.2"/>
    <row r="1439" hidden="1" x14ac:dyDescent="0.2"/>
    <row r="1440" hidden="1" x14ac:dyDescent="0.2"/>
    <row r="1441" hidden="1" x14ac:dyDescent="0.2"/>
    <row r="1442" hidden="1" x14ac:dyDescent="0.2"/>
    <row r="1443" hidden="1" x14ac:dyDescent="0.2"/>
    <row r="1444" hidden="1" x14ac:dyDescent="0.2"/>
    <row r="1445" hidden="1" x14ac:dyDescent="0.2"/>
    <row r="1446" hidden="1" x14ac:dyDescent="0.2"/>
    <row r="1447" hidden="1" x14ac:dyDescent="0.2"/>
    <row r="1448" hidden="1" x14ac:dyDescent="0.2"/>
    <row r="1449" hidden="1" x14ac:dyDescent="0.2"/>
    <row r="1450" hidden="1" x14ac:dyDescent="0.2"/>
    <row r="1451" hidden="1" x14ac:dyDescent="0.2"/>
    <row r="1452" hidden="1" x14ac:dyDescent="0.2"/>
    <row r="1453" hidden="1" x14ac:dyDescent="0.2"/>
    <row r="1454" hidden="1" x14ac:dyDescent="0.2"/>
    <row r="1455" hidden="1" x14ac:dyDescent="0.2"/>
    <row r="1456" hidden="1" x14ac:dyDescent="0.2"/>
    <row r="1457" hidden="1" x14ac:dyDescent="0.2"/>
    <row r="1458" hidden="1" x14ac:dyDescent="0.2"/>
    <row r="1459" hidden="1" x14ac:dyDescent="0.2"/>
    <row r="1460" hidden="1" x14ac:dyDescent="0.2"/>
    <row r="1461" hidden="1" x14ac:dyDescent="0.2"/>
    <row r="1462" hidden="1" x14ac:dyDescent="0.2"/>
    <row r="1463" hidden="1" x14ac:dyDescent="0.2"/>
    <row r="1464" hidden="1" x14ac:dyDescent="0.2"/>
    <row r="1465" hidden="1" x14ac:dyDescent="0.2"/>
    <row r="1466" hidden="1" x14ac:dyDescent="0.2"/>
    <row r="1467" hidden="1" x14ac:dyDescent="0.2"/>
    <row r="1468" hidden="1" x14ac:dyDescent="0.2"/>
    <row r="1469" hidden="1" x14ac:dyDescent="0.2"/>
    <row r="1470" hidden="1" x14ac:dyDescent="0.2"/>
    <row r="1471" hidden="1" x14ac:dyDescent="0.2"/>
    <row r="1472" hidden="1" x14ac:dyDescent="0.2"/>
    <row r="1473" hidden="1" x14ac:dyDescent="0.2"/>
    <row r="1474" hidden="1" x14ac:dyDescent="0.2"/>
    <row r="1475" hidden="1" x14ac:dyDescent="0.2"/>
    <row r="1476" hidden="1" x14ac:dyDescent="0.2"/>
    <row r="1477" hidden="1" x14ac:dyDescent="0.2"/>
    <row r="1478" hidden="1" x14ac:dyDescent="0.2"/>
    <row r="1479" hidden="1" x14ac:dyDescent="0.2"/>
    <row r="1480" hidden="1" x14ac:dyDescent="0.2"/>
    <row r="1481" hidden="1" x14ac:dyDescent="0.2"/>
    <row r="1482" hidden="1" x14ac:dyDescent="0.2"/>
    <row r="1483" hidden="1" x14ac:dyDescent="0.2"/>
    <row r="1484" hidden="1" x14ac:dyDescent="0.2"/>
    <row r="1485" hidden="1" x14ac:dyDescent="0.2"/>
    <row r="1486" hidden="1" x14ac:dyDescent="0.2"/>
    <row r="1487" hidden="1" x14ac:dyDescent="0.2"/>
    <row r="1488" hidden="1" x14ac:dyDescent="0.2"/>
    <row r="1489" hidden="1" x14ac:dyDescent="0.2"/>
    <row r="1490" hidden="1" x14ac:dyDescent="0.2"/>
    <row r="1491" hidden="1" x14ac:dyDescent="0.2"/>
    <row r="1492" hidden="1" x14ac:dyDescent="0.2"/>
    <row r="1493" hidden="1" x14ac:dyDescent="0.2"/>
    <row r="1494" hidden="1" x14ac:dyDescent="0.2"/>
    <row r="1495" hidden="1" x14ac:dyDescent="0.2"/>
    <row r="1496" hidden="1" x14ac:dyDescent="0.2"/>
    <row r="1497" hidden="1" x14ac:dyDescent="0.2"/>
    <row r="1498" hidden="1" x14ac:dyDescent="0.2"/>
    <row r="1499" hidden="1" x14ac:dyDescent="0.2"/>
    <row r="1500" hidden="1" x14ac:dyDescent="0.2"/>
    <row r="1501" hidden="1" x14ac:dyDescent="0.2"/>
    <row r="1502" hidden="1" x14ac:dyDescent="0.2"/>
    <row r="1503" hidden="1" x14ac:dyDescent="0.2"/>
    <row r="1504" hidden="1" x14ac:dyDescent="0.2"/>
    <row r="1505" hidden="1" x14ac:dyDescent="0.2"/>
    <row r="1506" hidden="1" x14ac:dyDescent="0.2"/>
    <row r="1507" hidden="1" x14ac:dyDescent="0.2"/>
    <row r="1508" hidden="1" x14ac:dyDescent="0.2"/>
    <row r="1509" hidden="1" x14ac:dyDescent="0.2"/>
    <row r="1510" hidden="1" x14ac:dyDescent="0.2"/>
    <row r="1511" hidden="1" x14ac:dyDescent="0.2"/>
    <row r="1512" hidden="1" x14ac:dyDescent="0.2"/>
    <row r="1513" hidden="1" x14ac:dyDescent="0.2"/>
    <row r="1514" hidden="1" x14ac:dyDescent="0.2"/>
    <row r="1515" hidden="1" x14ac:dyDescent="0.2"/>
    <row r="1516" hidden="1" x14ac:dyDescent="0.2"/>
    <row r="1517" hidden="1" x14ac:dyDescent="0.2"/>
    <row r="1518" hidden="1" x14ac:dyDescent="0.2"/>
    <row r="1519" hidden="1" x14ac:dyDescent="0.2"/>
    <row r="1520" hidden="1" x14ac:dyDescent="0.2"/>
    <row r="1521" hidden="1" x14ac:dyDescent="0.2"/>
    <row r="1522" hidden="1" x14ac:dyDescent="0.2"/>
    <row r="1523" hidden="1" x14ac:dyDescent="0.2"/>
    <row r="1524" hidden="1" x14ac:dyDescent="0.2"/>
    <row r="1525" hidden="1" x14ac:dyDescent="0.2"/>
    <row r="1526" hidden="1" x14ac:dyDescent="0.2"/>
    <row r="1527" hidden="1" x14ac:dyDescent="0.2"/>
    <row r="1528" hidden="1" x14ac:dyDescent="0.2"/>
    <row r="1529" hidden="1" x14ac:dyDescent="0.2"/>
    <row r="1530" hidden="1" x14ac:dyDescent="0.2"/>
    <row r="1531" hidden="1" x14ac:dyDescent="0.2"/>
    <row r="1532" hidden="1" x14ac:dyDescent="0.2"/>
    <row r="1533" hidden="1" x14ac:dyDescent="0.2"/>
    <row r="1534" hidden="1" x14ac:dyDescent="0.2"/>
    <row r="1535" hidden="1" x14ac:dyDescent="0.2"/>
    <row r="1536" hidden="1" x14ac:dyDescent="0.2"/>
    <row r="1537" hidden="1" x14ac:dyDescent="0.2"/>
    <row r="1538" hidden="1" x14ac:dyDescent="0.2"/>
    <row r="1539" hidden="1" x14ac:dyDescent="0.2"/>
    <row r="1540" hidden="1" x14ac:dyDescent="0.2"/>
    <row r="1541" hidden="1" x14ac:dyDescent="0.2"/>
    <row r="1542" hidden="1" x14ac:dyDescent="0.2"/>
    <row r="1543" hidden="1" x14ac:dyDescent="0.2"/>
    <row r="1544" hidden="1" x14ac:dyDescent="0.2"/>
    <row r="1545" hidden="1" x14ac:dyDescent="0.2"/>
    <row r="1546" hidden="1" x14ac:dyDescent="0.2"/>
    <row r="1547" hidden="1" x14ac:dyDescent="0.2"/>
    <row r="1548" hidden="1" x14ac:dyDescent="0.2"/>
    <row r="1549" hidden="1" x14ac:dyDescent="0.2"/>
    <row r="1550" hidden="1" x14ac:dyDescent="0.2"/>
    <row r="1551" hidden="1" x14ac:dyDescent="0.2"/>
    <row r="1552" hidden="1" x14ac:dyDescent="0.2"/>
    <row r="1553" hidden="1" x14ac:dyDescent="0.2"/>
    <row r="1554" hidden="1" x14ac:dyDescent="0.2"/>
    <row r="1555" hidden="1" x14ac:dyDescent="0.2"/>
    <row r="1556" hidden="1" x14ac:dyDescent="0.2"/>
    <row r="1557" hidden="1" x14ac:dyDescent="0.2"/>
    <row r="1558" hidden="1" x14ac:dyDescent="0.2"/>
    <row r="1559" hidden="1" x14ac:dyDescent="0.2"/>
    <row r="1560" hidden="1" x14ac:dyDescent="0.2"/>
    <row r="1561" hidden="1" x14ac:dyDescent="0.2"/>
    <row r="1562" hidden="1" x14ac:dyDescent="0.2"/>
    <row r="1563" hidden="1" x14ac:dyDescent="0.2"/>
    <row r="1564" hidden="1" x14ac:dyDescent="0.2"/>
    <row r="1565" hidden="1" x14ac:dyDescent="0.2"/>
    <row r="1566" hidden="1" x14ac:dyDescent="0.2"/>
    <row r="1567" hidden="1" x14ac:dyDescent="0.2"/>
    <row r="1568" hidden="1" x14ac:dyDescent="0.2"/>
    <row r="1569" hidden="1" x14ac:dyDescent="0.2"/>
    <row r="1570" hidden="1" x14ac:dyDescent="0.2"/>
    <row r="1571" hidden="1" x14ac:dyDescent="0.2"/>
    <row r="1572" hidden="1" x14ac:dyDescent="0.2"/>
    <row r="1573" hidden="1" x14ac:dyDescent="0.2"/>
    <row r="1574" hidden="1" x14ac:dyDescent="0.2"/>
    <row r="1575" hidden="1" x14ac:dyDescent="0.2"/>
    <row r="1576" hidden="1" x14ac:dyDescent="0.2"/>
    <row r="1577" hidden="1" x14ac:dyDescent="0.2"/>
    <row r="1578" hidden="1" x14ac:dyDescent="0.2"/>
    <row r="1579" hidden="1" x14ac:dyDescent="0.2"/>
    <row r="1580" hidden="1" x14ac:dyDescent="0.2"/>
    <row r="1581" hidden="1" x14ac:dyDescent="0.2"/>
    <row r="1582" hidden="1" x14ac:dyDescent="0.2"/>
    <row r="1583" hidden="1" x14ac:dyDescent="0.2"/>
    <row r="1584" hidden="1" x14ac:dyDescent="0.2"/>
    <row r="1585" hidden="1" x14ac:dyDescent="0.2"/>
    <row r="1586" hidden="1" x14ac:dyDescent="0.2"/>
    <row r="1587" hidden="1" x14ac:dyDescent="0.2"/>
    <row r="1588" hidden="1" x14ac:dyDescent="0.2"/>
    <row r="1589" hidden="1" x14ac:dyDescent="0.2"/>
    <row r="1590" hidden="1" x14ac:dyDescent="0.2"/>
    <row r="1591" hidden="1" x14ac:dyDescent="0.2"/>
    <row r="1592" hidden="1" x14ac:dyDescent="0.2"/>
    <row r="1593" hidden="1" x14ac:dyDescent="0.2"/>
    <row r="1594" hidden="1" x14ac:dyDescent="0.2"/>
    <row r="1595" hidden="1" x14ac:dyDescent="0.2"/>
    <row r="1596" hidden="1" x14ac:dyDescent="0.2"/>
    <row r="1597" hidden="1" x14ac:dyDescent="0.2"/>
    <row r="1598" hidden="1" x14ac:dyDescent="0.2"/>
    <row r="1599" hidden="1" x14ac:dyDescent="0.2"/>
    <row r="1600" hidden="1" x14ac:dyDescent="0.2"/>
    <row r="1601" hidden="1" x14ac:dyDescent="0.2"/>
    <row r="1602" hidden="1" x14ac:dyDescent="0.2"/>
    <row r="1603" hidden="1" x14ac:dyDescent="0.2"/>
    <row r="1604" hidden="1" x14ac:dyDescent="0.2"/>
    <row r="1605" hidden="1" x14ac:dyDescent="0.2"/>
    <row r="1606" hidden="1" x14ac:dyDescent="0.2"/>
    <row r="1607" hidden="1" x14ac:dyDescent="0.2"/>
    <row r="1608" hidden="1" x14ac:dyDescent="0.2"/>
    <row r="1609" hidden="1" x14ac:dyDescent="0.2"/>
    <row r="1610" hidden="1" x14ac:dyDescent="0.2"/>
    <row r="1611" hidden="1" x14ac:dyDescent="0.2"/>
    <row r="1612" hidden="1" x14ac:dyDescent="0.2"/>
    <row r="1613" hidden="1" x14ac:dyDescent="0.2"/>
    <row r="1614" hidden="1" x14ac:dyDescent="0.2"/>
    <row r="1615" hidden="1" x14ac:dyDescent="0.2"/>
    <row r="1616" hidden="1" x14ac:dyDescent="0.2"/>
    <row r="1617" hidden="1" x14ac:dyDescent="0.2"/>
    <row r="1618" hidden="1" x14ac:dyDescent="0.2"/>
    <row r="1619" hidden="1" x14ac:dyDescent="0.2"/>
    <row r="1620" hidden="1" x14ac:dyDescent="0.2"/>
    <row r="1621" hidden="1" x14ac:dyDescent="0.2"/>
    <row r="1622" hidden="1" x14ac:dyDescent="0.2"/>
    <row r="1623" hidden="1" x14ac:dyDescent="0.2"/>
    <row r="1624" hidden="1" x14ac:dyDescent="0.2"/>
    <row r="1625" hidden="1" x14ac:dyDescent="0.2"/>
    <row r="1626" hidden="1" x14ac:dyDescent="0.2"/>
    <row r="1627" hidden="1" x14ac:dyDescent="0.2"/>
    <row r="1628" hidden="1" x14ac:dyDescent="0.2"/>
    <row r="1629" hidden="1" x14ac:dyDescent="0.2"/>
    <row r="1630" hidden="1" x14ac:dyDescent="0.2"/>
    <row r="1631" hidden="1" x14ac:dyDescent="0.2"/>
    <row r="1632" hidden="1" x14ac:dyDescent="0.2"/>
    <row r="1633" hidden="1" x14ac:dyDescent="0.2"/>
    <row r="1634" hidden="1" x14ac:dyDescent="0.2"/>
    <row r="1635" hidden="1" x14ac:dyDescent="0.2"/>
    <row r="1636" hidden="1" x14ac:dyDescent="0.2"/>
    <row r="1637" hidden="1" x14ac:dyDescent="0.2"/>
    <row r="1638" hidden="1" x14ac:dyDescent="0.2"/>
    <row r="1639" hidden="1" x14ac:dyDescent="0.2"/>
    <row r="1640" hidden="1" x14ac:dyDescent="0.2"/>
    <row r="1641" hidden="1" x14ac:dyDescent="0.2"/>
    <row r="1642" hidden="1" x14ac:dyDescent="0.2"/>
    <row r="1643" hidden="1" x14ac:dyDescent="0.2"/>
    <row r="1644" hidden="1" x14ac:dyDescent="0.2"/>
    <row r="1645" hidden="1" x14ac:dyDescent="0.2"/>
    <row r="1646" hidden="1" x14ac:dyDescent="0.2"/>
    <row r="1647" hidden="1" x14ac:dyDescent="0.2"/>
    <row r="1648" hidden="1" x14ac:dyDescent="0.2"/>
    <row r="1649" hidden="1" x14ac:dyDescent="0.2"/>
    <row r="1650" hidden="1" x14ac:dyDescent="0.2"/>
    <row r="1651" hidden="1" x14ac:dyDescent="0.2"/>
    <row r="1652" hidden="1" x14ac:dyDescent="0.2"/>
    <row r="1653" hidden="1" x14ac:dyDescent="0.2"/>
    <row r="1654" hidden="1" x14ac:dyDescent="0.2"/>
    <row r="1655" hidden="1" x14ac:dyDescent="0.2"/>
    <row r="1656" hidden="1" x14ac:dyDescent="0.2"/>
    <row r="1657" hidden="1" x14ac:dyDescent="0.2"/>
    <row r="1658" hidden="1" x14ac:dyDescent="0.2"/>
    <row r="1659" hidden="1" x14ac:dyDescent="0.2"/>
    <row r="1660" hidden="1" x14ac:dyDescent="0.2"/>
    <row r="1661" hidden="1" x14ac:dyDescent="0.2"/>
    <row r="1662" hidden="1" x14ac:dyDescent="0.2"/>
    <row r="1663" hidden="1" x14ac:dyDescent="0.2"/>
    <row r="1664" hidden="1" x14ac:dyDescent="0.2"/>
    <row r="1665" hidden="1" x14ac:dyDescent="0.2"/>
    <row r="1666" hidden="1" x14ac:dyDescent="0.2"/>
    <row r="1667" hidden="1" x14ac:dyDescent="0.2"/>
    <row r="1668" hidden="1" x14ac:dyDescent="0.2"/>
    <row r="1669" hidden="1" x14ac:dyDescent="0.2"/>
    <row r="1670" hidden="1" x14ac:dyDescent="0.2"/>
    <row r="1671" hidden="1" x14ac:dyDescent="0.2"/>
    <row r="1672" hidden="1" x14ac:dyDescent="0.2"/>
    <row r="1673" hidden="1" x14ac:dyDescent="0.2"/>
    <row r="1674" hidden="1" x14ac:dyDescent="0.2"/>
    <row r="1675" hidden="1" x14ac:dyDescent="0.2"/>
    <row r="1676" hidden="1" x14ac:dyDescent="0.2"/>
    <row r="1677" hidden="1" x14ac:dyDescent="0.2"/>
    <row r="1678" hidden="1" x14ac:dyDescent="0.2"/>
    <row r="1679" hidden="1" x14ac:dyDescent="0.2"/>
    <row r="1680" hidden="1" x14ac:dyDescent="0.2"/>
    <row r="1681" hidden="1" x14ac:dyDescent="0.2"/>
    <row r="1682" hidden="1" x14ac:dyDescent="0.2"/>
    <row r="1683" hidden="1" x14ac:dyDescent="0.2"/>
    <row r="1684" hidden="1" x14ac:dyDescent="0.2"/>
    <row r="1685" hidden="1" x14ac:dyDescent="0.2"/>
    <row r="1686" hidden="1" x14ac:dyDescent="0.2"/>
    <row r="1687" hidden="1" x14ac:dyDescent="0.2"/>
    <row r="1688" hidden="1" x14ac:dyDescent="0.2"/>
    <row r="1689" hidden="1" x14ac:dyDescent="0.2"/>
    <row r="1690" hidden="1" x14ac:dyDescent="0.2"/>
    <row r="1691" hidden="1" x14ac:dyDescent="0.2"/>
    <row r="1692" hidden="1" x14ac:dyDescent="0.2"/>
    <row r="1693" hidden="1" x14ac:dyDescent="0.2"/>
    <row r="1694" hidden="1" x14ac:dyDescent="0.2"/>
    <row r="1695" hidden="1" x14ac:dyDescent="0.2"/>
    <row r="1696" hidden="1" x14ac:dyDescent="0.2"/>
    <row r="1697" hidden="1" x14ac:dyDescent="0.2"/>
    <row r="1698" hidden="1" x14ac:dyDescent="0.2"/>
    <row r="1699" hidden="1" x14ac:dyDescent="0.2"/>
    <row r="1700" hidden="1" x14ac:dyDescent="0.2"/>
    <row r="1701" hidden="1" x14ac:dyDescent="0.2"/>
    <row r="1702" hidden="1" x14ac:dyDescent="0.2"/>
    <row r="1703" hidden="1" x14ac:dyDescent="0.2"/>
    <row r="1704" hidden="1" x14ac:dyDescent="0.2"/>
    <row r="1705" hidden="1" x14ac:dyDescent="0.2"/>
    <row r="1706" hidden="1" x14ac:dyDescent="0.2"/>
    <row r="1707" hidden="1" x14ac:dyDescent="0.2"/>
    <row r="1708" hidden="1" x14ac:dyDescent="0.2"/>
    <row r="1709" hidden="1" x14ac:dyDescent="0.2"/>
    <row r="1710" hidden="1" x14ac:dyDescent="0.2"/>
    <row r="1711" hidden="1" x14ac:dyDescent="0.2"/>
    <row r="1712" hidden="1" x14ac:dyDescent="0.2"/>
    <row r="1713" hidden="1" x14ac:dyDescent="0.2"/>
    <row r="1714" hidden="1" x14ac:dyDescent="0.2"/>
    <row r="1715" hidden="1" x14ac:dyDescent="0.2"/>
    <row r="1716" hidden="1" x14ac:dyDescent="0.2"/>
    <row r="1717" hidden="1" x14ac:dyDescent="0.2"/>
    <row r="1718" hidden="1" x14ac:dyDescent="0.2"/>
    <row r="1719" hidden="1" x14ac:dyDescent="0.2"/>
    <row r="1720" hidden="1" x14ac:dyDescent="0.2"/>
    <row r="1721" hidden="1" x14ac:dyDescent="0.2"/>
    <row r="1722" hidden="1" x14ac:dyDescent="0.2"/>
    <row r="1723" hidden="1" x14ac:dyDescent="0.2"/>
    <row r="1724" hidden="1" x14ac:dyDescent="0.2"/>
    <row r="1725" hidden="1" x14ac:dyDescent="0.2"/>
    <row r="1726" hidden="1" x14ac:dyDescent="0.2"/>
    <row r="1727" hidden="1" x14ac:dyDescent="0.2"/>
    <row r="1728" hidden="1" x14ac:dyDescent="0.2"/>
    <row r="1729" hidden="1" x14ac:dyDescent="0.2"/>
    <row r="1730" hidden="1" x14ac:dyDescent="0.2"/>
    <row r="1731" hidden="1" x14ac:dyDescent="0.2"/>
    <row r="1732" hidden="1" x14ac:dyDescent="0.2"/>
    <row r="1733" hidden="1" x14ac:dyDescent="0.2"/>
    <row r="1734" hidden="1" x14ac:dyDescent="0.2"/>
    <row r="1735" hidden="1" x14ac:dyDescent="0.2"/>
    <row r="1736" hidden="1" x14ac:dyDescent="0.2"/>
    <row r="1737" hidden="1" x14ac:dyDescent="0.2"/>
    <row r="1738" hidden="1" x14ac:dyDescent="0.2"/>
    <row r="1739" hidden="1" x14ac:dyDescent="0.2"/>
    <row r="1740" hidden="1" x14ac:dyDescent="0.2"/>
    <row r="1741" hidden="1" x14ac:dyDescent="0.2"/>
    <row r="1742" hidden="1" x14ac:dyDescent="0.2"/>
    <row r="1743" hidden="1" x14ac:dyDescent="0.2"/>
    <row r="1744" hidden="1" x14ac:dyDescent="0.2"/>
    <row r="1745" hidden="1" x14ac:dyDescent="0.2"/>
    <row r="1746" hidden="1" x14ac:dyDescent="0.2"/>
    <row r="1747" hidden="1" x14ac:dyDescent="0.2"/>
    <row r="1748" hidden="1" x14ac:dyDescent="0.2"/>
    <row r="1749" hidden="1" x14ac:dyDescent="0.2"/>
    <row r="1750" hidden="1" x14ac:dyDescent="0.2"/>
    <row r="1751" hidden="1" x14ac:dyDescent="0.2"/>
    <row r="1752" hidden="1" x14ac:dyDescent="0.2"/>
    <row r="1753" hidden="1" x14ac:dyDescent="0.2"/>
    <row r="1754" hidden="1" x14ac:dyDescent="0.2"/>
    <row r="1755" hidden="1" x14ac:dyDescent="0.2"/>
    <row r="1756" hidden="1" x14ac:dyDescent="0.2"/>
    <row r="1757" hidden="1" x14ac:dyDescent="0.2"/>
    <row r="1758" hidden="1" x14ac:dyDescent="0.2"/>
    <row r="1759" hidden="1" x14ac:dyDescent="0.2"/>
    <row r="1760" hidden="1" x14ac:dyDescent="0.2"/>
    <row r="1761" hidden="1" x14ac:dyDescent="0.2"/>
    <row r="1762" hidden="1" x14ac:dyDescent="0.2"/>
    <row r="1763" hidden="1" x14ac:dyDescent="0.2"/>
    <row r="1764" hidden="1" x14ac:dyDescent="0.2"/>
    <row r="1765" hidden="1" x14ac:dyDescent="0.2"/>
    <row r="1766" hidden="1" x14ac:dyDescent="0.2"/>
    <row r="1767" hidden="1" x14ac:dyDescent="0.2"/>
    <row r="1768" hidden="1" x14ac:dyDescent="0.2"/>
    <row r="1769" hidden="1" x14ac:dyDescent="0.2"/>
    <row r="1770" hidden="1" x14ac:dyDescent="0.2"/>
    <row r="1771" hidden="1" x14ac:dyDescent="0.2"/>
    <row r="1772" hidden="1" x14ac:dyDescent="0.2"/>
    <row r="1773" hidden="1" x14ac:dyDescent="0.2"/>
    <row r="1774" hidden="1" x14ac:dyDescent="0.2"/>
    <row r="1775" hidden="1" x14ac:dyDescent="0.2"/>
    <row r="1776" hidden="1" x14ac:dyDescent="0.2"/>
    <row r="1777" hidden="1" x14ac:dyDescent="0.2"/>
    <row r="1778" hidden="1" x14ac:dyDescent="0.2"/>
    <row r="1779" hidden="1" x14ac:dyDescent="0.2"/>
    <row r="1780" hidden="1" x14ac:dyDescent="0.2"/>
    <row r="1781" hidden="1" x14ac:dyDescent="0.2"/>
    <row r="1782" hidden="1" x14ac:dyDescent="0.2"/>
    <row r="1783" hidden="1" x14ac:dyDescent="0.2"/>
    <row r="1784" hidden="1" x14ac:dyDescent="0.2"/>
    <row r="1785" hidden="1" x14ac:dyDescent="0.2"/>
    <row r="1786" hidden="1" x14ac:dyDescent="0.2"/>
    <row r="1787" hidden="1" x14ac:dyDescent="0.2"/>
    <row r="1788" hidden="1" x14ac:dyDescent="0.2"/>
    <row r="1789" hidden="1" x14ac:dyDescent="0.2"/>
    <row r="1790" hidden="1" x14ac:dyDescent="0.2"/>
    <row r="1791" hidden="1" x14ac:dyDescent="0.2"/>
    <row r="1792" hidden="1" x14ac:dyDescent="0.2"/>
    <row r="1793" hidden="1" x14ac:dyDescent="0.2"/>
    <row r="1794" hidden="1" x14ac:dyDescent="0.2"/>
    <row r="1795" hidden="1" x14ac:dyDescent="0.2"/>
    <row r="1796" hidden="1" x14ac:dyDescent="0.2"/>
    <row r="1797" hidden="1" x14ac:dyDescent="0.2"/>
    <row r="1798" hidden="1" x14ac:dyDescent="0.2"/>
    <row r="1799" hidden="1" x14ac:dyDescent="0.2"/>
    <row r="1800" hidden="1" x14ac:dyDescent="0.2"/>
    <row r="1801" hidden="1" x14ac:dyDescent="0.2"/>
    <row r="1802" hidden="1" x14ac:dyDescent="0.2"/>
    <row r="1803" hidden="1" x14ac:dyDescent="0.2"/>
    <row r="1804" hidden="1" x14ac:dyDescent="0.2"/>
    <row r="1805" ht="10.5" hidden="1" customHeight="1" x14ac:dyDescent="0.2"/>
    <row r="1806" hidden="1" x14ac:dyDescent="0.2"/>
    <row r="1807" hidden="1" x14ac:dyDescent="0.2"/>
    <row r="1808" hidden="1" x14ac:dyDescent="0.2"/>
    <row r="1809" spans="1:2" hidden="1" x14ac:dyDescent="0.2"/>
    <row r="1810" spans="1:2" hidden="1" x14ac:dyDescent="0.2"/>
    <row r="1811" spans="1:2" hidden="1" x14ac:dyDescent="0.2"/>
    <row r="1812" spans="1:2" hidden="1" x14ac:dyDescent="0.2"/>
    <row r="1813" spans="1:2" hidden="1" x14ac:dyDescent="0.2"/>
    <row r="1814" spans="1:2" hidden="1" x14ac:dyDescent="0.2"/>
    <row r="1815" spans="1:2" hidden="1" x14ac:dyDescent="0.2"/>
    <row r="1816" spans="1:2" hidden="1" x14ac:dyDescent="0.2"/>
    <row r="1817" spans="1:2" hidden="1" x14ac:dyDescent="0.2"/>
    <row r="1818" spans="1:2" hidden="1" x14ac:dyDescent="0.2"/>
    <row r="1819" spans="1:2" hidden="1" x14ac:dyDescent="0.2"/>
    <row r="1820" spans="1:2" ht="38.25" x14ac:dyDescent="0.2">
      <c r="A1820" s="384">
        <v>100</v>
      </c>
      <c r="B1820" s="385" t="s">
        <v>3148</v>
      </c>
    </row>
    <row r="1821" spans="1:2" x14ac:dyDescent="0.2">
      <c r="A1821" s="384">
        <v>110</v>
      </c>
      <c r="B1821" s="385" t="s">
        <v>2704</v>
      </c>
    </row>
    <row r="1822" spans="1:2" x14ac:dyDescent="0.2">
      <c r="A1822" s="384">
        <v>111</v>
      </c>
      <c r="B1822" s="385" t="s">
        <v>2705</v>
      </c>
    </row>
    <row r="1823" spans="1:2" x14ac:dyDescent="0.2">
      <c r="A1823" s="384">
        <v>112</v>
      </c>
      <c r="B1823" s="385" t="s">
        <v>2706</v>
      </c>
    </row>
    <row r="1824" spans="1:2" x14ac:dyDescent="0.2">
      <c r="A1824" s="384">
        <v>120</v>
      </c>
      <c r="B1824" s="385" t="s">
        <v>2707</v>
      </c>
    </row>
    <row r="1825" spans="1:2" x14ac:dyDescent="0.2">
      <c r="A1825" s="384">
        <v>121</v>
      </c>
      <c r="B1825" s="385" t="s">
        <v>2705</v>
      </c>
    </row>
    <row r="1826" spans="1:2" x14ac:dyDescent="0.2">
      <c r="A1826" s="384">
        <v>122</v>
      </c>
      <c r="B1826" s="385" t="s">
        <v>2706</v>
      </c>
    </row>
    <row r="1827" spans="1:2" x14ac:dyDescent="0.2">
      <c r="A1827" s="384">
        <v>130</v>
      </c>
      <c r="B1827" s="385" t="s">
        <v>2708</v>
      </c>
    </row>
    <row r="1828" spans="1:2" x14ac:dyDescent="0.2">
      <c r="A1828" s="384">
        <v>131</v>
      </c>
      <c r="B1828" s="385" t="s">
        <v>2709</v>
      </c>
    </row>
    <row r="1829" spans="1:2" x14ac:dyDescent="0.2">
      <c r="A1829" s="384">
        <v>132</v>
      </c>
      <c r="B1829" s="385" t="s">
        <v>2710</v>
      </c>
    </row>
    <row r="1830" spans="1:2" x14ac:dyDescent="0.2">
      <c r="A1830" s="384">
        <v>133</v>
      </c>
      <c r="B1830" s="385" t="s">
        <v>2711</v>
      </c>
    </row>
    <row r="1831" spans="1:2" x14ac:dyDescent="0.2">
      <c r="A1831" s="384">
        <v>134</v>
      </c>
      <c r="B1831" s="385" t="s">
        <v>2712</v>
      </c>
    </row>
    <row r="1832" spans="1:2" x14ac:dyDescent="0.2">
      <c r="A1832" s="384">
        <v>140</v>
      </c>
      <c r="B1832" s="385" t="s">
        <v>2713</v>
      </c>
    </row>
    <row r="1833" spans="1:2" x14ac:dyDescent="0.2">
      <c r="A1833" s="384">
        <v>141</v>
      </c>
      <c r="B1833" s="385" t="s">
        <v>2705</v>
      </c>
    </row>
    <row r="1834" spans="1:2" ht="25.5" x14ac:dyDescent="0.2">
      <c r="A1834" s="384">
        <v>142</v>
      </c>
      <c r="B1834" s="385" t="s">
        <v>2714</v>
      </c>
    </row>
    <row r="1835" spans="1:2" ht="25.5" x14ac:dyDescent="0.2">
      <c r="A1835" s="384">
        <v>200</v>
      </c>
      <c r="B1835" s="385" t="s">
        <v>3147</v>
      </c>
    </row>
    <row r="1836" spans="1:2" x14ac:dyDescent="0.2">
      <c r="A1836" s="384">
        <v>210</v>
      </c>
      <c r="B1836" s="385" t="s">
        <v>2715</v>
      </c>
    </row>
    <row r="1837" spans="1:2" ht="25.5" x14ac:dyDescent="0.2">
      <c r="A1837" s="384">
        <v>211</v>
      </c>
      <c r="B1837" s="385" t="s">
        <v>2716</v>
      </c>
    </row>
    <row r="1838" spans="1:2" ht="25.5" x14ac:dyDescent="0.2">
      <c r="A1838" s="384">
        <v>212</v>
      </c>
      <c r="B1838" s="385" t="s">
        <v>2717</v>
      </c>
    </row>
    <row r="1839" spans="1:2" ht="25.5" x14ac:dyDescent="0.2">
      <c r="A1839" s="384">
        <v>213</v>
      </c>
      <c r="B1839" s="385" t="s">
        <v>2718</v>
      </c>
    </row>
    <row r="1840" spans="1:2" ht="25.5" x14ac:dyDescent="0.2">
      <c r="A1840" s="384">
        <v>214</v>
      </c>
      <c r="B1840" s="385" t="s">
        <v>2719</v>
      </c>
    </row>
    <row r="1841" spans="1:2" ht="25.5" x14ac:dyDescent="0.2">
      <c r="A1841" s="384">
        <v>215</v>
      </c>
      <c r="B1841" s="385" t="s">
        <v>2720</v>
      </c>
    </row>
    <row r="1842" spans="1:2" ht="25.5" x14ac:dyDescent="0.2">
      <c r="A1842" s="384">
        <v>216</v>
      </c>
      <c r="B1842" s="385" t="s">
        <v>2721</v>
      </c>
    </row>
    <row r="1843" spans="1:2" ht="25.5" x14ac:dyDescent="0.2">
      <c r="A1843" s="384">
        <v>217</v>
      </c>
      <c r="B1843" s="385" t="s">
        <v>2722</v>
      </c>
    </row>
    <row r="1844" spans="1:2" ht="25.5" x14ac:dyDescent="0.2">
      <c r="A1844" s="384">
        <v>218</v>
      </c>
      <c r="B1844" s="385" t="s">
        <v>2723</v>
      </c>
    </row>
    <row r="1845" spans="1:2" x14ac:dyDescent="0.2">
      <c r="A1845" s="384">
        <v>219</v>
      </c>
      <c r="B1845" s="385" t="s">
        <v>2724</v>
      </c>
    </row>
    <row r="1846" spans="1:2" ht="25.5" x14ac:dyDescent="0.2">
      <c r="A1846" s="384">
        <v>220</v>
      </c>
      <c r="B1846" s="385" t="s">
        <v>2725</v>
      </c>
    </row>
    <row r="1847" spans="1:2" x14ac:dyDescent="0.2">
      <c r="A1847" s="384">
        <v>221</v>
      </c>
      <c r="B1847" s="385" t="s">
        <v>2726</v>
      </c>
    </row>
    <row r="1848" spans="1:2" x14ac:dyDescent="0.2">
      <c r="A1848" s="384">
        <v>222</v>
      </c>
      <c r="B1848" s="385" t="s">
        <v>2727</v>
      </c>
    </row>
    <row r="1849" spans="1:2" x14ac:dyDescent="0.2">
      <c r="A1849" s="384">
        <v>223</v>
      </c>
      <c r="B1849" s="385" t="s">
        <v>1313</v>
      </c>
    </row>
    <row r="1850" spans="1:2" x14ac:dyDescent="0.2">
      <c r="A1850" s="384">
        <v>224</v>
      </c>
      <c r="B1850" s="385" t="s">
        <v>1314</v>
      </c>
    </row>
    <row r="1851" spans="1:2" x14ac:dyDescent="0.2">
      <c r="A1851" s="384">
        <v>225</v>
      </c>
      <c r="B1851" s="385" t="s">
        <v>1317</v>
      </c>
    </row>
    <row r="1852" spans="1:2" x14ac:dyDescent="0.2">
      <c r="A1852" s="384">
        <v>226</v>
      </c>
      <c r="B1852" s="385" t="s">
        <v>1318</v>
      </c>
    </row>
    <row r="1853" spans="1:2" x14ac:dyDescent="0.2">
      <c r="A1853" s="384">
        <v>230</v>
      </c>
      <c r="B1853" s="385" t="s">
        <v>2728</v>
      </c>
    </row>
    <row r="1854" spans="1:2" x14ac:dyDescent="0.2">
      <c r="A1854" s="384">
        <v>240</v>
      </c>
      <c r="B1854" s="385" t="s">
        <v>2729</v>
      </c>
    </row>
    <row r="1855" spans="1:2" x14ac:dyDescent="0.2">
      <c r="A1855" s="384">
        <v>241</v>
      </c>
      <c r="B1855" s="385" t="s">
        <v>2730</v>
      </c>
    </row>
    <row r="1856" spans="1:2" x14ac:dyDescent="0.2">
      <c r="A1856" s="384">
        <v>242</v>
      </c>
      <c r="B1856" s="385" t="s">
        <v>2731</v>
      </c>
    </row>
    <row r="1857" spans="1:2" x14ac:dyDescent="0.2">
      <c r="A1857" s="384">
        <v>243</v>
      </c>
      <c r="B1857" s="385" t="s">
        <v>2732</v>
      </c>
    </row>
    <row r="1858" spans="1:2" x14ac:dyDescent="0.2">
      <c r="A1858" s="384">
        <v>244</v>
      </c>
      <c r="B1858" s="385" t="s">
        <v>3146</v>
      </c>
    </row>
    <row r="1859" spans="1:2" x14ac:dyDescent="0.2">
      <c r="A1859" s="384">
        <v>300</v>
      </c>
      <c r="B1859" s="385" t="s">
        <v>660</v>
      </c>
    </row>
    <row r="1860" spans="1:2" x14ac:dyDescent="0.2">
      <c r="A1860" s="384">
        <v>310</v>
      </c>
      <c r="B1860" s="385" t="s">
        <v>2733</v>
      </c>
    </row>
    <row r="1861" spans="1:2" x14ac:dyDescent="0.2">
      <c r="A1861" s="384">
        <v>311</v>
      </c>
      <c r="B1861" s="385" t="s">
        <v>2734</v>
      </c>
    </row>
    <row r="1862" spans="1:2" x14ac:dyDescent="0.2">
      <c r="A1862" s="384">
        <v>312</v>
      </c>
      <c r="B1862" s="385" t="s">
        <v>2735</v>
      </c>
    </row>
    <row r="1863" spans="1:2" x14ac:dyDescent="0.2">
      <c r="A1863" s="384">
        <v>313</v>
      </c>
      <c r="B1863" s="385" t="s">
        <v>2736</v>
      </c>
    </row>
    <row r="1864" spans="1:2" x14ac:dyDescent="0.2">
      <c r="A1864" s="384">
        <v>314</v>
      </c>
      <c r="B1864" s="385" t="s">
        <v>2737</v>
      </c>
    </row>
    <row r="1865" spans="1:2" x14ac:dyDescent="0.2">
      <c r="A1865" s="384">
        <v>320</v>
      </c>
      <c r="B1865" s="385" t="s">
        <v>2738</v>
      </c>
    </row>
    <row r="1866" spans="1:2" x14ac:dyDescent="0.2">
      <c r="A1866" s="384">
        <v>321</v>
      </c>
      <c r="B1866" s="385" t="s">
        <v>2739</v>
      </c>
    </row>
    <row r="1867" spans="1:2" x14ac:dyDescent="0.2">
      <c r="A1867" s="384">
        <v>322</v>
      </c>
      <c r="B1867" s="385" t="s">
        <v>2740</v>
      </c>
    </row>
    <row r="1868" spans="1:2" x14ac:dyDescent="0.2">
      <c r="A1868" s="384">
        <v>323</v>
      </c>
      <c r="B1868" s="385" t="s">
        <v>2741</v>
      </c>
    </row>
    <row r="1869" spans="1:2" x14ac:dyDescent="0.2">
      <c r="A1869" s="384">
        <v>330</v>
      </c>
      <c r="B1869" s="385" t="s">
        <v>2742</v>
      </c>
    </row>
    <row r="1870" spans="1:2" x14ac:dyDescent="0.2">
      <c r="A1870" s="384">
        <v>340</v>
      </c>
      <c r="B1870" s="385" t="s">
        <v>2743</v>
      </c>
    </row>
    <row r="1871" spans="1:2" x14ac:dyDescent="0.2">
      <c r="A1871" s="384">
        <v>350</v>
      </c>
      <c r="B1871" s="385" t="s">
        <v>2744</v>
      </c>
    </row>
    <row r="1872" spans="1:2" x14ac:dyDescent="0.2">
      <c r="A1872" s="384">
        <v>360</v>
      </c>
      <c r="B1872" s="385" t="s">
        <v>2745</v>
      </c>
    </row>
    <row r="1873" spans="1:2" ht="12.75" customHeight="1" x14ac:dyDescent="0.2">
      <c r="A1873" s="384">
        <v>400</v>
      </c>
      <c r="B1873" s="385" t="s">
        <v>3149</v>
      </c>
    </row>
    <row r="1874" spans="1:2" x14ac:dyDescent="0.2">
      <c r="A1874" s="384">
        <v>410</v>
      </c>
      <c r="B1874" s="385" t="s">
        <v>2746</v>
      </c>
    </row>
    <row r="1875" spans="1:2" x14ac:dyDescent="0.2">
      <c r="A1875" s="384">
        <v>411</v>
      </c>
      <c r="B1875" s="385" t="s">
        <v>2747</v>
      </c>
    </row>
    <row r="1876" spans="1:2" x14ac:dyDescent="0.2">
      <c r="A1876" s="384">
        <v>412</v>
      </c>
      <c r="B1876" s="385" t="s">
        <v>2748</v>
      </c>
    </row>
    <row r="1877" spans="1:2" x14ac:dyDescent="0.2">
      <c r="A1877" s="384">
        <v>413</v>
      </c>
      <c r="B1877" s="385" t="s">
        <v>2749</v>
      </c>
    </row>
    <row r="1878" spans="1:2" x14ac:dyDescent="0.2">
      <c r="A1878" s="384">
        <v>414</v>
      </c>
      <c r="B1878" s="385" t="s">
        <v>2750</v>
      </c>
    </row>
    <row r="1879" spans="1:2" x14ac:dyDescent="0.2">
      <c r="A1879" s="384">
        <v>415</v>
      </c>
      <c r="B1879" s="385" t="s">
        <v>2751</v>
      </c>
    </row>
    <row r="1880" spans="1:2" x14ac:dyDescent="0.2">
      <c r="A1880" s="384">
        <v>420</v>
      </c>
      <c r="B1880" s="385" t="s">
        <v>2752</v>
      </c>
    </row>
    <row r="1881" spans="1:2" ht="25.5" x14ac:dyDescent="0.2">
      <c r="A1881" s="384">
        <v>421</v>
      </c>
      <c r="B1881" s="385" t="s">
        <v>2753</v>
      </c>
    </row>
    <row r="1882" spans="1:2" ht="25.5" x14ac:dyDescent="0.2">
      <c r="A1882" s="384">
        <v>422</v>
      </c>
      <c r="B1882" s="385" t="s">
        <v>2754</v>
      </c>
    </row>
    <row r="1883" spans="1:2" x14ac:dyDescent="0.2">
      <c r="A1883" s="384">
        <v>430</v>
      </c>
      <c r="B1883" s="385" t="s">
        <v>2755</v>
      </c>
    </row>
    <row r="1884" spans="1:2" x14ac:dyDescent="0.2">
      <c r="A1884" s="384">
        <v>440</v>
      </c>
      <c r="B1884" s="385" t="s">
        <v>2756</v>
      </c>
    </row>
    <row r="1885" spans="1:2" x14ac:dyDescent="0.2">
      <c r="A1885" s="384">
        <v>500</v>
      </c>
      <c r="B1885" s="385" t="s">
        <v>801</v>
      </c>
    </row>
    <row r="1886" spans="1:2" x14ac:dyDescent="0.2">
      <c r="A1886" s="384">
        <v>510</v>
      </c>
      <c r="B1886" s="385" t="s">
        <v>2513</v>
      </c>
    </row>
    <row r="1887" spans="1:2" x14ac:dyDescent="0.2">
      <c r="A1887" s="384">
        <v>511</v>
      </c>
      <c r="B1887" s="385" t="s">
        <v>2757</v>
      </c>
    </row>
    <row r="1888" spans="1:2" x14ac:dyDescent="0.2">
      <c r="A1888" s="384">
        <v>512</v>
      </c>
      <c r="B1888" s="385" t="s">
        <v>2758</v>
      </c>
    </row>
    <row r="1889" spans="1:2" ht="25.5" x14ac:dyDescent="0.2">
      <c r="A1889" s="384">
        <v>513</v>
      </c>
      <c r="B1889" s="385" t="s">
        <v>2759</v>
      </c>
    </row>
    <row r="1890" spans="1:2" x14ac:dyDescent="0.2">
      <c r="A1890" s="384">
        <v>514</v>
      </c>
      <c r="B1890" s="385" t="s">
        <v>2760</v>
      </c>
    </row>
    <row r="1891" spans="1:2" x14ac:dyDescent="0.2">
      <c r="A1891" s="384">
        <v>515</v>
      </c>
      <c r="B1891" s="385" t="s">
        <v>301</v>
      </c>
    </row>
    <row r="1892" spans="1:2" x14ac:dyDescent="0.2">
      <c r="A1892" s="384">
        <v>520</v>
      </c>
      <c r="B1892" s="385" t="s">
        <v>1322</v>
      </c>
    </row>
    <row r="1893" spans="1:2" ht="25.5" x14ac:dyDescent="0.2">
      <c r="A1893" s="384">
        <v>521</v>
      </c>
      <c r="B1893" s="385" t="s">
        <v>2761</v>
      </c>
    </row>
    <row r="1894" spans="1:2" x14ac:dyDescent="0.2">
      <c r="A1894" s="384">
        <v>522</v>
      </c>
      <c r="B1894" s="385" t="s">
        <v>2762</v>
      </c>
    </row>
    <row r="1895" spans="1:2" x14ac:dyDescent="0.2">
      <c r="A1895" s="384">
        <v>530</v>
      </c>
      <c r="B1895" s="385" t="s">
        <v>2763</v>
      </c>
    </row>
    <row r="1896" spans="1:2" x14ac:dyDescent="0.2">
      <c r="A1896" s="384">
        <v>540</v>
      </c>
      <c r="B1896" s="385" t="s">
        <v>2764</v>
      </c>
    </row>
    <row r="1897" spans="1:2" x14ac:dyDescent="0.2">
      <c r="A1897" s="384">
        <v>560</v>
      </c>
      <c r="B1897" s="385" t="s">
        <v>2765</v>
      </c>
    </row>
    <row r="1898" spans="1:2" x14ac:dyDescent="0.2">
      <c r="A1898" s="384">
        <v>570</v>
      </c>
      <c r="B1898" s="385" t="s">
        <v>2766</v>
      </c>
    </row>
    <row r="1899" spans="1:2" x14ac:dyDescent="0.2">
      <c r="A1899" s="384">
        <v>580</v>
      </c>
      <c r="B1899" s="385" t="s">
        <v>2767</v>
      </c>
    </row>
    <row r="1900" spans="1:2" x14ac:dyDescent="0.2">
      <c r="A1900" s="384">
        <v>600</v>
      </c>
      <c r="B1900" s="385" t="s">
        <v>689</v>
      </c>
    </row>
    <row r="1901" spans="1:2" x14ac:dyDescent="0.2">
      <c r="A1901" s="384">
        <v>610</v>
      </c>
      <c r="B1901" s="385" t="s">
        <v>2768</v>
      </c>
    </row>
    <row r="1902" spans="1:2" x14ac:dyDescent="0.2">
      <c r="A1902" s="384">
        <v>611</v>
      </c>
      <c r="B1902" s="385" t="s">
        <v>698</v>
      </c>
    </row>
    <row r="1903" spans="1:2" x14ac:dyDescent="0.2">
      <c r="A1903" s="384">
        <v>612</v>
      </c>
      <c r="B1903" s="385" t="s">
        <v>2769</v>
      </c>
    </row>
    <row r="1904" spans="1:2" x14ac:dyDescent="0.2">
      <c r="A1904" s="384">
        <v>620</v>
      </c>
      <c r="B1904" s="385" t="s">
        <v>2770</v>
      </c>
    </row>
    <row r="1905" spans="1:2" x14ac:dyDescent="0.2">
      <c r="A1905" s="384">
        <v>621</v>
      </c>
      <c r="B1905" s="385" t="s">
        <v>2771</v>
      </c>
    </row>
    <row r="1906" spans="1:2" x14ac:dyDescent="0.2">
      <c r="A1906" s="384">
        <v>622</v>
      </c>
      <c r="B1906" s="385" t="s">
        <v>2772</v>
      </c>
    </row>
    <row r="1907" spans="1:2" x14ac:dyDescent="0.2">
      <c r="A1907" s="384">
        <v>630</v>
      </c>
      <c r="B1907" s="385" t="s">
        <v>2773</v>
      </c>
    </row>
    <row r="1908" spans="1:2" x14ac:dyDescent="0.2">
      <c r="A1908" s="384">
        <v>700</v>
      </c>
      <c r="B1908" s="385" t="s">
        <v>805</v>
      </c>
    </row>
    <row r="1909" spans="1:2" x14ac:dyDescent="0.2">
      <c r="A1909" s="384">
        <v>710</v>
      </c>
      <c r="B1909" s="385" t="s">
        <v>805</v>
      </c>
    </row>
    <row r="1910" spans="1:2" x14ac:dyDescent="0.2">
      <c r="A1910" s="384">
        <v>800</v>
      </c>
      <c r="B1910" s="385" t="s">
        <v>627</v>
      </c>
    </row>
    <row r="1911" spans="1:2" x14ac:dyDescent="0.2">
      <c r="A1911" s="384">
        <v>810</v>
      </c>
      <c r="B1911" s="385" t="s">
        <v>2774</v>
      </c>
    </row>
    <row r="1912" spans="1:2" x14ac:dyDescent="0.2">
      <c r="A1912" s="384">
        <v>820</v>
      </c>
      <c r="B1912" s="385" t="s">
        <v>2775</v>
      </c>
    </row>
    <row r="1913" spans="1:2" x14ac:dyDescent="0.2">
      <c r="A1913" s="384">
        <v>821</v>
      </c>
      <c r="B1913" s="385" t="s">
        <v>2776</v>
      </c>
    </row>
    <row r="1914" spans="1:2" x14ac:dyDescent="0.2">
      <c r="A1914" s="384">
        <v>822</v>
      </c>
      <c r="B1914" s="385" t="s">
        <v>2777</v>
      </c>
    </row>
    <row r="1915" spans="1:2" x14ac:dyDescent="0.2">
      <c r="A1915" s="384">
        <v>823</v>
      </c>
      <c r="B1915" s="385" t="s">
        <v>2778</v>
      </c>
    </row>
    <row r="1916" spans="1:2" x14ac:dyDescent="0.2">
      <c r="A1916" s="384">
        <v>830</v>
      </c>
      <c r="B1916" s="385" t="s">
        <v>2779</v>
      </c>
    </row>
    <row r="1917" spans="1:2" ht="38.25" x14ac:dyDescent="0.2">
      <c r="A1917" s="384">
        <v>831</v>
      </c>
      <c r="B1917" s="386" t="s">
        <v>2780</v>
      </c>
    </row>
    <row r="1918" spans="1:2" ht="51" x14ac:dyDescent="0.2">
      <c r="A1918" s="384">
        <v>832</v>
      </c>
      <c r="B1918" s="386" t="s">
        <v>2781</v>
      </c>
    </row>
    <row r="1919" spans="1:2" x14ac:dyDescent="0.2">
      <c r="A1919" s="384">
        <v>833</v>
      </c>
      <c r="B1919" s="385" t="s">
        <v>2782</v>
      </c>
    </row>
    <row r="1920" spans="1:2" ht="25.5" x14ac:dyDescent="0.2">
      <c r="A1920" s="384">
        <v>840</v>
      </c>
      <c r="B1920" s="385" t="s">
        <v>2783</v>
      </c>
    </row>
    <row r="1921" spans="1:2" x14ac:dyDescent="0.2">
      <c r="A1921" s="384">
        <v>841</v>
      </c>
      <c r="B1921" s="385" t="s">
        <v>2784</v>
      </c>
    </row>
    <row r="1922" spans="1:2" x14ac:dyDescent="0.2">
      <c r="A1922" s="384">
        <v>850</v>
      </c>
      <c r="B1922" s="385" t="s">
        <v>2785</v>
      </c>
    </row>
    <row r="1923" spans="1:2" x14ac:dyDescent="0.2">
      <c r="A1923" s="384">
        <v>851</v>
      </c>
      <c r="B1923" s="385" t="s">
        <v>2786</v>
      </c>
    </row>
    <row r="1924" spans="1:2" ht="12.75" customHeight="1" x14ac:dyDescent="0.2">
      <c r="A1924" s="384">
        <v>852</v>
      </c>
      <c r="B1924" s="385" t="s">
        <v>2787</v>
      </c>
    </row>
    <row r="1925" spans="1:2" x14ac:dyDescent="0.2">
      <c r="A1925" s="384">
        <v>860</v>
      </c>
      <c r="B1925" s="385" t="s">
        <v>2788</v>
      </c>
    </row>
    <row r="1926" spans="1:2" x14ac:dyDescent="0.2">
      <c r="A1926" s="384">
        <v>861</v>
      </c>
      <c r="B1926" s="385" t="s">
        <v>2789</v>
      </c>
    </row>
    <row r="1927" spans="1:2" x14ac:dyDescent="0.2">
      <c r="A1927" s="384">
        <v>862</v>
      </c>
      <c r="B1927" s="385" t="s">
        <v>2790</v>
      </c>
    </row>
    <row r="1928" spans="1:2" x14ac:dyDescent="0.2">
      <c r="A1928" s="384">
        <v>863</v>
      </c>
      <c r="B1928" s="385" t="s">
        <v>2791</v>
      </c>
    </row>
    <row r="1929" spans="1:2" x14ac:dyDescent="0.2">
      <c r="A1929" s="384">
        <v>870</v>
      </c>
      <c r="B1929" s="385" t="s">
        <v>2792</v>
      </c>
    </row>
    <row r="1930" spans="1:2" x14ac:dyDescent="0.2">
      <c r="A1930" s="384">
        <v>880</v>
      </c>
      <c r="B1930" s="385" t="s">
        <v>2793</v>
      </c>
    </row>
  </sheetData>
  <printOptions gridLinesSet="0"/>
  <pageMargins left="0.75" right="0.75" top="1" bottom="1" header="0.5" footer="0.5"/>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22"/>
  <sheetViews>
    <sheetView showGridLines="0" view="pageBreakPreview" zoomScale="115" zoomScaleSheetLayoutView="115" workbookViewId="0">
      <selection activeCell="A4" sqref="A4:E4"/>
    </sheetView>
  </sheetViews>
  <sheetFormatPr defaultColWidth="11.85546875" defaultRowHeight="15.75" x14ac:dyDescent="0.25"/>
  <cols>
    <col min="1" max="1" width="6.42578125" style="47" customWidth="1"/>
    <col min="2" max="2" width="59.7109375" style="48" customWidth="1"/>
    <col min="3" max="3" width="14.28515625" style="32" hidden="1" customWidth="1"/>
    <col min="4" max="4" width="16" style="32" customWidth="1"/>
    <col min="5" max="5" width="21.5703125" style="32" hidden="1" customWidth="1"/>
    <col min="6" max="6" width="43.42578125" style="32" customWidth="1"/>
    <col min="7" max="16384" width="11.85546875" style="32"/>
  </cols>
  <sheetData>
    <row r="1" spans="1:5" s="48" customFormat="1" x14ac:dyDescent="0.25">
      <c r="A1" s="890" t="s">
        <v>178</v>
      </c>
      <c r="B1" s="890"/>
      <c r="C1" s="890"/>
      <c r="D1" s="890"/>
      <c r="E1" s="890"/>
    </row>
    <row r="2" spans="1:5" s="48" customFormat="1" x14ac:dyDescent="0.25">
      <c r="A2" s="890" t="s">
        <v>1</v>
      </c>
      <c r="B2" s="890"/>
      <c r="C2" s="890"/>
      <c r="D2" s="890"/>
      <c r="E2" s="890"/>
    </row>
    <row r="3" spans="1:5" s="48" customFormat="1" x14ac:dyDescent="0.25">
      <c r="A3" s="890" t="s">
        <v>2</v>
      </c>
      <c r="B3" s="890"/>
      <c r="C3" s="890"/>
      <c r="D3" s="890"/>
      <c r="E3" s="890"/>
    </row>
    <row r="4" spans="1:5" s="48" customFormat="1" x14ac:dyDescent="0.25">
      <c r="A4" s="890" t="s">
        <v>3501</v>
      </c>
      <c r="B4" s="890"/>
      <c r="C4" s="890"/>
      <c r="D4" s="890"/>
      <c r="E4" s="890"/>
    </row>
    <row r="5" spans="1:5" s="48" customFormat="1" x14ac:dyDescent="0.25">
      <c r="A5" s="49"/>
      <c r="B5" s="50"/>
    </row>
    <row r="6" spans="1:5" s="48" customFormat="1" ht="50.25" customHeight="1" x14ac:dyDescent="0.25">
      <c r="A6" s="901" t="s">
        <v>3463</v>
      </c>
      <c r="B6" s="901"/>
      <c r="C6" s="901"/>
      <c r="D6" s="901"/>
      <c r="E6" s="901"/>
    </row>
    <row r="7" spans="1:5" s="48" customFormat="1" ht="16.5" thickBot="1" x14ac:dyDescent="0.3">
      <c r="A7" s="52"/>
    </row>
    <row r="8" spans="1:5" s="51" customFormat="1" ht="32.25" customHeight="1" thickBot="1" x14ac:dyDescent="0.3">
      <c r="A8" s="53" t="s">
        <v>190</v>
      </c>
      <c r="B8" s="54" t="s">
        <v>191</v>
      </c>
      <c r="C8" s="54" t="s">
        <v>192</v>
      </c>
      <c r="D8" s="54" t="s">
        <v>3480</v>
      </c>
      <c r="E8" s="54" t="s">
        <v>192</v>
      </c>
    </row>
    <row r="9" spans="1:5" s="55" customFormat="1" ht="16.5" thickBot="1" x14ac:dyDescent="0.3">
      <c r="A9" s="56">
        <v>100</v>
      </c>
      <c r="B9" s="57" t="s">
        <v>193</v>
      </c>
      <c r="C9" s="58">
        <f>C11+C13+C15+C20+C22+C14</f>
        <v>131806353</v>
      </c>
      <c r="D9" s="58">
        <f>D11+D13+D15+D20+D22+D14</f>
        <v>125862999</v>
      </c>
      <c r="E9" s="58">
        <f>E11+E13+E15+E20+E22+E14</f>
        <v>257669352</v>
      </c>
    </row>
    <row r="10" spans="1:5" s="55" customFormat="1" ht="16.5" hidden="1" thickBot="1" x14ac:dyDescent="0.3">
      <c r="A10" s="59">
        <v>101</v>
      </c>
      <c r="B10" s="60" t="s">
        <v>194</v>
      </c>
      <c r="C10" s="61">
        <f>SUMIF(Пр12!C10:C1218,101,Пр12!G10:G1218)</f>
        <v>0</v>
      </c>
      <c r="D10" s="61">
        <f>SUMIF(Пр12!D10:D1218,101,Пр12!H10:H1218)</f>
        <v>0</v>
      </c>
      <c r="E10" s="61">
        <f>SUMIF(Пр12!E10:E1218,101,Пр12!I10:I1218)</f>
        <v>0</v>
      </c>
    </row>
    <row r="11" spans="1:5" s="55" customFormat="1" ht="32.25" thickBot="1" x14ac:dyDescent="0.3">
      <c r="A11" s="59">
        <v>102</v>
      </c>
      <c r="B11" s="62" t="s">
        <v>195</v>
      </c>
      <c r="C11" s="61">
        <f>SUMIF(Пр12!C7:C1239,102,Пр12!G7:G1239)</f>
        <v>1511279</v>
      </c>
      <c r="D11" s="61">
        <f>SUMIF(Пр12!$C7:$C1239,102,Пр12!H7:H1239)</f>
        <v>1514981</v>
      </c>
      <c r="E11" s="61">
        <f>SUMIF(Пр12!$C7:$C1239,102,Пр12!I7:I1239)</f>
        <v>3026260</v>
      </c>
    </row>
    <row r="12" spans="1:5" s="55" customFormat="1" ht="48" hidden="1" thickBot="1" x14ac:dyDescent="0.3">
      <c r="A12" s="59">
        <v>103</v>
      </c>
      <c r="B12" s="62" t="s">
        <v>196</v>
      </c>
      <c r="C12" s="61">
        <f>SUMIF(Пр12!C8:C1240,103,Пр12!G8:G1240)</f>
        <v>0</v>
      </c>
      <c r="D12" s="61">
        <f>SUMIF(Пр12!D8:D1240,103,Пр12!H8:H1240)</f>
        <v>0</v>
      </c>
      <c r="E12" s="61">
        <f>SUMIF(Пр12!E8:E1240,103,Пр12!I8:I1240)</f>
        <v>0</v>
      </c>
    </row>
    <row r="13" spans="1:5" ht="63.75" thickBot="1" x14ac:dyDescent="0.3">
      <c r="A13" s="59">
        <v>104</v>
      </c>
      <c r="B13" s="62" t="s">
        <v>197</v>
      </c>
      <c r="C13" s="61">
        <f>SUMIF(Пр12!$C9:$C1241,104,Пр12!G9:G1241)</f>
        <v>36110165</v>
      </c>
      <c r="D13" s="61">
        <f>SUMIF(Пр12!$C9:$C1241,104,Пр12!H9:H1241)</f>
        <v>35825450</v>
      </c>
      <c r="E13" s="61">
        <f>SUMIF(Пр12!$C9:$C1241,104,Пр12!I9:I1241)</f>
        <v>71935615</v>
      </c>
    </row>
    <row r="14" spans="1:5" ht="16.5" thickBot="1" x14ac:dyDescent="0.3">
      <c r="A14" s="59">
        <v>105</v>
      </c>
      <c r="B14" s="62" t="s">
        <v>198</v>
      </c>
      <c r="C14" s="61">
        <f>SUMIF(Пр12!C7:C1214,105,Пр12!G7:G1214)</f>
        <v>50977</v>
      </c>
      <c r="D14" s="61">
        <f>SUMIF(Пр12!C10:C1242,105,Пр12!H10:H1242)</f>
        <v>50977</v>
      </c>
      <c r="E14" s="61">
        <f>SUMIF(Пр12!$C10:$C1242,105,Пр12!I10:I1242)</f>
        <v>101954</v>
      </c>
    </row>
    <row r="15" spans="1:5" ht="48" thickBot="1" x14ac:dyDescent="0.3">
      <c r="A15" s="59">
        <v>106</v>
      </c>
      <c r="B15" s="62" t="s">
        <v>199</v>
      </c>
      <c r="C15" s="61">
        <f>SUMIF(Пр12!$C10:$C1242,106,Пр12!G10:G1242)</f>
        <v>17140462</v>
      </c>
      <c r="D15" s="61">
        <f>SUMIF(Пр12!$C10:$C1242,106,Пр12!H10:H1242)</f>
        <v>16891429</v>
      </c>
      <c r="E15" s="61">
        <f>SUMIF(Пр12!$C10:$C1242,106,Пр12!I10:I1242)</f>
        <v>34031891</v>
      </c>
    </row>
    <row r="16" spans="1:5" ht="16.5" hidden="1" thickBot="1" x14ac:dyDescent="0.3">
      <c r="A16" s="59">
        <v>107</v>
      </c>
      <c r="B16" s="62" t="s">
        <v>200</v>
      </c>
      <c r="C16" s="61">
        <f>SUMIF(Пр12!C10:C1218,107,Пр12!G10:G1218)</f>
        <v>0</v>
      </c>
      <c r="D16" s="61">
        <f>SUMIF(Пр12!D10:D1218,107,Пр12!H10:H1218)</f>
        <v>0</v>
      </c>
      <c r="E16" s="61">
        <f>SUMIF(Пр12!E10:E1218,107,Пр12!I10:I1218)</f>
        <v>0</v>
      </c>
    </row>
    <row r="17" spans="1:5" s="55" customFormat="1" ht="32.25" hidden="1" thickBot="1" x14ac:dyDescent="0.3">
      <c r="A17" s="59">
        <v>108</v>
      </c>
      <c r="B17" s="62" t="s">
        <v>201</v>
      </c>
      <c r="C17" s="61">
        <f>SUMIF(Пр12!C10:C1218,108,Пр12!G10:G1218)</f>
        <v>0</v>
      </c>
      <c r="D17" s="61">
        <f>SUMIF(Пр12!D10:D1218,108,Пр12!H10:H1218)</f>
        <v>0</v>
      </c>
      <c r="E17" s="61">
        <f>SUMIF(Пр12!E10:E1218,108,Пр12!I10:I1218)</f>
        <v>0</v>
      </c>
    </row>
    <row r="18" spans="1:5" ht="16.5" hidden="1" thickBot="1" x14ac:dyDescent="0.3">
      <c r="A18" s="59">
        <v>109</v>
      </c>
      <c r="B18" s="62" t="s">
        <v>202</v>
      </c>
      <c r="C18" s="61">
        <f>SUMIF(Пр12!C10:C1218,109,Пр12!G10:G1218)</f>
        <v>0</v>
      </c>
      <c r="D18" s="61">
        <f>SUMIF(Пр12!D10:D1218,109,Пр12!H10:H1218)</f>
        <v>0</v>
      </c>
      <c r="E18" s="61">
        <f>SUMIF(Пр12!E10:E1218,109,Пр12!I10:I1218)</f>
        <v>0</v>
      </c>
    </row>
    <row r="19" spans="1:5" ht="16.5" hidden="1" thickBot="1" x14ac:dyDescent="0.3">
      <c r="A19" s="59">
        <v>110</v>
      </c>
      <c r="B19" s="62" t="s">
        <v>203</v>
      </c>
      <c r="C19" s="61">
        <f>SUMIF(Пр12!C10:C1218,110,Пр12!G10:G1218)</f>
        <v>0</v>
      </c>
      <c r="D19" s="61">
        <f>SUMIF(Пр12!D10:D1218,110,Пр12!H10:H1218)</f>
        <v>0</v>
      </c>
      <c r="E19" s="61">
        <f>SUMIF(Пр12!E10:E1218,110,Пр12!I10:I1218)</f>
        <v>0</v>
      </c>
    </row>
    <row r="20" spans="1:5" s="55" customFormat="1" ht="16.5" hidden="1" thickBot="1" x14ac:dyDescent="0.3">
      <c r="A20" s="59">
        <v>111</v>
      </c>
      <c r="B20" s="62" t="s">
        <v>204</v>
      </c>
      <c r="C20" s="61">
        <f>SUMIF(Пр12!$C10:$C1218,111,Пр12!G10:G1218)</f>
        <v>471469</v>
      </c>
      <c r="D20" s="61">
        <f>SUMIF(Пр12!$C10:$C1218,111,Пр12!H10:H1218)</f>
        <v>0</v>
      </c>
      <c r="E20" s="61">
        <f>SUMIF(Пр12!$C10:$C1218,111,Пр12!I10:I1218)</f>
        <v>471469</v>
      </c>
    </row>
    <row r="21" spans="1:5" ht="32.25" hidden="1" thickBot="1" x14ac:dyDescent="0.3">
      <c r="A21" s="59">
        <v>112</v>
      </c>
      <c r="B21" s="62" t="s">
        <v>205</v>
      </c>
      <c r="C21" s="61">
        <f>SUMIF(Пр12!C10:C1218,112,Пр12!G10:G1218)</f>
        <v>0</v>
      </c>
      <c r="D21" s="61">
        <f>SUMIF(Пр12!D10:D1218,112,Пр12!H10:H1218)</f>
        <v>0</v>
      </c>
      <c r="E21" s="61">
        <f>SUMIF(Пр12!E10:E1218,112,Пр12!I10:I1218)</f>
        <v>0</v>
      </c>
    </row>
    <row r="22" spans="1:5" ht="16.5" thickBot="1" x14ac:dyDescent="0.3">
      <c r="A22" s="59">
        <v>113</v>
      </c>
      <c r="B22" s="62" t="s">
        <v>206</v>
      </c>
      <c r="C22" s="61">
        <f>SUMIF(Пр12!$C10:$C1239,113,Пр12!G10:G1239)</f>
        <v>76522001</v>
      </c>
      <c r="D22" s="61">
        <f>SUMIF(Пр12!$C10:$C1239,113,Пр12!H10:H1239)</f>
        <v>71580162</v>
      </c>
      <c r="E22" s="61">
        <f>SUMIF(Пр12!$C10:$C1239,113,Пр12!I10:I1239)</f>
        <v>148102163</v>
      </c>
    </row>
    <row r="23" spans="1:5" ht="16.5" thickBot="1" x14ac:dyDescent="0.3">
      <c r="A23" s="56">
        <v>200</v>
      </c>
      <c r="B23" s="63" t="s">
        <v>207</v>
      </c>
      <c r="C23" s="58">
        <f>SUM(C24:C32)</f>
        <v>739697</v>
      </c>
      <c r="D23" s="58">
        <f>SUM(D24:D32)</f>
        <v>739697</v>
      </c>
      <c r="E23" s="58">
        <f>SUM(E24:E32)</f>
        <v>1479394</v>
      </c>
    </row>
    <row r="24" spans="1:5" ht="16.5" hidden="1" thickBot="1" x14ac:dyDescent="0.3">
      <c r="A24" s="59">
        <v>201</v>
      </c>
      <c r="B24" s="62" t="s">
        <v>208</v>
      </c>
      <c r="C24" s="61">
        <f>SUMIF(Пр12!C10:C1218,201,Пр12!G10:G1218)</f>
        <v>0</v>
      </c>
      <c r="D24" s="61">
        <f>SUMIF(Пр12!D10:D1218,201,Пр12!H10:H1218)</f>
        <v>0</v>
      </c>
      <c r="E24" s="61">
        <f>SUMIF(Пр12!E10:E1218,201,Пр12!I10:I1218)</f>
        <v>0</v>
      </c>
    </row>
    <row r="25" spans="1:5" s="55" customFormat="1" ht="32.25" hidden="1" thickBot="1" x14ac:dyDescent="0.3">
      <c r="A25" s="59">
        <v>202</v>
      </c>
      <c r="B25" s="62" t="s">
        <v>209</v>
      </c>
      <c r="C25" s="61">
        <f>SUMIF(Пр12!C10:C1218,202,Пр12!G10:G1218)</f>
        <v>0</v>
      </c>
      <c r="D25" s="61">
        <f>SUMIF(Пр12!D10:D1218,202,Пр12!H10:H1218)</f>
        <v>0</v>
      </c>
      <c r="E25" s="61">
        <f>SUMIF(Пр12!E10:E1218,202,Пр12!I10:I1218)</f>
        <v>0</v>
      </c>
    </row>
    <row r="26" spans="1:5" s="55" customFormat="1" ht="16.5" thickBot="1" x14ac:dyDescent="0.3">
      <c r="A26" s="59">
        <v>203</v>
      </c>
      <c r="B26" s="62" t="s">
        <v>210</v>
      </c>
      <c r="C26" s="61">
        <f>SUMIF(Пр12!$C10:$C1218,203,Пр12!G10:G1218)</f>
        <v>739697</v>
      </c>
      <c r="D26" s="61">
        <f>SUMIF(Пр12!$C10:$C1218,203,Пр12!H10:H1218)</f>
        <v>739697</v>
      </c>
      <c r="E26" s="61">
        <f>SUMIF(Пр12!$C10:$C1218,203,Пр12!I10:I1218)</f>
        <v>1479394</v>
      </c>
    </row>
    <row r="27" spans="1:5" ht="16.5" hidden="1" thickBot="1" x14ac:dyDescent="0.3">
      <c r="A27" s="59">
        <v>204</v>
      </c>
      <c r="B27" s="62" t="s">
        <v>211</v>
      </c>
      <c r="C27" s="61">
        <f>SUMIF(Пр12!C10:C1218,204,Пр12!G10:G1218)</f>
        <v>0</v>
      </c>
      <c r="D27" s="61">
        <f>SUMIF(Пр12!D10:D1218,204,Пр12!H10:H1218)</f>
        <v>0</v>
      </c>
      <c r="E27" s="61">
        <f>SUMIF(Пр12!E10:E1218,204,Пр12!I10:I1218)</f>
        <v>0</v>
      </c>
    </row>
    <row r="28" spans="1:5" ht="32.25" hidden="1" thickBot="1" x14ac:dyDescent="0.3">
      <c r="A28" s="59">
        <v>205</v>
      </c>
      <c r="B28" s="62" t="s">
        <v>212</v>
      </c>
      <c r="C28" s="61">
        <f>SUMIF(Пр12!C10:C1218,205,Пр12!G10:G1218)</f>
        <v>0</v>
      </c>
      <c r="D28" s="61">
        <f>SUMIF(Пр12!D10:D1218,205,Пр12!H10:H1218)</f>
        <v>0</v>
      </c>
      <c r="E28" s="61">
        <f>SUMIF(Пр12!E10:E1218,205,Пр12!I10:I1218)</f>
        <v>0</v>
      </c>
    </row>
    <row r="29" spans="1:5" ht="16.5" hidden="1" thickBot="1" x14ac:dyDescent="0.3">
      <c r="A29" s="59">
        <v>206</v>
      </c>
      <c r="B29" s="62" t="s">
        <v>213</v>
      </c>
      <c r="C29" s="61">
        <f>SUMIF(Пр12!C10:C1218,206,Пр12!G10:G1218)</f>
        <v>0</v>
      </c>
      <c r="D29" s="61">
        <f>SUMIF(Пр12!D10:D1218,206,Пр12!H10:H1218)</f>
        <v>0</v>
      </c>
      <c r="E29" s="61">
        <f>SUMIF(Пр12!E10:E1218,206,Пр12!I10:I1218)</f>
        <v>0</v>
      </c>
    </row>
    <row r="30" spans="1:5" s="55" customFormat="1" ht="32.25" hidden="1" thickBot="1" x14ac:dyDescent="0.3">
      <c r="A30" s="59">
        <v>207</v>
      </c>
      <c r="B30" s="62" t="s">
        <v>214</v>
      </c>
      <c r="C30" s="61">
        <f>SUMIF(Пр12!C10:C1218,207,Пр12!G10:G1218)</f>
        <v>0</v>
      </c>
      <c r="D30" s="61">
        <f>SUMIF(Пр12!D10:D1218,207,Пр12!H10:H1218)</f>
        <v>0</v>
      </c>
      <c r="E30" s="61">
        <f>SUMIF(Пр12!E10:E1218,207,Пр12!I10:I1218)</f>
        <v>0</v>
      </c>
    </row>
    <row r="31" spans="1:5" ht="32.25" hidden="1" thickBot="1" x14ac:dyDescent="0.3">
      <c r="A31" s="59">
        <v>208</v>
      </c>
      <c r="B31" s="62" t="s">
        <v>215</v>
      </c>
      <c r="C31" s="61">
        <f>SUMIF(Пр12!C10:C1218,208,Пр12!G10:G1218)</f>
        <v>0</v>
      </c>
      <c r="D31" s="61">
        <f>SUMIF(Пр12!D10:D1218,208,Пр12!H10:H1218)</f>
        <v>0</v>
      </c>
      <c r="E31" s="61">
        <f>SUMIF(Пр12!E10:E1218,208,Пр12!I10:I1218)</f>
        <v>0</v>
      </c>
    </row>
    <row r="32" spans="1:5" ht="16.5" hidden="1" thickBot="1" x14ac:dyDescent="0.3">
      <c r="A32" s="59">
        <v>209</v>
      </c>
      <c r="B32" s="62" t="s">
        <v>216</v>
      </c>
      <c r="C32" s="61">
        <f>SUMIF(Пр12!C10:C1218,209,Пр12!G10:G1218)</f>
        <v>0</v>
      </c>
      <c r="D32" s="61">
        <f>SUMIF(Пр12!D10:D1218,209,Пр12!H10:H1218)</f>
        <v>0</v>
      </c>
      <c r="E32" s="61">
        <f>SUMIF(Пр12!E10:E1218,209,Пр12!I10:I1218)</f>
        <v>0</v>
      </c>
    </row>
    <row r="33" spans="1:5" ht="32.25" thickBot="1" x14ac:dyDescent="0.3">
      <c r="A33" s="56">
        <v>300</v>
      </c>
      <c r="B33" s="63" t="s">
        <v>217</v>
      </c>
      <c r="C33" s="58">
        <f>SUM(C34:C45)</f>
        <v>2309000</v>
      </c>
      <c r="D33" s="58">
        <f>SUM(D34:D45)</f>
        <v>2285933</v>
      </c>
      <c r="E33" s="58">
        <f>SUM(E34:E45)</f>
        <v>4594933</v>
      </c>
    </row>
    <row r="34" spans="1:5" ht="16.5" hidden="1" thickBot="1" x14ac:dyDescent="0.3">
      <c r="A34" s="59">
        <v>303</v>
      </c>
      <c r="B34" s="62" t="s">
        <v>218</v>
      </c>
      <c r="C34" s="61">
        <f>SUMIF(Пр12!C10:C1218,303,Пр12!G10:G1218)</f>
        <v>0</v>
      </c>
      <c r="D34" s="61">
        <f>SUMIF(Пр12!D10:D1218,303,Пр12!H10:H1218)</f>
        <v>0</v>
      </c>
      <c r="E34" s="61">
        <f>SUMIF(Пр12!E10:E1218,303,Пр12!I10:I1218)</f>
        <v>0</v>
      </c>
    </row>
    <row r="35" spans="1:5" s="55" customFormat="1" ht="16.5" hidden="1" thickBot="1" x14ac:dyDescent="0.3">
      <c r="A35" s="59">
        <v>304</v>
      </c>
      <c r="B35" s="62" t="s">
        <v>219</v>
      </c>
      <c r="C35" s="61">
        <f>SUMIF(Пр12!C10:C1218,304,Пр12!G10:G1218)</f>
        <v>0</v>
      </c>
      <c r="D35" s="61">
        <f>SUMIF(Пр12!D10:D1218,304,Пр12!H10:H1218)</f>
        <v>0</v>
      </c>
      <c r="E35" s="61">
        <f>SUMIF(Пр12!E10:E1218,304,Пр12!I10:I1218)</f>
        <v>0</v>
      </c>
    </row>
    <row r="36" spans="1:5" ht="16.5" hidden="1" thickBot="1" x14ac:dyDescent="0.3">
      <c r="A36" s="59">
        <v>305</v>
      </c>
      <c r="B36" s="62" t="s">
        <v>220</v>
      </c>
      <c r="C36" s="61">
        <f>SUMIF(Пр12!C10:C1218,305,Пр12!G10:G1218)</f>
        <v>0</v>
      </c>
      <c r="D36" s="61">
        <f>SUMIF(Пр12!D10:D1218,305,Пр12!H10:H1218)</f>
        <v>0</v>
      </c>
      <c r="E36" s="61">
        <f>SUMIF(Пр12!E10:E1218,305,Пр12!I10:I1218)</f>
        <v>0</v>
      </c>
    </row>
    <row r="37" spans="1:5" ht="16.5" hidden="1" thickBot="1" x14ac:dyDescent="0.3">
      <c r="A37" s="59">
        <v>306</v>
      </c>
      <c r="B37" s="62" t="s">
        <v>221</v>
      </c>
      <c r="C37" s="61">
        <f>SUMIF(Пр12!C10:C1218,306,Пр12!G10:G1218)</f>
        <v>0</v>
      </c>
      <c r="D37" s="61">
        <f>SUMIF(Пр12!D10:D1218,306,Пр12!H10:H1218)</f>
        <v>0</v>
      </c>
      <c r="E37" s="61">
        <f>SUMIF(Пр12!E10:E1218,306,Пр12!I10:I1218)</f>
        <v>0</v>
      </c>
    </row>
    <row r="38" spans="1:5" ht="16.5" hidden="1" thickBot="1" x14ac:dyDescent="0.3">
      <c r="A38" s="59">
        <v>307</v>
      </c>
      <c r="B38" s="62" t="s">
        <v>222</v>
      </c>
      <c r="C38" s="61">
        <f>SUMIF(Пр12!C10:C1218,307,Пр12!G10:G1218)</f>
        <v>0</v>
      </c>
      <c r="D38" s="61">
        <f>SUMIF(Пр12!D10:D1218,307,Пр12!H10:H1218)</f>
        <v>0</v>
      </c>
      <c r="E38" s="61">
        <f>SUMIF(Пр12!E10:E1218,307,Пр12!I10:I1218)</f>
        <v>0</v>
      </c>
    </row>
    <row r="39" spans="1:5" s="55" customFormat="1" ht="32.25" hidden="1" thickBot="1" x14ac:dyDescent="0.3">
      <c r="A39" s="59">
        <v>308</v>
      </c>
      <c r="B39" s="62" t="s">
        <v>223</v>
      </c>
      <c r="C39" s="61">
        <f>SUMIF(Пр12!C10:C1218,308,Пр12!G10:G1218)</f>
        <v>0</v>
      </c>
      <c r="D39" s="61">
        <f>SUMIF(Пр12!D10:D1218,308,Пр12!H10:H1218)</f>
        <v>0</v>
      </c>
      <c r="E39" s="61">
        <f>SUMIF(Пр12!E10:E1218,308,Пр12!I10:I1218)</f>
        <v>0</v>
      </c>
    </row>
    <row r="40" spans="1:5" ht="48" thickBot="1" x14ac:dyDescent="0.3">
      <c r="A40" s="59">
        <v>309</v>
      </c>
      <c r="B40" s="62" t="s">
        <v>224</v>
      </c>
      <c r="C40" s="61">
        <f>SUMIF(Пр12!C10:C1218,309,Пр12!G10:G1218)</f>
        <v>2109000</v>
      </c>
      <c r="D40" s="61">
        <f>SUMIF(Пр12!$C33:$C1257,309,Пр12!H33:H1257)</f>
        <v>2121383</v>
      </c>
      <c r="E40" s="61">
        <f>SUMIF(Пр12!$C29:$C1232,309,Пр12!I29:I1232)</f>
        <v>4230383</v>
      </c>
    </row>
    <row r="41" spans="1:5" ht="16.5" thickBot="1" x14ac:dyDescent="0.3">
      <c r="A41" s="59">
        <v>310</v>
      </c>
      <c r="B41" s="62" t="s">
        <v>225</v>
      </c>
      <c r="C41" s="61">
        <f>SUMIF(Пр12!C10:C1218,310,Пр12!G10:G1218)</f>
        <v>50000</v>
      </c>
      <c r="D41" s="61">
        <f>SUMIF(Пр12!$C34:$C1258,310,Пр12!H34:H1258)</f>
        <v>14550</v>
      </c>
      <c r="E41" s="61">
        <f>SUMIF(Пр12!$C30:$C1233,310,Пр12!I30:I1233)</f>
        <v>64550</v>
      </c>
    </row>
    <row r="42" spans="1:5" ht="16.5" hidden="1" thickBot="1" x14ac:dyDescent="0.3">
      <c r="A42" s="59">
        <v>311</v>
      </c>
      <c r="B42" s="62" t="s">
        <v>226</v>
      </c>
      <c r="C42" s="61">
        <f>SUMIF(Пр12!C10:C1218,311,Пр12!G10:G1218)</f>
        <v>0</v>
      </c>
      <c r="D42" s="61">
        <f>SUMIF(Пр12!$C35:$C1259,311,Пр12!H35:H1259)</f>
        <v>0</v>
      </c>
      <c r="E42" s="61">
        <f>SUMIF(Пр12!E10:E1218,311,Пр12!I10:I1218)</f>
        <v>0</v>
      </c>
    </row>
    <row r="43" spans="1:5" ht="32.25" hidden="1" thickBot="1" x14ac:dyDescent="0.3">
      <c r="A43" s="59">
        <v>312</v>
      </c>
      <c r="B43" s="62" t="s">
        <v>227</v>
      </c>
      <c r="C43" s="61">
        <f>SUMIF(Пр12!C10:C1218,312,Пр12!G10:G1218)</f>
        <v>0</v>
      </c>
      <c r="D43" s="61">
        <f>SUMIF(Пр12!$C36:$C1260,312,Пр12!H36:H1260)</f>
        <v>0</v>
      </c>
      <c r="E43" s="61">
        <f>SUMIF(Пр12!E10:E1218,312,Пр12!I10:I1218)</f>
        <v>0</v>
      </c>
    </row>
    <row r="44" spans="1:5" ht="48" hidden="1" thickBot="1" x14ac:dyDescent="0.3">
      <c r="A44" s="59">
        <v>313</v>
      </c>
      <c r="B44" s="62" t="s">
        <v>228</v>
      </c>
      <c r="C44" s="61">
        <f>SUMIF(Пр12!C10:C1218,313,Пр12!G10:G1218)</f>
        <v>0</v>
      </c>
      <c r="D44" s="61">
        <f>SUMIF(Пр12!$C37:$C1261,313,Пр12!H37:H1261)</f>
        <v>0</v>
      </c>
      <c r="E44" s="61">
        <f>SUMIF(Пр12!E10:E1218,313,Пр12!I10:I1218)</f>
        <v>0</v>
      </c>
    </row>
    <row r="45" spans="1:5" ht="32.25" thickBot="1" x14ac:dyDescent="0.3">
      <c r="A45" s="59">
        <v>314</v>
      </c>
      <c r="B45" s="62" t="s">
        <v>229</v>
      </c>
      <c r="C45" s="61">
        <f>SUMIF(Пр12!C10:C1218,314,Пр12!G10:G1218)</f>
        <v>150000</v>
      </c>
      <c r="D45" s="61">
        <f>SUMIF(Пр12!$C38:$C1262,314,Пр12!H38:H1262)</f>
        <v>150000</v>
      </c>
      <c r="E45" s="61">
        <f>SUMIF(Пр12!$C34:$C1237,314,Пр12!I34:I1237)</f>
        <v>300000</v>
      </c>
    </row>
    <row r="46" spans="1:5" ht="16.5" thickBot="1" x14ac:dyDescent="0.3">
      <c r="A46" s="56">
        <v>400</v>
      </c>
      <c r="B46" s="63" t="s">
        <v>230</v>
      </c>
      <c r="C46" s="58">
        <f>C48+C51+C54+C55+C58+C52</f>
        <v>294578995.72000003</v>
      </c>
      <c r="D46" s="58">
        <f>D48+D51+D54+D55+D58+D52</f>
        <v>269177919</v>
      </c>
      <c r="E46" s="58">
        <f>E48+E51+E54+E55+E58+E52</f>
        <v>563756914.72000003</v>
      </c>
    </row>
    <row r="47" spans="1:5" ht="16.5" hidden="1" thickBot="1" x14ac:dyDescent="0.3">
      <c r="A47" s="59">
        <v>401</v>
      </c>
      <c r="B47" s="64" t="s">
        <v>231</v>
      </c>
      <c r="C47" s="61">
        <f>SUMIF(Пр12!C10:C1218,401,Пр12!G10:G1218)</f>
        <v>0</v>
      </c>
      <c r="D47" s="61">
        <f>SUMIF(Пр12!D10:D1218,401,Пр12!H10:H1218)</f>
        <v>0</v>
      </c>
      <c r="E47" s="61">
        <f>SUMIF(Пр12!E10:E1218,401,Пр12!I10:I1218)</f>
        <v>0</v>
      </c>
    </row>
    <row r="48" spans="1:5" ht="16.5" thickBot="1" x14ac:dyDescent="0.3">
      <c r="A48" s="59">
        <v>402</v>
      </c>
      <c r="B48" s="60" t="s">
        <v>232</v>
      </c>
      <c r="C48" s="61">
        <f>SUMIF(Пр12!$C10:$C1218,402,Пр12!G10:G1218)</f>
        <v>766964</v>
      </c>
      <c r="D48" s="61">
        <f>SUMIF(Пр12!$C10:$C1218,402,Пр12!H10:H1218)</f>
        <v>665185</v>
      </c>
      <c r="E48" s="61">
        <f>SUMIF(Пр12!$C10:$C1218,402,Пр12!I10:I1218)</f>
        <v>1432149</v>
      </c>
    </row>
    <row r="49" spans="1:5" ht="32.25" hidden="1" thickBot="1" x14ac:dyDescent="0.3">
      <c r="A49" s="59">
        <v>403</v>
      </c>
      <c r="B49" s="62" t="s">
        <v>233</v>
      </c>
      <c r="C49" s="61">
        <f>SUMIF(Пр12!C10:C1218,403,Пр12!G10:G1218)</f>
        <v>0</v>
      </c>
      <c r="D49" s="61">
        <f>SUMIF(Пр12!D10:D1218,403,Пр12!H10:H1218)</f>
        <v>0</v>
      </c>
      <c r="E49" s="61">
        <f>SUMIF(Пр12!E10:E1218,403,Пр12!I10:I1218)</f>
        <v>0</v>
      </c>
    </row>
    <row r="50" spans="1:5" ht="16.5" hidden="1" thickBot="1" x14ac:dyDescent="0.3">
      <c r="A50" s="59">
        <v>404</v>
      </c>
      <c r="B50" s="62" t="s">
        <v>234</v>
      </c>
      <c r="C50" s="61">
        <f>SUMIF(Пр12!C10:C1218,404,Пр12!G10:G1218)</f>
        <v>0</v>
      </c>
      <c r="D50" s="61">
        <f>SUMIF(Пр12!D10:D1218,404,Пр12!H10:H1218)</f>
        <v>0</v>
      </c>
      <c r="E50" s="61">
        <f>SUMIF(Пр12!E10:E1218,404,Пр12!I10:I1218)</f>
        <v>0</v>
      </c>
    </row>
    <row r="51" spans="1:5" ht="16.5" thickBot="1" x14ac:dyDescent="0.3">
      <c r="A51" s="59">
        <v>405</v>
      </c>
      <c r="B51" s="62" t="s">
        <v>235</v>
      </c>
      <c r="C51" s="61">
        <f>SUMIF(Пр12!$C10:$C1218,405,Пр12!G10:G1218)</f>
        <v>2989392</v>
      </c>
      <c r="D51" s="61">
        <f>SUMIF(Пр12!$C10:$C1218,405,Пр12!H10:H1218)</f>
        <v>2524862</v>
      </c>
      <c r="E51" s="61">
        <f>SUMIF(Пр12!$C10:$C1218,405,Пр12!I10:I1218)</f>
        <v>5514254</v>
      </c>
    </row>
    <row r="52" spans="1:5" ht="16.5" hidden="1" thickBot="1" x14ac:dyDescent="0.3">
      <c r="A52" s="59">
        <v>406</v>
      </c>
      <c r="B52" s="62" t="s">
        <v>236</v>
      </c>
      <c r="C52" s="61">
        <f>SUMIF(Пр12!$C10:$C1218,406,Пр12!G10:G1218)</f>
        <v>0</v>
      </c>
      <c r="D52" s="61">
        <f>SUMIF(Пр12!$C10:$C1218,406,Пр12!H10:H1218)</f>
        <v>0</v>
      </c>
      <c r="E52" s="61">
        <f>SUMIF(Пр12!$C10:$C1218,406,Пр12!I10:I1218)</f>
        <v>0</v>
      </c>
    </row>
    <row r="53" spans="1:5" ht="16.5" hidden="1" thickBot="1" x14ac:dyDescent="0.3">
      <c r="A53" s="59">
        <v>407</v>
      </c>
      <c r="B53" s="62" t="s">
        <v>237</v>
      </c>
      <c r="C53" s="61">
        <f>SUMIF(Пр12!C10:C1218,407,Пр12!G10:G1218)</f>
        <v>0</v>
      </c>
      <c r="D53" s="61">
        <f>SUMIF(Пр12!D10:D1218,407,Пр12!H10:H1218)</f>
        <v>0</v>
      </c>
      <c r="E53" s="61">
        <f>SUMIF(Пр12!E10:E1218,407,Пр12!I10:I1218)</f>
        <v>0</v>
      </c>
    </row>
    <row r="54" spans="1:5" ht="16.5" thickBot="1" x14ac:dyDescent="0.3">
      <c r="A54" s="59">
        <v>408</v>
      </c>
      <c r="B54" s="62" t="s">
        <v>238</v>
      </c>
      <c r="C54" s="61">
        <f>SUMIF(Пр12!$C10:$C1218,408,Пр12!G10:G1218)</f>
        <v>29338017</v>
      </c>
      <c r="D54" s="61">
        <f>SUMIF(Пр12!$C10:$C1218,408,Пр12!H10:H1218)</f>
        <v>28630409</v>
      </c>
      <c r="E54" s="61">
        <f>SUMIF(Пр12!$C10:$C1218,408,Пр12!I10:I1218)</f>
        <v>57968426</v>
      </c>
    </row>
    <row r="55" spans="1:5" ht="16.5" thickBot="1" x14ac:dyDescent="0.3">
      <c r="A55" s="59">
        <v>409</v>
      </c>
      <c r="B55" s="62" t="s">
        <v>239</v>
      </c>
      <c r="C55" s="61">
        <f>SUMIF(Пр12!$C10:$C1218,409,Пр12!G10:G1218)</f>
        <v>253584448.72000003</v>
      </c>
      <c r="D55" s="61">
        <f>SUMIF(Пр12!$C10:$C1218,409,Пр12!H10:H1218)</f>
        <v>231402017</v>
      </c>
      <c r="E55" s="61">
        <f>SUMIF(Пр12!$C10:$C1218,409,Пр12!I10:I1218)</f>
        <v>484986465.72000003</v>
      </c>
    </row>
    <row r="56" spans="1:5" ht="16.5" hidden="1" thickBot="1" x14ac:dyDescent="0.3">
      <c r="A56" s="59">
        <v>410</v>
      </c>
      <c r="B56" s="62" t="s">
        <v>240</v>
      </c>
      <c r="C56" s="61">
        <f>SUMIF(Пр12!C10:C1218,410,Пр12!G10:G1218)</f>
        <v>0</v>
      </c>
      <c r="D56" s="61">
        <f>SUMIF(Пр12!D10:D1218,410,Пр12!H10:H1218)</f>
        <v>0</v>
      </c>
      <c r="E56" s="61">
        <f>SUMIF(Пр12!E10:E1218,410,Пр12!I10:I1218)</f>
        <v>0</v>
      </c>
    </row>
    <row r="57" spans="1:5" ht="32.25" hidden="1" thickBot="1" x14ac:dyDescent="0.3">
      <c r="A57" s="59">
        <v>411</v>
      </c>
      <c r="B57" s="62" t="s">
        <v>241</v>
      </c>
      <c r="C57" s="61">
        <f>SUMIF(Пр12!C10:C1218,411,Пр12!G10:G1218)</f>
        <v>0</v>
      </c>
      <c r="D57" s="61">
        <f>SUMIF(Пр12!D10:D1218,411,Пр12!H10:H1218)</f>
        <v>0</v>
      </c>
      <c r="E57" s="61">
        <f>SUMIF(Пр12!E10:E1218,411,Пр12!I10:I1218)</f>
        <v>0</v>
      </c>
    </row>
    <row r="58" spans="1:5" ht="16.5" thickBot="1" x14ac:dyDescent="0.3">
      <c r="A58" s="59">
        <v>412</v>
      </c>
      <c r="B58" s="62" t="s">
        <v>242</v>
      </c>
      <c r="C58" s="61">
        <f>SUMIF(Пр12!$C10:$C1218,412,Пр12!G10:G1218)</f>
        <v>7900174</v>
      </c>
      <c r="D58" s="61">
        <f>SUMIF(Пр12!$C10:$C1218,412,Пр12!H10:H1218)</f>
        <v>5955446</v>
      </c>
      <c r="E58" s="61">
        <f>SUMIF(Пр12!$C10:$C1218,412,Пр12!I10:I1218)</f>
        <v>13855620</v>
      </c>
    </row>
    <row r="59" spans="1:5" ht="16.5" thickBot="1" x14ac:dyDescent="0.3">
      <c r="A59" s="56">
        <v>500</v>
      </c>
      <c r="B59" s="63" t="s">
        <v>243</v>
      </c>
      <c r="C59" s="58">
        <f>C60+C61+C62+C63+C64</f>
        <v>115161889.99000001</v>
      </c>
      <c r="D59" s="58">
        <f>D60+D61+D62+D63+D64</f>
        <v>100923463</v>
      </c>
      <c r="E59" s="58">
        <f>E60+E61+E62+E63+E64</f>
        <v>216085352.99000001</v>
      </c>
    </row>
    <row r="60" spans="1:5" ht="16.5" thickBot="1" x14ac:dyDescent="0.3">
      <c r="A60" s="59">
        <v>501</v>
      </c>
      <c r="B60" s="62" t="s">
        <v>244</v>
      </c>
      <c r="C60" s="61">
        <f>SUMIF(Пр12!$C10:$C1218,501,Пр12!G10:G1218)</f>
        <v>9073499</v>
      </c>
      <c r="D60" s="61">
        <f>SUMIF(Пр12!$C10:$C1218,501,Пр12!H10:H1218)</f>
        <v>8793062</v>
      </c>
      <c r="E60" s="61">
        <f>SUMIF(Пр12!$C10:$C1218,501,Пр12!I10:I1218)</f>
        <v>17866561</v>
      </c>
    </row>
    <row r="61" spans="1:5" ht="16.5" thickBot="1" x14ac:dyDescent="0.3">
      <c r="A61" s="59">
        <v>502</v>
      </c>
      <c r="B61" s="62" t="s">
        <v>245</v>
      </c>
      <c r="C61" s="61">
        <f>SUMIF(Пр12!$C10:$C1218,502,Пр12!G10:G1218)</f>
        <v>34950952.530000001</v>
      </c>
      <c r="D61" s="61">
        <f>SUMIF(Пр12!$C10:$C1218,502,Пр12!H10:H1218)</f>
        <v>34549480</v>
      </c>
      <c r="E61" s="61">
        <f>SUMIF(Пр12!$C10:$C1218,502,Пр12!I10:I1218)</f>
        <v>69500432.530000001</v>
      </c>
    </row>
    <row r="62" spans="1:5" ht="16.5" thickBot="1" x14ac:dyDescent="0.3">
      <c r="A62" s="59">
        <v>503</v>
      </c>
      <c r="B62" s="60" t="s">
        <v>246</v>
      </c>
      <c r="C62" s="61">
        <f>SUMIF(Пр12!$C10:$C1218,503,Пр12!G10:G1218)</f>
        <v>60635604.460000001</v>
      </c>
      <c r="D62" s="61">
        <f>SUMIF(Пр12!$C10:$C1218,503,Пр12!H10:H1218)</f>
        <v>46385265</v>
      </c>
      <c r="E62" s="61">
        <f>SUMIF(Пр12!$C10:$C1218,503,Пр12!I10:I1218)</f>
        <v>107020869.46000001</v>
      </c>
    </row>
    <row r="63" spans="1:5" ht="32.25" hidden="1" thickBot="1" x14ac:dyDescent="0.3">
      <c r="A63" s="59">
        <v>504</v>
      </c>
      <c r="B63" s="62" t="s">
        <v>247</v>
      </c>
      <c r="C63" s="61">
        <f>SUMIF(Пр12!C10:C1218,504,Пр12!G10:G1218)</f>
        <v>0</v>
      </c>
      <c r="D63" s="61">
        <f>SUMIF(Пр12!D10:D1218,504,Пр12!H10:H1218)</f>
        <v>0</v>
      </c>
      <c r="E63" s="61">
        <f>SUMIF(Пр12!E10:E1218,504,Пр12!I10:I1218)</f>
        <v>0</v>
      </c>
    </row>
    <row r="64" spans="1:5" ht="32.25" thickBot="1" x14ac:dyDescent="0.3">
      <c r="A64" s="59">
        <v>505</v>
      </c>
      <c r="B64" s="62" t="s">
        <v>248</v>
      </c>
      <c r="C64" s="61">
        <f>SUMIF(Пр12!$C10:$C1218,505,Пр12!G10:G1218)</f>
        <v>10501834</v>
      </c>
      <c r="D64" s="61">
        <f>SUMIF(Пр12!$C10:$C1218,505,Пр12!H10:H1218)</f>
        <v>11195656</v>
      </c>
      <c r="E64" s="61">
        <f>SUMIF(Пр12!$C10:$C1218,505,Пр12!I10:I1218)</f>
        <v>21697490</v>
      </c>
    </row>
    <row r="65" spans="1:5" ht="16.5" thickBot="1" x14ac:dyDescent="0.3">
      <c r="A65" s="56">
        <v>600</v>
      </c>
      <c r="B65" s="65" t="s">
        <v>249</v>
      </c>
      <c r="C65" s="58">
        <f>SUM(C66:C70)</f>
        <v>913855.13</v>
      </c>
      <c r="D65" s="58">
        <f>SUM(D66:D70)</f>
        <v>791919</v>
      </c>
      <c r="E65" s="58">
        <f>SUM(E66:E70)</f>
        <v>1705774.13</v>
      </c>
    </row>
    <row r="66" spans="1:5" ht="16.5" hidden="1" thickBot="1" x14ac:dyDescent="0.3">
      <c r="A66" s="59">
        <v>601</v>
      </c>
      <c r="B66" s="60" t="s">
        <v>250</v>
      </c>
      <c r="C66" s="61">
        <f>SUMIF(Пр12!C10:C1218,601,Пр12!G10:G1218)</f>
        <v>0</v>
      </c>
      <c r="D66" s="61">
        <f>SUMIF(Пр12!D10:D1218,601,Пр12!H10:H1218)</f>
        <v>0</v>
      </c>
      <c r="E66" s="61">
        <f>SUMIF(Пр12!E10:E1218,601,Пр12!I10:I1218)</f>
        <v>0</v>
      </c>
    </row>
    <row r="67" spans="1:5" ht="16.5" hidden="1" thickBot="1" x14ac:dyDescent="0.3">
      <c r="A67" s="59">
        <v>602</v>
      </c>
      <c r="B67" s="62" t="s">
        <v>251</v>
      </c>
      <c r="C67" s="61">
        <f>SUMIF(Пр12!C10:C1218,602,Пр12!G10:G1218)</f>
        <v>0</v>
      </c>
      <c r="D67" s="61">
        <f>SUMIF(Пр12!D10:D1218,602,Пр12!H10:H1218)</f>
        <v>0</v>
      </c>
      <c r="E67" s="61">
        <f>SUMIF(Пр12!E10:E1218,602,Пр12!I10:I1218)</f>
        <v>0</v>
      </c>
    </row>
    <row r="68" spans="1:5" ht="32.25" hidden="1" thickBot="1" x14ac:dyDescent="0.3">
      <c r="A68" s="59">
        <v>603</v>
      </c>
      <c r="B68" s="62" t="s">
        <v>252</v>
      </c>
      <c r="C68" s="61">
        <f>SUMIF(Пр12!C10:C1218,603,Пр12!G10:G1218)</f>
        <v>0</v>
      </c>
      <c r="D68" s="61">
        <f>SUMIF(Пр12!D10:D1218,603,Пр12!H10:H1218)</f>
        <v>0</v>
      </c>
      <c r="E68" s="61">
        <f>SUMIF(Пр12!E10:E1218,603,Пр12!I10:I1218)</f>
        <v>0</v>
      </c>
    </row>
    <row r="69" spans="1:5" ht="32.25" hidden="1" thickBot="1" x14ac:dyDescent="0.3">
      <c r="A69" s="59">
        <v>604</v>
      </c>
      <c r="B69" s="62" t="s">
        <v>253</v>
      </c>
      <c r="C69" s="61">
        <f>SUMIF(Пр12!C10:C1218,604,Пр12!G10:G1218)</f>
        <v>0</v>
      </c>
      <c r="D69" s="61">
        <f>SUMIF(Пр12!D10:D1218,604,Пр12!H10:H1218)</f>
        <v>0</v>
      </c>
      <c r="E69" s="61">
        <f>SUMIF(Пр12!E10:E1218,604,Пр12!I10:I1218)</f>
        <v>0</v>
      </c>
    </row>
    <row r="70" spans="1:5" ht="16.5" thickBot="1" x14ac:dyDescent="0.3">
      <c r="A70" s="59">
        <v>605</v>
      </c>
      <c r="B70" s="62" t="s">
        <v>254</v>
      </c>
      <c r="C70" s="61">
        <f>SUMIF(Пр12!$C10:$C1218,605,Пр12!G10:G1218)</f>
        <v>913855.13</v>
      </c>
      <c r="D70" s="61">
        <f>SUMIF(Пр12!$C10:$C1218,605,Пр12!H10:H1218)</f>
        <v>791919</v>
      </c>
      <c r="E70" s="61">
        <f>SUMIF(Пр12!$C10:$C1218,605,Пр12!I10:I1218)</f>
        <v>1705774.13</v>
      </c>
    </row>
    <row r="71" spans="1:5" ht="16.5" thickBot="1" x14ac:dyDescent="0.3">
      <c r="A71" s="56">
        <v>700</v>
      </c>
      <c r="B71" s="65" t="s">
        <v>255</v>
      </c>
      <c r="C71" s="58">
        <f>C72+C73+C78+C80+C74+C76</f>
        <v>1018923514</v>
      </c>
      <c r="D71" s="58">
        <f>D72+D73+D78+D80+D74+D76</f>
        <v>1012629968</v>
      </c>
      <c r="E71" s="58">
        <f>E72+E73+E78+E80+E74+E76</f>
        <v>2031553482</v>
      </c>
    </row>
    <row r="72" spans="1:5" ht="16.5" thickBot="1" x14ac:dyDescent="0.3">
      <c r="A72" s="59">
        <v>701</v>
      </c>
      <c r="B72" s="62" t="s">
        <v>256</v>
      </c>
      <c r="C72" s="61">
        <f>SUMIF(Пр12!$C10:$C1218,701,Пр12!G10:G1218)</f>
        <v>424359430</v>
      </c>
      <c r="D72" s="61">
        <f>SUMIF(Пр12!$C10:$C1218,701,Пр12!H10:H1218)</f>
        <v>417616915</v>
      </c>
      <c r="E72" s="61">
        <f>SUMIF(Пр12!$C10:$C1218,701,Пр12!I10:I1218)</f>
        <v>841976345</v>
      </c>
    </row>
    <row r="73" spans="1:5" ht="16.5" thickBot="1" x14ac:dyDescent="0.3">
      <c r="A73" s="59">
        <v>702</v>
      </c>
      <c r="B73" s="62" t="s">
        <v>257</v>
      </c>
      <c r="C73" s="61">
        <f>SUMIF(Пр12!$C10:$C1218,702,Пр12!G10:G1218)</f>
        <v>445057567</v>
      </c>
      <c r="D73" s="61">
        <f>SUMIF(Пр12!$C10:$C1218,702,Пр12!H10:H1218)</f>
        <v>445708559</v>
      </c>
      <c r="E73" s="61">
        <f>SUMIF(Пр12!$C10:$C1218,702,Пр12!I10:I1218)</f>
        <v>890766126</v>
      </c>
    </row>
    <row r="74" spans="1:5" ht="16.5" thickBot="1" x14ac:dyDescent="0.3">
      <c r="A74" s="59">
        <v>703</v>
      </c>
      <c r="B74" s="493" t="s">
        <v>2913</v>
      </c>
      <c r="C74" s="61">
        <f>SUMIF(Пр12!$C10:$C1218,703,Пр12!G10:G1218)</f>
        <v>90314761</v>
      </c>
      <c r="D74" s="61">
        <f>SUMIF(Пр12!$C10:$C1218,703,Пр12!H10:H1218)</f>
        <v>90478351</v>
      </c>
      <c r="E74" s="61">
        <f>SUMIF(Пр12!$C10:$C1218,703,Пр12!I10:I1218)</f>
        <v>180793112</v>
      </c>
    </row>
    <row r="75" spans="1:5" ht="20.25" hidden="1" customHeight="1" thickBot="1" x14ac:dyDescent="0.3">
      <c r="A75" s="59">
        <v>704</v>
      </c>
      <c r="B75" s="62" t="s">
        <v>258</v>
      </c>
      <c r="C75" s="61">
        <f>SUMIF(Пр12!C10:C1218,704,Пр12!G10:G1218)</f>
        <v>0</v>
      </c>
      <c r="D75" s="61">
        <f>SUMIF(Пр12!D10:D1218,704,Пр12!H10:H1218)</f>
        <v>0</v>
      </c>
      <c r="E75" s="61">
        <f>SUMIF(Пр12!$C11:$C1219,704,Пр12!I11:I1219)</f>
        <v>0</v>
      </c>
    </row>
    <row r="76" spans="1:5" ht="32.25" thickBot="1" x14ac:dyDescent="0.3">
      <c r="A76" s="59">
        <v>705</v>
      </c>
      <c r="B76" s="62" t="s">
        <v>259</v>
      </c>
      <c r="C76" s="651">
        <f>SUMIF(Пр12!C10:C1218,705,Пр12!G10:G1218)</f>
        <v>1247200</v>
      </c>
      <c r="D76" s="61">
        <f>SUMIF(Пр12!$C12:$C1220,705,Пр12!H12:H1220)</f>
        <v>1247200</v>
      </c>
      <c r="E76" s="61">
        <f>SUMIF(Пр12!$C12:$C1220,705,Пр12!I12:I1220)</f>
        <v>2494400</v>
      </c>
    </row>
    <row r="77" spans="1:5" ht="16.5" hidden="1" thickBot="1" x14ac:dyDescent="0.3">
      <c r="A77" s="66">
        <v>706</v>
      </c>
      <c r="B77" s="67" t="s">
        <v>260</v>
      </c>
      <c r="C77" s="61">
        <f>SUMIF(Пр12!C10:C1218,706,Пр12!G10:G1218)</f>
        <v>0</v>
      </c>
      <c r="D77" s="61">
        <f>SUMIF(Пр12!D10:D1218,706,Пр12!H10:H1218)</f>
        <v>0</v>
      </c>
      <c r="E77" s="61">
        <f>SUMIF(Пр12!E10:E1218,706,Пр12!I10:I1218)</f>
        <v>0</v>
      </c>
    </row>
    <row r="78" spans="1:5" ht="16.5" thickBot="1" x14ac:dyDescent="0.3">
      <c r="A78" s="59">
        <v>707</v>
      </c>
      <c r="B78" s="493" t="s">
        <v>2914</v>
      </c>
      <c r="C78" s="61">
        <f>SUMIF(Пр12!$C10:$C1218,707,Пр12!G10:G1218)</f>
        <v>17997699</v>
      </c>
      <c r="D78" s="61">
        <f>SUMIF(Пр12!$C10:$C1218,707,Пр12!H10:H1218)</f>
        <v>17530924</v>
      </c>
      <c r="E78" s="61">
        <f>SUMIF(Пр12!$C10:$C1218,707,Пр12!I10:I1218)</f>
        <v>35528623</v>
      </c>
    </row>
    <row r="79" spans="1:5" ht="32.25" hidden="1" thickBot="1" x14ac:dyDescent="0.3">
      <c r="A79" s="59">
        <v>708</v>
      </c>
      <c r="B79" s="62" t="s">
        <v>261</v>
      </c>
      <c r="C79" s="61">
        <f>SUMIF(Пр12!C10:C1218,708,Пр12!G10:G1218)</f>
        <v>0</v>
      </c>
      <c r="D79" s="61">
        <f>SUMIF(Пр12!D10:D1218,708,Пр12!H10:H1218)</f>
        <v>0</v>
      </c>
      <c r="E79" s="61">
        <f>SUMIF(Пр12!E10:E1218,708,Пр12!I10:I1218)</f>
        <v>0</v>
      </c>
    </row>
    <row r="80" spans="1:5" ht="16.5" thickBot="1" x14ac:dyDescent="0.3">
      <c r="A80" s="59">
        <v>709</v>
      </c>
      <c r="B80" s="62" t="s">
        <v>262</v>
      </c>
      <c r="C80" s="61">
        <f>SUMIF(Пр12!$C10:$C1218,709,Пр12!G10:G1218)</f>
        <v>39946857</v>
      </c>
      <c r="D80" s="61">
        <f>SUMIF(Пр12!$C10:$C1218,709,Пр12!H10:H1218)</f>
        <v>40048019</v>
      </c>
      <c r="E80" s="61">
        <f>SUMIF(Пр12!$C10:$C1218,709,Пр12!I10:I1218)</f>
        <v>79994876</v>
      </c>
    </row>
    <row r="81" spans="1:5" ht="16.5" thickBot="1" x14ac:dyDescent="0.3">
      <c r="A81" s="56">
        <v>800</v>
      </c>
      <c r="B81" s="65" t="s">
        <v>263</v>
      </c>
      <c r="C81" s="58">
        <f>C82+C85</f>
        <v>144092481</v>
      </c>
      <c r="D81" s="58">
        <f>D82+D85</f>
        <v>143061252</v>
      </c>
      <c r="E81" s="58">
        <f>E82+E85</f>
        <v>287153733</v>
      </c>
    </row>
    <row r="82" spans="1:5" ht="16.5" thickBot="1" x14ac:dyDescent="0.3">
      <c r="A82" s="59">
        <v>801</v>
      </c>
      <c r="B82" s="62" t="s">
        <v>264</v>
      </c>
      <c r="C82" s="61">
        <f>SUMIF(Пр12!$C10:$C1218,801,Пр12!G10:G1218)</f>
        <v>115099127</v>
      </c>
      <c r="D82" s="61">
        <f>SUMIF(Пр12!$C10:$C1218,801,Пр12!H10:H1218)</f>
        <v>113913322</v>
      </c>
      <c r="E82" s="61">
        <f>SUMIF(Пр12!$C10:$C1218,801,Пр12!I10:I1218)</f>
        <v>229012449</v>
      </c>
    </row>
    <row r="83" spans="1:5" ht="16.5" hidden="1" thickBot="1" x14ac:dyDescent="0.3">
      <c r="A83" s="59">
        <v>802</v>
      </c>
      <c r="B83" s="62" t="s">
        <v>265</v>
      </c>
      <c r="C83" s="61">
        <f>SUMIF(Пр12!C10:C1218,802,Пр12!G10:G1218)</f>
        <v>0</v>
      </c>
      <c r="D83" s="61">
        <f>SUMIF(Пр12!D10:D1218,802,Пр12!H10:H1218)</f>
        <v>0</v>
      </c>
      <c r="E83" s="61">
        <f>SUMIF(Пр12!E10:E1218,802,Пр12!I10:I1218)</f>
        <v>0</v>
      </c>
    </row>
    <row r="84" spans="1:5" ht="32.25" hidden="1" thickBot="1" x14ac:dyDescent="0.3">
      <c r="A84" s="59">
        <v>803</v>
      </c>
      <c r="B84" s="62" t="s">
        <v>266</v>
      </c>
      <c r="C84" s="61">
        <f>SUMIF(Пр12!C10:C1218,803,Пр12!G10:G1218)</f>
        <v>0</v>
      </c>
      <c r="D84" s="61">
        <f>SUMIF(Пр12!D10:D1218,803,Пр12!H10:H1218)</f>
        <v>0</v>
      </c>
      <c r="E84" s="61">
        <f>SUMIF(Пр12!E10:E1218,803,Пр12!I10:I1218)</f>
        <v>0</v>
      </c>
    </row>
    <row r="85" spans="1:5" ht="16.5" thickBot="1" x14ac:dyDescent="0.3">
      <c r="A85" s="59">
        <v>804</v>
      </c>
      <c r="B85" s="62" t="s">
        <v>267</v>
      </c>
      <c r="C85" s="61">
        <f>SUMIF(Пр12!$C10:$C1218,804,Пр12!G10:G1218)</f>
        <v>28993354</v>
      </c>
      <c r="D85" s="61">
        <f>SUMIF(Пр12!$C10:$C1218,804,Пр12!H10:H1218)</f>
        <v>29147930</v>
      </c>
      <c r="E85" s="61">
        <f>SUMIF(Пр12!$C10:$C1218,804,Пр12!I10:I1218)</f>
        <v>58141284</v>
      </c>
    </row>
    <row r="86" spans="1:5" ht="16.5" hidden="1" thickBot="1" x14ac:dyDescent="0.3">
      <c r="A86" s="56">
        <v>900</v>
      </c>
      <c r="B86" s="65" t="s">
        <v>268</v>
      </c>
      <c r="C86" s="58">
        <f>SUM(C87:C95)</f>
        <v>0</v>
      </c>
      <c r="D86" s="58">
        <f>SUM(D87:D95)</f>
        <v>0</v>
      </c>
      <c r="E86" s="58">
        <f>SUM(E87:E95)</f>
        <v>0</v>
      </c>
    </row>
    <row r="87" spans="1:5" ht="16.5" hidden="1" thickBot="1" x14ac:dyDescent="0.3">
      <c r="A87" s="59">
        <v>901</v>
      </c>
      <c r="B87" s="62" t="s">
        <v>269</v>
      </c>
      <c r="C87" s="61">
        <f>SUMIF(Пр12!C10:C1218,901,Пр12!G10:G1218)</f>
        <v>0</v>
      </c>
      <c r="D87" s="61">
        <f>SUMIF(Пр12!D10:D1218,901,Пр12!H10:H1218)</f>
        <v>0</v>
      </c>
      <c r="E87" s="61">
        <f>SUMIF(Пр12!E10:E1218,901,Пр12!I10:I1218)</f>
        <v>0</v>
      </c>
    </row>
    <row r="88" spans="1:5" ht="16.5" hidden="1" thickBot="1" x14ac:dyDescent="0.3">
      <c r="A88" s="59">
        <v>902</v>
      </c>
      <c r="B88" s="62" t="s">
        <v>270</v>
      </c>
      <c r="C88" s="61">
        <f>SUMIF(Пр12!C10:C1218,902,Пр12!G10:G1218)</f>
        <v>0</v>
      </c>
      <c r="D88" s="61">
        <f>SUMIF(Пр12!D10:D1218,902,Пр12!H10:H1218)</f>
        <v>0</v>
      </c>
      <c r="E88" s="61">
        <f>SUMIF(Пр12!E10:E1218,902,Пр12!I10:I1218)</f>
        <v>0</v>
      </c>
    </row>
    <row r="89" spans="1:5" ht="16.5" hidden="1" thickBot="1" x14ac:dyDescent="0.3">
      <c r="A89" s="59">
        <v>903</v>
      </c>
      <c r="B89" s="62" t="s">
        <v>271</v>
      </c>
      <c r="C89" s="61">
        <f>SUMIF(Пр12!C10:C1218,903,Пр12!G10:G1218)</f>
        <v>0</v>
      </c>
      <c r="D89" s="61">
        <f>SUMIF(Пр12!D10:D1218,903,Пр12!H10:H1218)</f>
        <v>0</v>
      </c>
      <c r="E89" s="61">
        <f>SUMIF(Пр12!E10:E1218,903,Пр12!I10:I1218)</f>
        <v>0</v>
      </c>
    </row>
    <row r="90" spans="1:5" ht="16.5" hidden="1" thickBot="1" x14ac:dyDescent="0.3">
      <c r="A90" s="59">
        <v>904</v>
      </c>
      <c r="B90" s="62" t="s">
        <v>272</v>
      </c>
      <c r="C90" s="61">
        <f>SUMIF(Пр12!C10:C1218,904,Пр12!G10:G1218)</f>
        <v>0</v>
      </c>
      <c r="D90" s="61">
        <f>SUMIF(Пр12!D10:D1218,904,Пр12!H10:H1218)</f>
        <v>0</v>
      </c>
      <c r="E90" s="61">
        <f>SUMIF(Пр12!E10:E1218,904,Пр12!I10:I1218)</f>
        <v>0</v>
      </c>
    </row>
    <row r="91" spans="1:5" ht="16.5" hidden="1" thickBot="1" x14ac:dyDescent="0.3">
      <c r="A91" s="59">
        <v>905</v>
      </c>
      <c r="B91" s="68" t="s">
        <v>273</v>
      </c>
      <c r="C91" s="61">
        <f>SUMIF(Пр12!C10:C1218,905,Пр12!G10:G1218)</f>
        <v>0</v>
      </c>
      <c r="D91" s="61">
        <f>SUMIF(Пр12!D10:D1218,905,Пр12!H10:H1218)</f>
        <v>0</v>
      </c>
      <c r="E91" s="61">
        <f>SUMIF(Пр12!E10:E1218,905,Пр12!I10:I1218)</f>
        <v>0</v>
      </c>
    </row>
    <row r="92" spans="1:5" ht="32.25" hidden="1" thickBot="1" x14ac:dyDescent="0.3">
      <c r="A92" s="59">
        <v>906</v>
      </c>
      <c r="B92" s="68" t="s">
        <v>274</v>
      </c>
      <c r="C92" s="61">
        <f>SUMIF(Пр12!C10:C1218,906,Пр12!G10:G1218)</f>
        <v>0</v>
      </c>
      <c r="D92" s="61">
        <f>SUMIF(Пр12!D10:D1218,906,Пр12!H10:H1218)</f>
        <v>0</v>
      </c>
      <c r="E92" s="61">
        <f>SUMIF(Пр12!E10:E1218,906,Пр12!I10:I1218)</f>
        <v>0</v>
      </c>
    </row>
    <row r="93" spans="1:5" ht="16.5" hidden="1" thickBot="1" x14ac:dyDescent="0.3">
      <c r="A93" s="59">
        <v>907</v>
      </c>
      <c r="B93" s="62" t="s">
        <v>275</v>
      </c>
      <c r="C93" s="61">
        <f>SUMIF(Пр12!C10:C1218,907,Пр12!G10:G1218)</f>
        <v>0</v>
      </c>
      <c r="D93" s="61">
        <f>SUMIF(Пр12!D10:D1218,907,Пр12!H10:H1218)</f>
        <v>0</v>
      </c>
      <c r="E93" s="61">
        <f>SUMIF(Пр12!E10:E1218,907,Пр12!I10:I1218)</f>
        <v>0</v>
      </c>
    </row>
    <row r="94" spans="1:5" ht="32.25" hidden="1" thickBot="1" x14ac:dyDescent="0.3">
      <c r="A94" s="59">
        <v>908</v>
      </c>
      <c r="B94" s="60" t="s">
        <v>276</v>
      </c>
      <c r="C94" s="61">
        <f>SUMIF(Пр12!C10:C1218,908,Пр12!G10:G1218)</f>
        <v>0</v>
      </c>
      <c r="D94" s="61">
        <f>SUMIF(Пр12!D10:D1218,908,Пр12!H10:H1218)</f>
        <v>0</v>
      </c>
      <c r="E94" s="61">
        <f>SUMIF(Пр12!E10:E1218,908,Пр12!I10:I1218)</f>
        <v>0</v>
      </c>
    </row>
    <row r="95" spans="1:5" ht="16.5" hidden="1" thickBot="1" x14ac:dyDescent="0.3">
      <c r="A95" s="59">
        <v>909</v>
      </c>
      <c r="B95" s="62" t="s">
        <v>277</v>
      </c>
      <c r="C95" s="61">
        <f>SUMIF(Пр12!C10:C1218,909,Пр12!G10:G1218)</f>
        <v>0</v>
      </c>
      <c r="D95" s="61">
        <f>SUMIF(Пр12!D10:D1218,909,Пр12!H10:H1218)</f>
        <v>0</v>
      </c>
      <c r="E95" s="61">
        <f>SUMIF(Пр12!E10:E1218,909,Пр12!I10:I1218)</f>
        <v>0</v>
      </c>
    </row>
    <row r="96" spans="1:5" ht="16.5" thickBot="1" x14ac:dyDescent="0.3">
      <c r="A96" s="56">
        <v>1000</v>
      </c>
      <c r="B96" s="65" t="s">
        <v>278</v>
      </c>
      <c r="C96" s="58">
        <f>C97+C98+C99+C100+C102</f>
        <v>466245115</v>
      </c>
      <c r="D96" s="58">
        <f>D97+D98+D99+D100+D102</f>
        <v>453946779</v>
      </c>
      <c r="E96" s="58">
        <f>E97+E98+E99+E100+E102</f>
        <v>920191894</v>
      </c>
    </row>
    <row r="97" spans="1:5" ht="16.5" thickBot="1" x14ac:dyDescent="0.3">
      <c r="A97" s="59">
        <v>1001</v>
      </c>
      <c r="B97" s="62" t="s">
        <v>279</v>
      </c>
      <c r="C97" s="61">
        <f>SUMIF(Пр12!$C10:$C1218,1001,Пр12!G10:G1218)</f>
        <v>4226600</v>
      </c>
      <c r="D97" s="61">
        <f>SUMIF(Пр12!$C10:$C1218,1001,Пр12!H10:H1218)</f>
        <v>4244265</v>
      </c>
      <c r="E97" s="61">
        <f>SUMIF(Пр12!$C10:$C1218,1001,Пр12!I10:I1218)</f>
        <v>8470865</v>
      </c>
    </row>
    <row r="98" spans="1:5" ht="16.5" thickBot="1" x14ac:dyDescent="0.3">
      <c r="A98" s="59">
        <v>1002</v>
      </c>
      <c r="B98" s="62" t="s">
        <v>280</v>
      </c>
      <c r="C98" s="61">
        <f>SUMIF(Пр12!$C10:$C1218,1002,Пр12!G10:G1218)</f>
        <v>84020480</v>
      </c>
      <c r="D98" s="61">
        <f>SUMIF(Пр12!$C10:$C1218,1002,Пр12!H10:H1218)</f>
        <v>83303726</v>
      </c>
      <c r="E98" s="61">
        <f>SUMIF(Пр12!$C10:$C1218,1002,Пр12!I10:I1218)</f>
        <v>167324206</v>
      </c>
    </row>
    <row r="99" spans="1:5" ht="16.5" thickBot="1" x14ac:dyDescent="0.3">
      <c r="A99" s="59">
        <v>1003</v>
      </c>
      <c r="B99" s="62" t="s">
        <v>281</v>
      </c>
      <c r="C99" s="61">
        <f>SUMIF(Пр12!$C10:$C1218,1003,Пр12!G10:G1218)</f>
        <v>241106006</v>
      </c>
      <c r="D99" s="61">
        <f>SUMIF(Пр12!$C10:$C1218,1003,Пр12!H10:H1218)</f>
        <v>234145995</v>
      </c>
      <c r="E99" s="61">
        <f>SUMIF(Пр12!$C10:$C1218,1003,Пр12!I10:I1218)</f>
        <v>475252001</v>
      </c>
    </row>
    <row r="100" spans="1:5" ht="16.5" thickBot="1" x14ac:dyDescent="0.3">
      <c r="A100" s="59">
        <v>1004</v>
      </c>
      <c r="B100" s="60" t="s">
        <v>282</v>
      </c>
      <c r="C100" s="61">
        <f>SUMIF(Пр12!$C10:$C1218,1004,Пр12!G10:G1218)</f>
        <v>121381487</v>
      </c>
      <c r="D100" s="61">
        <f>SUMIF(Пр12!$C10:$C1218,1004,Пр12!H10:H1218)</f>
        <v>116811529</v>
      </c>
      <c r="E100" s="61">
        <f>SUMIF(Пр12!$C10:$C1218,1004,Пр12!I10:I1218)</f>
        <v>238193016</v>
      </c>
    </row>
    <row r="101" spans="1:5" ht="32.25" hidden="1" thickBot="1" x14ac:dyDescent="0.3">
      <c r="A101" s="59">
        <v>1005</v>
      </c>
      <c r="B101" s="62" t="s">
        <v>283</v>
      </c>
      <c r="C101" s="61">
        <f>SUMIF(Пр12!C10:C1218,1005,Пр12!G10:G1218)</f>
        <v>0</v>
      </c>
      <c r="D101" s="61">
        <f>SUMIF(Пр12!D10:D1218,1005,Пр12!H10:H1218)</f>
        <v>0</v>
      </c>
      <c r="E101" s="61">
        <f>SUMIF(Пр12!E10:E1218,1005,Пр12!I10:I1218)</f>
        <v>0</v>
      </c>
    </row>
    <row r="102" spans="1:5" ht="16.5" thickBot="1" x14ac:dyDescent="0.3">
      <c r="A102" s="59">
        <v>1006</v>
      </c>
      <c r="B102" s="62" t="s">
        <v>284</v>
      </c>
      <c r="C102" s="61">
        <f>SUMIF(Пр12!$C10:$C1218,1006,Пр12!G10:G1218)</f>
        <v>15510542</v>
      </c>
      <c r="D102" s="61">
        <f>SUMIF(Пр12!$C10:$C1218,1006,Пр12!H10:H1218)</f>
        <v>15441264</v>
      </c>
      <c r="E102" s="61">
        <f>SUMIF(Пр12!$C10:$C1218,1006,Пр12!I10:I1218)</f>
        <v>30951806</v>
      </c>
    </row>
    <row r="103" spans="1:5" ht="16.5" thickBot="1" x14ac:dyDescent="0.3">
      <c r="A103" s="56">
        <v>1100</v>
      </c>
      <c r="B103" s="65" t="s">
        <v>285</v>
      </c>
      <c r="C103" s="58">
        <f>SUM(C104:C108)</f>
        <v>40355184</v>
      </c>
      <c r="D103" s="58">
        <f>SUM(D104:D108)</f>
        <v>40411083</v>
      </c>
      <c r="E103" s="58">
        <f>SUM(E104:E108)</f>
        <v>80766267</v>
      </c>
    </row>
    <row r="104" spans="1:5" ht="16.5" hidden="1" thickBot="1" x14ac:dyDescent="0.3">
      <c r="A104" s="59">
        <v>1101</v>
      </c>
      <c r="B104" s="62" t="s">
        <v>286</v>
      </c>
      <c r="C104" s="61">
        <f>SUMIF(Пр12!C10:C1218,1101,Пр12!G10:G1218)</f>
        <v>0</v>
      </c>
      <c r="D104" s="61">
        <f>SUMIF(Пр12!D10:D1218,1101,Пр12!H10:H1218)</f>
        <v>0</v>
      </c>
      <c r="E104" s="61">
        <f>SUMIF(Пр12!E10:E1218,1101,Пр12!I10:I1218)</f>
        <v>0</v>
      </c>
    </row>
    <row r="105" spans="1:5" ht="16.5" thickBot="1" x14ac:dyDescent="0.3">
      <c r="A105" s="59">
        <v>1102</v>
      </c>
      <c r="B105" s="68" t="s">
        <v>287</v>
      </c>
      <c r="C105" s="61">
        <f>SUMIF(Пр12!$C10:$C1218,1102,Пр12!G10:G1218)</f>
        <v>40355184</v>
      </c>
      <c r="D105" s="61">
        <f>SUMIF(Пр12!$C10:$C1218,1102,Пр12!H10:H1218)</f>
        <v>40411083</v>
      </c>
      <c r="E105" s="61">
        <f>SUMIF(Пр12!$C10:$C1218,1102,Пр12!I10:I1218)</f>
        <v>80766267</v>
      </c>
    </row>
    <row r="106" spans="1:5" ht="16.5" hidden="1" thickBot="1" x14ac:dyDescent="0.3">
      <c r="A106" s="59">
        <v>1103</v>
      </c>
      <c r="B106" s="62" t="s">
        <v>288</v>
      </c>
      <c r="C106" s="61">
        <f>SUMIF(Пр12!C10:C1218,1103,Пр12!G10:G1218)</f>
        <v>0</v>
      </c>
      <c r="D106" s="61">
        <f>SUMIF(Пр12!D10:D1218,1103,Пр12!H10:H1218)</f>
        <v>0</v>
      </c>
      <c r="E106" s="61">
        <f>SUMIF(Пр12!E10:E1218,1103,Пр12!I10:I1218)</f>
        <v>0</v>
      </c>
    </row>
    <row r="107" spans="1:5" ht="32.25" hidden="1" thickBot="1" x14ac:dyDescent="0.3">
      <c r="A107" s="59">
        <v>1104</v>
      </c>
      <c r="B107" s="62" t="s">
        <v>289</v>
      </c>
      <c r="C107" s="61">
        <f>SUMIF(Пр12!C10:C1218,1104,Пр12!G10:G1218)</f>
        <v>0</v>
      </c>
      <c r="D107" s="61">
        <f>SUMIF(Пр12!D10:D1218,1104,Пр12!H10:H1218)</f>
        <v>0</v>
      </c>
      <c r="E107" s="61">
        <f>SUMIF(Пр12!E10:E1218,1104,Пр12!I10:I1218)</f>
        <v>0</v>
      </c>
    </row>
    <row r="108" spans="1:5" ht="16.5" hidden="1" thickBot="1" x14ac:dyDescent="0.3">
      <c r="A108" s="59">
        <v>1105</v>
      </c>
      <c r="B108" s="62" t="s">
        <v>290</v>
      </c>
      <c r="C108" s="61">
        <f>SUMIF(Пр12!C10:C1218,1105,Пр12!G10:G1218)</f>
        <v>0</v>
      </c>
      <c r="D108" s="61">
        <f>SUMIF(Пр12!D10:D1218,1105,Пр12!H10:H1218)</f>
        <v>0</v>
      </c>
      <c r="E108" s="61">
        <f>SUMIF(Пр12!E10:E1218,1105,Пр12!I10:I1218)</f>
        <v>0</v>
      </c>
    </row>
    <row r="109" spans="1:5" ht="16.5" thickBot="1" x14ac:dyDescent="0.3">
      <c r="A109" s="56">
        <v>1200</v>
      </c>
      <c r="B109" s="65" t="s">
        <v>291</v>
      </c>
      <c r="C109" s="58">
        <f>SUM(C110:C113)</f>
        <v>4240713</v>
      </c>
      <c r="D109" s="58">
        <f>SUM(D110:D113)</f>
        <v>4240713</v>
      </c>
      <c r="E109" s="58">
        <f>SUM(E110:E113)</f>
        <v>8481426</v>
      </c>
    </row>
    <row r="110" spans="1:5" ht="16.5" hidden="1" thickBot="1" x14ac:dyDescent="0.3">
      <c r="A110" s="59">
        <v>1201</v>
      </c>
      <c r="B110" s="62" t="s">
        <v>292</v>
      </c>
      <c r="C110" s="61">
        <f>SUMIF(Пр12!C10:C1218,1201,Пр12!G10:G1218)</f>
        <v>0</v>
      </c>
      <c r="D110" s="61">
        <f>SUMIF(Пр12!D10:D1218,1201,Пр12!H10:H1218)</f>
        <v>0</v>
      </c>
      <c r="E110" s="61">
        <f>SUMIF(Пр12!E10:E1218,1201,Пр12!I10:I1218)</f>
        <v>0</v>
      </c>
    </row>
    <row r="111" spans="1:5" ht="16.5" thickBot="1" x14ac:dyDescent="0.3">
      <c r="A111" s="59">
        <v>1202</v>
      </c>
      <c r="B111" s="62" t="s">
        <v>293</v>
      </c>
      <c r="C111" s="61">
        <f>SUMIF(Пр12!$C10:$C1218,1202,Пр12!G10:G1218)</f>
        <v>4240713</v>
      </c>
      <c r="D111" s="61">
        <f>SUMIF(Пр12!$C10:$C1218,1202,Пр12!H10:H1218)</f>
        <v>4240713</v>
      </c>
      <c r="E111" s="61">
        <f>SUMIF(Пр12!$C10:$C1218,1202,Пр12!I10:I1218)</f>
        <v>8481426</v>
      </c>
    </row>
    <row r="112" spans="1:5" ht="32.25" hidden="1" thickBot="1" x14ac:dyDescent="0.3">
      <c r="A112" s="59">
        <v>1203</v>
      </c>
      <c r="B112" s="62" t="s">
        <v>294</v>
      </c>
      <c r="C112" s="61">
        <f>SUMIF(Пр12!C10:C1218,1203,Пр12!G10:G1218)</f>
        <v>0</v>
      </c>
      <c r="D112" s="61">
        <f>SUMIF(Пр12!D10:D1218,1203,Пр12!H10:H1218)</f>
        <v>0</v>
      </c>
      <c r="E112" s="61">
        <f>SUMIF(Пр12!E10:E1218,1203,Пр12!I10:I1218)</f>
        <v>0</v>
      </c>
    </row>
    <row r="113" spans="1:5" ht="16.5" hidden="1" thickBot="1" x14ac:dyDescent="0.3">
      <c r="A113" s="59">
        <v>1204</v>
      </c>
      <c r="B113" s="62" t="s">
        <v>295</v>
      </c>
      <c r="C113" s="61">
        <f>SUMIF(Пр12!C10:C1218,1204,Пр12!G10:G1218)</f>
        <v>0</v>
      </c>
      <c r="D113" s="61">
        <f>SUMIF(Пр12!D10:D1218,1204,Пр12!H10:H1218)</f>
        <v>0</v>
      </c>
      <c r="E113" s="61">
        <f>SUMIF(Пр12!E10:E1218,1204,Пр12!I10:I1218)</f>
        <v>0</v>
      </c>
    </row>
    <row r="114" spans="1:5" ht="32.25" thickBot="1" x14ac:dyDescent="0.3">
      <c r="A114" s="56">
        <v>1300</v>
      </c>
      <c r="B114" s="65" t="s">
        <v>296</v>
      </c>
      <c r="C114" s="58">
        <f>SUM(C115:C116)</f>
        <v>1561813</v>
      </c>
      <c r="D114" s="58">
        <f>SUM(D115:D116)</f>
        <v>926068</v>
      </c>
      <c r="E114" s="58">
        <f>SUM(E115:E116)</f>
        <v>2487881</v>
      </c>
    </row>
    <row r="115" spans="1:5" ht="32.25" thickBot="1" x14ac:dyDescent="0.3">
      <c r="A115" s="59">
        <v>1301</v>
      </c>
      <c r="B115" s="62" t="s">
        <v>297</v>
      </c>
      <c r="C115" s="61">
        <f>SUMIF(Пр12!$C10:$C1218,1301,Пр12!G10:G1218)</f>
        <v>1561813</v>
      </c>
      <c r="D115" s="61">
        <f>SUMIF(Пр12!$C10:$C1218,1301,Пр12!H10:H1218)</f>
        <v>926068</v>
      </c>
      <c r="E115" s="61">
        <f>SUMIF(Пр12!$C10:$C1218,1301,Пр12!I10:I1218)</f>
        <v>2487881</v>
      </c>
    </row>
    <row r="116" spans="1:5" ht="16.5" hidden="1" thickBot="1" x14ac:dyDescent="0.3">
      <c r="A116" s="59">
        <v>1302</v>
      </c>
      <c r="B116" s="62" t="s">
        <v>298</v>
      </c>
      <c r="C116" s="61">
        <f>SUMIF(Пр12!C10:C1218,1302,Пр12!G10:G1218)</f>
        <v>0</v>
      </c>
      <c r="D116" s="61">
        <f>SUMIF(Пр12!D10:D1218,1302,Пр12!H10:H1218)</f>
        <v>0</v>
      </c>
      <c r="E116" s="61">
        <f>SUMIF(Пр12!E10:E1218,1302,Пр12!I10:I1218)</f>
        <v>0</v>
      </c>
    </row>
    <row r="117" spans="1:5" ht="63.75" thickBot="1" x14ac:dyDescent="0.3">
      <c r="A117" s="56">
        <v>1400</v>
      </c>
      <c r="B117" s="65" t="s">
        <v>299</v>
      </c>
      <c r="C117" s="58">
        <f>SUM(C118:C120)</f>
        <v>46229075</v>
      </c>
      <c r="D117" s="58">
        <f>SUM(D118:D120)</f>
        <v>46223998</v>
      </c>
      <c r="E117" s="58">
        <f>SUM(E118:E120)</f>
        <v>92453073</v>
      </c>
    </row>
    <row r="118" spans="1:5" ht="48" thickBot="1" x14ac:dyDescent="0.3">
      <c r="A118" s="59">
        <v>1401</v>
      </c>
      <c r="B118" s="62" t="s">
        <v>300</v>
      </c>
      <c r="C118" s="61">
        <f>SUMIF(Пр12!$C10:$C1218,1401,Пр12!G10:G1218)</f>
        <v>41703000</v>
      </c>
      <c r="D118" s="61">
        <f>SUMIF(Пр12!$C10:$C1218,1401,Пр12!H10:H1218)</f>
        <v>41703000</v>
      </c>
      <c r="E118" s="61">
        <f>SUMIF(Пр12!$C10:$C1218,1401,Пр12!I10:I1218)</f>
        <v>83406000</v>
      </c>
    </row>
    <row r="119" spans="1:5" ht="16.5" thickBot="1" x14ac:dyDescent="0.3">
      <c r="A119" s="59">
        <v>1402</v>
      </c>
      <c r="B119" s="62" t="s">
        <v>301</v>
      </c>
      <c r="C119" s="61">
        <f>SUMIF(Пр12!C10:C1218,1402,Пр12!G10:G1218)</f>
        <v>4526075</v>
      </c>
      <c r="D119" s="61">
        <f>SUMIF(Пр12!$C11:$C1219,1402,Пр12!H11:H1219)</f>
        <v>4520998</v>
      </c>
      <c r="E119" s="61">
        <f>SUMIF(Пр12!$C11:$C1219,1402,Пр12!I11:I1219)</f>
        <v>9047073</v>
      </c>
    </row>
    <row r="120" spans="1:5" ht="48" hidden="1" thickBot="1" x14ac:dyDescent="0.3">
      <c r="A120" s="59">
        <v>1403</v>
      </c>
      <c r="B120" s="62" t="s">
        <v>302</v>
      </c>
      <c r="C120" s="61">
        <f>SUMIF(Пр12!C10:C1218,1403,Пр12!G10:G1218)</f>
        <v>0</v>
      </c>
      <c r="D120" s="61">
        <f>SUMIF(Пр12!D10:D1218,1403,Пр12!H10:H1218)</f>
        <v>0</v>
      </c>
      <c r="E120" s="61">
        <f>SUMIF(Пр12!E10:E1218,1403,Пр12!I10:I1218)</f>
        <v>0</v>
      </c>
    </row>
    <row r="121" spans="1:5" ht="16.5" thickBot="1" x14ac:dyDescent="0.3">
      <c r="A121" s="900" t="s">
        <v>177</v>
      </c>
      <c r="B121" s="900"/>
      <c r="C121" s="58">
        <f>C9+C23+C33+C46+C59+C65+C71+C81+C96+C103+C109+C114+C117+2</f>
        <v>2267157687.8400002</v>
      </c>
      <c r="D121" s="58">
        <f>D9+D23+D33+D46+D59+D65+D71+D81+D96+D103+D109+D114+D117</f>
        <v>2201221791</v>
      </c>
      <c r="E121" s="58">
        <f>E9+E23+E33+E46+E59+E65+E71+E81+E96+E103+E109+E114+E117+1</f>
        <v>4468379477.8400002</v>
      </c>
    </row>
    <row r="122" spans="1:5" ht="16.5" thickBot="1" x14ac:dyDescent="0.3">
      <c r="A122" s="900" t="s">
        <v>3444</v>
      </c>
      <c r="B122" s="900"/>
      <c r="C122" s="58">
        <f>Пр1!J169-Пр_3!C121</f>
        <v>-58875999.970000267</v>
      </c>
      <c r="D122" s="58">
        <f>Пр1!K169-Пр_3!D121</f>
        <v>-40868841</v>
      </c>
      <c r="E122" s="58">
        <f>Пр1!L169-Пр_3!E121</f>
        <v>-99744839.970000267</v>
      </c>
    </row>
  </sheetData>
  <mergeCells count="7">
    <mergeCell ref="A121:B121"/>
    <mergeCell ref="A122:B122"/>
    <mergeCell ref="A1:E1"/>
    <mergeCell ref="A2:E2"/>
    <mergeCell ref="A3:E3"/>
    <mergeCell ref="A4:E4"/>
    <mergeCell ref="A6:E6"/>
  </mergeCells>
  <printOptions gridLinesSet="0"/>
  <pageMargins left="0.70866141732283472" right="0.70866141732283472" top="0.74803149606299213" bottom="0.74803149606299213" header="0.51181102362204722" footer="0.51181102362204722"/>
  <pageSetup paperSize="9" fitToHeight="0" orientation="portrait" r:id="rId1"/>
  <headerFooter>
    <oddFooter>&amp;C&amp;P</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4"/>
  <sheetViews>
    <sheetView showGridLines="0" workbookViewId="0"/>
  </sheetViews>
  <sheetFormatPr defaultColWidth="9.140625" defaultRowHeight="12.75" x14ac:dyDescent="0.2"/>
  <cols>
    <col min="1" max="1" width="5.85546875" style="124" customWidth="1"/>
    <col min="2" max="2" width="54.42578125" style="124" customWidth="1"/>
    <col min="3" max="4" width="0" style="124" hidden="1" customWidth="1"/>
    <col min="5" max="5" width="13.5703125" style="124" customWidth="1"/>
    <col min="6" max="16384" width="9.140625" style="124"/>
  </cols>
  <sheetData>
    <row r="1" spans="1:5" ht="15.75" x14ac:dyDescent="0.25">
      <c r="A1" s="890" t="s">
        <v>1048</v>
      </c>
      <c r="B1" s="1032"/>
      <c r="C1" s="1032"/>
      <c r="D1" s="1032"/>
      <c r="E1" s="1032"/>
    </row>
    <row r="2" spans="1:5" ht="15.75" x14ac:dyDescent="0.25">
      <c r="B2" s="890" t="s">
        <v>1</v>
      </c>
      <c r="C2" s="890"/>
      <c r="D2" s="890"/>
      <c r="E2" s="890"/>
    </row>
    <row r="3" spans="1:5" ht="15.75" x14ac:dyDescent="0.25">
      <c r="B3" s="890" t="s">
        <v>2</v>
      </c>
      <c r="C3" s="890"/>
      <c r="D3" s="890"/>
      <c r="E3" s="890"/>
    </row>
    <row r="4" spans="1:5" ht="15.75" x14ac:dyDescent="0.25">
      <c r="B4" s="890" t="s">
        <v>1089</v>
      </c>
      <c r="C4" s="890"/>
      <c r="D4" s="890"/>
      <c r="E4" s="890"/>
    </row>
    <row r="5" spans="1:5" x14ac:dyDescent="0.2">
      <c r="B5" s="80"/>
      <c r="C5" s="80"/>
      <c r="D5" s="80"/>
    </row>
    <row r="7" spans="1:5" ht="63.75" customHeight="1" x14ac:dyDescent="0.2">
      <c r="A7" s="1051" t="s">
        <v>2794</v>
      </c>
      <c r="B7" s="1051"/>
      <c r="C7" s="1051"/>
      <c r="D7" s="1051"/>
      <c r="E7" s="1051"/>
    </row>
    <row r="8" spans="1:5" ht="18.75" x14ac:dyDescent="0.2">
      <c r="A8" s="8"/>
      <c r="B8" s="8"/>
      <c r="C8" s="8"/>
      <c r="D8" s="8"/>
      <c r="E8" s="8"/>
    </row>
    <row r="9" spans="1:5" ht="53.25" customHeight="1" x14ac:dyDescent="0.2">
      <c r="A9" s="1018" t="s">
        <v>2795</v>
      </c>
      <c r="B9" s="1018"/>
      <c r="C9" s="1018"/>
      <c r="D9" s="1018"/>
      <c r="E9" s="1018"/>
    </row>
    <row r="10" spans="1:5" ht="47.25" x14ac:dyDescent="0.2">
      <c r="A10" s="889" t="s">
        <v>902</v>
      </c>
      <c r="B10" s="889"/>
      <c r="C10" s="141" t="s">
        <v>2796</v>
      </c>
      <c r="D10" s="142" t="s">
        <v>1045</v>
      </c>
      <c r="E10" s="9" t="s">
        <v>192</v>
      </c>
    </row>
    <row r="11" spans="1:5" ht="15.75" x14ac:dyDescent="0.25">
      <c r="A11" s="1023" t="s">
        <v>1012</v>
      </c>
      <c r="B11" s="1024"/>
      <c r="C11" s="387">
        <v>989000</v>
      </c>
      <c r="D11" s="387">
        <v>0</v>
      </c>
      <c r="E11" s="387"/>
    </row>
    <row r="12" spans="1:5" ht="15.75" x14ac:dyDescent="0.25">
      <c r="A12" s="1023" t="s">
        <v>1047</v>
      </c>
      <c r="B12" s="1024"/>
      <c r="C12" s="387">
        <v>892000</v>
      </c>
      <c r="D12" s="387">
        <v>0</v>
      </c>
      <c r="E12" s="387"/>
    </row>
    <row r="13" spans="1:5" ht="15.75" x14ac:dyDescent="0.25">
      <c r="A13" s="1023" t="s">
        <v>1013</v>
      </c>
      <c r="B13" s="1024"/>
      <c r="C13" s="387">
        <v>684000</v>
      </c>
      <c r="D13" s="387">
        <v>0</v>
      </c>
      <c r="E13" s="387"/>
    </row>
    <row r="14" spans="1:5" ht="15.75" customHeight="1" x14ac:dyDescent="0.25">
      <c r="A14" s="1052" t="s">
        <v>177</v>
      </c>
      <c r="B14" s="1053"/>
      <c r="C14" s="387"/>
      <c r="D14" s="387"/>
      <c r="E14" s="387"/>
    </row>
  </sheetData>
  <mergeCells count="11">
    <mergeCell ref="A14:B14"/>
    <mergeCell ref="A9:E9"/>
    <mergeCell ref="A10:B10"/>
    <mergeCell ref="A11:B11"/>
    <mergeCell ref="A12:B12"/>
    <mergeCell ref="A13:B13"/>
    <mergeCell ref="A1:E1"/>
    <mergeCell ref="B2:E2"/>
    <mergeCell ref="B3:E3"/>
    <mergeCell ref="B4:E4"/>
    <mergeCell ref="A7:E7"/>
  </mergeCells>
  <printOptions gridLinesSet="0"/>
  <pageMargins left="0.7" right="0.7" top="0.75" bottom="0.75" header="0.5" footer="0.5"/>
  <pageSetup paperSize="9" orientation="portrait"/>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
  <sheetViews>
    <sheetView showGridLines="0" workbookViewId="0"/>
  </sheetViews>
  <sheetFormatPr defaultColWidth="9.140625" defaultRowHeight="12.75" x14ac:dyDescent="0.2"/>
  <cols>
    <col min="1" max="1" width="5.85546875" style="124" customWidth="1"/>
    <col min="2" max="2" width="54.42578125" style="124" customWidth="1"/>
    <col min="3" max="4" width="0" style="124" hidden="1" customWidth="1"/>
    <col min="5" max="5" width="13.5703125" style="124" customWidth="1"/>
    <col min="6" max="6" width="12.85546875" style="124" customWidth="1"/>
    <col min="7" max="16384" width="9.140625" style="124"/>
  </cols>
  <sheetData>
    <row r="1" spans="1:6" ht="15.75" x14ac:dyDescent="0.25">
      <c r="A1" s="890" t="s">
        <v>2797</v>
      </c>
      <c r="B1" s="1032"/>
      <c r="C1" s="1032"/>
      <c r="D1" s="1032"/>
      <c r="E1" s="1032"/>
      <c r="F1" s="1032"/>
    </row>
    <row r="2" spans="1:6" ht="15.75" x14ac:dyDescent="0.25">
      <c r="B2" s="890" t="s">
        <v>1</v>
      </c>
      <c r="C2" s="890"/>
      <c r="D2" s="890"/>
      <c r="E2" s="890"/>
      <c r="F2" s="1033"/>
    </row>
    <row r="3" spans="1:6" ht="15.75" x14ac:dyDescent="0.25">
      <c r="B3" s="890" t="s">
        <v>2</v>
      </c>
      <c r="C3" s="890"/>
      <c r="D3" s="890"/>
      <c r="E3" s="890"/>
      <c r="F3" s="1033"/>
    </row>
    <row r="4" spans="1:6" ht="15.75" x14ac:dyDescent="0.25">
      <c r="B4" s="890" t="s">
        <v>1089</v>
      </c>
      <c r="C4" s="890"/>
      <c r="D4" s="890"/>
      <c r="E4" s="890"/>
      <c r="F4" s="1033"/>
    </row>
    <row r="5" spans="1:6" x14ac:dyDescent="0.2">
      <c r="B5" s="80"/>
      <c r="C5" s="80"/>
      <c r="D5" s="80"/>
      <c r="F5" s="45"/>
    </row>
    <row r="6" spans="1:6" x14ac:dyDescent="0.2">
      <c r="F6" s="45"/>
    </row>
    <row r="7" spans="1:6" ht="57" customHeight="1" x14ac:dyDescent="0.2">
      <c r="A7" s="1051" t="s">
        <v>2798</v>
      </c>
      <c r="B7" s="1051"/>
      <c r="C7" s="1051"/>
      <c r="D7" s="1051"/>
      <c r="E7" s="1051"/>
      <c r="F7" s="1033"/>
    </row>
    <row r="8" spans="1:6" ht="18.75" x14ac:dyDescent="0.2">
      <c r="A8" s="8"/>
      <c r="B8" s="8"/>
      <c r="C8" s="8"/>
      <c r="D8" s="8"/>
      <c r="E8" s="8"/>
      <c r="F8" s="45"/>
    </row>
    <row r="9" spans="1:6" ht="48.75" customHeight="1" x14ac:dyDescent="0.2">
      <c r="A9" s="1018" t="s">
        <v>2795</v>
      </c>
      <c r="B9" s="1018"/>
      <c r="C9" s="1018"/>
      <c r="D9" s="1018"/>
      <c r="E9" s="1018"/>
      <c r="F9" s="1054"/>
    </row>
    <row r="10" spans="1:6" ht="47.25" x14ac:dyDescent="0.2">
      <c r="A10" s="889" t="s">
        <v>902</v>
      </c>
      <c r="B10" s="889"/>
      <c r="C10" s="141" t="s">
        <v>2796</v>
      </c>
      <c r="D10" s="142" t="s">
        <v>1045</v>
      </c>
      <c r="E10" s="9" t="s">
        <v>2799</v>
      </c>
      <c r="F10" s="9" t="s">
        <v>2800</v>
      </c>
    </row>
    <row r="11" spans="1:6" ht="15.75" x14ac:dyDescent="0.25">
      <c r="A11" s="1023" t="s">
        <v>1012</v>
      </c>
      <c r="B11" s="1024"/>
      <c r="C11" s="387">
        <v>989000</v>
      </c>
      <c r="D11" s="387">
        <v>0</v>
      </c>
      <c r="E11" s="387"/>
      <c r="F11" s="387"/>
    </row>
    <row r="12" spans="1:6" ht="15.75" x14ac:dyDescent="0.25">
      <c r="A12" s="1023" t="s">
        <v>1047</v>
      </c>
      <c r="B12" s="1024"/>
      <c r="C12" s="387">
        <v>892000</v>
      </c>
      <c r="D12" s="387">
        <v>0</v>
      </c>
      <c r="E12" s="387"/>
      <c r="F12" s="387"/>
    </row>
    <row r="13" spans="1:6" ht="15.75" x14ac:dyDescent="0.25">
      <c r="A13" s="1023" t="s">
        <v>1013</v>
      </c>
      <c r="B13" s="1024"/>
      <c r="C13" s="387">
        <v>684000</v>
      </c>
      <c r="D13" s="387">
        <v>0</v>
      </c>
      <c r="E13" s="387"/>
      <c r="F13" s="387"/>
    </row>
    <row r="14" spans="1:6" ht="15.75" x14ac:dyDescent="0.25">
      <c r="A14" s="1052" t="s">
        <v>177</v>
      </c>
      <c r="B14" s="1052"/>
      <c r="C14" s="388"/>
      <c r="D14" s="387"/>
      <c r="E14" s="387"/>
      <c r="F14" s="387"/>
    </row>
  </sheetData>
  <mergeCells count="11">
    <mergeCell ref="A14:B14"/>
    <mergeCell ref="A9:F9"/>
    <mergeCell ref="A10:B10"/>
    <mergeCell ref="A11:B11"/>
    <mergeCell ref="A12:B12"/>
    <mergeCell ref="A13:B13"/>
    <mergeCell ref="A1:F1"/>
    <mergeCell ref="B2:F2"/>
    <mergeCell ref="B3:F3"/>
    <mergeCell ref="B4:F4"/>
    <mergeCell ref="A7:F7"/>
  </mergeCells>
  <printOptions gridLinesSet="0"/>
  <pageMargins left="0.7" right="0.7" top="0.75" bottom="0.75" header="0.5" footer="0.5"/>
  <pageSetup paperSize="9" orientation="portrait"/>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
  <sheetViews>
    <sheetView showGridLines="0" workbookViewId="0"/>
  </sheetViews>
  <sheetFormatPr defaultColWidth="9.140625" defaultRowHeight="12.75" x14ac:dyDescent="0.2"/>
  <cols>
    <col min="1" max="1" width="5.85546875" style="124" customWidth="1"/>
    <col min="2" max="2" width="54.42578125" style="124" customWidth="1"/>
    <col min="3" max="4" width="0" style="124" hidden="1" customWidth="1"/>
    <col min="5" max="5" width="13.5703125" style="124" customWidth="1"/>
    <col min="6" max="16384" width="9.140625" style="124"/>
  </cols>
  <sheetData>
    <row r="1" spans="1:5" ht="15.75" x14ac:dyDescent="0.25">
      <c r="A1" s="890" t="s">
        <v>1074</v>
      </c>
      <c r="B1" s="1032"/>
      <c r="C1" s="1032"/>
      <c r="D1" s="1032"/>
      <c r="E1" s="1032"/>
    </row>
    <row r="2" spans="1:5" ht="15.75" x14ac:dyDescent="0.25">
      <c r="B2" s="890" t="s">
        <v>1</v>
      </c>
      <c r="C2" s="890"/>
      <c r="D2" s="890"/>
      <c r="E2" s="890"/>
    </row>
    <row r="3" spans="1:5" ht="15.75" x14ac:dyDescent="0.25">
      <c r="B3" s="890" t="s">
        <v>2</v>
      </c>
      <c r="C3" s="890"/>
      <c r="D3" s="890"/>
      <c r="E3" s="890"/>
    </row>
    <row r="4" spans="1:5" ht="15.75" x14ac:dyDescent="0.25">
      <c r="B4" s="890" t="s">
        <v>1089</v>
      </c>
      <c r="C4" s="890"/>
      <c r="D4" s="890"/>
      <c r="E4" s="890"/>
    </row>
    <row r="5" spans="1:5" x14ac:dyDescent="0.2">
      <c r="B5" s="80"/>
      <c r="C5" s="80"/>
      <c r="D5" s="80"/>
    </row>
    <row r="7" spans="1:5" ht="66" customHeight="1" x14ac:dyDescent="0.2">
      <c r="A7" s="1051" t="s">
        <v>2801</v>
      </c>
      <c r="B7" s="1051"/>
      <c r="C7" s="1051"/>
      <c r="D7" s="1051"/>
      <c r="E7" s="1051"/>
    </row>
    <row r="8" spans="1:5" ht="18.75" hidden="1" x14ac:dyDescent="0.2">
      <c r="A8" s="8"/>
      <c r="B8" s="8"/>
      <c r="C8" s="8"/>
      <c r="D8" s="8"/>
      <c r="E8" s="8"/>
    </row>
    <row r="9" spans="1:5" ht="67.5" customHeight="1" x14ac:dyDescent="0.2">
      <c r="A9" s="1018" t="s">
        <v>2802</v>
      </c>
      <c r="B9" s="1018"/>
      <c r="C9" s="1018"/>
      <c r="D9" s="1018"/>
      <c r="E9" s="1018"/>
    </row>
    <row r="10" spans="1:5" ht="55.5" customHeight="1" x14ac:dyDescent="0.25">
      <c r="A10" s="78"/>
      <c r="B10" s="365"/>
      <c r="C10" s="389"/>
      <c r="D10" s="389"/>
      <c r="E10" s="389"/>
    </row>
  </sheetData>
  <mergeCells count="6">
    <mergeCell ref="A9:E9"/>
    <mergeCell ref="A1:E1"/>
    <mergeCell ref="B2:E2"/>
    <mergeCell ref="B3:E3"/>
    <mergeCell ref="B4:E4"/>
    <mergeCell ref="A7:E7"/>
  </mergeCells>
  <printOptions gridLinesSet="0"/>
  <pageMargins left="0.7" right="0.7" top="0.75" bottom="0.75" header="0.5" footer="0.5"/>
  <pageSetup paperSize="9" orientation="portrait"/>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x14ac:dyDescent="0.2"/>
  <sheetData/>
  <printOptions gridLines="1"/>
  <pageMargins left="0.7" right="0.7" top="0.75" bottom="0.75" header="0.5" footer="0.5"/>
  <pageSetup paperSize="9" orientation="portrait"/>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x14ac:dyDescent="0.2"/>
  <sheetData/>
  <printOptions gridLines="1"/>
  <pageMargins left="0.7" right="0.7" top="0.75" bottom="0.75" header="0.5" footer="0.5"/>
  <pageSetup paperSize="9" orientation="portrait"/>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7"/>
  <sheetViews>
    <sheetView showGridLines="0" workbookViewId="0"/>
  </sheetViews>
  <sheetFormatPr defaultColWidth="9.140625" defaultRowHeight="12.75" x14ac:dyDescent="0.2"/>
  <cols>
    <col min="1" max="1" width="64" style="124" customWidth="1"/>
    <col min="2" max="3" width="9.140625" style="124" customWidth="1"/>
    <col min="4" max="4" width="18" style="124" customWidth="1"/>
    <col min="5" max="7" width="9.140625" style="124"/>
    <col min="8" max="8" width="43.42578125" style="124" customWidth="1"/>
    <col min="9" max="16384" width="9.140625" style="124"/>
  </cols>
  <sheetData>
    <row r="1" spans="1:4" ht="15.75" x14ac:dyDescent="0.25">
      <c r="A1" s="890" t="s">
        <v>898</v>
      </c>
      <c r="B1" s="890"/>
      <c r="C1" s="890"/>
      <c r="D1" s="890"/>
    </row>
    <row r="2" spans="1:4" ht="15.75" x14ac:dyDescent="0.25">
      <c r="A2" s="890" t="s">
        <v>1</v>
      </c>
      <c r="B2" s="890"/>
      <c r="C2" s="890"/>
      <c r="D2" s="890"/>
    </row>
    <row r="3" spans="1:4" ht="15.75" x14ac:dyDescent="0.25">
      <c r="A3" s="890" t="s">
        <v>2</v>
      </c>
      <c r="B3" s="890"/>
      <c r="C3" s="890"/>
      <c r="D3" s="890"/>
    </row>
    <row r="4" spans="1:4" ht="15.75" x14ac:dyDescent="0.25">
      <c r="A4" s="890" t="s">
        <v>545</v>
      </c>
      <c r="B4" s="890"/>
      <c r="C4" s="890"/>
      <c r="D4" s="890"/>
    </row>
    <row r="5" spans="1:4" x14ac:dyDescent="0.2">
      <c r="A5" s="80"/>
      <c r="B5" s="80"/>
      <c r="C5" s="80"/>
    </row>
    <row r="7" spans="1:4" ht="15.75" x14ac:dyDescent="0.2">
      <c r="A7" s="891" t="s">
        <v>1042</v>
      </c>
      <c r="B7" s="891"/>
      <c r="C7" s="891"/>
      <c r="D7" s="891"/>
    </row>
    <row r="8" spans="1:4" ht="18.75" x14ac:dyDescent="0.2">
      <c r="A8" s="8"/>
      <c r="B8" s="8"/>
      <c r="C8" s="8"/>
    </row>
    <row r="9" spans="1:4" ht="15.75" x14ac:dyDescent="0.2">
      <c r="A9" s="891" t="s">
        <v>1043</v>
      </c>
      <c r="B9" s="891"/>
      <c r="C9" s="891"/>
      <c r="D9" s="891"/>
    </row>
    <row r="10" spans="1:4" ht="18.75" x14ac:dyDescent="0.2">
      <c r="A10" s="7"/>
      <c r="B10" s="7"/>
      <c r="C10" s="7"/>
    </row>
    <row r="11" spans="1:4" ht="18.75" x14ac:dyDescent="0.2">
      <c r="A11" s="7"/>
      <c r="B11" s="7"/>
      <c r="C11" s="7"/>
    </row>
    <row r="12" spans="1:4" ht="47.25" x14ac:dyDescent="0.2">
      <c r="A12" s="310" t="s">
        <v>1009</v>
      </c>
      <c r="B12" s="311" t="s">
        <v>2803</v>
      </c>
      <c r="C12" s="311" t="s">
        <v>1045</v>
      </c>
      <c r="D12" s="9" t="s">
        <v>1046</v>
      </c>
    </row>
    <row r="13" spans="1:4" ht="15.75" x14ac:dyDescent="0.25">
      <c r="A13" s="312" t="s">
        <v>1012</v>
      </c>
      <c r="B13" s="314">
        <v>58000</v>
      </c>
      <c r="C13" s="313"/>
      <c r="D13" s="314">
        <f>SUM(B13:C13)</f>
        <v>58000</v>
      </c>
    </row>
    <row r="14" spans="1:4" ht="15.75" x14ac:dyDescent="0.25">
      <c r="A14" s="312" t="s">
        <v>1047</v>
      </c>
      <c r="B14" s="314">
        <v>58000</v>
      </c>
      <c r="C14" s="313"/>
      <c r="D14" s="314">
        <f>SUM(B14:C14)</f>
        <v>58000</v>
      </c>
    </row>
    <row r="15" spans="1:4" ht="15.75" x14ac:dyDescent="0.25">
      <c r="A15" s="312" t="s">
        <v>1037</v>
      </c>
      <c r="B15" s="314">
        <v>384000</v>
      </c>
      <c r="C15" s="313"/>
      <c r="D15" s="314">
        <f>SUM(B15:C15)</f>
        <v>384000</v>
      </c>
    </row>
    <row r="16" spans="1:4" ht="15.75" x14ac:dyDescent="0.25">
      <c r="A16" s="312" t="s">
        <v>1013</v>
      </c>
      <c r="B16" s="314">
        <v>384000</v>
      </c>
      <c r="C16" s="313"/>
      <c r="D16" s="314">
        <f>SUM(B16:C16)</f>
        <v>384000</v>
      </c>
    </row>
    <row r="17" spans="1:4" ht="15.75" x14ac:dyDescent="0.25">
      <c r="A17" s="315" t="s">
        <v>177</v>
      </c>
      <c r="B17" s="390">
        <v>884000</v>
      </c>
      <c r="C17" s="316">
        <f>SUM(C13:C16)</f>
        <v>0</v>
      </c>
      <c r="D17" s="390">
        <f>SUM(D13:D16)</f>
        <v>884000</v>
      </c>
    </row>
  </sheetData>
  <mergeCells count="6">
    <mergeCell ref="A9:D9"/>
    <mergeCell ref="A1:D1"/>
    <mergeCell ref="A2:D2"/>
    <mergeCell ref="A3:D3"/>
    <mergeCell ref="A4:D4"/>
    <mergeCell ref="A7:D7"/>
  </mergeCells>
  <printOptions gridLinesSet="0"/>
  <pageMargins left="0.7" right="0.7" top="0.75" bottom="0.75" header="0.5" footer="0.5"/>
  <pageSetup paperSize="9" orientation="portrait"/>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7"/>
  <sheetViews>
    <sheetView workbookViewId="0"/>
  </sheetViews>
  <sheetFormatPr defaultColWidth="9.140625" defaultRowHeight="15.75" x14ac:dyDescent="0.25"/>
  <cols>
    <col min="1" max="1" width="59" style="318" customWidth="1"/>
    <col min="2" max="2" width="9.140625" style="318" customWidth="1"/>
    <col min="3" max="3" width="10.140625" style="318" customWidth="1"/>
    <col min="4" max="6" width="14.85546875" style="318" customWidth="1"/>
    <col min="7" max="7" width="14.42578125" style="318" customWidth="1"/>
    <col min="8" max="9" width="9.140625" style="318"/>
    <col min="10" max="10" width="43.42578125" style="318" customWidth="1"/>
    <col min="11" max="16384" width="9.140625" style="318"/>
  </cols>
  <sheetData>
    <row r="1" spans="1:7" x14ac:dyDescent="0.25">
      <c r="A1" s="890" t="s">
        <v>900</v>
      </c>
      <c r="B1" s="890"/>
      <c r="C1" s="890"/>
      <c r="D1" s="890"/>
      <c r="E1" s="890"/>
      <c r="F1" s="890"/>
      <c r="G1" s="890"/>
    </row>
    <row r="2" spans="1:7" x14ac:dyDescent="0.25">
      <c r="A2" s="890" t="s">
        <v>1</v>
      </c>
      <c r="B2" s="890"/>
      <c r="C2" s="890"/>
      <c r="D2" s="890"/>
      <c r="E2" s="890"/>
      <c r="F2" s="890"/>
      <c r="G2" s="890"/>
    </row>
    <row r="3" spans="1:7" x14ac:dyDescent="0.25">
      <c r="A3" s="890" t="s">
        <v>2</v>
      </c>
      <c r="B3" s="890"/>
      <c r="C3" s="890"/>
      <c r="D3" s="890"/>
      <c r="E3" s="890"/>
      <c r="F3" s="890"/>
      <c r="G3" s="890"/>
    </row>
    <row r="4" spans="1:7" x14ac:dyDescent="0.25">
      <c r="A4" s="890" t="s">
        <v>545</v>
      </c>
      <c r="B4" s="890"/>
      <c r="C4" s="890"/>
      <c r="D4" s="890"/>
      <c r="E4" s="890"/>
      <c r="F4" s="890"/>
      <c r="G4" s="890"/>
    </row>
    <row r="5" spans="1:7" x14ac:dyDescent="0.25">
      <c r="A5" s="5"/>
      <c r="B5" s="5"/>
      <c r="C5" s="5"/>
      <c r="D5" s="32"/>
      <c r="E5" s="32"/>
      <c r="F5" s="32"/>
      <c r="G5" s="46"/>
    </row>
    <row r="6" spans="1:7" x14ac:dyDescent="0.25">
      <c r="A6" s="32"/>
      <c r="B6" s="32"/>
      <c r="C6" s="32"/>
      <c r="D6" s="32"/>
      <c r="E6" s="32"/>
      <c r="F6" s="32"/>
      <c r="G6" s="46"/>
    </row>
    <row r="7" spans="1:7" ht="42" customHeight="1" x14ac:dyDescent="0.25">
      <c r="A7" s="891" t="s">
        <v>1049</v>
      </c>
      <c r="B7" s="891"/>
      <c r="C7" s="891"/>
      <c r="D7" s="891"/>
      <c r="E7" s="891"/>
      <c r="F7" s="891"/>
      <c r="G7" s="911"/>
    </row>
    <row r="8" spans="1:7" x14ac:dyDescent="0.25">
      <c r="A8" s="6"/>
      <c r="B8" s="6"/>
      <c r="C8" s="6"/>
      <c r="D8" s="32"/>
      <c r="E8" s="32"/>
      <c r="F8" s="32"/>
      <c r="G8" s="46"/>
    </row>
    <row r="9" spans="1:7" ht="32.25" customHeight="1" x14ac:dyDescent="0.25">
      <c r="A9" s="891" t="s">
        <v>1043</v>
      </c>
      <c r="B9" s="891"/>
      <c r="C9" s="891"/>
      <c r="D9" s="891"/>
      <c r="E9" s="891"/>
      <c r="F9" s="891"/>
      <c r="G9" s="1030"/>
    </row>
    <row r="10" spans="1:7" x14ac:dyDescent="0.25">
      <c r="A10" s="319"/>
      <c r="B10" s="319"/>
      <c r="C10" s="319"/>
      <c r="D10" s="32"/>
      <c r="E10" s="32"/>
      <c r="F10" s="32"/>
      <c r="G10" s="46"/>
    </row>
    <row r="11" spans="1:7" hidden="1" x14ac:dyDescent="0.25">
      <c r="A11" s="319"/>
      <c r="B11" s="319"/>
      <c r="C11" s="319"/>
      <c r="D11" s="32"/>
      <c r="E11" s="32"/>
      <c r="F11" s="32"/>
      <c r="G11" s="46"/>
    </row>
    <row r="12" spans="1:7" ht="47.25" x14ac:dyDescent="0.25">
      <c r="A12" s="310" t="s">
        <v>1009</v>
      </c>
      <c r="B12" s="311" t="s">
        <v>2803</v>
      </c>
      <c r="C12" s="311" t="s">
        <v>1045</v>
      </c>
      <c r="D12" s="9" t="s">
        <v>996</v>
      </c>
      <c r="E12" s="311" t="s">
        <v>2803</v>
      </c>
      <c r="F12" s="311" t="s">
        <v>1045</v>
      </c>
      <c r="G12" s="9" t="s">
        <v>997</v>
      </c>
    </row>
    <row r="13" spans="1:7" x14ac:dyDescent="0.25">
      <c r="A13" s="312" t="s">
        <v>1012</v>
      </c>
      <c r="B13" s="321">
        <v>59000</v>
      </c>
      <c r="C13" s="320"/>
      <c r="D13" s="321">
        <f>SUM(B13:C13)</f>
        <v>59000</v>
      </c>
      <c r="E13" s="321">
        <v>59000</v>
      </c>
      <c r="F13" s="320"/>
      <c r="G13" s="321">
        <f>SUM(E13:F13)</f>
        <v>59000</v>
      </c>
    </row>
    <row r="14" spans="1:7" x14ac:dyDescent="0.25">
      <c r="A14" s="312" t="s">
        <v>1047</v>
      </c>
      <c r="B14" s="321">
        <v>59000</v>
      </c>
      <c r="C14" s="320"/>
      <c r="D14" s="321">
        <f>SUM(B14:C14)</f>
        <v>59000</v>
      </c>
      <c r="E14" s="321">
        <v>59000</v>
      </c>
      <c r="F14" s="320"/>
      <c r="G14" s="321">
        <f>SUM(E14:F14)</f>
        <v>59000</v>
      </c>
    </row>
    <row r="15" spans="1:7" x14ac:dyDescent="0.25">
      <c r="A15" s="312" t="s">
        <v>1037</v>
      </c>
      <c r="B15" s="321">
        <v>384000</v>
      </c>
      <c r="C15" s="320"/>
      <c r="D15" s="321">
        <f>SUM(B15:C15)</f>
        <v>384000</v>
      </c>
      <c r="E15" s="321">
        <v>384000</v>
      </c>
      <c r="F15" s="320"/>
      <c r="G15" s="321">
        <f>SUM(E15:F15)</f>
        <v>384000</v>
      </c>
    </row>
    <row r="16" spans="1:7" x14ac:dyDescent="0.25">
      <c r="A16" s="312" t="s">
        <v>1013</v>
      </c>
      <c r="B16" s="321">
        <v>384000</v>
      </c>
      <c r="C16" s="320"/>
      <c r="D16" s="321">
        <f>SUM(B16:C16)</f>
        <v>384000</v>
      </c>
      <c r="E16" s="321">
        <v>384000</v>
      </c>
      <c r="F16" s="320"/>
      <c r="G16" s="321">
        <f>SUM(E16:F16)</f>
        <v>384000</v>
      </c>
    </row>
    <row r="17" spans="1:7" x14ac:dyDescent="0.25">
      <c r="A17" s="315" t="s">
        <v>177</v>
      </c>
      <c r="B17" s="323">
        <v>886000</v>
      </c>
      <c r="C17" s="322">
        <f>SUM(C13:C16)</f>
        <v>0</v>
      </c>
      <c r="D17" s="321">
        <f>SUM(B17:C17)</f>
        <v>886000</v>
      </c>
      <c r="E17" s="323">
        <v>886000</v>
      </c>
      <c r="F17" s="322">
        <f>SUM(F13:F16)</f>
        <v>0</v>
      </c>
      <c r="G17" s="321">
        <f>SUM(E17:F17)</f>
        <v>886000</v>
      </c>
    </row>
  </sheetData>
  <mergeCells count="6">
    <mergeCell ref="A9:G9"/>
    <mergeCell ref="A1:G1"/>
    <mergeCell ref="A2:G2"/>
    <mergeCell ref="A3:G3"/>
    <mergeCell ref="A4:G4"/>
    <mergeCell ref="A7:G7"/>
  </mergeCells>
  <printOptions gridLines="1"/>
  <pageMargins left="0.7" right="0.7" top="0.75" bottom="0.75" header="0.5" footer="0.5"/>
  <pageSetup paperSize="9" orientation="portrait"/>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x14ac:dyDescent="0.2"/>
  <sheetData/>
  <printOptions gridLines="1"/>
  <pageMargins left="0.7" right="0.7" top="0.75" bottom="0.75" header="0.5" footer="0.5"/>
  <pageSetup paperSize="9" orientation="portrait"/>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x14ac:dyDescent="0.2"/>
  <sheetData/>
  <printOptions gridLines="1"/>
  <pageMargins left="0.7" right="0.7" top="0.75" bottom="0.75" header="0.5" footer="0.5"/>
  <pageSetup paperSize="9" orientation="portrait"/>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x14ac:dyDescent="0.2"/>
  <sheetData/>
  <printOptions gridLines="1"/>
  <pageMargins left="0.7" right="0.7" top="0.75" bottom="0.75" header="0.5" footer="0.5"/>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23"/>
  <sheetViews>
    <sheetView showGridLines="0" view="pageBreakPreview" topLeftCell="A59" zoomScale="115" zoomScaleSheetLayoutView="115" workbookViewId="0">
      <selection activeCell="E114" sqref="E114"/>
    </sheetView>
  </sheetViews>
  <sheetFormatPr defaultColWidth="9.140625" defaultRowHeight="12.75" x14ac:dyDescent="0.2"/>
  <cols>
    <col min="1" max="1" width="10.7109375" style="38" customWidth="1"/>
    <col min="2" max="2" width="50.5703125" style="38" customWidth="1"/>
    <col min="3" max="3" width="15" style="38" customWidth="1"/>
    <col min="4" max="4" width="14.28515625" style="38" customWidth="1"/>
    <col min="5" max="5" width="14.7109375" style="38" customWidth="1"/>
    <col min="6" max="6" width="14.28515625" style="38" customWidth="1"/>
    <col min="7" max="7" width="12.28515625" style="38" customWidth="1"/>
    <col min="8" max="8" width="14.28515625" style="38" bestFit="1" customWidth="1"/>
    <col min="9" max="16384" width="9.140625" style="38"/>
  </cols>
  <sheetData>
    <row r="1" spans="1:8" ht="15.75" x14ac:dyDescent="0.25">
      <c r="A1" s="890" t="s">
        <v>304</v>
      </c>
      <c r="B1" s="890"/>
      <c r="C1" s="890"/>
      <c r="D1" s="890"/>
      <c r="E1" s="890"/>
      <c r="F1" s="890"/>
      <c r="G1" s="890"/>
      <c r="H1" s="890"/>
    </row>
    <row r="2" spans="1:8" ht="15.75" x14ac:dyDescent="0.25">
      <c r="A2" s="890" t="s">
        <v>1</v>
      </c>
      <c r="B2" s="890"/>
      <c r="C2" s="890"/>
      <c r="D2" s="890"/>
      <c r="E2" s="890"/>
      <c r="F2" s="890"/>
      <c r="G2" s="890"/>
      <c r="H2" s="890"/>
    </row>
    <row r="3" spans="1:8" ht="15.75" x14ac:dyDescent="0.25">
      <c r="A3" s="890" t="s">
        <v>2</v>
      </c>
      <c r="B3" s="890"/>
      <c r="C3" s="890"/>
      <c r="D3" s="890"/>
      <c r="E3" s="890"/>
      <c r="F3" s="890"/>
      <c r="G3" s="890"/>
      <c r="H3" s="890"/>
    </row>
    <row r="4" spans="1:8" ht="15.75" x14ac:dyDescent="0.25">
      <c r="A4" s="890" t="s">
        <v>3130</v>
      </c>
      <c r="B4" s="890"/>
      <c r="C4" s="890"/>
      <c r="D4" s="890"/>
      <c r="E4" s="890"/>
      <c r="F4" s="890"/>
      <c r="G4" s="890"/>
      <c r="H4" s="890"/>
    </row>
    <row r="5" spans="1:8" ht="1.5" customHeight="1" x14ac:dyDescent="0.2">
      <c r="A5" s="901" t="s">
        <v>3125</v>
      </c>
      <c r="B5" s="901"/>
      <c r="C5" s="901"/>
      <c r="D5" s="901"/>
      <c r="E5" s="901"/>
      <c r="F5" s="901"/>
      <c r="G5" s="901"/>
      <c r="H5" s="901"/>
    </row>
    <row r="6" spans="1:8" ht="71.25" customHeight="1" x14ac:dyDescent="0.2">
      <c r="A6" s="901"/>
      <c r="B6" s="901"/>
      <c r="C6" s="901"/>
      <c r="D6" s="901"/>
      <c r="E6" s="901"/>
      <c r="F6" s="901"/>
      <c r="G6" s="901"/>
      <c r="H6" s="901"/>
    </row>
    <row r="7" spans="1:8" ht="16.5" thickBot="1" x14ac:dyDescent="0.3">
      <c r="A7" s="52"/>
      <c r="B7" s="48"/>
      <c r="C7" s="902"/>
      <c r="D7" s="902"/>
      <c r="E7" s="902"/>
      <c r="F7" s="902"/>
      <c r="G7" s="902"/>
      <c r="H7" s="902"/>
    </row>
    <row r="8" spans="1:8" ht="32.25" thickBot="1" x14ac:dyDescent="0.25">
      <c r="A8" s="53" t="s">
        <v>190</v>
      </c>
      <c r="B8" s="54" t="s">
        <v>191</v>
      </c>
      <c r="C8" s="54" t="s">
        <v>341</v>
      </c>
      <c r="D8" s="54" t="s">
        <v>995</v>
      </c>
      <c r="E8" s="54" t="s">
        <v>341</v>
      </c>
      <c r="F8" s="54" t="s">
        <v>3131</v>
      </c>
      <c r="G8" s="54" t="s">
        <v>995</v>
      </c>
      <c r="H8" s="54" t="s">
        <v>3131</v>
      </c>
    </row>
    <row r="9" spans="1:8" ht="16.5" thickBot="1" x14ac:dyDescent="0.3">
      <c r="A9" s="56">
        <v>100</v>
      </c>
      <c r="B9" s="57" t="s">
        <v>193</v>
      </c>
      <c r="C9" s="58">
        <f t="shared" ref="C9:H9" si="0">SUM(C10:C22)</f>
        <v>94992483</v>
      </c>
      <c r="D9" s="58">
        <f t="shared" ca="1" si="0"/>
        <v>0</v>
      </c>
      <c r="E9" s="58">
        <f t="shared" ca="1" si="0"/>
        <v>94992483</v>
      </c>
      <c r="F9" s="58">
        <f t="shared" ca="1" si="0"/>
        <v>82163238</v>
      </c>
      <c r="G9" s="58">
        <f t="shared" ca="1" si="0"/>
        <v>0</v>
      </c>
      <c r="H9" s="58">
        <f t="shared" ca="1" si="0"/>
        <v>82163238</v>
      </c>
    </row>
    <row r="10" spans="1:8" ht="32.25" hidden="1" thickBot="1" x14ac:dyDescent="0.3">
      <c r="A10" s="59">
        <v>101</v>
      </c>
      <c r="B10" s="60" t="s">
        <v>194</v>
      </c>
      <c r="C10" s="61">
        <f>SUMIF(Пр.13!C$10:C$467,101,Пр.13!G$10:G$467)</f>
        <v>0</v>
      </c>
      <c r="D10" s="61">
        <f>SUMIF(Пр.13!D$10:D$467,101,Пр.13!H$10:H$467)</f>
        <v>0</v>
      </c>
      <c r="E10" s="61">
        <f>SUMIF(Пр.13!C$10:C$467,101,Пр.13!I$10:I$467)</f>
        <v>0</v>
      </c>
      <c r="F10" s="61">
        <f>SUMIF(Пр.13!D$10:D$467,101,Пр.13!J$10:J$467)</f>
        <v>0</v>
      </c>
      <c r="G10" s="61">
        <f>SUMIF(Пр.13!E$10:E$467,101,Пр.13!K$10:K$467)</f>
        <v>0</v>
      </c>
      <c r="H10" s="61">
        <f>SUMIF(Пр.13!F$10:F$467,101,Пр.13!L$10:L$467)</f>
        <v>0</v>
      </c>
    </row>
    <row r="11" spans="1:8" ht="48" thickBot="1" x14ac:dyDescent="0.3">
      <c r="A11" s="59">
        <v>102</v>
      </c>
      <c r="B11" s="62" t="s">
        <v>195</v>
      </c>
      <c r="C11" s="61">
        <f>SUMIF(Пр.13!C$10:C471,102,Пр.13!G$10:G471)</f>
        <v>1511279</v>
      </c>
      <c r="D11" s="61">
        <f ca="1">SUMIF(Пр.13!C$10:D471,102,Пр.13!H$10:H471)</f>
        <v>0</v>
      </c>
      <c r="E11" s="61">
        <f ca="1">SUMIF(Пр.13!C$10:E471,102,Пр.13!I$10:I471)</f>
        <v>1511279</v>
      </c>
      <c r="F11" s="61">
        <f>SUMIF(Пр.13!$C$10:$C471,$A11,Пр.13!J$10:J471)</f>
        <v>1511279</v>
      </c>
      <c r="G11" s="61">
        <f>SUMIF(Пр.13!$C$10:$C471,$A11,Пр.13!K$10:K471)</f>
        <v>0</v>
      </c>
      <c r="H11" s="61">
        <f>SUMIF(Пр.13!$C$10:$C471,$A11,Пр.13!L$10:L471)</f>
        <v>1511279</v>
      </c>
    </row>
    <row r="12" spans="1:8" ht="63.75" hidden="1" thickBot="1" x14ac:dyDescent="0.3">
      <c r="A12" s="59">
        <v>103</v>
      </c>
      <c r="B12" s="62" t="s">
        <v>196</v>
      </c>
      <c r="C12" s="61">
        <f>SUMIF(Пр.13!C$10:C472,103,Пр.13!G$10:G472)</f>
        <v>0</v>
      </c>
      <c r="D12" s="61">
        <f ca="1">SUMIF(Пр.13!C$10:D472,103,Пр.13!H$10:H472)</f>
        <v>0</v>
      </c>
      <c r="E12" s="61">
        <f ca="1">SUMIF(Пр.13!C$10:E472,103,Пр.13!I$10:I472)</f>
        <v>0</v>
      </c>
      <c r="F12" s="61">
        <f ca="1">SUMIF(Пр.13!D$10:F472,103,Пр.13!J$10:J472)</f>
        <v>0</v>
      </c>
      <c r="G12" s="61">
        <f ca="1">SUMIF(Пр.13!E$10:G472,103,Пр.13!K$10:K472)</f>
        <v>0</v>
      </c>
      <c r="H12" s="61">
        <f ca="1">SUMIF(Пр.13!F$10:H472,103,Пр.13!L$10:L472)</f>
        <v>0</v>
      </c>
    </row>
    <row r="13" spans="1:8" ht="63.75" thickBot="1" x14ac:dyDescent="0.3">
      <c r="A13" s="59">
        <v>104</v>
      </c>
      <c r="B13" s="62" t="s">
        <v>197</v>
      </c>
      <c r="C13" s="61">
        <f>SUMIF(Пр.13!C$10:C473,104,Пр.13!G$10:G473)</f>
        <v>25979850</v>
      </c>
      <c r="D13" s="61">
        <f ca="1">SUMIF(Пр.13!C$10:D473,104,Пр.13!H$10:H473)</f>
        <v>0</v>
      </c>
      <c r="E13" s="61">
        <f>SUMIF(Пр.13!$C$10:$C473,$A13,Пр.13!I$10:I473)</f>
        <v>25979850</v>
      </c>
      <c r="F13" s="61">
        <f>SUMIF(Пр.13!$C$10:$C473,$A13,Пр.13!J$10:J473)</f>
        <v>25979850</v>
      </c>
      <c r="G13" s="61">
        <f>SUMIF(Пр.13!$C$10:$C473,$A13,Пр.13!K$10:K473)</f>
        <v>0</v>
      </c>
      <c r="H13" s="61">
        <f>SUMIF(Пр.13!$C$10:$C473,$A13,Пр.13!L$10:L473)</f>
        <v>25979850</v>
      </c>
    </row>
    <row r="14" spans="1:8" ht="16.5" hidden="1" thickBot="1" x14ac:dyDescent="0.3">
      <c r="A14" s="59">
        <v>105</v>
      </c>
      <c r="B14" s="62" t="s">
        <v>198</v>
      </c>
      <c r="C14" s="61">
        <f>SUMIF(Пр.13!C$10:C474,105,Пр.13!G$10:G474)</f>
        <v>0</v>
      </c>
      <c r="D14" s="61">
        <f ca="1">SUMIF(Пр.13!C$10:D474,105,Пр.13!H$10:H474)</f>
        <v>0</v>
      </c>
      <c r="E14" s="61">
        <f>SUMIF(Пр.13!$C$10:$C474,$A14,Пр.13!I$10:I474)</f>
        <v>0</v>
      </c>
      <c r="F14" s="61">
        <f>SUMIF(Пр.13!$C$10:$C474,$A14,Пр.13!J$10:J474)</f>
        <v>0</v>
      </c>
      <c r="G14" s="61">
        <f>SUMIF(Пр.13!$C$10:$C474,$A14,Пр.13!K$10:K474)</f>
        <v>0</v>
      </c>
      <c r="H14" s="61">
        <f>SUMIF(Пр.13!$C$10:$C474,$A14,Пр.13!L$10:L474)</f>
        <v>0</v>
      </c>
    </row>
    <row r="15" spans="1:8" ht="48" thickBot="1" x14ac:dyDescent="0.3">
      <c r="A15" s="59">
        <v>106</v>
      </c>
      <c r="B15" s="62" t="s">
        <v>199</v>
      </c>
      <c r="C15" s="61">
        <f>SUMIF(Пр.13!C$10:C475,106,Пр.13!G$10:G475)</f>
        <v>14712117</v>
      </c>
      <c r="D15" s="61">
        <f ca="1">SUMIF(Пр.13!C$10:D475,106,Пр.13!H$10:H475)</f>
        <v>0</v>
      </c>
      <c r="E15" s="61">
        <f>SUMIF(Пр.13!$C$10:$C475,$A15,Пр.13!I$10:I475)</f>
        <v>14712117</v>
      </c>
      <c r="F15" s="61">
        <f>SUMIF(Пр.13!$C$10:$C475,$A15,Пр.13!J$10:J475)</f>
        <v>14712117</v>
      </c>
      <c r="G15" s="61">
        <f>SUMIF(Пр.13!$C$10:$C475,$A15,Пр.13!K$10:K475)</f>
        <v>0</v>
      </c>
      <c r="H15" s="61">
        <f>SUMIF(Пр.13!$C$10:$C475,$A15,Пр.13!L$10:L475)</f>
        <v>14712117</v>
      </c>
    </row>
    <row r="16" spans="1:8" ht="32.25" hidden="1" thickBot="1" x14ac:dyDescent="0.3">
      <c r="A16" s="59">
        <v>107</v>
      </c>
      <c r="B16" s="62" t="s">
        <v>200</v>
      </c>
      <c r="C16" s="61">
        <f>SUMIF(Пр.13!C$10:C476,107,Пр.13!G$10:G476)</f>
        <v>0</v>
      </c>
      <c r="D16" s="61">
        <f ca="1">SUMIF(Пр.13!C$10:D476,107,Пр.13!H$10:H476)</f>
        <v>0</v>
      </c>
      <c r="E16" s="61">
        <f>SUMIF(Пр.13!$C$10:$C476,$A16,Пр.13!I$10:I476)</f>
        <v>0</v>
      </c>
      <c r="F16" s="61">
        <f>SUMIF(Пр.13!$C$10:$C476,$A16,Пр.13!J$10:J476)</f>
        <v>0</v>
      </c>
      <c r="G16" s="61">
        <f>SUMIF(Пр.13!$C$10:$C476,$A16,Пр.13!K$10:K476)</f>
        <v>0</v>
      </c>
      <c r="H16" s="61">
        <f>SUMIF(Пр.13!$C$10:$C476,$A16,Пр.13!L$10:L476)</f>
        <v>0</v>
      </c>
    </row>
    <row r="17" spans="1:8" ht="32.25" hidden="1" thickBot="1" x14ac:dyDescent="0.3">
      <c r="A17" s="59">
        <v>108</v>
      </c>
      <c r="B17" s="62" t="s">
        <v>201</v>
      </c>
      <c r="C17" s="61">
        <f>SUMIF(Пр.13!C$10:C477,108,Пр.13!G$10:G477)</f>
        <v>0</v>
      </c>
      <c r="D17" s="61">
        <f ca="1">SUMIF(Пр.13!C$10:D477,108,Пр.13!H$10:H477)</f>
        <v>0</v>
      </c>
      <c r="E17" s="61">
        <f>SUMIF(Пр.13!$C$10:$C477,$A17,Пр.13!I$10:I477)</f>
        <v>0</v>
      </c>
      <c r="F17" s="61">
        <f>SUMIF(Пр.13!$C$10:$C477,$A17,Пр.13!J$10:J477)</f>
        <v>0</v>
      </c>
      <c r="G17" s="61">
        <f>SUMIF(Пр.13!$C$10:$C477,$A17,Пр.13!K$10:K477)</f>
        <v>0</v>
      </c>
      <c r="H17" s="61">
        <f>SUMIF(Пр.13!$C$10:$C477,$A17,Пр.13!L$10:L477)</f>
        <v>0</v>
      </c>
    </row>
    <row r="18" spans="1:8" ht="16.5" hidden="1" thickBot="1" x14ac:dyDescent="0.3">
      <c r="A18" s="59">
        <v>109</v>
      </c>
      <c r="B18" s="62" t="s">
        <v>202</v>
      </c>
      <c r="C18" s="61">
        <f>SUMIF(Пр.13!C$10:C478,109,Пр.13!G$10:G478)</f>
        <v>0</v>
      </c>
      <c r="D18" s="61">
        <f ca="1">SUMIF(Пр.13!C$10:D478,109,Пр.13!H$10:H478)</f>
        <v>0</v>
      </c>
      <c r="E18" s="61">
        <f>SUMIF(Пр.13!$C$10:$C478,$A18,Пр.13!I$10:I478)</f>
        <v>0</v>
      </c>
      <c r="F18" s="61">
        <f>SUMIF(Пр.13!$C$10:$C478,$A18,Пр.13!J$10:J478)</f>
        <v>0</v>
      </c>
      <c r="G18" s="61">
        <f>SUMIF(Пр.13!$C$10:$C478,$A18,Пр.13!K$10:K478)</f>
        <v>0</v>
      </c>
      <c r="H18" s="61">
        <f>SUMIF(Пр.13!$C$10:$C478,$A18,Пр.13!L$10:L478)</f>
        <v>0</v>
      </c>
    </row>
    <row r="19" spans="1:8" ht="16.5" hidden="1" thickBot="1" x14ac:dyDescent="0.3">
      <c r="A19" s="59">
        <v>110</v>
      </c>
      <c r="B19" s="62" t="s">
        <v>203</v>
      </c>
      <c r="C19" s="61">
        <f>SUMIF(Пр.13!C$10:C479,110,Пр.13!G$10:G479)</f>
        <v>0</v>
      </c>
      <c r="D19" s="61">
        <f ca="1">SUMIF(Пр.13!C$10:D479,110,Пр.13!H$10:H479)</f>
        <v>0</v>
      </c>
      <c r="E19" s="61">
        <f>SUMIF(Пр.13!$C$10:$C479,$A19,Пр.13!I$10:I479)</f>
        <v>0</v>
      </c>
      <c r="F19" s="61">
        <f>SUMIF(Пр.13!$C$10:$C479,$A19,Пр.13!J$10:J479)</f>
        <v>0</v>
      </c>
      <c r="G19" s="61">
        <f>SUMIF(Пр.13!$C$10:$C479,$A19,Пр.13!K$10:K479)</f>
        <v>0</v>
      </c>
      <c r="H19" s="61">
        <f>SUMIF(Пр.13!$C$10:$C479,$A19,Пр.13!L$10:L479)</f>
        <v>0</v>
      </c>
    </row>
    <row r="20" spans="1:8" ht="16.5" thickBot="1" x14ac:dyDescent="0.3">
      <c r="A20" s="59">
        <v>111</v>
      </c>
      <c r="B20" s="62" t="s">
        <v>204</v>
      </c>
      <c r="C20" s="61">
        <f>SUMIF(Пр.13!C$10:C480,111,Пр.13!G$10:G480)</f>
        <v>3000000</v>
      </c>
      <c r="D20" s="61">
        <f ca="1">SUMIF(Пр.13!C$10:D480,111,Пр.13!H$10:H480)</f>
        <v>0</v>
      </c>
      <c r="E20" s="61">
        <f>SUMIF(Пр.13!$C$10:$C480,$A20,Пр.13!I$10:I480)</f>
        <v>3000000</v>
      </c>
      <c r="F20" s="61">
        <f>SUMIF(Пр.13!$C$10:$C480,$A20,Пр.13!J$10:J480)</f>
        <v>3000000</v>
      </c>
      <c r="G20" s="61">
        <f>SUMIF(Пр.13!$C$10:$C480,$A20,Пр.13!K$10:K480)</f>
        <v>0</v>
      </c>
      <c r="H20" s="61">
        <f>SUMIF(Пр.13!$C$10:$C480,$A20,Пр.13!L$10:L480)</f>
        <v>3000000</v>
      </c>
    </row>
    <row r="21" spans="1:8" ht="32.25" hidden="1" thickBot="1" x14ac:dyDescent="0.3">
      <c r="A21" s="59">
        <v>112</v>
      </c>
      <c r="B21" s="62" t="s">
        <v>205</v>
      </c>
      <c r="C21" s="61">
        <f>SUMIF(Пр.13!C$10:C481,112,Пр.13!G$10:G481)</f>
        <v>0</v>
      </c>
      <c r="D21" s="61">
        <f ca="1">SUMIF(Пр.13!C$10:D481,112,Пр.13!H$10:H481)</f>
        <v>0</v>
      </c>
      <c r="E21" s="61">
        <f ca="1">SUMIF(Пр.13!C$10:E481,112,Пр.13!I$10:I481)</f>
        <v>0</v>
      </c>
      <c r="F21" s="61">
        <f>SUMIF(Пр.13!$C$10:$C481,$A21,Пр.13!J$10:J481)</f>
        <v>0</v>
      </c>
      <c r="G21" s="61">
        <f>SUMIF(Пр.13!$C$10:$C481,$A21,Пр.13!K$10:K481)</f>
        <v>0</v>
      </c>
      <c r="H21" s="61">
        <f>SUMIF(Пр.13!$C$10:$C481,$A21,Пр.13!L$10:L481)</f>
        <v>0</v>
      </c>
    </row>
    <row r="22" spans="1:8" ht="16.5" thickBot="1" x14ac:dyDescent="0.3">
      <c r="A22" s="59">
        <v>113</v>
      </c>
      <c r="B22" s="62" t="s">
        <v>206</v>
      </c>
      <c r="C22" s="61">
        <f>SUMIF(Пр.13!C$10:C482,113,Пр.13!G$10:G482)</f>
        <v>49789237</v>
      </c>
      <c r="D22" s="61">
        <f ca="1">SUMIF(Пр.13!C$10:D482,113,Пр.13!H$10:H482)</f>
        <v>0</v>
      </c>
      <c r="E22" s="61">
        <f ca="1">SUMIF(Пр.13!C$10:E482,113,Пр.13!I$10:I482)</f>
        <v>49789237</v>
      </c>
      <c r="F22" s="61">
        <f>SUMIF(Пр.13!$C$10:$C482,$A22,Пр.13!J$10:J482)</f>
        <v>36959992</v>
      </c>
      <c r="G22" s="61">
        <f>SUMIF(Пр.13!$C$10:$C482,$A22,Пр.13!K$10:K482)</f>
        <v>0</v>
      </c>
      <c r="H22" s="61">
        <f>SUMIF(Пр.13!$C$10:$C482,$A22,Пр.13!L$10:L482)</f>
        <v>36959992</v>
      </c>
    </row>
    <row r="23" spans="1:8" ht="16.5" thickBot="1" x14ac:dyDescent="0.3">
      <c r="A23" s="56">
        <v>200</v>
      </c>
      <c r="B23" s="63" t="s">
        <v>207</v>
      </c>
      <c r="C23" s="58">
        <f t="shared" ref="C23:H23" ca="1" si="1">SUM(C24:C32)</f>
        <v>747678</v>
      </c>
      <c r="D23" s="58">
        <f t="shared" ca="1" si="1"/>
        <v>0</v>
      </c>
      <c r="E23" s="58">
        <f t="shared" ca="1" si="1"/>
        <v>747678</v>
      </c>
      <c r="F23" s="58">
        <f t="shared" ca="1" si="1"/>
        <v>774994</v>
      </c>
      <c r="G23" s="58">
        <f t="shared" ca="1" si="1"/>
        <v>0</v>
      </c>
      <c r="H23" s="58">
        <f t="shared" ca="1" si="1"/>
        <v>774994</v>
      </c>
    </row>
    <row r="24" spans="1:8" ht="16.5" hidden="1" thickBot="1" x14ac:dyDescent="0.3">
      <c r="A24" s="59">
        <v>201</v>
      </c>
      <c r="B24" s="62" t="s">
        <v>208</v>
      </c>
      <c r="C24" s="61">
        <f>SUMIF(Пр.13!$C10:$C467,201,Пр.13!G10:G467)</f>
        <v>0</v>
      </c>
      <c r="D24" s="61">
        <f>SUMIF(Пр.13!$C10:$C467,201,Пр.13!H10:H467)</f>
        <v>0</v>
      </c>
      <c r="E24" s="61">
        <f>SUMIF(Пр.13!$C10:$C467,201,Пр.13!I10:I467)</f>
        <v>0</v>
      </c>
      <c r="F24" s="61">
        <f>SUMIF(Пр.13!$C10:$C467,201,Пр.13!J10:J467)</f>
        <v>0</v>
      </c>
      <c r="G24" s="61">
        <f>SUMIF(Пр.13!$C10:$C467,201,Пр.13!K10:K467)</f>
        <v>0</v>
      </c>
      <c r="H24" s="61">
        <f>SUMIF(Пр.13!$C10:$C467,201,Пр.13!L10:L467)</f>
        <v>0</v>
      </c>
    </row>
    <row r="25" spans="1:8" ht="32.25" hidden="1" thickBot="1" x14ac:dyDescent="0.3">
      <c r="A25" s="59">
        <v>202</v>
      </c>
      <c r="B25" s="62" t="s">
        <v>209</v>
      </c>
      <c r="C25" s="61">
        <f>SUMIF(Пр.13!$C10:$C467,202,Пр.13!G10:G467)</f>
        <v>0</v>
      </c>
      <c r="D25" s="61">
        <f>SUMIF(Пр.13!$C10:$C467,202,Пр.13!H10:H467)</f>
        <v>0</v>
      </c>
      <c r="E25" s="61">
        <f>SUMIF(Пр.13!$C10:$C467,202,Пр.13!I10:I467)</f>
        <v>0</v>
      </c>
      <c r="F25" s="61">
        <f>SUMIF(Пр.13!$C10:$C467,202,Пр.13!J10:J467)</f>
        <v>0</v>
      </c>
      <c r="G25" s="61">
        <f>SUMIF(Пр.13!$C10:$C467,202,Пр.13!K10:K467)</f>
        <v>0</v>
      </c>
      <c r="H25" s="61">
        <f>SUMIF(Пр.13!$C10:$C467,202,Пр.13!L10:L467)</f>
        <v>0</v>
      </c>
    </row>
    <row r="26" spans="1:8" ht="16.5" thickBot="1" x14ac:dyDescent="0.3">
      <c r="A26" s="59">
        <v>203</v>
      </c>
      <c r="B26" s="62" t="s">
        <v>210</v>
      </c>
      <c r="C26" s="61">
        <f ca="1">SUMIF(Пр.13!$C10:$C471,203,Пр.13!G10:G467)</f>
        <v>747678</v>
      </c>
      <c r="D26" s="61">
        <f ca="1">SUMIF(Пр.13!$C10:$C471,203,Пр.13!H10:H467)</f>
        <v>0</v>
      </c>
      <c r="E26" s="61">
        <f ca="1">SUMIF(Пр.13!$C10:$C471,203,Пр.13!I10:I467)</f>
        <v>747678</v>
      </c>
      <c r="F26" s="61">
        <f ca="1">SUMIF(Пр.13!$C10:$C471,203,Пр.13!J10:J467)</f>
        <v>774994</v>
      </c>
      <c r="G26" s="61">
        <f ca="1">SUMIF(Пр.13!$C10:$C471,203,Пр.13!K10:K467)</f>
        <v>0</v>
      </c>
      <c r="H26" s="61">
        <f ca="1">SUMIF(Пр.13!$C10:$C471,203,Пр.13!L10:L467)</f>
        <v>774994</v>
      </c>
    </row>
    <row r="27" spans="1:8" ht="16.5" hidden="1" thickBot="1" x14ac:dyDescent="0.3">
      <c r="A27" s="59">
        <v>204</v>
      </c>
      <c r="B27" s="62" t="s">
        <v>211</v>
      </c>
      <c r="C27" s="61">
        <f ca="1">SUMIF(Пр.13!$C14:$C472,204,Пр.13!G14:G467)</f>
        <v>0</v>
      </c>
      <c r="D27" s="61">
        <f ca="1">SUMIF(Пр.13!$C14:$C472,204,Пр.13!H14:H467)</f>
        <v>0</v>
      </c>
      <c r="E27" s="61">
        <f ca="1">SUMIF(Пр.13!$C14:$C472,204,Пр.13!I14:I467)</f>
        <v>0</v>
      </c>
      <c r="F27" s="61">
        <f ca="1">SUMIF(Пр.13!$C14:$C472,204,Пр.13!J14:J467)</f>
        <v>0</v>
      </c>
      <c r="G27" s="61">
        <f ca="1">SUMIF(Пр.13!$C14:$C472,204,Пр.13!K14:K467)</f>
        <v>0</v>
      </c>
      <c r="H27" s="61">
        <f ca="1">SUMIF(Пр.13!$C14:$C472,204,Пр.13!L14:L467)</f>
        <v>0</v>
      </c>
    </row>
    <row r="28" spans="1:8" ht="48" hidden="1" thickBot="1" x14ac:dyDescent="0.3">
      <c r="A28" s="59">
        <v>205</v>
      </c>
      <c r="B28" s="62" t="s">
        <v>212</v>
      </c>
      <c r="C28" s="61">
        <f ca="1">SUMIF(Пр.13!$C15:$C473,205,Пр.13!G15:G467)</f>
        <v>0</v>
      </c>
      <c r="D28" s="61">
        <f ca="1">SUMIF(Пр.13!$C15:$C473,205,Пр.13!H15:H467)</f>
        <v>0</v>
      </c>
      <c r="E28" s="61">
        <f ca="1">SUMIF(Пр.13!$C15:$C473,205,Пр.13!I15:I467)</f>
        <v>0</v>
      </c>
      <c r="F28" s="61">
        <f ca="1">SUMIF(Пр.13!$C15:$C473,205,Пр.13!J15:J467)</f>
        <v>0</v>
      </c>
      <c r="G28" s="61">
        <f ca="1">SUMIF(Пр.13!$C15:$C473,205,Пр.13!K15:K467)</f>
        <v>0</v>
      </c>
      <c r="H28" s="61">
        <f ca="1">SUMIF(Пр.13!$C15:$C473,205,Пр.13!L15:L467)</f>
        <v>0</v>
      </c>
    </row>
    <row r="29" spans="1:8" ht="16.5" hidden="1" thickBot="1" x14ac:dyDescent="0.3">
      <c r="A29" s="59">
        <v>206</v>
      </c>
      <c r="B29" s="62" t="s">
        <v>213</v>
      </c>
      <c r="C29" s="61">
        <f ca="1">SUMIF(Пр.13!$C15:$C474,206,Пр.13!G15:G467)</f>
        <v>0</v>
      </c>
      <c r="D29" s="61">
        <f ca="1">SUMIF(Пр.13!$C15:$C474,206,Пр.13!H15:H467)</f>
        <v>0</v>
      </c>
      <c r="E29" s="61">
        <f ca="1">SUMIF(Пр.13!$C15:$C474,206,Пр.13!I15:I467)</f>
        <v>0</v>
      </c>
      <c r="F29" s="61">
        <f ca="1">SUMIF(Пр.13!$C15:$C474,206,Пр.13!J15:J467)</f>
        <v>0</v>
      </c>
      <c r="G29" s="61">
        <f ca="1">SUMIF(Пр.13!$C15:$C474,206,Пр.13!K15:K467)</f>
        <v>0</v>
      </c>
      <c r="H29" s="61">
        <f ca="1">SUMIF(Пр.13!$C15:$C474,206,Пр.13!L15:L467)</f>
        <v>0</v>
      </c>
    </row>
    <row r="30" spans="1:8" ht="32.25" hidden="1" thickBot="1" x14ac:dyDescent="0.3">
      <c r="A30" s="59">
        <v>207</v>
      </c>
      <c r="B30" s="62" t="s">
        <v>214</v>
      </c>
      <c r="C30" s="61">
        <f ca="1">SUMIF(Пр.13!$C16:$C475,207,Пр.13!G16:G467)</f>
        <v>0</v>
      </c>
      <c r="D30" s="61">
        <f ca="1">SUMIF(Пр.13!$C16:$C475,207,Пр.13!H16:H467)</f>
        <v>0</v>
      </c>
      <c r="E30" s="61">
        <f ca="1">SUMIF(Пр.13!$C16:$C475,207,Пр.13!I16:I467)</f>
        <v>0</v>
      </c>
      <c r="F30" s="61">
        <f ca="1">SUMIF(Пр.13!$C16:$C475,207,Пр.13!J16:J467)</f>
        <v>0</v>
      </c>
      <c r="G30" s="61">
        <f ca="1">SUMIF(Пр.13!$C16:$C475,207,Пр.13!K16:K467)</f>
        <v>0</v>
      </c>
      <c r="H30" s="61">
        <f ca="1">SUMIF(Пр.13!$C16:$C475,207,Пр.13!L16:L467)</f>
        <v>0</v>
      </c>
    </row>
    <row r="31" spans="1:8" ht="32.25" hidden="1" thickBot="1" x14ac:dyDescent="0.3">
      <c r="A31" s="59">
        <v>208</v>
      </c>
      <c r="B31" s="62" t="s">
        <v>215</v>
      </c>
      <c r="C31" s="61">
        <f ca="1">SUMIF(Пр.13!$C17:$C476,208,Пр.13!G17:G467)</f>
        <v>0</v>
      </c>
      <c r="D31" s="61">
        <f ca="1">SUMIF(Пр.13!$C17:$C476,208,Пр.13!H17:H467)</f>
        <v>0</v>
      </c>
      <c r="E31" s="61">
        <f ca="1">SUMIF(Пр.13!$C17:$C476,208,Пр.13!I17:I467)</f>
        <v>0</v>
      </c>
      <c r="F31" s="61">
        <f ca="1">SUMIF(Пр.13!$C17:$C476,208,Пр.13!J17:J467)</f>
        <v>0</v>
      </c>
      <c r="G31" s="61">
        <f ca="1">SUMIF(Пр.13!$C17:$C476,208,Пр.13!K17:K467)</f>
        <v>0</v>
      </c>
      <c r="H31" s="61">
        <f ca="1">SUMIF(Пр.13!$C17:$C476,208,Пр.13!L17:L467)</f>
        <v>0</v>
      </c>
    </row>
    <row r="32" spans="1:8" ht="32.25" hidden="1" thickBot="1" x14ac:dyDescent="0.3">
      <c r="A32" s="59">
        <v>209</v>
      </c>
      <c r="B32" s="62" t="s">
        <v>216</v>
      </c>
      <c r="C32" s="61">
        <f ca="1">SUMIF(Пр.13!$C18:$C477,209,Пр.13!G18:G467)</f>
        <v>0</v>
      </c>
      <c r="D32" s="61">
        <f ca="1">SUMIF(Пр.13!$C18:$C477,209,Пр.13!H18:H467)</f>
        <v>0</v>
      </c>
      <c r="E32" s="61">
        <f ca="1">SUMIF(Пр.13!$C18:$C477,209,Пр.13!I18:I467)</f>
        <v>0</v>
      </c>
      <c r="F32" s="61">
        <f ca="1">SUMIF(Пр.13!$C18:$C477,209,Пр.13!J18:J467)</f>
        <v>0</v>
      </c>
      <c r="G32" s="61">
        <f ca="1">SUMIF(Пр.13!$C18:$C477,209,Пр.13!K18:K467)</f>
        <v>0</v>
      </c>
      <c r="H32" s="61">
        <f ca="1">SUMIF(Пр.13!$C18:$C477,209,Пр.13!L18:L467)</f>
        <v>0</v>
      </c>
    </row>
    <row r="33" spans="1:8" ht="36" hidden="1" customHeight="1" thickBot="1" x14ac:dyDescent="0.3">
      <c r="A33" s="56">
        <v>300</v>
      </c>
      <c r="B33" s="63" t="s">
        <v>217</v>
      </c>
      <c r="C33" s="58">
        <f t="shared" ref="C33:H33" ca="1" si="2">SUM(C34:C45)</f>
        <v>0</v>
      </c>
      <c r="D33" s="58">
        <f t="shared" ca="1" si="2"/>
        <v>0</v>
      </c>
      <c r="E33" s="58">
        <f t="shared" ca="1" si="2"/>
        <v>0</v>
      </c>
      <c r="F33" s="58">
        <f t="shared" ca="1" si="2"/>
        <v>0</v>
      </c>
      <c r="G33" s="58">
        <f t="shared" ca="1" si="2"/>
        <v>0</v>
      </c>
      <c r="H33" s="58">
        <f t="shared" ca="1" si="2"/>
        <v>0</v>
      </c>
    </row>
    <row r="34" spans="1:8" ht="16.5" hidden="1" thickBot="1" x14ac:dyDescent="0.3">
      <c r="A34" s="59">
        <v>303</v>
      </c>
      <c r="B34" s="62" t="s">
        <v>218</v>
      </c>
      <c r="C34" s="61">
        <f>SUMIF(Пр.13!$C10:$C467,303,Пр.13!G10:G467)</f>
        <v>0</v>
      </c>
      <c r="D34" s="61">
        <f>SUMIF(Пр.13!$C10:$C467,303,Пр.13!H10:H467)</f>
        <v>0</v>
      </c>
      <c r="E34" s="61">
        <f>SUMIF(Пр.13!$C10:$C467,303,Пр.13!I10:I467)</f>
        <v>0</v>
      </c>
      <c r="F34" s="61">
        <f>SUMIF(Пр.13!$C10:$C467,303,Пр.13!J10:J467)</f>
        <v>0</v>
      </c>
      <c r="G34" s="61">
        <f>SUMIF(Пр.13!$C10:$C467,303,Пр.13!K10:K467)</f>
        <v>0</v>
      </c>
      <c r="H34" s="61">
        <f>SUMIF(Пр.13!$C10:$C467,303,Пр.13!L10:L467)</f>
        <v>0</v>
      </c>
    </row>
    <row r="35" spans="1:8" ht="16.5" hidden="1" thickBot="1" x14ac:dyDescent="0.3">
      <c r="A35" s="59">
        <v>304</v>
      </c>
      <c r="B35" s="62" t="s">
        <v>219</v>
      </c>
      <c r="C35" s="61">
        <f>SUMIF(Пр.13!$C11:$C467,304,Пр.13!G11:G467)</f>
        <v>0</v>
      </c>
      <c r="D35" s="61">
        <f>SUMIF(Пр.13!$C11:$C467,304,Пр.13!H11:H467)</f>
        <v>0</v>
      </c>
      <c r="E35" s="61">
        <f>SUMIF(Пр.13!$C11:$C467,304,Пр.13!I11:I467)</f>
        <v>0</v>
      </c>
      <c r="F35" s="61">
        <f>SUMIF(Пр.13!$C11:$C467,304,Пр.13!J11:J467)</f>
        <v>0</v>
      </c>
      <c r="G35" s="61">
        <f>SUMIF(Пр.13!$C11:$C467,304,Пр.13!K11:K467)</f>
        <v>0</v>
      </c>
      <c r="H35" s="61">
        <f>SUMIF(Пр.13!$C11:$C467,304,Пр.13!L11:L467)</f>
        <v>0</v>
      </c>
    </row>
    <row r="36" spans="1:8" ht="16.5" hidden="1" thickBot="1" x14ac:dyDescent="0.3">
      <c r="A36" s="59">
        <v>305</v>
      </c>
      <c r="B36" s="62" t="s">
        <v>220</v>
      </c>
      <c r="C36" s="61">
        <f ca="1">SUMIF(Пр.13!$C12:$C471,305,Пр.13!G12:G467)</f>
        <v>0</v>
      </c>
      <c r="D36" s="61">
        <f ca="1">SUMIF(Пр.13!$C12:$C471,305,Пр.13!H12:H467)</f>
        <v>0</v>
      </c>
      <c r="E36" s="61">
        <f ca="1">SUMIF(Пр.13!$C12:$C471,305,Пр.13!I12:I467)</f>
        <v>0</v>
      </c>
      <c r="F36" s="61">
        <f ca="1">SUMIF(Пр.13!$C12:$C471,305,Пр.13!J12:J467)</f>
        <v>0</v>
      </c>
      <c r="G36" s="61">
        <f ca="1">SUMIF(Пр.13!$C12:$C471,305,Пр.13!K12:K467)</f>
        <v>0</v>
      </c>
      <c r="H36" s="61">
        <f ca="1">SUMIF(Пр.13!$C12:$C471,305,Пр.13!L12:L467)</f>
        <v>0</v>
      </c>
    </row>
    <row r="37" spans="1:8" ht="16.5" hidden="1" thickBot="1" x14ac:dyDescent="0.3">
      <c r="A37" s="59">
        <v>306</v>
      </c>
      <c r="B37" s="62" t="s">
        <v>221</v>
      </c>
      <c r="C37" s="61">
        <f ca="1">SUMIF(Пр.13!$C14:$C472,306,Пр.13!G14:G467)</f>
        <v>0</v>
      </c>
      <c r="D37" s="61">
        <f ca="1">SUMIF(Пр.13!$C14:$C472,306,Пр.13!H14:H467)</f>
        <v>0</v>
      </c>
      <c r="E37" s="61">
        <f ca="1">SUMIF(Пр.13!$C14:$C472,306,Пр.13!I14:I467)</f>
        <v>0</v>
      </c>
      <c r="F37" s="61">
        <f ca="1">SUMIF(Пр.13!$C14:$C472,306,Пр.13!J14:J467)</f>
        <v>0</v>
      </c>
      <c r="G37" s="61">
        <f ca="1">SUMIF(Пр.13!$C14:$C472,306,Пр.13!K14:K467)</f>
        <v>0</v>
      </c>
      <c r="H37" s="61">
        <f ca="1">SUMIF(Пр.13!$C14:$C472,306,Пр.13!L14:L467)</f>
        <v>0</v>
      </c>
    </row>
    <row r="38" spans="1:8" ht="16.5" hidden="1" thickBot="1" x14ac:dyDescent="0.3">
      <c r="A38" s="59">
        <v>307</v>
      </c>
      <c r="B38" s="62" t="s">
        <v>222</v>
      </c>
      <c r="C38" s="61">
        <f ca="1">SUMIF(Пр.13!$C15:$C473,307,Пр.13!G15:G467)</f>
        <v>0</v>
      </c>
      <c r="D38" s="61">
        <f ca="1">SUMIF(Пр.13!$C15:$C473,307,Пр.13!H15:H467)</f>
        <v>0</v>
      </c>
      <c r="E38" s="61">
        <f ca="1">SUMIF(Пр.13!$C15:$C473,307,Пр.13!I15:I467)</f>
        <v>0</v>
      </c>
      <c r="F38" s="61">
        <f ca="1">SUMIF(Пр.13!$C15:$C473,307,Пр.13!J15:J467)</f>
        <v>0</v>
      </c>
      <c r="G38" s="61">
        <f ca="1">SUMIF(Пр.13!$C15:$C473,307,Пр.13!K15:K467)</f>
        <v>0</v>
      </c>
      <c r="H38" s="61">
        <f ca="1">SUMIF(Пр.13!$C15:$C473,307,Пр.13!L15:L467)</f>
        <v>0</v>
      </c>
    </row>
    <row r="39" spans="1:8" ht="32.25" hidden="1" thickBot="1" x14ac:dyDescent="0.3">
      <c r="A39" s="59">
        <v>308</v>
      </c>
      <c r="B39" s="62" t="s">
        <v>223</v>
      </c>
      <c r="C39" s="61">
        <f ca="1">SUMIF(Пр.13!$C15:$C474,308,Пр.13!G15:G467)</f>
        <v>0</v>
      </c>
      <c r="D39" s="61">
        <f ca="1">SUMIF(Пр.13!$C15:$C474,308,Пр.13!H15:H467)</f>
        <v>0</v>
      </c>
      <c r="E39" s="61">
        <f ca="1">SUMIF(Пр.13!$C15:$C474,308,Пр.13!I15:I467)</f>
        <v>0</v>
      </c>
      <c r="F39" s="61">
        <f ca="1">SUMIF(Пр.13!$C15:$C474,308,Пр.13!J15:J467)</f>
        <v>0</v>
      </c>
      <c r="G39" s="61">
        <f ca="1">SUMIF(Пр.13!$C15:$C474,308,Пр.13!K15:K467)</f>
        <v>0</v>
      </c>
      <c r="H39" s="61">
        <f ca="1">SUMIF(Пр.13!$C15:$C474,308,Пр.13!L15:L467)</f>
        <v>0</v>
      </c>
    </row>
    <row r="40" spans="1:8" ht="48" hidden="1" thickBot="1" x14ac:dyDescent="0.3">
      <c r="A40" s="59">
        <v>309</v>
      </c>
      <c r="B40" s="62" t="s">
        <v>224</v>
      </c>
      <c r="C40" s="61">
        <f ca="1">SUMIF(Пр.13!$C16:$C475,309,Пр.13!G16:G467)</f>
        <v>0</v>
      </c>
      <c r="D40" s="61">
        <f ca="1">SUMIF(Пр.13!$C16:$C475,309,Пр.13!H16:H467)</f>
        <v>0</v>
      </c>
      <c r="E40" s="61">
        <f ca="1">SUMIF(Пр.13!$C16:$C475,309,Пр.13!I16:I467)</f>
        <v>0</v>
      </c>
      <c r="F40" s="61">
        <f ca="1">SUMIF(Пр.13!$C16:$C475,309,Пр.13!J16:J467)</f>
        <v>0</v>
      </c>
      <c r="G40" s="61">
        <f ca="1">SUMIF(Пр.13!$C16:$C475,309,Пр.13!K16:K467)</f>
        <v>0</v>
      </c>
      <c r="H40" s="61">
        <f ca="1">SUMIF(Пр.13!$C16:$C475,309,Пр.13!L16:L467)</f>
        <v>0</v>
      </c>
    </row>
    <row r="41" spans="1:8" ht="16.5" hidden="1" thickBot="1" x14ac:dyDescent="0.3">
      <c r="A41" s="59">
        <v>310</v>
      </c>
      <c r="B41" s="62" t="s">
        <v>225</v>
      </c>
      <c r="C41" s="61">
        <f ca="1">SUMIF(Пр.13!$C17:$C476,310,Пр.13!G17:G467)</f>
        <v>0</v>
      </c>
      <c r="D41" s="61">
        <f ca="1">SUMIF(Пр.13!$C17:$C476,310,Пр.13!H17:H467)</f>
        <v>0</v>
      </c>
      <c r="E41" s="61">
        <f ca="1">SUMIF(Пр.13!$C17:$C476,310,Пр.13!I17:I467)</f>
        <v>0</v>
      </c>
      <c r="F41" s="61">
        <f ca="1">SUMIF(Пр.13!$C17:$C476,310,Пр.13!J17:J467)</f>
        <v>0</v>
      </c>
      <c r="G41" s="61">
        <f ca="1">SUMIF(Пр.13!$C17:$C476,310,Пр.13!K17:K467)</f>
        <v>0</v>
      </c>
      <c r="H41" s="61">
        <f ca="1">SUMIF(Пр.13!$C17:$C476,310,Пр.13!L17:L467)</f>
        <v>0</v>
      </c>
    </row>
    <row r="42" spans="1:8" ht="16.5" hidden="1" thickBot="1" x14ac:dyDescent="0.3">
      <c r="A42" s="59">
        <v>311</v>
      </c>
      <c r="B42" s="62" t="s">
        <v>226</v>
      </c>
      <c r="C42" s="61">
        <f ca="1">SUMIF(Пр.13!$C18:$C477,311,Пр.13!G18:G467)</f>
        <v>0</v>
      </c>
      <c r="D42" s="61">
        <f ca="1">SUMIF(Пр.13!$C18:$C477,311,Пр.13!H18:H467)</f>
        <v>0</v>
      </c>
      <c r="E42" s="61">
        <f ca="1">SUMIF(Пр.13!$C18:$C477,311,Пр.13!I18:I467)</f>
        <v>0</v>
      </c>
      <c r="F42" s="61">
        <f ca="1">SUMIF(Пр.13!$C18:$C477,311,Пр.13!J18:J467)</f>
        <v>0</v>
      </c>
      <c r="G42" s="61">
        <f ca="1">SUMIF(Пр.13!$C18:$C477,311,Пр.13!K18:K467)</f>
        <v>0</v>
      </c>
      <c r="H42" s="61">
        <f ca="1">SUMIF(Пр.13!$C18:$C477,311,Пр.13!L18:L467)</f>
        <v>0</v>
      </c>
    </row>
    <row r="43" spans="1:8" ht="48" hidden="1" thickBot="1" x14ac:dyDescent="0.3">
      <c r="A43" s="59">
        <v>312</v>
      </c>
      <c r="B43" s="62" t="s">
        <v>227</v>
      </c>
      <c r="C43" s="61">
        <f ca="1">SUMIF(Пр.13!$C21:$C478,312,Пр.13!G21:G467)</f>
        <v>0</v>
      </c>
      <c r="D43" s="61">
        <f ca="1">SUMIF(Пр.13!$C21:$C478,312,Пр.13!H21:H467)</f>
        <v>0</v>
      </c>
      <c r="E43" s="61">
        <f ca="1">SUMIF(Пр.13!$C21:$C478,312,Пр.13!I21:I467)</f>
        <v>0</v>
      </c>
      <c r="F43" s="61">
        <f ca="1">SUMIF(Пр.13!$C21:$C478,312,Пр.13!J21:J467)</f>
        <v>0</v>
      </c>
      <c r="G43" s="61">
        <f ca="1">SUMIF(Пр.13!$C21:$C478,312,Пр.13!K21:K467)</f>
        <v>0</v>
      </c>
      <c r="H43" s="61">
        <f ca="1">SUMIF(Пр.13!$C21:$C478,312,Пр.13!L21:L467)</f>
        <v>0</v>
      </c>
    </row>
    <row r="44" spans="1:8" ht="48" hidden="1" thickBot="1" x14ac:dyDescent="0.3">
      <c r="A44" s="59">
        <v>313</v>
      </c>
      <c r="B44" s="62" t="s">
        <v>228</v>
      </c>
      <c r="C44" s="61">
        <f ca="1">SUMIF(Пр.13!$C21:$C479,313,Пр.13!G21:G467)</f>
        <v>0</v>
      </c>
      <c r="D44" s="61">
        <f ca="1">SUMIF(Пр.13!$C21:$C479,313,Пр.13!H21:H467)</f>
        <v>0</v>
      </c>
      <c r="E44" s="61">
        <f ca="1">SUMIF(Пр.13!$C21:$C479,313,Пр.13!I21:I467)</f>
        <v>0</v>
      </c>
      <c r="F44" s="61">
        <f ca="1">SUMIF(Пр.13!$C21:$C479,313,Пр.13!J21:J467)</f>
        <v>0</v>
      </c>
      <c r="G44" s="61">
        <f ca="1">SUMIF(Пр.13!$C21:$C479,313,Пр.13!K21:K467)</f>
        <v>0</v>
      </c>
      <c r="H44" s="61">
        <f ca="1">SUMIF(Пр.13!$C21:$C479,313,Пр.13!L21:L467)</f>
        <v>0</v>
      </c>
    </row>
    <row r="45" spans="1:8" ht="48" hidden="1" thickBot="1" x14ac:dyDescent="0.3">
      <c r="A45" s="59">
        <v>314</v>
      </c>
      <c r="B45" s="62" t="s">
        <v>229</v>
      </c>
      <c r="C45" s="61">
        <f ca="1">SUMIF(Пр.13!$C21:$C480,314,Пр.13!G21:G467)</f>
        <v>0</v>
      </c>
      <c r="D45" s="61">
        <f ca="1">SUMIF(Пр.13!$C21:$C480,314,Пр.13!H21:H467)</f>
        <v>0</v>
      </c>
      <c r="E45" s="61">
        <f ca="1">SUMIF(Пр.13!$C21:$C480,314,Пр.13!I21:I467)</f>
        <v>0</v>
      </c>
      <c r="F45" s="61">
        <f ca="1">SUMIF(Пр.13!$C21:$C480,314,Пр.13!J21:J467)</f>
        <v>0</v>
      </c>
      <c r="G45" s="61">
        <f ca="1">SUMIF(Пр.13!$C21:$C480,314,Пр.13!K21:K467)</f>
        <v>0</v>
      </c>
      <c r="H45" s="61">
        <f ca="1">SUMIF(Пр.13!$C21:$C480,314,Пр.13!L21:L467)</f>
        <v>0</v>
      </c>
    </row>
    <row r="46" spans="1:8" ht="16.5" thickBot="1" x14ac:dyDescent="0.3">
      <c r="A46" s="56">
        <v>400</v>
      </c>
      <c r="B46" s="63" t="s">
        <v>230</v>
      </c>
      <c r="C46" s="58">
        <f t="shared" ref="C46:H46" ca="1" si="3">SUM(C47:C58)</f>
        <v>31028565</v>
      </c>
      <c r="D46" s="58">
        <f t="shared" ca="1" si="3"/>
        <v>0</v>
      </c>
      <c r="E46" s="58">
        <f t="shared" ca="1" si="3"/>
        <v>31028565</v>
      </c>
      <c r="F46" s="58">
        <f t="shared" ca="1" si="3"/>
        <v>25165715</v>
      </c>
      <c r="G46" s="58">
        <f t="shared" ca="1" si="3"/>
        <v>0</v>
      </c>
      <c r="H46" s="58">
        <f t="shared" ca="1" si="3"/>
        <v>25165715</v>
      </c>
    </row>
    <row r="47" spans="1:8" ht="15.75" hidden="1" customHeight="1" thickBot="1" x14ac:dyDescent="0.3">
      <c r="A47" s="59">
        <v>401</v>
      </c>
      <c r="B47" s="64" t="s">
        <v>231</v>
      </c>
      <c r="C47" s="61">
        <f>SUMIF(Пр.13!$C10:$C467,401,Пр.13!G10:G467)</f>
        <v>0</v>
      </c>
      <c r="D47" s="61">
        <f>SUMIF(Пр.13!$C10:$C467,401,Пр.13!H10:H467)</f>
        <v>0</v>
      </c>
      <c r="E47" s="61">
        <f>SUMIF(Пр.13!$C10:$C467,401,Пр.13!I10:I467)</f>
        <v>0</v>
      </c>
      <c r="F47" s="61">
        <f>SUMIF(Пр.13!$C10:$C467,401,Пр.13!J10:J467)</f>
        <v>0</v>
      </c>
      <c r="G47" s="61">
        <f>SUMIF(Пр.13!$C10:$C467,401,Пр.13!K10:K467)</f>
        <v>0</v>
      </c>
      <c r="H47" s="61">
        <f>SUMIF(Пр.13!$C10:$C467,401,Пр.13!L10:L467)</f>
        <v>0</v>
      </c>
    </row>
    <row r="48" spans="1:8" ht="16.5" hidden="1" thickBot="1" x14ac:dyDescent="0.3">
      <c r="A48" s="59">
        <v>402</v>
      </c>
      <c r="B48" s="60" t="s">
        <v>232</v>
      </c>
      <c r="C48" s="61">
        <f>SUMIF(Пр.13!$C11:$C467,402,Пр.13!G11:G467)</f>
        <v>0</v>
      </c>
      <c r="D48" s="61">
        <f>SUMIF(Пр.13!$C11:$C467,402,Пр.13!H11:H467)</f>
        <v>0</v>
      </c>
      <c r="E48" s="61">
        <f>SUMIF(Пр.13!$C11:$C467,402,Пр.13!I11:I467)</f>
        <v>0</v>
      </c>
      <c r="F48" s="61">
        <f>SUMIF(Пр.13!$C11:$C467,402,Пр.13!J11:J467)</f>
        <v>0</v>
      </c>
      <c r="G48" s="61">
        <f>SUMIF(Пр.13!$C11:$C467,402,Пр.13!K11:K467)</f>
        <v>0</v>
      </c>
      <c r="H48" s="61">
        <f>SUMIF(Пр.13!$C11:$C467,402,Пр.13!L11:L467)</f>
        <v>0</v>
      </c>
    </row>
    <row r="49" spans="1:8" ht="32.25" hidden="1" thickBot="1" x14ac:dyDescent="0.3">
      <c r="A49" s="59">
        <v>403</v>
      </c>
      <c r="B49" s="62" t="s">
        <v>233</v>
      </c>
      <c r="C49" s="61">
        <f ca="1">SUMIF(Пр.13!$C12:$C471,403,Пр.13!G12:G467)</f>
        <v>0</v>
      </c>
      <c r="D49" s="61">
        <f ca="1">SUMIF(Пр.13!$C12:$C471,403,Пр.13!H12:H467)</f>
        <v>0</v>
      </c>
      <c r="E49" s="61">
        <f ca="1">SUMIF(Пр.13!$C12:$C471,403,Пр.13!I12:I467)</f>
        <v>0</v>
      </c>
      <c r="F49" s="61">
        <f ca="1">SUMIF(Пр.13!$C12:$C471,403,Пр.13!J12:J467)</f>
        <v>0</v>
      </c>
      <c r="G49" s="61">
        <f ca="1">SUMIF(Пр.13!$C12:$C471,403,Пр.13!K12:K467)</f>
        <v>0</v>
      </c>
      <c r="H49" s="61">
        <f ca="1">SUMIF(Пр.13!$C12:$C471,403,Пр.13!L12:L467)</f>
        <v>0</v>
      </c>
    </row>
    <row r="50" spans="1:8" ht="16.5" hidden="1" thickBot="1" x14ac:dyDescent="0.3">
      <c r="A50" s="59">
        <v>404</v>
      </c>
      <c r="B50" s="62" t="s">
        <v>234</v>
      </c>
      <c r="C50" s="61">
        <f ca="1">SUMIF(Пр.13!$C14:$C472,404,Пр.13!G14:G467)</f>
        <v>0</v>
      </c>
      <c r="D50" s="61">
        <f ca="1">SUMIF(Пр.13!$C14:$C472,404,Пр.13!H14:H467)</f>
        <v>0</v>
      </c>
      <c r="E50" s="61">
        <f ca="1">SUMIF(Пр.13!$C14:$C472,404,Пр.13!I14:I467)</f>
        <v>0</v>
      </c>
      <c r="F50" s="61">
        <f ca="1">SUMIF(Пр.13!$C14:$C472,404,Пр.13!J14:J467)</f>
        <v>0</v>
      </c>
      <c r="G50" s="61">
        <f ca="1">SUMIF(Пр.13!$C14:$C472,404,Пр.13!K14:K467)</f>
        <v>0</v>
      </c>
      <c r="H50" s="61">
        <f ca="1">SUMIF(Пр.13!$C14:$C472,404,Пр.13!L14:L467)</f>
        <v>0</v>
      </c>
    </row>
    <row r="51" spans="1:8" ht="16.5" thickBot="1" x14ac:dyDescent="0.3">
      <c r="A51" s="59">
        <v>405</v>
      </c>
      <c r="B51" s="62" t="s">
        <v>235</v>
      </c>
      <c r="C51" s="61">
        <f ca="1">SUMIF(Пр.13!$C15:$C473,405,Пр.13!G15:G467)</f>
        <v>693475</v>
      </c>
      <c r="D51" s="61">
        <f ca="1">SUMIF(Пр.13!$C15:$C473,405,Пр.13!H15:H467)</f>
        <v>0</v>
      </c>
      <c r="E51" s="61">
        <f ca="1">SUMIF(Пр.13!$C15:$C473,405,Пр.13!I15:I467)</f>
        <v>693475</v>
      </c>
      <c r="F51" s="61">
        <f ca="1">SUMIF(Пр.13!$C15:$C473,405,Пр.13!J15:J467)</f>
        <v>693475</v>
      </c>
      <c r="G51" s="61">
        <f ca="1">SUMIF(Пр.13!$C15:$C473,405,Пр.13!K15:K467)</f>
        <v>0</v>
      </c>
      <c r="H51" s="61">
        <f ca="1">SUMIF(Пр.13!$C15:$C473,405,Пр.13!L15:L467)</f>
        <v>693475</v>
      </c>
    </row>
    <row r="52" spans="1:8" ht="16.5" hidden="1" thickBot="1" x14ac:dyDescent="0.3">
      <c r="A52" s="59">
        <v>406</v>
      </c>
      <c r="B52" s="62" t="s">
        <v>236</v>
      </c>
      <c r="C52" s="61">
        <f ca="1">SUMIF(Пр.13!$C15:$C474,406,Пр.13!G15:G467)</f>
        <v>0</v>
      </c>
      <c r="D52" s="61">
        <f ca="1">SUMIF(Пр.13!$C15:$C474,406,Пр.13!H15:H467)</f>
        <v>0</v>
      </c>
      <c r="E52" s="61">
        <f ca="1">SUMIF(Пр.13!$C15:$C474,406,Пр.13!I15:I467)</f>
        <v>0</v>
      </c>
      <c r="F52" s="61">
        <f ca="1">SUMIF(Пр.13!$C15:$C474,406,Пр.13!J15:J467)</f>
        <v>0</v>
      </c>
      <c r="G52" s="61">
        <f ca="1">SUMIF(Пр.13!$C15:$C474,406,Пр.13!K15:K467)</f>
        <v>0</v>
      </c>
      <c r="H52" s="61">
        <f ca="1">SUMIF(Пр.13!$C15:$C474,406,Пр.13!L15:L467)</f>
        <v>0</v>
      </c>
    </row>
    <row r="53" spans="1:8" ht="16.5" hidden="1" thickBot="1" x14ac:dyDescent="0.3">
      <c r="A53" s="59">
        <v>407</v>
      </c>
      <c r="B53" s="62" t="s">
        <v>237</v>
      </c>
      <c r="C53" s="61">
        <f ca="1">SUMIF(Пр.13!$C16:$C475,407,Пр.13!G16:G467)</f>
        <v>0</v>
      </c>
      <c r="D53" s="61">
        <f ca="1">SUMIF(Пр.13!$C16:$C475,407,Пр.13!H16:H467)</f>
        <v>0</v>
      </c>
      <c r="E53" s="61">
        <f ca="1">SUMIF(Пр.13!$C16:$C475,407,Пр.13!I16:I467)</f>
        <v>0</v>
      </c>
      <c r="F53" s="61">
        <f ca="1">SUMIF(Пр.13!$C16:$C475,407,Пр.13!J16:J467)</f>
        <v>0</v>
      </c>
      <c r="G53" s="61">
        <f ca="1">SUMIF(Пр.13!$C16:$C475,407,Пр.13!K16:K467)</f>
        <v>0</v>
      </c>
      <c r="H53" s="61">
        <f ca="1">SUMIF(Пр.13!$C16:$C475,407,Пр.13!L16:L467)</f>
        <v>0</v>
      </c>
    </row>
    <row r="54" spans="1:8" ht="16.5" thickBot="1" x14ac:dyDescent="0.3">
      <c r="A54" s="59">
        <v>408</v>
      </c>
      <c r="B54" s="62" t="s">
        <v>238</v>
      </c>
      <c r="C54" s="61">
        <f ca="1">SUMIF(Пр.13!$C17:$C476,408,Пр.13!G17:G467)</f>
        <v>10000000</v>
      </c>
      <c r="D54" s="61">
        <f ca="1">SUMIF(Пр.13!$C17:$C476,408,Пр.13!H17:H467)</f>
        <v>0</v>
      </c>
      <c r="E54" s="61">
        <f ca="1">SUMIF(Пр.13!$C17:$C476,408,Пр.13!I17:I467)</f>
        <v>10000000</v>
      </c>
      <c r="F54" s="61">
        <f ca="1">SUMIF(Пр.13!$C17:$C476,408,Пр.13!J17:J467)</f>
        <v>0</v>
      </c>
      <c r="G54" s="61">
        <f ca="1">SUMIF(Пр.13!$C17:$C476,408,Пр.13!K17:K467)</f>
        <v>0</v>
      </c>
      <c r="H54" s="61">
        <f ca="1">SUMIF(Пр.13!$C17:$C476,408,Пр.13!L17:L467)</f>
        <v>0</v>
      </c>
    </row>
    <row r="55" spans="1:8" ht="16.5" thickBot="1" x14ac:dyDescent="0.3">
      <c r="A55" s="59">
        <v>409</v>
      </c>
      <c r="B55" s="62" t="s">
        <v>239</v>
      </c>
      <c r="C55" s="61">
        <f ca="1">SUMIF(Пр.13!$C18:$C477,409,Пр.13!G18:G467)</f>
        <v>20335090</v>
      </c>
      <c r="D55" s="61">
        <f ca="1">SUMIF(Пр.13!$C18:$C477,409,Пр.13!H18:H467)</f>
        <v>0</v>
      </c>
      <c r="E55" s="61">
        <f ca="1">SUMIF(Пр.13!$C18:$C477,409,Пр.13!I18:I467)</f>
        <v>20335090</v>
      </c>
      <c r="F55" s="61">
        <f ca="1">SUMIF(Пр.13!$C18:$C477,409,Пр.13!J18:J467)</f>
        <v>24472240</v>
      </c>
      <c r="G55" s="61">
        <f ca="1">SUMIF(Пр.13!$C18:$C477,409,Пр.13!K18:K467)</f>
        <v>0</v>
      </c>
      <c r="H55" s="61">
        <f ca="1">SUMIF(Пр.13!$C18:$C477,409,Пр.13!L18:L467)</f>
        <v>24472240</v>
      </c>
    </row>
    <row r="56" spans="1:8" ht="16.5" hidden="1" thickBot="1" x14ac:dyDescent="0.3">
      <c r="A56" s="59">
        <v>410</v>
      </c>
      <c r="B56" s="62" t="s">
        <v>240</v>
      </c>
      <c r="C56" s="61">
        <f ca="1">SUMIF(Пр.13!$C21:$C478,410,Пр.13!G21:G467)</f>
        <v>0</v>
      </c>
      <c r="D56" s="61">
        <f ca="1">SUMIF(Пр.13!$C21:$C478,410,Пр.13!H21:H467)</f>
        <v>0</v>
      </c>
      <c r="E56" s="61">
        <f ca="1">SUMIF(Пр.13!$C21:$C478,410,Пр.13!I21:I467)</f>
        <v>0</v>
      </c>
      <c r="F56" s="61">
        <f ca="1">SUMIF(Пр.13!$C21:$C478,410,Пр.13!J21:J467)</f>
        <v>0</v>
      </c>
      <c r="G56" s="61">
        <f ca="1">SUMIF(Пр.13!$C21:$C478,410,Пр.13!K21:K467)</f>
        <v>0</v>
      </c>
      <c r="H56" s="61">
        <f ca="1">SUMIF(Пр.13!$C21:$C478,410,Пр.13!L21:L467)</f>
        <v>0</v>
      </c>
    </row>
    <row r="57" spans="1:8" ht="32.25" hidden="1" thickBot="1" x14ac:dyDescent="0.3">
      <c r="A57" s="59">
        <v>411</v>
      </c>
      <c r="B57" s="62" t="s">
        <v>241</v>
      </c>
      <c r="C57" s="61">
        <f ca="1">SUMIF(Пр.13!$C21:$C479,411,Пр.13!G21:G467)</f>
        <v>0</v>
      </c>
      <c r="D57" s="61">
        <f ca="1">SUMIF(Пр.13!$C21:$C479,411,Пр.13!H21:H467)</f>
        <v>0</v>
      </c>
      <c r="E57" s="61">
        <f ca="1">SUMIF(Пр.13!$C21:$C479,411,Пр.13!I21:I467)</f>
        <v>0</v>
      </c>
      <c r="F57" s="61">
        <f ca="1">SUMIF(Пр.13!$C21:$C479,411,Пр.13!J21:J467)</f>
        <v>0</v>
      </c>
      <c r="G57" s="61">
        <f ca="1">SUMIF(Пр.13!$C21:$C479,411,Пр.13!K21:K467)</f>
        <v>0</v>
      </c>
      <c r="H57" s="61">
        <f ca="1">SUMIF(Пр.13!$C21:$C479,411,Пр.13!L21:L467)</f>
        <v>0</v>
      </c>
    </row>
    <row r="58" spans="1:8" ht="32.25" hidden="1" thickBot="1" x14ac:dyDescent="0.3">
      <c r="A58" s="59">
        <v>412</v>
      </c>
      <c r="B58" s="62" t="s">
        <v>242</v>
      </c>
      <c r="C58" s="61">
        <f ca="1">SUMIF(Пр.13!$C10:$C480,412,Пр.13!G10:G467)</f>
        <v>0</v>
      </c>
      <c r="D58" s="61">
        <f ca="1">SUMIF(Пр.13!$C10:$C480,412,Пр.13!H10:H467)</f>
        <v>0</v>
      </c>
      <c r="E58" s="61">
        <f ca="1">SUMIF(Пр.13!$C10:$C480,412,Пр.13!I10:I467)</f>
        <v>0</v>
      </c>
      <c r="F58" s="61">
        <f ca="1">SUMIF(Пр.13!$C10:$C480,412,Пр.13!J10:J467)</f>
        <v>0</v>
      </c>
      <c r="G58" s="61">
        <f ca="1">SUMIF(Пр.13!$C10:$C480,412,Пр.13!K10:K467)</f>
        <v>0</v>
      </c>
      <c r="H58" s="61">
        <f ca="1">SUMIF(Пр.13!$C10:$C480,412,Пр.13!L10:L467)</f>
        <v>0</v>
      </c>
    </row>
    <row r="59" spans="1:8" ht="32.25" thickBot="1" x14ac:dyDescent="0.3">
      <c r="A59" s="56">
        <v>500</v>
      </c>
      <c r="B59" s="63" t="s">
        <v>243</v>
      </c>
      <c r="C59" s="58">
        <f t="shared" ref="C59:H59" ca="1" si="4">SUM(C60:C64)</f>
        <v>8475404</v>
      </c>
      <c r="D59" s="58">
        <f t="shared" ca="1" si="4"/>
        <v>0</v>
      </c>
      <c r="E59" s="58">
        <f t="shared" ca="1" si="4"/>
        <v>8475404</v>
      </c>
      <c r="F59" s="58">
        <f t="shared" ca="1" si="4"/>
        <v>8475404</v>
      </c>
      <c r="G59" s="58">
        <f t="shared" ca="1" si="4"/>
        <v>0</v>
      </c>
      <c r="H59" s="58">
        <f t="shared" ca="1" si="4"/>
        <v>8475404</v>
      </c>
    </row>
    <row r="60" spans="1:8" ht="16.5" hidden="1" thickBot="1" x14ac:dyDescent="0.3">
      <c r="A60" s="59">
        <v>501</v>
      </c>
      <c r="B60" s="62" t="s">
        <v>244</v>
      </c>
      <c r="C60" s="61">
        <f>SUMIF(Пр.13!$C10:$C467,501,Пр.13!G10:G467)</f>
        <v>0</v>
      </c>
      <c r="D60" s="61">
        <f>SUMIF(Пр.13!$C10:$C467,501,Пр.13!H10:H467)</f>
        <v>0</v>
      </c>
      <c r="E60" s="61">
        <f>SUMIF(Пр.13!$C10:$C467,501,Пр.13!I10:I467)</f>
        <v>0</v>
      </c>
      <c r="F60" s="61">
        <f>SUMIF(Пр.13!$C10:$C467,501,Пр.13!J10:J467)</f>
        <v>0</v>
      </c>
      <c r="G60" s="61">
        <f>SUMIF(Пр.13!$C10:$C467,501,Пр.13!K10:K467)</f>
        <v>0</v>
      </c>
      <c r="H60" s="61">
        <f>SUMIF(Пр.13!$C10:$C467,501,Пр.13!L10:L467)</f>
        <v>0</v>
      </c>
    </row>
    <row r="61" spans="1:8" ht="16.5" thickBot="1" x14ac:dyDescent="0.3">
      <c r="A61" s="59">
        <v>502</v>
      </c>
      <c r="B61" s="62" t="s">
        <v>245</v>
      </c>
      <c r="C61" s="61">
        <f>SUMIF(Пр.13!$C11:$C467,502,Пр.13!G11:G467)</f>
        <v>3000000</v>
      </c>
      <c r="D61" s="61">
        <f>SUMIF(Пр.13!$C11:$C467,502,Пр.13!H11:H467)</f>
        <v>0</v>
      </c>
      <c r="E61" s="61">
        <f>SUMIF(Пр.13!$C11:$C467,502,Пр.13!I11:I467)</f>
        <v>3000000</v>
      </c>
      <c r="F61" s="61">
        <f>SUMIF(Пр.13!$C11:$C467,502,Пр.13!J11:J467)</f>
        <v>3000000</v>
      </c>
      <c r="G61" s="61">
        <f>SUMIF(Пр.13!$C11:$C467,502,Пр.13!K11:K467)</f>
        <v>0</v>
      </c>
      <c r="H61" s="61">
        <f>SUMIF(Пр.13!$C11:$C467,502,Пр.13!L11:L467)</f>
        <v>3000000</v>
      </c>
    </row>
    <row r="62" spans="1:8" ht="16.5" hidden="1" thickBot="1" x14ac:dyDescent="0.3">
      <c r="A62" s="59">
        <v>503</v>
      </c>
      <c r="B62" s="60" t="s">
        <v>246</v>
      </c>
      <c r="C62" s="61">
        <f ca="1">SUMIF(Пр.13!$C12:$C471,503,Пр.13!G12:G467)</f>
        <v>0</v>
      </c>
      <c r="D62" s="61">
        <f ca="1">SUMIF(Пр.13!$C12:$C471,503,Пр.13!H12:H467)</f>
        <v>0</v>
      </c>
      <c r="E62" s="61">
        <f ca="1">SUMIF(Пр.13!$C12:$C471,503,Пр.13!I12:I467)</f>
        <v>0</v>
      </c>
      <c r="F62" s="61">
        <f ca="1">SUMIF(Пр.13!$C12:$C471,503,Пр.13!J12:J467)</f>
        <v>0</v>
      </c>
      <c r="G62" s="61">
        <f ca="1">SUMIF(Пр.13!$C12:$C471,503,Пр.13!K12:K467)</f>
        <v>0</v>
      </c>
      <c r="H62" s="61">
        <f ca="1">SUMIF(Пр.13!$C12:$C471,503,Пр.13!L12:L467)</f>
        <v>0</v>
      </c>
    </row>
    <row r="63" spans="1:8" ht="32.25" hidden="1" thickBot="1" x14ac:dyDescent="0.3">
      <c r="A63" s="59">
        <v>504</v>
      </c>
      <c r="B63" s="62" t="s">
        <v>247</v>
      </c>
      <c r="C63" s="61">
        <f ca="1">SUMIF(Пр.13!$C14:$C472,504,Пр.13!G14:G467)</f>
        <v>0</v>
      </c>
      <c r="D63" s="61">
        <f ca="1">SUMIF(Пр.13!$C14:$C472,504,Пр.13!H14:H467)</f>
        <v>0</v>
      </c>
      <c r="E63" s="61">
        <f ca="1">SUMIF(Пр.13!$C14:$C472,504,Пр.13!I14:I467)</f>
        <v>0</v>
      </c>
      <c r="F63" s="61">
        <f ca="1">SUMIF(Пр.13!$C14:$C472,504,Пр.13!J14:J467)</f>
        <v>0</v>
      </c>
      <c r="G63" s="61">
        <f ca="1">SUMIF(Пр.13!$C14:$C472,504,Пр.13!K14:K467)</f>
        <v>0</v>
      </c>
      <c r="H63" s="61">
        <f ca="1">SUMIF(Пр.13!$C14:$C472,504,Пр.13!L14:L467)</f>
        <v>0</v>
      </c>
    </row>
    <row r="64" spans="1:8" ht="32.25" thickBot="1" x14ac:dyDescent="0.3">
      <c r="A64" s="59">
        <v>505</v>
      </c>
      <c r="B64" s="62" t="s">
        <v>248</v>
      </c>
      <c r="C64" s="61">
        <f ca="1">SUMIF(Пр.13!$C15:$C473,505,Пр.13!G15:G467)</f>
        <v>5475404</v>
      </c>
      <c r="D64" s="61">
        <f ca="1">SUMIF(Пр.13!$C15:$C473,505,Пр.13!H15:H467)</f>
        <v>0</v>
      </c>
      <c r="E64" s="61">
        <f ca="1">SUMIF(Пр.13!$C15:$C473,505,Пр.13!I15:I467)</f>
        <v>5475404</v>
      </c>
      <c r="F64" s="61">
        <f ca="1">SUMIF(Пр.13!$C15:$C473,505,Пр.13!J15:J467)</f>
        <v>5475404</v>
      </c>
      <c r="G64" s="61">
        <f ca="1">SUMIF(Пр.13!$C15:$C473,505,Пр.13!K15:K467)</f>
        <v>0</v>
      </c>
      <c r="H64" s="61">
        <f ca="1">SUMIF(Пр.13!$C15:$C473,505,Пр.13!L15:L467)</f>
        <v>5475404</v>
      </c>
    </row>
    <row r="65" spans="1:8" ht="16.5" hidden="1" thickBot="1" x14ac:dyDescent="0.3">
      <c r="A65" s="56">
        <v>600</v>
      </c>
      <c r="B65" s="65" t="s">
        <v>249</v>
      </c>
      <c r="C65" s="58">
        <f t="shared" ref="C65:H65" si="5">SUM(C66:C70)</f>
        <v>0</v>
      </c>
      <c r="D65" s="58">
        <f t="shared" si="5"/>
        <v>0</v>
      </c>
      <c r="E65" s="58">
        <f t="shared" si="5"/>
        <v>0</v>
      </c>
      <c r="F65" s="58">
        <f t="shared" si="5"/>
        <v>0</v>
      </c>
      <c r="G65" s="58">
        <f t="shared" si="5"/>
        <v>0</v>
      </c>
      <c r="H65" s="58">
        <f t="shared" si="5"/>
        <v>0</v>
      </c>
    </row>
    <row r="66" spans="1:8" ht="16.5" hidden="1" thickBot="1" x14ac:dyDescent="0.3">
      <c r="A66" s="59">
        <v>601</v>
      </c>
      <c r="B66" s="60" t="s">
        <v>250</v>
      </c>
      <c r="C66" s="61">
        <f>SUMIF(Пр.13!$C10:$C467,601,Пр.13!G10:G467)</f>
        <v>0</v>
      </c>
      <c r="D66" s="61">
        <f>SUMIF(Пр.13!$C10:$C467,601,Пр.13!H10:H467)</f>
        <v>0</v>
      </c>
      <c r="E66" s="61">
        <f>SUMIF(Пр.13!$C10:$C467,601,Пр.13!I10:I467)</f>
        <v>0</v>
      </c>
      <c r="F66" s="61">
        <f>SUMIF(Пр.13!$C10:$C467,601,Пр.13!J10:J467)</f>
        <v>0</v>
      </c>
      <c r="G66" s="61">
        <f>SUMIF(Пр.13!$C10:$C467,601,Пр.13!K10:K467)</f>
        <v>0</v>
      </c>
      <c r="H66" s="61">
        <f>SUMIF(Пр.13!$C10:$C467,601,Пр.13!L10:L467)</f>
        <v>0</v>
      </c>
    </row>
    <row r="67" spans="1:8" ht="16.5" hidden="1" thickBot="1" x14ac:dyDescent="0.3">
      <c r="A67" s="59">
        <v>602</v>
      </c>
      <c r="B67" s="62" t="s">
        <v>251</v>
      </c>
      <c r="C67" s="61">
        <f>SUMIF(Пр.13!$C11:$C467,602,Пр.13!G11:G467)</f>
        <v>0</v>
      </c>
      <c r="D67" s="61">
        <f>SUMIF(Пр.13!$C11:$C467,602,Пр.13!H11:H467)</f>
        <v>0</v>
      </c>
      <c r="E67" s="61">
        <f>SUMIF(Пр.13!$C11:$C467,602,Пр.13!I11:I467)</f>
        <v>0</v>
      </c>
      <c r="F67" s="61">
        <f>SUMIF(Пр.13!$C11:$C467,602,Пр.13!J11:J467)</f>
        <v>0</v>
      </c>
      <c r="G67" s="61">
        <f>SUMIF(Пр.13!$C11:$C467,602,Пр.13!K11:K467)</f>
        <v>0</v>
      </c>
      <c r="H67" s="61">
        <f>SUMIF(Пр.13!$C11:$C467,602,Пр.13!L11:L467)</f>
        <v>0</v>
      </c>
    </row>
    <row r="68" spans="1:8" ht="32.25" hidden="1" thickBot="1" x14ac:dyDescent="0.3">
      <c r="A68" s="59">
        <v>603</v>
      </c>
      <c r="B68" s="62" t="s">
        <v>252</v>
      </c>
      <c r="C68" s="61">
        <f>SUMIF(Пр.13!$C12:$C471,603,Пр.13!G12:G471)</f>
        <v>0</v>
      </c>
      <c r="D68" s="61">
        <f>SUMIF(Пр.13!$C12:$C471,603,Пр.13!H12:H471)</f>
        <v>0</v>
      </c>
      <c r="E68" s="61">
        <f>SUMIF(Пр.13!$C12:$C471,603,Пр.13!I12:I471)</f>
        <v>0</v>
      </c>
      <c r="F68" s="61">
        <f>SUMIF(Пр.13!$C12:$C471,603,Пр.13!J12:J471)</f>
        <v>0</v>
      </c>
      <c r="G68" s="61">
        <f>SUMIF(Пр.13!$C12:$C471,603,Пр.13!K12:K471)</f>
        <v>0</v>
      </c>
      <c r="H68" s="61">
        <f>SUMIF(Пр.13!$C12:$C471,603,Пр.13!L12:L471)</f>
        <v>0</v>
      </c>
    </row>
    <row r="69" spans="1:8" ht="32.25" hidden="1" thickBot="1" x14ac:dyDescent="0.3">
      <c r="A69" s="59">
        <v>604</v>
      </c>
      <c r="B69" s="62" t="s">
        <v>253</v>
      </c>
      <c r="C69" s="61">
        <f>SUMIF(Пр.13!$C14:$C472,604,Пр.13!G14:G472)</f>
        <v>0</v>
      </c>
      <c r="D69" s="61">
        <f>SUMIF(Пр.13!$C14:$C472,604,Пр.13!H14:H472)</f>
        <v>0</v>
      </c>
      <c r="E69" s="61">
        <f>SUMIF(Пр.13!$C14:$C472,604,Пр.13!I14:I472)</f>
        <v>0</v>
      </c>
      <c r="F69" s="61">
        <f>SUMIF(Пр.13!$C14:$C472,604,Пр.13!J14:J472)</f>
        <v>0</v>
      </c>
      <c r="G69" s="61">
        <f>SUMIF(Пр.13!$C14:$C472,604,Пр.13!K14:K472)</f>
        <v>0</v>
      </c>
      <c r="H69" s="61">
        <f>SUMIF(Пр.13!$C14:$C472,604,Пр.13!L14:L472)</f>
        <v>0</v>
      </c>
    </row>
    <row r="70" spans="1:8" ht="32.25" hidden="1" thickBot="1" x14ac:dyDescent="0.3">
      <c r="A70" s="59">
        <v>605</v>
      </c>
      <c r="B70" s="62" t="s">
        <v>254</v>
      </c>
      <c r="C70" s="61">
        <f>SUMIF(Пр.13!$C15:$C473,605,Пр.13!G15:G473)</f>
        <v>0</v>
      </c>
      <c r="D70" s="61">
        <f>SUMIF(Пр.13!$C15:$C473,605,Пр.13!H15:H473)</f>
        <v>0</v>
      </c>
      <c r="E70" s="61">
        <f>SUMIF(Пр.13!$C15:$C473,605,Пр.13!I15:I473)</f>
        <v>0</v>
      </c>
      <c r="F70" s="61">
        <f>SUMIF(Пр.13!$C15:$C473,605,Пр.13!J15:J473)</f>
        <v>0</v>
      </c>
      <c r="G70" s="61">
        <f>SUMIF(Пр.13!$C15:$C473,605,Пр.13!K15:K473)</f>
        <v>0</v>
      </c>
      <c r="H70" s="61">
        <f>SUMIF(Пр.13!$C15:$C473,605,Пр.13!L15:L473)</f>
        <v>0</v>
      </c>
    </row>
    <row r="71" spans="1:8" ht="16.5" thickBot="1" x14ac:dyDescent="0.3">
      <c r="A71" s="56">
        <v>700</v>
      </c>
      <c r="B71" s="65" t="s">
        <v>255</v>
      </c>
      <c r="C71" s="58">
        <f t="shared" ref="C71:H71" si="6">SUM(C72:C80)</f>
        <v>862649813</v>
      </c>
      <c r="D71" s="58">
        <f t="shared" si="6"/>
        <v>0</v>
      </c>
      <c r="E71" s="58">
        <f t="shared" si="6"/>
        <v>862649813</v>
      </c>
      <c r="F71" s="58">
        <f t="shared" si="6"/>
        <v>725352259</v>
      </c>
      <c r="G71" s="58">
        <f t="shared" si="6"/>
        <v>0</v>
      </c>
      <c r="H71" s="58">
        <f t="shared" si="6"/>
        <v>725352259</v>
      </c>
    </row>
    <row r="72" spans="1:8" ht="16.5" thickBot="1" x14ac:dyDescent="0.3">
      <c r="A72" s="59">
        <v>701</v>
      </c>
      <c r="B72" s="62" t="s">
        <v>256</v>
      </c>
      <c r="C72" s="61">
        <f>SUMIF(Пр.13!$C10:$C507,701,Пр.13!G10:G507)</f>
        <v>365941675</v>
      </c>
      <c r="D72" s="61">
        <f>SUMIF(Пр.13!$C10:$C507,701,Пр.13!H10:H507)</f>
        <v>0</v>
      </c>
      <c r="E72" s="61">
        <f>SUMIF(Пр.13!$C10:$C507,701,Пр.13!I10:I507)</f>
        <v>365941675</v>
      </c>
      <c r="F72" s="61">
        <f>SUMIF(Пр.13!$C10:$C507,701,Пр.13!J10:J507)</f>
        <v>311620410</v>
      </c>
      <c r="G72" s="61">
        <f>SUMIF(Пр.13!$C10:$C507,701,Пр.13!K10:K507)</f>
        <v>0</v>
      </c>
      <c r="H72" s="61">
        <f>SUMIF(Пр.13!$C10:$C507,701,Пр.13!L10:L507)</f>
        <v>311620410</v>
      </c>
    </row>
    <row r="73" spans="1:8" ht="16.5" thickBot="1" x14ac:dyDescent="0.3">
      <c r="A73" s="59">
        <v>702</v>
      </c>
      <c r="B73" s="62" t="s">
        <v>257</v>
      </c>
      <c r="C73" s="61">
        <f>SUMIF(Пр.13!$C10:$C508,702,Пр.13!G10:G508)</f>
        <v>388710089</v>
      </c>
      <c r="D73" s="61">
        <f>SUMIF(Пр.13!$C10:$C508,702,Пр.13!H10:H508)</f>
        <v>0</v>
      </c>
      <c r="E73" s="61">
        <f>SUMIF(Пр.13!$C10:$C508,702,Пр.13!I10:I508)</f>
        <v>388710089</v>
      </c>
      <c r="F73" s="61">
        <f>SUMIF(Пр.13!$C10:$C508,702,Пр.13!J10:J508)</f>
        <v>352733800</v>
      </c>
      <c r="G73" s="61">
        <f>SUMIF(Пр.13!$C10:$C508,702,Пр.13!K10:K508)</f>
        <v>0</v>
      </c>
      <c r="H73" s="61">
        <f>SUMIF(Пр.13!$C10:$C508,702,Пр.13!L10:L508)</f>
        <v>352733800</v>
      </c>
    </row>
    <row r="74" spans="1:8" ht="16.5" thickBot="1" x14ac:dyDescent="0.3">
      <c r="A74" s="59">
        <v>703</v>
      </c>
      <c r="B74" s="493" t="s">
        <v>2913</v>
      </c>
      <c r="C74" s="61">
        <f>SUMIF(Пр.13!$C82:$C509,703,Пр.13!G82:G509)</f>
        <v>59000000</v>
      </c>
      <c r="D74" s="61">
        <f>SUMIF(Пр.13!$C82:$C509,703,Пр.13!H82:H509)</f>
        <v>0</v>
      </c>
      <c r="E74" s="61">
        <f>SUMIF(Пр.13!$C82:$C509,703,Пр.13!I82:I509)</f>
        <v>59000000</v>
      </c>
      <c r="F74" s="61">
        <f>SUMIF(Пр.13!$C82:$C509,703,Пр.13!J82:J509)</f>
        <v>21000000</v>
      </c>
      <c r="G74" s="61">
        <f>SUMIF(Пр.13!$C82:$C509,703,Пр.13!K82:K509)</f>
        <v>0</v>
      </c>
      <c r="H74" s="61">
        <f>SUMIF(Пр.13!$C82:$C509,703,Пр.13!L82:L509)</f>
        <v>21000000</v>
      </c>
    </row>
    <row r="75" spans="1:8" ht="16.5" hidden="1" thickBot="1" x14ac:dyDescent="0.3">
      <c r="A75" s="59">
        <v>704</v>
      </c>
      <c r="B75" s="62" t="s">
        <v>258</v>
      </c>
      <c r="C75" s="61">
        <f>SUMIF(Пр.13!$C82:$C510,304,Пр.13!G82:G510)</f>
        <v>0</v>
      </c>
      <c r="D75" s="61">
        <f>SUMIF(Пр.13!$C82:$C510,304,Пр.13!H82:H510)</f>
        <v>0</v>
      </c>
      <c r="E75" s="61">
        <f>SUMIF(Пр.13!$C82:$C510,304,Пр.13!I82:I510)</f>
        <v>0</v>
      </c>
      <c r="F75" s="61">
        <f>SUMIF(Пр.13!$C82:$C510,304,Пр.13!J82:J510)</f>
        <v>0</v>
      </c>
      <c r="G75" s="61">
        <f>SUMIF(Пр.13!$C82:$C510,304,Пр.13!K82:K510)</f>
        <v>0</v>
      </c>
      <c r="H75" s="61">
        <f>SUMIF(Пр.13!$C82:$C510,304,Пр.13!L82:L510)</f>
        <v>0</v>
      </c>
    </row>
    <row r="76" spans="1:8" ht="32.25" thickBot="1" x14ac:dyDescent="0.3">
      <c r="A76" s="59">
        <v>705</v>
      </c>
      <c r="B76" s="62" t="s">
        <v>259</v>
      </c>
      <c r="C76" s="61">
        <f>SUMIF(Пр.13!$C82:$C511,705,Пр.13!G82:G511)</f>
        <v>1247200</v>
      </c>
      <c r="D76" s="61">
        <f>SUMIF(Пр.13!$C82:$C511,705,Пр.13!H82:H511)</f>
        <v>0</v>
      </c>
      <c r="E76" s="61">
        <f>SUMIF(Пр.13!$C82:$C511,705,Пр.13!I82:I511)</f>
        <v>1247200</v>
      </c>
      <c r="F76" s="61">
        <f>SUMIF(Пр.13!$C82:$C511,705,Пр.13!J82:J511)</f>
        <v>1247200</v>
      </c>
      <c r="G76" s="61">
        <f>SUMIF(Пр.13!$C82:$C511,705,Пр.13!K82:K511)</f>
        <v>0</v>
      </c>
      <c r="H76" s="61">
        <f>SUMIF(Пр.13!$C82:$C511,705,Пр.13!L82:L511)</f>
        <v>1247200</v>
      </c>
    </row>
    <row r="77" spans="1:8" ht="32.25" hidden="1" thickBot="1" x14ac:dyDescent="0.3">
      <c r="A77" s="66">
        <v>706</v>
      </c>
      <c r="B77" s="67" t="s">
        <v>260</v>
      </c>
      <c r="C77" s="61">
        <f>SUMIF(Пр.13!$C15:$C474,706,Пр.13!F15:F474)</f>
        <v>0</v>
      </c>
      <c r="D77" s="61">
        <f>SUMIF(Пр.13!$C15:$C474,706,Пр.13!G15:G474)</f>
        <v>0</v>
      </c>
      <c r="E77" s="61">
        <f>SUMIF(Пр.13!$C15:$C474,706,Пр.13!H15:H474)</f>
        <v>0</v>
      </c>
      <c r="F77" s="61">
        <f>SUMIF(Пр.13!$C15:$C474,706,Пр.13!I15:I474)</f>
        <v>0</v>
      </c>
      <c r="G77" s="61">
        <f>SUMIF(Пр.13!$C15:$C474,706,Пр.13!J15:J474)</f>
        <v>0</v>
      </c>
      <c r="H77" s="61">
        <f>SUMIF(Пр.13!$C15:$C474,706,Пр.13!K15:K474)</f>
        <v>0</v>
      </c>
    </row>
    <row r="78" spans="1:8" ht="16.5" thickBot="1" x14ac:dyDescent="0.3">
      <c r="A78" s="59">
        <v>707</v>
      </c>
      <c r="B78" s="493" t="s">
        <v>2915</v>
      </c>
      <c r="C78" s="61">
        <f>SUMIF(Пр.13!$C10:$C513,707,Пр.13!G10:G513)</f>
        <v>11396850</v>
      </c>
      <c r="D78" s="61">
        <f>SUMIF(Пр.13!$C10:$C513,707,Пр.13!H10:H513)</f>
        <v>0</v>
      </c>
      <c r="E78" s="61">
        <f>SUMIF(Пр.13!$C10:$C513,707,Пр.13!I10:I513)</f>
        <v>11396850</v>
      </c>
      <c r="F78" s="61">
        <f>SUMIF(Пр.13!$C10:$C513,707,Пр.13!J10:J513)</f>
        <v>7396850</v>
      </c>
      <c r="G78" s="61">
        <f>SUMIF(Пр.13!$C10:$C513,707,Пр.13!K10:K513)</f>
        <v>0</v>
      </c>
      <c r="H78" s="61">
        <f>SUMIF(Пр.13!$C10:$C513,707,Пр.13!L10:L513)</f>
        <v>7396850</v>
      </c>
    </row>
    <row r="79" spans="1:8" ht="32.25" hidden="1" thickBot="1" x14ac:dyDescent="0.3">
      <c r="A79" s="59">
        <v>708</v>
      </c>
      <c r="B79" s="62" t="s">
        <v>261</v>
      </c>
      <c r="C79" s="61">
        <f>SUMIF(Пр.13!$C17:$C476,7081,Пр.13!F17:F476)</f>
        <v>0</v>
      </c>
      <c r="D79" s="61">
        <f>SUMIF(Пр.13!$C17:$C476,7081,Пр.13!G17:G476)</f>
        <v>0</v>
      </c>
      <c r="E79" s="61">
        <f>SUMIF(Пр.13!$C17:$C476,7081,Пр.13!H17:H476)</f>
        <v>0</v>
      </c>
      <c r="F79" s="61">
        <f>SUMIF(Пр.13!$C17:$C476,7081,Пр.13!I17:I476)</f>
        <v>0</v>
      </c>
      <c r="G79" s="61">
        <f>SUMIF(Пр.13!$C17:$C476,7081,Пр.13!J17:J476)</f>
        <v>0</v>
      </c>
      <c r="H79" s="61">
        <f>SUMIF(Пр.13!$C17:$C476,7081,Пр.13!K17:K476)</f>
        <v>0</v>
      </c>
    </row>
    <row r="80" spans="1:8" ht="16.5" thickBot="1" x14ac:dyDescent="0.3">
      <c r="A80" s="59">
        <v>709</v>
      </c>
      <c r="B80" s="62" t="s">
        <v>262</v>
      </c>
      <c r="C80" s="61">
        <f>SUMIF(Пр.13!$C10:$C515,709,Пр.13!G10:G515)</f>
        <v>36353999</v>
      </c>
      <c r="D80" s="61">
        <f>SUMIF(Пр.13!$C10:$C515,709,Пр.13!H10:H515)</f>
        <v>0</v>
      </c>
      <c r="E80" s="61">
        <f>SUMIF(Пр.13!$C10:$C515,709,Пр.13!I10:I515)</f>
        <v>36353999</v>
      </c>
      <c r="F80" s="61">
        <f>SUMIF(Пр.13!$C10:$C515,709,Пр.13!J10:J515)</f>
        <v>31353999</v>
      </c>
      <c r="G80" s="61">
        <f>SUMIF(Пр.13!$C10:$C515,709,Пр.13!K10:K515)</f>
        <v>0</v>
      </c>
      <c r="H80" s="61">
        <f>SUMIF(Пр.13!$C10:$C515,709,Пр.13!L10:L515)</f>
        <v>31353999</v>
      </c>
    </row>
    <row r="81" spans="1:8" ht="16.5" thickBot="1" x14ac:dyDescent="0.3">
      <c r="A81" s="56">
        <v>800</v>
      </c>
      <c r="B81" s="65" t="s">
        <v>263</v>
      </c>
      <c r="C81" s="58">
        <f t="shared" ref="C81:H81" si="7">SUM(C82:C85)</f>
        <v>86274673</v>
      </c>
      <c r="D81" s="58">
        <f t="shared" si="7"/>
        <v>0</v>
      </c>
      <c r="E81" s="58">
        <f t="shared" si="7"/>
        <v>86274673</v>
      </c>
      <c r="F81" s="58">
        <f t="shared" si="7"/>
        <v>49274673</v>
      </c>
      <c r="G81" s="58">
        <f t="shared" si="7"/>
        <v>0</v>
      </c>
      <c r="H81" s="58">
        <f t="shared" si="7"/>
        <v>49274673</v>
      </c>
    </row>
    <row r="82" spans="1:8" ht="16.5" thickBot="1" x14ac:dyDescent="0.3">
      <c r="A82" s="59">
        <v>801</v>
      </c>
      <c r="B82" s="62" t="s">
        <v>264</v>
      </c>
      <c r="C82" s="61">
        <f>SUMIF(Пр.13!$C10:$C467,801,Пр.13!G10:G467)</f>
        <v>58000000</v>
      </c>
      <c r="D82" s="61">
        <f>SUMIF(Пр.13!$C10:$C467,801,Пр.13!H10:H467)</f>
        <v>0</v>
      </c>
      <c r="E82" s="61">
        <f>SUMIF(Пр.13!$C10:$C467,801,Пр.13!I10:I467)</f>
        <v>58000000</v>
      </c>
      <c r="F82" s="61">
        <f>SUMIF(Пр.13!$C10:$C467,801,Пр.13!J10:J467)</f>
        <v>21000000</v>
      </c>
      <c r="G82" s="61">
        <f>SUMIF(Пр.13!$C10:$C467,801,Пр.13!K10:K467)</f>
        <v>0</v>
      </c>
      <c r="H82" s="61">
        <f>SUMIF(Пр.13!$C10:$C467,801,Пр.13!L10:L467)</f>
        <v>21000000</v>
      </c>
    </row>
    <row r="83" spans="1:8" ht="16.5" hidden="1" thickBot="1" x14ac:dyDescent="0.3">
      <c r="A83" s="59">
        <v>802</v>
      </c>
      <c r="B83" s="62" t="s">
        <v>265</v>
      </c>
      <c r="C83" s="61">
        <f>SUMIF(Пр.13!$C11:$C467,802,Пр.13!G11:G467)</f>
        <v>0</v>
      </c>
      <c r="D83" s="61">
        <f>SUMIF(Пр.13!$C11:$C467,802,Пр.13!H11:H467)</f>
        <v>0</v>
      </c>
      <c r="E83" s="61">
        <f>SUMIF(Пр.13!$C11:$C467,802,Пр.13!I11:I467)</f>
        <v>0</v>
      </c>
      <c r="F83" s="61">
        <f>SUMIF(Пр.13!$C11:$C467,802,Пр.13!J11:J467)</f>
        <v>0</v>
      </c>
      <c r="G83" s="61">
        <f>SUMIF(Пр.13!$C11:$C467,802,Пр.13!K11:K467)</f>
        <v>0</v>
      </c>
      <c r="H83" s="61">
        <f>SUMIF(Пр.13!$C11:$C467,802,Пр.13!L11:L467)</f>
        <v>0</v>
      </c>
    </row>
    <row r="84" spans="1:8" ht="32.25" hidden="1" thickBot="1" x14ac:dyDescent="0.3">
      <c r="A84" s="59">
        <v>803</v>
      </c>
      <c r="B84" s="62" t="s">
        <v>266</v>
      </c>
      <c r="C84" s="61">
        <f>SUMIF(Пр.13!$C12:$C471,803,Пр.13!G12:G471)</f>
        <v>0</v>
      </c>
      <c r="D84" s="61">
        <f>SUMIF(Пр.13!$C12:$C471,803,Пр.13!H12:H471)</f>
        <v>0</v>
      </c>
      <c r="E84" s="61">
        <f>SUMIF(Пр.13!$C12:$C471,803,Пр.13!I12:I471)</f>
        <v>0</v>
      </c>
      <c r="F84" s="61">
        <f>SUMIF(Пр.13!$C12:$C471,803,Пр.13!J12:J471)</f>
        <v>0</v>
      </c>
      <c r="G84" s="61">
        <f>SUMIF(Пр.13!$C12:$C471,803,Пр.13!K12:K471)</f>
        <v>0</v>
      </c>
      <c r="H84" s="61">
        <f>SUMIF(Пр.13!$C12:$C471,803,Пр.13!L12:L471)</f>
        <v>0</v>
      </c>
    </row>
    <row r="85" spans="1:8" ht="32.25" thickBot="1" x14ac:dyDescent="0.3">
      <c r="A85" s="59">
        <v>804</v>
      </c>
      <c r="B85" s="62" t="s">
        <v>267</v>
      </c>
      <c r="C85" s="61">
        <f>SUMIF(Пр.13!$C14:$C472,804,Пр.13!G14:G472)</f>
        <v>28274673</v>
      </c>
      <c r="D85" s="61">
        <f>SUMIF(Пр.13!$C14:$C472,804,Пр.13!H14:H472)</f>
        <v>0</v>
      </c>
      <c r="E85" s="61">
        <f>SUMIF(Пр.13!$C14:$C472,804,Пр.13!I14:I472)</f>
        <v>28274673</v>
      </c>
      <c r="F85" s="61">
        <f>SUMIF(Пр.13!$C14:$C472,804,Пр.13!J14:J472)</f>
        <v>28274673</v>
      </c>
      <c r="G85" s="61">
        <f>SUMIF(Пр.13!$C14:$C472,804,Пр.13!K14:K472)</f>
        <v>0</v>
      </c>
      <c r="H85" s="61">
        <f>SUMIF(Пр.13!$C14:$C472,804,Пр.13!L14:L472)</f>
        <v>28274673</v>
      </c>
    </row>
    <row r="86" spans="1:8" ht="16.5" hidden="1" thickBot="1" x14ac:dyDescent="0.3">
      <c r="A86" s="56">
        <v>900</v>
      </c>
      <c r="B86" s="65" t="s">
        <v>268</v>
      </c>
      <c r="C86" s="58">
        <f t="shared" ref="C86:H86" si="8">SUM(C87:C95)</f>
        <v>0</v>
      </c>
      <c r="D86" s="58">
        <f t="shared" si="8"/>
        <v>0</v>
      </c>
      <c r="E86" s="58">
        <f t="shared" si="8"/>
        <v>0</v>
      </c>
      <c r="F86" s="58">
        <f t="shared" si="8"/>
        <v>0</v>
      </c>
      <c r="G86" s="58">
        <f t="shared" si="8"/>
        <v>0</v>
      </c>
      <c r="H86" s="58">
        <f t="shared" si="8"/>
        <v>0</v>
      </c>
    </row>
    <row r="87" spans="1:8" ht="16.5" hidden="1" thickBot="1" x14ac:dyDescent="0.3">
      <c r="A87" s="59">
        <v>901</v>
      </c>
      <c r="B87" s="62" t="s">
        <v>269</v>
      </c>
      <c r="C87" s="61">
        <f>SUMIF(Пр.13!$C10:$C467,901,Пр.13!G10:G467)</f>
        <v>0</v>
      </c>
      <c r="D87" s="61">
        <f>SUMIF(Пр.13!$C10:$C467,901,Пр.13!H10:H467)</f>
        <v>0</v>
      </c>
      <c r="E87" s="61">
        <f>SUMIF(Пр.13!$C10:$C467,901,Пр.13!I10:I467)</f>
        <v>0</v>
      </c>
      <c r="F87" s="61">
        <f>SUMIF(Пр.13!$C10:$C467,901,Пр.13!J10:J467)</f>
        <v>0</v>
      </c>
      <c r="G87" s="61">
        <f>SUMIF(Пр.13!$C10:$C467,901,Пр.13!K10:K467)</f>
        <v>0</v>
      </c>
      <c r="H87" s="61">
        <f>SUMIF(Пр.13!$C10:$C467,901,Пр.13!L10:L467)</f>
        <v>0</v>
      </c>
    </row>
    <row r="88" spans="1:8" ht="16.5" hidden="1" thickBot="1" x14ac:dyDescent="0.3">
      <c r="A88" s="59">
        <v>902</v>
      </c>
      <c r="B88" s="62" t="s">
        <v>270</v>
      </c>
      <c r="C88" s="61">
        <f>SUMIF(Пр.13!$C11:$C467,902,Пр.13!G11:G467)</f>
        <v>0</v>
      </c>
      <c r="D88" s="61">
        <f>SUMIF(Пр.13!$C11:$C467,902,Пр.13!H11:H467)</f>
        <v>0</v>
      </c>
      <c r="E88" s="61">
        <f>SUMIF(Пр.13!$C11:$C467,902,Пр.13!I11:I467)</f>
        <v>0</v>
      </c>
      <c r="F88" s="61">
        <f>SUMIF(Пр.13!$C11:$C467,902,Пр.13!J11:J467)</f>
        <v>0</v>
      </c>
      <c r="G88" s="61">
        <f>SUMIF(Пр.13!$C11:$C467,902,Пр.13!K11:K467)</f>
        <v>0</v>
      </c>
      <c r="H88" s="61">
        <f>SUMIF(Пр.13!$C11:$C467,902,Пр.13!L11:L467)</f>
        <v>0</v>
      </c>
    </row>
    <row r="89" spans="1:8" ht="32.25" hidden="1" thickBot="1" x14ac:dyDescent="0.3">
      <c r="A89" s="59">
        <v>903</v>
      </c>
      <c r="B89" s="62" t="s">
        <v>271</v>
      </c>
      <c r="C89" s="61">
        <f>SUMIF(Пр.13!$C12:$C471,903,Пр.13!G12:G471)</f>
        <v>0</v>
      </c>
      <c r="D89" s="61">
        <f>SUMIF(Пр.13!$C12:$C471,903,Пр.13!H12:H471)</f>
        <v>0</v>
      </c>
      <c r="E89" s="61">
        <f>SUMIF(Пр.13!$C12:$C471,903,Пр.13!I12:I471)</f>
        <v>0</v>
      </c>
      <c r="F89" s="61">
        <f>SUMIF(Пр.13!$C12:$C471,903,Пр.13!J12:J471)</f>
        <v>0</v>
      </c>
      <c r="G89" s="61">
        <f>SUMIF(Пр.13!$C12:$C471,903,Пр.13!K12:K471)</f>
        <v>0</v>
      </c>
      <c r="H89" s="61">
        <f>SUMIF(Пр.13!$C12:$C471,903,Пр.13!L12:L471)</f>
        <v>0</v>
      </c>
    </row>
    <row r="90" spans="1:8" ht="16.5" hidden="1" thickBot="1" x14ac:dyDescent="0.3">
      <c r="A90" s="59">
        <v>904</v>
      </c>
      <c r="B90" s="62" t="s">
        <v>272</v>
      </c>
      <c r="C90" s="61">
        <f>SUMIF(Пр.13!$C14:$C472,904,Пр.13!G14:G472)</f>
        <v>0</v>
      </c>
      <c r="D90" s="61">
        <f>SUMIF(Пр.13!$C14:$C472,904,Пр.13!H14:H472)</f>
        <v>0</v>
      </c>
      <c r="E90" s="61">
        <f>SUMIF(Пр.13!$C14:$C472,904,Пр.13!I14:I472)</f>
        <v>0</v>
      </c>
      <c r="F90" s="61">
        <f>SUMIF(Пр.13!$C14:$C472,904,Пр.13!J14:J472)</f>
        <v>0</v>
      </c>
      <c r="G90" s="61">
        <f>SUMIF(Пр.13!$C14:$C472,904,Пр.13!K14:K472)</f>
        <v>0</v>
      </c>
      <c r="H90" s="61">
        <f>SUMIF(Пр.13!$C14:$C472,904,Пр.13!L14:L472)</f>
        <v>0</v>
      </c>
    </row>
    <row r="91" spans="1:8" ht="16.5" hidden="1" thickBot="1" x14ac:dyDescent="0.3">
      <c r="A91" s="59">
        <v>905</v>
      </c>
      <c r="B91" s="68" t="s">
        <v>273</v>
      </c>
      <c r="C91" s="61">
        <f>SUMIF(Пр.13!$C15:$C473,905,Пр.13!G15:G473)</f>
        <v>0</v>
      </c>
      <c r="D91" s="61">
        <f>SUMIF(Пр.13!$C15:$C473,905,Пр.13!H15:H473)</f>
        <v>0</v>
      </c>
      <c r="E91" s="61">
        <f>SUMIF(Пр.13!$C15:$C473,905,Пр.13!I15:I473)</f>
        <v>0</v>
      </c>
      <c r="F91" s="61">
        <f>SUMIF(Пр.13!$C15:$C473,905,Пр.13!J15:J473)</f>
        <v>0</v>
      </c>
      <c r="G91" s="61">
        <f>SUMIF(Пр.13!$C15:$C473,905,Пр.13!K15:K473)</f>
        <v>0</v>
      </c>
      <c r="H91" s="61">
        <f>SUMIF(Пр.13!$C15:$C473,905,Пр.13!L15:L473)</f>
        <v>0</v>
      </c>
    </row>
    <row r="92" spans="1:8" ht="32.25" hidden="1" thickBot="1" x14ac:dyDescent="0.3">
      <c r="A92" s="59">
        <v>906</v>
      </c>
      <c r="B92" s="68" t="s">
        <v>274</v>
      </c>
      <c r="C92" s="61">
        <f>SUMIF(Пр.13!$C15:$C474,906,Пр.13!F15:F474)</f>
        <v>0</v>
      </c>
      <c r="D92" s="61">
        <f>SUMIF(Пр.13!$C15:$C474,906,Пр.13!G15:G474)</f>
        <v>0</v>
      </c>
      <c r="E92" s="61">
        <f>SUMIF(Пр.13!$C15:$C474,906,Пр.13!H15:H474)</f>
        <v>0</v>
      </c>
      <c r="F92" s="61">
        <f>SUMIF(Пр.13!$C15:$C474,906,Пр.13!I15:I474)</f>
        <v>0</v>
      </c>
      <c r="G92" s="61">
        <f>SUMIF(Пр.13!$C15:$C474,906,Пр.13!J15:J474)</f>
        <v>0</v>
      </c>
      <c r="H92" s="61">
        <f>SUMIF(Пр.13!$C15:$C474,906,Пр.13!K15:K474)</f>
        <v>0</v>
      </c>
    </row>
    <row r="93" spans="1:8" ht="16.5" hidden="1" thickBot="1" x14ac:dyDescent="0.3">
      <c r="A93" s="59">
        <v>907</v>
      </c>
      <c r="B93" s="62" t="s">
        <v>275</v>
      </c>
      <c r="C93" s="61">
        <f>SUMIF(Пр.13!$C16:$C475,907,Пр.13!F16:F475)</f>
        <v>0</v>
      </c>
      <c r="D93" s="61">
        <f>SUMIF(Пр.13!$C16:$C475,907,Пр.13!G16:G475)</f>
        <v>0</v>
      </c>
      <c r="E93" s="61">
        <f>SUMIF(Пр.13!$C16:$C475,907,Пр.13!H16:H475)</f>
        <v>0</v>
      </c>
      <c r="F93" s="61">
        <f>SUMIF(Пр.13!$C16:$C475,907,Пр.13!I16:I475)</f>
        <v>0</v>
      </c>
      <c r="G93" s="61">
        <f>SUMIF(Пр.13!$C16:$C475,907,Пр.13!J16:J475)</f>
        <v>0</v>
      </c>
      <c r="H93" s="61">
        <f>SUMIF(Пр.13!$C16:$C475,907,Пр.13!K16:K475)</f>
        <v>0</v>
      </c>
    </row>
    <row r="94" spans="1:8" ht="32.25" hidden="1" thickBot="1" x14ac:dyDescent="0.3">
      <c r="A94" s="59">
        <v>908</v>
      </c>
      <c r="B94" s="60" t="s">
        <v>276</v>
      </c>
      <c r="C94" s="61">
        <f>SUMIF(Пр.13!$C17:$C476,908,Пр.13!F17:F476)</f>
        <v>0</v>
      </c>
      <c r="D94" s="61">
        <f>SUMIF(Пр.13!$C17:$C476,908,Пр.13!G17:G476)</f>
        <v>0</v>
      </c>
      <c r="E94" s="61">
        <f>SUMIF(Пр.13!$C17:$C476,908,Пр.13!H17:H476)</f>
        <v>0</v>
      </c>
      <c r="F94" s="61">
        <f>SUMIF(Пр.13!$C17:$C476,908,Пр.13!I17:I476)</f>
        <v>0</v>
      </c>
      <c r="G94" s="61">
        <f>SUMIF(Пр.13!$C17:$C476,908,Пр.13!J17:J476)</f>
        <v>0</v>
      </c>
      <c r="H94" s="61">
        <f>SUMIF(Пр.13!$C17:$C476,908,Пр.13!K17:K476)</f>
        <v>0</v>
      </c>
    </row>
    <row r="95" spans="1:8" ht="16.5" hidden="1" thickBot="1" x14ac:dyDescent="0.3">
      <c r="A95" s="59">
        <v>909</v>
      </c>
      <c r="B95" s="62" t="s">
        <v>277</v>
      </c>
      <c r="C95" s="61">
        <f>SUMIF(Пр.13!$C18:$C477,909,Пр.13!F18:F477)</f>
        <v>0</v>
      </c>
      <c r="D95" s="61">
        <f>SUMIF(Пр.13!$C18:$C477,909,Пр.13!G18:G477)</f>
        <v>0</v>
      </c>
      <c r="E95" s="61">
        <f>SUMIF(Пр.13!$C18:$C477,909,Пр.13!H18:H477)</f>
        <v>0</v>
      </c>
      <c r="F95" s="61">
        <f>SUMIF(Пр.13!$C18:$C477,909,Пр.13!I18:I477)</f>
        <v>0</v>
      </c>
      <c r="G95" s="61">
        <f>SUMIF(Пр.13!$C18:$C477,909,Пр.13!J18:J477)</f>
        <v>0</v>
      </c>
      <c r="H95" s="61">
        <f>SUMIF(Пр.13!$C18:$C477,909,Пр.13!K18:K477)</f>
        <v>0</v>
      </c>
    </row>
    <row r="96" spans="1:8" ht="16.5" thickBot="1" x14ac:dyDescent="0.3">
      <c r="A96" s="56">
        <v>1000</v>
      </c>
      <c r="B96" s="65" t="s">
        <v>278</v>
      </c>
      <c r="C96" s="58">
        <f t="shared" ref="C96:H96" si="9">SUM(C97:C102)</f>
        <v>418340220</v>
      </c>
      <c r="D96" s="58">
        <f t="shared" si="9"/>
        <v>0</v>
      </c>
      <c r="E96" s="58">
        <f t="shared" si="9"/>
        <v>418340220</v>
      </c>
      <c r="F96" s="58">
        <f t="shared" si="9"/>
        <v>419541389</v>
      </c>
      <c r="G96" s="58">
        <f t="shared" si="9"/>
        <v>0</v>
      </c>
      <c r="H96" s="58">
        <f t="shared" si="9"/>
        <v>419541389</v>
      </c>
    </row>
    <row r="97" spans="1:8" ht="16.5" thickBot="1" x14ac:dyDescent="0.3">
      <c r="A97" s="59">
        <v>1001</v>
      </c>
      <c r="B97" s="62" t="s">
        <v>279</v>
      </c>
      <c r="C97" s="61">
        <f>SUMIF(Пр.13!$C10:$C467,1001,Пр.13!G10:G467)</f>
        <v>4445700</v>
      </c>
      <c r="D97" s="61">
        <f>SUMIF(Пр.13!$C10:$C467,1001,Пр.13!H10:H467)</f>
        <v>0</v>
      </c>
      <c r="E97" s="61">
        <f>SUMIF(Пр.13!$C10:$C467,1001,Пр.13!I10:I467)</f>
        <v>4445700</v>
      </c>
      <c r="F97" s="61">
        <f>SUMIF(Пр.13!$C10:$C467,1001,Пр.13!J10:J467)</f>
        <v>4445700</v>
      </c>
      <c r="G97" s="61">
        <f>SUMIF(Пр.13!$C10:$C467,1001,Пр.13!K10:K467)</f>
        <v>0</v>
      </c>
      <c r="H97" s="61">
        <f>SUMIF(Пр.13!$C10:$C467,1001,Пр.13!L10:L467)</f>
        <v>4445700</v>
      </c>
    </row>
    <row r="98" spans="1:8" ht="16.5" thickBot="1" x14ac:dyDescent="0.3">
      <c r="A98" s="59">
        <v>1002</v>
      </c>
      <c r="B98" s="62" t="s">
        <v>280</v>
      </c>
      <c r="C98" s="61">
        <f>SUMIF(Пр.13!$C11:$C467,1002,Пр.13!G11:G467)</f>
        <v>63968211</v>
      </c>
      <c r="D98" s="61">
        <f>SUMIF(Пр.13!$C11:$C467,1002,Пр.13!H11:H467)</f>
        <v>0</v>
      </c>
      <c r="E98" s="61">
        <f>SUMIF(Пр.13!$C11:$C467,1002,Пр.13!I11:I467)</f>
        <v>63968211</v>
      </c>
      <c r="F98" s="61">
        <f>SUMIF(Пр.13!$C11:$C467,1002,Пр.13!J11:J467)</f>
        <v>63968211</v>
      </c>
      <c r="G98" s="61">
        <f>SUMIF(Пр.13!$C11:$C467,1002,Пр.13!K11:K467)</f>
        <v>0</v>
      </c>
      <c r="H98" s="61">
        <f>SUMIF(Пр.13!$C11:$C467,1002,Пр.13!L11:L467)</f>
        <v>63968211</v>
      </c>
    </row>
    <row r="99" spans="1:8" ht="16.5" thickBot="1" x14ac:dyDescent="0.3">
      <c r="A99" s="59">
        <v>1003</v>
      </c>
      <c r="B99" s="62" t="s">
        <v>281</v>
      </c>
      <c r="C99" s="61">
        <f>SUMIF(Пр.13!$C12:$C471,1003,Пр.13!G12:G471)</f>
        <v>236230992</v>
      </c>
      <c r="D99" s="61">
        <f>SUMIF(Пр.13!$C12:$C471,1003,Пр.13!H12:H471)</f>
        <v>0</v>
      </c>
      <c r="E99" s="61">
        <f>SUMIF(Пр.13!$C12:$C471,1003,Пр.13!I12:I471)</f>
        <v>236230992</v>
      </c>
      <c r="F99" s="61">
        <f>SUMIF(Пр.13!$C12:$C471,1003,Пр.13!J12:J471)</f>
        <v>236524992</v>
      </c>
      <c r="G99" s="61">
        <f>SUMIF(Пр.13!$C12:$C471,1003,Пр.13!K12:K471)</f>
        <v>0</v>
      </c>
      <c r="H99" s="61">
        <f>SUMIF(Пр.13!$C12:$C471,1003,Пр.13!L12:L471)</f>
        <v>236524992</v>
      </c>
    </row>
    <row r="100" spans="1:8" ht="16.5" thickBot="1" x14ac:dyDescent="0.3">
      <c r="A100" s="59">
        <v>1004</v>
      </c>
      <c r="B100" s="60" t="s">
        <v>282</v>
      </c>
      <c r="C100" s="61">
        <f>SUMIF(Пр.13!$C14:$C472,1004,Пр.13!G14:G472)</f>
        <v>99935617</v>
      </c>
      <c r="D100" s="61">
        <f>SUMIF(Пр.13!$C14:$C472,1004,Пр.13!H14:H472)</f>
        <v>0</v>
      </c>
      <c r="E100" s="61">
        <f>SUMIF(Пр.13!$C14:$C472,1004,Пр.13!I14:I472)</f>
        <v>99935617</v>
      </c>
      <c r="F100" s="61">
        <f>SUMIF(Пр.13!$C14:$C472,1004,Пр.13!J14:J472)</f>
        <v>100842786</v>
      </c>
      <c r="G100" s="61">
        <f>SUMIF(Пр.13!$C14:$C472,1004,Пр.13!K14:K472)</f>
        <v>0</v>
      </c>
      <c r="H100" s="61">
        <f>SUMIF(Пр.13!$C14:$C472,1004,Пр.13!L14:L472)</f>
        <v>100842786</v>
      </c>
    </row>
    <row r="101" spans="1:8" ht="32.25" hidden="1" thickBot="1" x14ac:dyDescent="0.3">
      <c r="A101" s="59">
        <v>1005</v>
      </c>
      <c r="B101" s="62" t="s">
        <v>283</v>
      </c>
      <c r="C101" s="61">
        <f>SUMIF(Пр.13!$C15:$C473,1005,Пр.13!G15:G473)</f>
        <v>0</v>
      </c>
      <c r="D101" s="61">
        <f>SUMIF(Пр.13!$C15:$C473,1005,Пр.13!H15:H473)</f>
        <v>0</v>
      </c>
      <c r="E101" s="61">
        <f>SUMIF(Пр.13!$C15:$C473,1005,Пр.13!I15:I473)</f>
        <v>0</v>
      </c>
      <c r="F101" s="61">
        <f>SUMIF(Пр.13!$C15:$C473,1005,Пр.13!J15:J473)</f>
        <v>0</v>
      </c>
      <c r="G101" s="61">
        <f>SUMIF(Пр.13!$C15:$C473,1005,Пр.13!K15:K473)</f>
        <v>0</v>
      </c>
      <c r="H101" s="61">
        <f>SUMIF(Пр.13!$C15:$C473,1005,Пр.13!L15:L473)</f>
        <v>0</v>
      </c>
    </row>
    <row r="102" spans="1:8" ht="16.5" thickBot="1" x14ac:dyDescent="0.3">
      <c r="A102" s="59">
        <v>1006</v>
      </c>
      <c r="B102" s="62" t="s">
        <v>284</v>
      </c>
      <c r="C102" s="61">
        <f>SUMIF(Пр.13!$C16:$C474,1006,Пр.13!G16:G474)</f>
        <v>13759700</v>
      </c>
      <c r="D102" s="61">
        <f>SUMIF(Пр.13!$C16:$C474,1006,Пр.13!H16:H474)</f>
        <v>0</v>
      </c>
      <c r="E102" s="61">
        <f>SUMIF(Пр.13!$C16:$C474,1006,Пр.13!I16:I474)</f>
        <v>13759700</v>
      </c>
      <c r="F102" s="61">
        <f>SUMIF(Пр.13!$C16:$C474,1006,Пр.13!J16:J474)</f>
        <v>13759700</v>
      </c>
      <c r="G102" s="61">
        <f>SUMIF(Пр.13!$C16:$C474,1006,Пр.13!K16:K474)</f>
        <v>0</v>
      </c>
      <c r="H102" s="61">
        <f>SUMIF(Пр.13!$C16:$C474,1006,Пр.13!L16:L474)</f>
        <v>13759700</v>
      </c>
    </row>
    <row r="103" spans="1:8" ht="16.5" thickBot="1" x14ac:dyDescent="0.3">
      <c r="A103" s="56">
        <v>1100</v>
      </c>
      <c r="B103" s="65" t="s">
        <v>285</v>
      </c>
      <c r="C103" s="58">
        <f t="shared" ref="C103:H103" si="10">SUM(C104:C108)</f>
        <v>30000000</v>
      </c>
      <c r="D103" s="58">
        <f t="shared" si="10"/>
        <v>0</v>
      </c>
      <c r="E103" s="58">
        <f t="shared" si="10"/>
        <v>30000000</v>
      </c>
      <c r="F103" s="58">
        <f t="shared" si="10"/>
        <v>13278841</v>
      </c>
      <c r="G103" s="58">
        <f t="shared" si="10"/>
        <v>0</v>
      </c>
      <c r="H103" s="58">
        <f t="shared" si="10"/>
        <v>13278841</v>
      </c>
    </row>
    <row r="104" spans="1:8" ht="16.5" hidden="1" thickBot="1" x14ac:dyDescent="0.3">
      <c r="A104" s="59">
        <v>1101</v>
      </c>
      <c r="B104" s="62" t="s">
        <v>286</v>
      </c>
      <c r="C104" s="61">
        <f>SUMIF(Пр.13!$C10:$C467,1101,Пр.13!G10:G467)</f>
        <v>0</v>
      </c>
      <c r="D104" s="61">
        <f>SUMIF(Пр.13!$C10:$C467,1101,Пр.13!H10:H467)</f>
        <v>0</v>
      </c>
      <c r="E104" s="61">
        <f>SUMIF(Пр.13!$C10:$C467,1101,Пр.13!I10:I467)</f>
        <v>0</v>
      </c>
      <c r="F104" s="61">
        <f>SUMIF(Пр.13!$C10:$C467,1101,Пр.13!J10:J467)</f>
        <v>0</v>
      </c>
      <c r="G104" s="61">
        <f>SUMIF(Пр.13!$C10:$C467,1101,Пр.13!K10:K467)</f>
        <v>0</v>
      </c>
      <c r="H104" s="61">
        <f>SUMIF(Пр.13!$C10:$C467,1101,Пр.13!L10:L467)</f>
        <v>0</v>
      </c>
    </row>
    <row r="105" spans="1:8" ht="16.5" thickBot="1" x14ac:dyDescent="0.3">
      <c r="A105" s="59">
        <v>1102</v>
      </c>
      <c r="B105" s="68" t="s">
        <v>287</v>
      </c>
      <c r="C105" s="61">
        <f>SUMIF(Пр.13!$C11:$C467,1102,Пр.13!G11:G467)</f>
        <v>30000000</v>
      </c>
      <c r="D105" s="61">
        <f>SUMIF(Пр.13!$C11:$C467,1102,Пр.13!H11:H467)</f>
        <v>0</v>
      </c>
      <c r="E105" s="61">
        <f>SUMIF(Пр.13!$C11:$C467,1102,Пр.13!I11:I467)</f>
        <v>30000000</v>
      </c>
      <c r="F105" s="61">
        <f>SUMIF(Пр.13!$C11:$C467,1102,Пр.13!J11:J467)</f>
        <v>13278841</v>
      </c>
      <c r="G105" s="61">
        <f>SUMIF(Пр.13!$C11:$C467,1102,Пр.13!K11:K467)</f>
        <v>0</v>
      </c>
      <c r="H105" s="61">
        <f>SUMIF(Пр.13!$C11:$C467,1102,Пр.13!L11:L467)</f>
        <v>13278841</v>
      </c>
    </row>
    <row r="106" spans="1:8" ht="16.5" hidden="1" thickBot="1" x14ac:dyDescent="0.3">
      <c r="A106" s="59">
        <v>1103</v>
      </c>
      <c r="B106" s="62" t="s">
        <v>288</v>
      </c>
      <c r="C106" s="61">
        <f>SUMIF(Пр.13!$C12:$C471,1103,Пр.13!G12:G471)</f>
        <v>0</v>
      </c>
      <c r="D106" s="61">
        <f>SUMIF(Пр.13!$C12:$C471,1103,Пр.13!H12:H471)</f>
        <v>0</v>
      </c>
      <c r="E106" s="61">
        <f>SUMIF(Пр.13!$C12:$C471,1103,Пр.13!I12:I471)</f>
        <v>0</v>
      </c>
      <c r="F106" s="61">
        <f>SUMIF(Пр.13!$C12:$C471,1103,Пр.13!J12:J471)</f>
        <v>0</v>
      </c>
      <c r="G106" s="61">
        <f>SUMIF(Пр.13!$C12:$C471,1103,Пр.13!K12:K471)</f>
        <v>0</v>
      </c>
      <c r="H106" s="61">
        <f>SUMIF(Пр.13!$C12:$C471,1103,Пр.13!L12:L471)</f>
        <v>0</v>
      </c>
    </row>
    <row r="107" spans="1:8" ht="32.25" hidden="1" thickBot="1" x14ac:dyDescent="0.3">
      <c r="A107" s="59">
        <v>1104</v>
      </c>
      <c r="B107" s="62" t="s">
        <v>289</v>
      </c>
      <c r="C107" s="61">
        <f>SUMIF(Пр.13!$C14:$C472,1104,Пр.13!G14:G472)</f>
        <v>0</v>
      </c>
      <c r="D107" s="61">
        <f>SUMIF(Пр.13!$C14:$C472,1104,Пр.13!H14:H472)</f>
        <v>0</v>
      </c>
      <c r="E107" s="61">
        <f>SUMIF(Пр.13!$C14:$C472,1104,Пр.13!I14:I472)</f>
        <v>0</v>
      </c>
      <c r="F107" s="61">
        <f>SUMIF(Пр.13!$C14:$C472,1104,Пр.13!J14:J472)</f>
        <v>0</v>
      </c>
      <c r="G107" s="61">
        <f>SUMIF(Пр.13!$C14:$C472,1104,Пр.13!K14:K472)</f>
        <v>0</v>
      </c>
      <c r="H107" s="61">
        <f>SUMIF(Пр.13!$C14:$C472,1104,Пр.13!L14:L472)</f>
        <v>0</v>
      </c>
    </row>
    <row r="108" spans="1:8" ht="32.25" hidden="1" thickBot="1" x14ac:dyDescent="0.3">
      <c r="A108" s="59">
        <v>1105</v>
      </c>
      <c r="B108" s="62" t="s">
        <v>290</v>
      </c>
      <c r="C108" s="61">
        <f>SUMIF(Пр.13!$C15:$C473,1105,Пр.13!G15:G473)</f>
        <v>0</v>
      </c>
      <c r="D108" s="61">
        <f>SUMIF(Пр.13!$C15:$C473,1105,Пр.13!H15:H473)</f>
        <v>0</v>
      </c>
      <c r="E108" s="61">
        <f>SUMIF(Пр.13!$C15:$C473,1105,Пр.13!I15:I473)</f>
        <v>0</v>
      </c>
      <c r="F108" s="61">
        <f>SUMIF(Пр.13!$C15:$C473,1105,Пр.13!J15:J473)</f>
        <v>0</v>
      </c>
      <c r="G108" s="61">
        <f>SUMIF(Пр.13!$C15:$C473,1105,Пр.13!K15:K473)</f>
        <v>0</v>
      </c>
      <c r="H108" s="61">
        <f>SUMIF(Пр.13!$C15:$C473,1105,Пр.13!L15:L473)</f>
        <v>0</v>
      </c>
    </row>
    <row r="109" spans="1:8" ht="16.5" thickBot="1" x14ac:dyDescent="0.3">
      <c r="A109" s="56">
        <v>1200</v>
      </c>
      <c r="B109" s="65" t="s">
        <v>291</v>
      </c>
      <c r="C109" s="58">
        <f t="shared" ref="C109:H109" si="11">SUM(C110:C113)</f>
        <v>3010000</v>
      </c>
      <c r="D109" s="58">
        <f t="shared" si="11"/>
        <v>0</v>
      </c>
      <c r="E109" s="58">
        <f t="shared" si="11"/>
        <v>3010000</v>
      </c>
      <c r="F109" s="58">
        <f t="shared" si="11"/>
        <v>1500000</v>
      </c>
      <c r="G109" s="58">
        <f t="shared" si="11"/>
        <v>0</v>
      </c>
      <c r="H109" s="58">
        <f t="shared" si="11"/>
        <v>1500000</v>
      </c>
    </row>
    <row r="110" spans="1:8" ht="16.5" hidden="1" thickBot="1" x14ac:dyDescent="0.3">
      <c r="A110" s="59">
        <v>1201</v>
      </c>
      <c r="B110" s="62" t="s">
        <v>292</v>
      </c>
      <c r="C110" s="61">
        <f>SUMIF(Пр.13!$C10:$C467,1201,Пр.13!G10:G467)</f>
        <v>0</v>
      </c>
      <c r="D110" s="61">
        <f>SUMIF(Пр.13!$C10:$C467,1201,Пр.13!H10:H467)</f>
        <v>0</v>
      </c>
      <c r="E110" s="61">
        <f>SUMIF(Пр.13!$C10:$C467,1201,Пр.13!I10:I467)</f>
        <v>0</v>
      </c>
      <c r="F110" s="61">
        <f>SUMIF(Пр.13!$C10:$C467,1201,Пр.13!J10:J467)</f>
        <v>0</v>
      </c>
      <c r="G110" s="61">
        <f>SUMIF(Пр.13!$C10:$C467,1201,Пр.13!K10:K467)</f>
        <v>0</v>
      </c>
      <c r="H110" s="61">
        <f>SUMIF(Пр.13!$C10:$C467,1201,Пр.13!L10:L467)</f>
        <v>0</v>
      </c>
    </row>
    <row r="111" spans="1:8" ht="16.5" thickBot="1" x14ac:dyDescent="0.3">
      <c r="A111" s="59">
        <v>1202</v>
      </c>
      <c r="B111" s="62" t="s">
        <v>293</v>
      </c>
      <c r="C111" s="61">
        <f>SUMIF(Пр.13!$C11:$C467,1202,Пр.13!G11:G467)</f>
        <v>3010000</v>
      </c>
      <c r="D111" s="61">
        <f>SUMIF(Пр.13!$C11:$C467,1202,Пр.13!H11:H467)</f>
        <v>0</v>
      </c>
      <c r="E111" s="61">
        <f>SUMIF(Пр.13!$C11:$C467,1202,Пр.13!I11:I467)</f>
        <v>3010000</v>
      </c>
      <c r="F111" s="61">
        <f>SUMIF(Пр.13!$C11:$C467,1202,Пр.13!J11:J467)</f>
        <v>1500000</v>
      </c>
      <c r="G111" s="61">
        <f>SUMIF(Пр.13!$C11:$C467,1202,Пр.13!K11:K467)</f>
        <v>0</v>
      </c>
      <c r="H111" s="61">
        <f>SUMIF(Пр.13!$C11:$C467,1202,Пр.13!L11:L467)</f>
        <v>1500000</v>
      </c>
    </row>
    <row r="112" spans="1:8" ht="32.25" hidden="1" thickBot="1" x14ac:dyDescent="0.3">
      <c r="A112" s="59">
        <v>1203</v>
      </c>
      <c r="B112" s="62" t="s">
        <v>294</v>
      </c>
      <c r="C112" s="61">
        <f>SUMIF(Пр.13!$C12:$C471,1203,Пр.13!G12:G471)</f>
        <v>0</v>
      </c>
      <c r="D112" s="61">
        <f>SUMIF(Пр.13!$C12:$C471,1203,Пр.13!H12:H471)</f>
        <v>0</v>
      </c>
      <c r="E112" s="61">
        <f>SUMIF(Пр.13!$C12:$C471,1203,Пр.13!I12:I471)</f>
        <v>0</v>
      </c>
      <c r="F112" s="61">
        <f>SUMIF(Пр.13!$C12:$C471,1203,Пр.13!J12:J471)</f>
        <v>0</v>
      </c>
      <c r="G112" s="61">
        <f>SUMIF(Пр.13!$C12:$C471,1203,Пр.13!K12:K471)</f>
        <v>0</v>
      </c>
      <c r="H112" s="61">
        <f>SUMIF(Пр.13!$C12:$C471,1203,Пр.13!L12:L471)</f>
        <v>0</v>
      </c>
    </row>
    <row r="113" spans="1:8" ht="32.25" hidden="1" thickBot="1" x14ac:dyDescent="0.3">
      <c r="A113" s="59">
        <v>1204</v>
      </c>
      <c r="B113" s="62" t="s">
        <v>295</v>
      </c>
      <c r="C113" s="61">
        <f>SUMIF(Пр.13!$C14:$C472,1204,Пр.13!G14:G472)</f>
        <v>0</v>
      </c>
      <c r="D113" s="61">
        <f>SUMIF(Пр.13!$C14:$C472,1204,Пр.13!H14:H472)</f>
        <v>0</v>
      </c>
      <c r="E113" s="61">
        <f>SUMIF(Пр.13!$C14:$C472,1204,Пр.13!I14:I472)</f>
        <v>0</v>
      </c>
      <c r="F113" s="61">
        <f>SUMIF(Пр.13!$C14:$C472,1204,Пр.13!J14:J472)</f>
        <v>0</v>
      </c>
      <c r="G113" s="61">
        <f>SUMIF(Пр.13!$C14:$C472,1204,Пр.13!K14:K472)</f>
        <v>0</v>
      </c>
      <c r="H113" s="61">
        <f>SUMIF(Пр.13!$C14:$C472,1204,Пр.13!L14:L472)</f>
        <v>0</v>
      </c>
    </row>
    <row r="114" spans="1:8" ht="32.25" thickBot="1" x14ac:dyDescent="0.3">
      <c r="A114" s="56">
        <v>1300</v>
      </c>
      <c r="B114" s="65" t="s">
        <v>296</v>
      </c>
      <c r="C114" s="58">
        <f t="shared" ref="C114:H114" si="12">SUM(C115:C116)</f>
        <v>2000000</v>
      </c>
      <c r="D114" s="58">
        <f t="shared" si="12"/>
        <v>0</v>
      </c>
      <c r="E114" s="58">
        <f t="shared" si="12"/>
        <v>2000000</v>
      </c>
      <c r="F114" s="58">
        <f t="shared" si="12"/>
        <v>2000000</v>
      </c>
      <c r="G114" s="58">
        <f t="shared" si="12"/>
        <v>0</v>
      </c>
      <c r="H114" s="58">
        <f t="shared" si="12"/>
        <v>2000000</v>
      </c>
    </row>
    <row r="115" spans="1:8" ht="32.25" thickBot="1" x14ac:dyDescent="0.3">
      <c r="A115" s="59">
        <v>1301</v>
      </c>
      <c r="B115" s="62" t="s">
        <v>297</v>
      </c>
      <c r="C115" s="61">
        <f>SUMIF(Пр.13!$C10:$C467,1301,Пр.13!G10:G467)</f>
        <v>2000000</v>
      </c>
      <c r="D115" s="61">
        <f>SUMIF(Пр.13!$C10:$C467,1301,Пр.13!H10:H467)</f>
        <v>0</v>
      </c>
      <c r="E115" s="61">
        <f>SUMIF(Пр.13!$C10:$C467,1301,Пр.13!I10:I467)</f>
        <v>2000000</v>
      </c>
      <c r="F115" s="61">
        <f>SUMIF(Пр.13!$C10:$C467,1301,Пр.13!J10:J467)</f>
        <v>2000000</v>
      </c>
      <c r="G115" s="61">
        <f>SUMIF(Пр.13!$C10:$C467,1301,Пр.13!K10:K467)</f>
        <v>0</v>
      </c>
      <c r="H115" s="61">
        <f>SUMIF(Пр.13!$C10:$C467,1301,Пр.13!L10:L467)</f>
        <v>2000000</v>
      </c>
    </row>
    <row r="116" spans="1:8" ht="16.5" hidden="1" thickBot="1" x14ac:dyDescent="0.3">
      <c r="A116" s="59">
        <v>1302</v>
      </c>
      <c r="B116" s="62" t="s">
        <v>298</v>
      </c>
      <c r="C116" s="61">
        <f>SUMIF(Пр.13!$C11:$C467,1302,Пр.13!G11:G467)</f>
        <v>0</v>
      </c>
      <c r="D116" s="61">
        <f>SUMIF(Пр.13!$C11:$C467,1302,Пр.13!H11:H467)</f>
        <v>0</v>
      </c>
      <c r="E116" s="61">
        <f>SUMIF(Пр.13!$C11:$C467,1302,Пр.13!I11:I467)</f>
        <v>0</v>
      </c>
      <c r="F116" s="61">
        <f>SUMIF(Пр.13!$C11:$C467,1302,Пр.13!J11:J467)</f>
        <v>0</v>
      </c>
      <c r="G116" s="61">
        <f>SUMIF(Пр.13!$C11:$C467,1302,Пр.13!K11:K467)</f>
        <v>0</v>
      </c>
      <c r="H116" s="61">
        <f>SUMIF(Пр.13!$C11:$C467,1302,Пр.13!L11:L467)</f>
        <v>0</v>
      </c>
    </row>
    <row r="117" spans="1:8" ht="63.75" thickBot="1" x14ac:dyDescent="0.3">
      <c r="A117" s="56">
        <v>1400</v>
      </c>
      <c r="B117" s="65" t="s">
        <v>299</v>
      </c>
      <c r="C117" s="58">
        <f t="shared" ref="C117:H117" si="13">SUM(C118:C120)</f>
        <v>33000</v>
      </c>
      <c r="D117" s="58">
        <f t="shared" si="13"/>
        <v>0</v>
      </c>
      <c r="E117" s="58">
        <f t="shared" si="13"/>
        <v>33000</v>
      </c>
      <c r="F117" s="58">
        <f t="shared" si="13"/>
        <v>0</v>
      </c>
      <c r="G117" s="58">
        <f t="shared" si="13"/>
        <v>0</v>
      </c>
      <c r="H117" s="58">
        <f t="shared" si="13"/>
        <v>0</v>
      </c>
    </row>
    <row r="118" spans="1:8" ht="48" thickBot="1" x14ac:dyDescent="0.3">
      <c r="A118" s="59">
        <v>1401</v>
      </c>
      <c r="B118" s="62" t="s">
        <v>300</v>
      </c>
      <c r="C118" s="61">
        <f>SUMIF(Пр.13!$C10:$C467,1401,Пр.13!G10:G467)</f>
        <v>33000</v>
      </c>
      <c r="D118" s="61">
        <f>SUMIF(Пр.13!$C10:$C467,1401,Пр.13!H10:H467)</f>
        <v>0</v>
      </c>
      <c r="E118" s="61">
        <f>SUMIF(Пр.13!$C10:$C467,1401,Пр.13!I10:I467)</f>
        <v>33000</v>
      </c>
      <c r="F118" s="61">
        <f>SUMIF(Пр.13!$C10:$C467,1401,Пр.13!J10:J467)</f>
        <v>0</v>
      </c>
      <c r="G118" s="61">
        <f>SUMIF(Пр.13!$C10:$C467,1401,Пр.13!K10:K467)</f>
        <v>0</v>
      </c>
      <c r="H118" s="61">
        <f>SUMIF(Пр.13!$C10:$C467,1401,Пр.13!L10:L467)</f>
        <v>0</v>
      </c>
    </row>
    <row r="119" spans="1:8" ht="16.5" hidden="1" thickBot="1" x14ac:dyDescent="0.3">
      <c r="A119" s="59">
        <v>1402</v>
      </c>
      <c r="B119" s="62" t="s">
        <v>301</v>
      </c>
      <c r="C119" s="61">
        <f>SUMIF(Пр.13!$C11:$C467,1402,Пр.13!G11:G467)</f>
        <v>0</v>
      </c>
      <c r="D119" s="61">
        <f>SUMIF(Пр.13!$C11:$C467,1402,Пр.13!H11:H467)</f>
        <v>0</v>
      </c>
      <c r="E119" s="61">
        <f>SUMIF(Пр.13!$C11:$C467,1402,Пр.13!I11:I467)</f>
        <v>0</v>
      </c>
      <c r="F119" s="61">
        <f>SUMIF(Пр.13!$C11:$C467,1402,Пр.13!J11:J467)</f>
        <v>0</v>
      </c>
      <c r="G119" s="61">
        <f>SUMIF(Пр.13!$C11:$C467,1402,Пр.13!K11:K467)</f>
        <v>0</v>
      </c>
      <c r="H119" s="61">
        <f>SUMIF(Пр.13!$C11:$C467,1402,Пр.13!L11:L467)</f>
        <v>0</v>
      </c>
    </row>
    <row r="120" spans="1:8" ht="48" hidden="1" thickBot="1" x14ac:dyDescent="0.3">
      <c r="A120" s="59">
        <v>1403</v>
      </c>
      <c r="B120" s="62" t="s">
        <v>302</v>
      </c>
      <c r="C120" s="61">
        <f>SUMIF(Пр.13!$C12:$C471,1403,Пр.13!G12:G471)</f>
        <v>0</v>
      </c>
      <c r="D120" s="61">
        <f>SUMIF(Пр.13!$C12:$C471,1403,Пр.13!H12:H471)</f>
        <v>0</v>
      </c>
      <c r="E120" s="61">
        <f>SUMIF(Пр.13!$C12:$C471,1403,Пр.13!I12:I471)</f>
        <v>0</v>
      </c>
      <c r="F120" s="61">
        <f>SUMIF(Пр.13!$C12:$C471,1403,Пр.13!J12:J471)</f>
        <v>0</v>
      </c>
      <c r="G120" s="61">
        <f>SUMIF(Пр.13!$C12:$C471,1403,Пр.13!K12:K471)</f>
        <v>0</v>
      </c>
      <c r="H120" s="61">
        <f>SUMIF(Пр.13!$C12:$C471,1403,Пр.13!L12:L471)</f>
        <v>0</v>
      </c>
    </row>
    <row r="121" spans="1:8" ht="16.5" thickBot="1" x14ac:dyDescent="0.3">
      <c r="A121" s="900" t="s">
        <v>177</v>
      </c>
      <c r="B121" s="900"/>
      <c r="C121" s="58">
        <f t="shared" ref="C121:H121" ca="1" si="14">C9+C23+C33+C46+C59+C65+C71+C81+C86+C96+C103+C109+C114+C117</f>
        <v>1537551836</v>
      </c>
      <c r="D121" s="58">
        <f t="shared" ca="1" si="14"/>
        <v>0</v>
      </c>
      <c r="E121" s="58">
        <f t="shared" ca="1" si="14"/>
        <v>1537551836</v>
      </c>
      <c r="F121" s="58">
        <f t="shared" ca="1" si="14"/>
        <v>1327526513</v>
      </c>
      <c r="G121" s="58">
        <f t="shared" ca="1" si="14"/>
        <v>0</v>
      </c>
      <c r="H121" s="58">
        <f t="shared" ca="1" si="14"/>
        <v>1327526513</v>
      </c>
    </row>
    <row r="122" spans="1:8" ht="16.5" thickBot="1" x14ac:dyDescent="0.3">
      <c r="A122" s="900" t="s">
        <v>305</v>
      </c>
      <c r="B122" s="900"/>
      <c r="C122" s="69">
        <v>14027500</v>
      </c>
      <c r="D122" s="69"/>
      <c r="E122" s="69">
        <v>14027500</v>
      </c>
      <c r="F122" s="69">
        <v>17718500</v>
      </c>
      <c r="G122" s="69"/>
      <c r="H122" s="69">
        <v>17718500</v>
      </c>
    </row>
    <row r="123" spans="1:8" ht="16.5" thickBot="1" x14ac:dyDescent="0.3">
      <c r="A123" s="900" t="s">
        <v>303</v>
      </c>
      <c r="B123" s="900"/>
      <c r="C123" s="58">
        <v>0</v>
      </c>
      <c r="D123" s="58"/>
      <c r="E123" s="58">
        <f ca="1">Пр2!L97-Пр4!E121-Пр4!E122</f>
        <v>0</v>
      </c>
      <c r="F123" s="58">
        <v>0</v>
      </c>
      <c r="G123" s="58"/>
      <c r="H123" s="58">
        <f ca="1">Пр2!O97-Пр4!H121-Пр4!H122</f>
        <v>0</v>
      </c>
    </row>
  </sheetData>
  <mergeCells count="9">
    <mergeCell ref="A121:B121"/>
    <mergeCell ref="A122:B122"/>
    <mergeCell ref="A123:B123"/>
    <mergeCell ref="C7:H7"/>
    <mergeCell ref="A1:H1"/>
    <mergeCell ref="A2:H2"/>
    <mergeCell ref="A3:H3"/>
    <mergeCell ref="A4:H4"/>
    <mergeCell ref="A5:H6"/>
  </mergeCells>
  <printOptions gridLinesSet="0"/>
  <pageMargins left="0.70866141732283472" right="0.70866141732283472" top="0.74803149606299213" bottom="0.74803149606299213" header="0.51181102362204722" footer="0.51181102362204722"/>
  <pageSetup paperSize="9" scale="61" fitToHeight="23" orientation="portrait" r:id="rId1"/>
  <headerFooter>
    <oddFooter>&amp;C&amp;P</oddFoot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8"/>
  <sheetViews>
    <sheetView workbookViewId="0"/>
  </sheetViews>
  <sheetFormatPr defaultRowHeight="12.75" x14ac:dyDescent="0.2"/>
  <cols>
    <col min="3" max="3" width="18.140625" bestFit="1" customWidth="1"/>
    <col min="5" max="5" width="33" customWidth="1"/>
  </cols>
  <sheetData>
    <row r="2" spans="1:6" x14ac:dyDescent="0.2">
      <c r="E2" s="391"/>
      <c r="F2" s="391"/>
    </row>
    <row r="3" spans="1:6" x14ac:dyDescent="0.2">
      <c r="E3" s="391"/>
      <c r="F3" s="391"/>
    </row>
    <row r="4" spans="1:6" x14ac:dyDescent="0.2">
      <c r="B4">
        <v>1</v>
      </c>
      <c r="E4" s="391"/>
      <c r="F4" s="391"/>
    </row>
    <row r="5" spans="1:6" x14ac:dyDescent="0.2">
      <c r="E5" s="391"/>
      <c r="F5" s="391"/>
    </row>
    <row r="6" spans="1:6" x14ac:dyDescent="0.2">
      <c r="E6" s="391"/>
      <c r="F6" s="391"/>
    </row>
    <row r="7" spans="1:6" x14ac:dyDescent="0.2">
      <c r="E7" s="391"/>
      <c r="F7" s="391"/>
    </row>
    <row r="8" spans="1:6" x14ac:dyDescent="0.2">
      <c r="A8" t="s">
        <v>2804</v>
      </c>
      <c r="B8" t="s">
        <v>2805</v>
      </c>
      <c r="C8" t="s">
        <v>2806</v>
      </c>
      <c r="D8" t="s">
        <v>2807</v>
      </c>
      <c r="E8" s="391" t="s">
        <v>15</v>
      </c>
      <c r="F8" s="391"/>
    </row>
  </sheetData>
  <printOptions gridLines="1"/>
  <pageMargins left="0.7" right="0.7" top="0.75" bottom="0.75" header="0.5" footer="0.5"/>
  <pageSetup paperSize="9" orientation="portrait"/>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7"/>
  <sheetViews>
    <sheetView showGridLines="0" view="pageBreakPreview" topLeftCell="A4" zoomScale="115" zoomScaleSheetLayoutView="115" workbookViewId="0">
      <selection activeCell="D19" sqref="D19"/>
    </sheetView>
  </sheetViews>
  <sheetFormatPr defaultColWidth="9.140625" defaultRowHeight="12.75" x14ac:dyDescent="0.2"/>
  <cols>
    <col min="1" max="1" width="39.5703125" style="122" customWidth="1"/>
    <col min="2" max="2" width="11.42578125" style="122" customWidth="1"/>
    <col min="3" max="3" width="13" style="122" customWidth="1"/>
    <col min="4" max="4" width="12.140625" style="122" customWidth="1"/>
    <col min="5" max="5" width="12.85546875" style="122" customWidth="1"/>
    <col min="6" max="16384" width="9.140625" style="122"/>
  </cols>
  <sheetData>
    <row r="1" spans="1:5" ht="15.75" x14ac:dyDescent="0.25">
      <c r="A1" s="890" t="s">
        <v>2808</v>
      </c>
      <c r="B1" s="890"/>
      <c r="C1" s="890"/>
      <c r="D1" s="890"/>
      <c r="E1" s="1057"/>
    </row>
    <row r="2" spans="1:5" ht="15.75" x14ac:dyDescent="0.25">
      <c r="A2" s="890" t="s">
        <v>1</v>
      </c>
      <c r="B2" s="890"/>
      <c r="C2" s="890"/>
      <c r="D2" s="890"/>
      <c r="E2" s="906"/>
    </row>
    <row r="3" spans="1:5" ht="15.75" x14ac:dyDescent="0.25">
      <c r="A3" s="890" t="s">
        <v>2</v>
      </c>
      <c r="B3" s="890"/>
      <c r="C3" s="890"/>
      <c r="D3" s="890"/>
      <c r="E3" s="906"/>
    </row>
    <row r="4" spans="1:5" ht="15.75" x14ac:dyDescent="0.25">
      <c r="A4" s="890" t="s">
        <v>3090</v>
      </c>
      <c r="B4" s="890"/>
      <c r="C4" s="890"/>
      <c r="D4" s="890"/>
      <c r="E4" s="906"/>
    </row>
    <row r="5" spans="1:5" ht="15" x14ac:dyDescent="0.2">
      <c r="A5" s="2"/>
      <c r="B5" s="2"/>
      <c r="C5" s="2"/>
      <c r="D5" s="1"/>
      <c r="E5" s="236"/>
    </row>
    <row r="6" spans="1:5" ht="15" x14ac:dyDescent="0.2">
      <c r="A6" s="1"/>
      <c r="B6" s="1"/>
      <c r="C6" s="1"/>
      <c r="D6" s="1"/>
      <c r="E6" s="236"/>
    </row>
    <row r="7" spans="1:5" ht="44.25" customHeight="1" x14ac:dyDescent="0.25">
      <c r="A7" s="891" t="s">
        <v>3091</v>
      </c>
      <c r="B7" s="891"/>
      <c r="C7" s="891"/>
      <c r="D7" s="891"/>
      <c r="E7" s="911"/>
    </row>
    <row r="8" spans="1:5" ht="15.75" x14ac:dyDescent="0.25">
      <c r="A8" s="6"/>
      <c r="B8" s="6"/>
      <c r="C8" s="6"/>
      <c r="D8" s="6"/>
      <c r="E8" s="237"/>
    </row>
    <row r="9" spans="1:5" ht="65.25" customHeight="1" x14ac:dyDescent="0.2">
      <c r="A9" s="1018" t="s">
        <v>1008</v>
      </c>
      <c r="B9" s="1018"/>
      <c r="C9" s="1018"/>
      <c r="D9" s="1018"/>
      <c r="E9" s="1018"/>
    </row>
    <row r="10" spans="1:5" ht="15.75" x14ac:dyDescent="0.2">
      <c r="A10" s="1055" t="s">
        <v>1009</v>
      </c>
      <c r="B10" s="1019" t="s">
        <v>567</v>
      </c>
      <c r="C10" s="1020"/>
      <c r="D10" s="1019" t="s">
        <v>3092</v>
      </c>
      <c r="E10" s="1020"/>
    </row>
    <row r="11" spans="1:5" ht="110.25" x14ac:dyDescent="0.2">
      <c r="A11" s="1056"/>
      <c r="B11" s="9" t="s">
        <v>1010</v>
      </c>
      <c r="C11" s="9" t="s">
        <v>1011</v>
      </c>
      <c r="D11" s="9" t="s">
        <v>1010</v>
      </c>
      <c r="E11" s="9" t="s">
        <v>1011</v>
      </c>
    </row>
    <row r="12" spans="1:5" ht="18.75" customHeight="1" x14ac:dyDescent="0.2">
      <c r="A12" s="392" t="s">
        <v>1034</v>
      </c>
      <c r="B12" s="258">
        <v>0</v>
      </c>
      <c r="C12" s="258">
        <v>0</v>
      </c>
      <c r="D12" s="258">
        <v>0</v>
      </c>
      <c r="E12" s="258">
        <v>0</v>
      </c>
    </row>
    <row r="13" spans="1:5" ht="19.5" customHeight="1" x14ac:dyDescent="0.25">
      <c r="A13" s="229" t="s">
        <v>1012</v>
      </c>
      <c r="B13" s="230">
        <v>0</v>
      </c>
      <c r="C13" s="231">
        <v>0</v>
      </c>
      <c r="D13" s="230">
        <v>0</v>
      </c>
      <c r="E13" s="230">
        <v>0</v>
      </c>
    </row>
    <row r="14" spans="1:5" ht="17.25" customHeight="1" x14ac:dyDescent="0.25">
      <c r="A14" s="229" t="s">
        <v>1037</v>
      </c>
      <c r="B14" s="230">
        <v>33000</v>
      </c>
      <c r="C14" s="231">
        <v>0</v>
      </c>
      <c r="D14" s="230">
        <v>0</v>
      </c>
      <c r="E14" s="230">
        <v>0</v>
      </c>
    </row>
    <row r="15" spans="1:5" ht="18.75" customHeight="1" x14ac:dyDescent="0.25">
      <c r="A15" s="229" t="s">
        <v>1013</v>
      </c>
      <c r="B15" s="230">
        <v>0</v>
      </c>
      <c r="C15" s="231">
        <v>0</v>
      </c>
      <c r="D15" s="230">
        <v>0</v>
      </c>
      <c r="E15" s="230">
        <v>0</v>
      </c>
    </row>
    <row r="16" spans="1:5" ht="23.25" customHeight="1" x14ac:dyDescent="0.25">
      <c r="A16" s="233" t="s">
        <v>177</v>
      </c>
      <c r="B16" s="239">
        <f>SUM(B12:B15)</f>
        <v>33000</v>
      </c>
      <c r="C16" s="239">
        <f>SUM(C12:C15)</f>
        <v>0</v>
      </c>
      <c r="D16" s="239">
        <f>SUM(D12:D15)</f>
        <v>0</v>
      </c>
      <c r="E16" s="239">
        <f>SUM(E12:E15)</f>
        <v>0</v>
      </c>
    </row>
    <row r="17" spans="1:5" ht="15.75" x14ac:dyDescent="0.25">
      <c r="A17" s="46"/>
      <c r="B17" s="46"/>
      <c r="C17" s="46"/>
      <c r="D17" s="46"/>
      <c r="E17" s="46"/>
    </row>
  </sheetData>
  <mergeCells count="9">
    <mergeCell ref="A9:E9"/>
    <mergeCell ref="A10:A11"/>
    <mergeCell ref="B10:C10"/>
    <mergeCell ref="D10:E10"/>
    <mergeCell ref="A1:E1"/>
    <mergeCell ref="A2:E2"/>
    <mergeCell ref="A3:E3"/>
    <mergeCell ref="A4:E4"/>
    <mergeCell ref="A7:E7"/>
  </mergeCells>
  <printOptions gridLinesSet="0"/>
  <pageMargins left="0.70866141732283472" right="0.70866141732283472" top="0.74803149606299213" bottom="0.74803149606299213" header="0.51181102362204722" footer="0.51181102362204722"/>
  <pageSetup paperSize="9" orientation="portrait" r:id="rId1"/>
  <headerFooter>
    <oddFooter>&amp;C&amp;P</oddFooter>
  </headerFooter>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19"/>
  <sheetViews>
    <sheetView showGridLines="0" view="pageBreakPreview" topLeftCell="B1" zoomScale="115" zoomScaleSheetLayoutView="115" workbookViewId="0">
      <selection activeCell="A4" sqref="A4:F4"/>
    </sheetView>
  </sheetViews>
  <sheetFormatPr defaultColWidth="9.140625" defaultRowHeight="12.75" x14ac:dyDescent="0.2"/>
  <cols>
    <col min="1" max="1" width="6" style="204" hidden="1" customWidth="1"/>
    <col min="2" max="2" width="59" style="124" customWidth="1"/>
    <col min="3" max="3" width="13.28515625" style="124" customWidth="1"/>
    <col min="4" max="4" width="14.28515625" style="124" hidden="1" customWidth="1"/>
    <col min="5" max="5" width="14.140625" style="124" customWidth="1"/>
    <col min="6" max="6" width="19.5703125" style="124" hidden="1" customWidth="1"/>
    <col min="7" max="16384" width="9.140625" style="124"/>
  </cols>
  <sheetData>
    <row r="1" spans="1:6" ht="15.75" x14ac:dyDescent="0.25">
      <c r="A1" s="890" t="s">
        <v>340</v>
      </c>
      <c r="B1" s="890"/>
      <c r="C1" s="890"/>
      <c r="D1" s="890"/>
      <c r="E1" s="890"/>
      <c r="F1" s="890"/>
    </row>
    <row r="2" spans="1:6" ht="15.75" x14ac:dyDescent="0.25">
      <c r="A2" s="890" t="s">
        <v>1</v>
      </c>
      <c r="B2" s="890"/>
      <c r="C2" s="890"/>
      <c r="D2" s="890"/>
      <c r="E2" s="890"/>
      <c r="F2" s="890"/>
    </row>
    <row r="3" spans="1:6" ht="15.75" x14ac:dyDescent="0.25">
      <c r="A3" s="890" t="s">
        <v>2</v>
      </c>
      <c r="B3" s="890"/>
      <c r="C3" s="890"/>
      <c r="D3" s="890"/>
      <c r="E3" s="890"/>
      <c r="F3" s="890"/>
    </row>
    <row r="4" spans="1:6" ht="15.75" x14ac:dyDescent="0.25">
      <c r="A4" s="890" t="s">
        <v>3501</v>
      </c>
      <c r="B4" s="890"/>
      <c r="C4" s="890"/>
      <c r="D4" s="890"/>
      <c r="E4" s="890"/>
      <c r="F4" s="890"/>
    </row>
    <row r="5" spans="1:6" ht="15.75" x14ac:dyDescent="0.25">
      <c r="A5" s="205"/>
      <c r="B5" s="1"/>
      <c r="C5" s="1"/>
      <c r="D5" s="908"/>
      <c r="E5" s="908"/>
      <c r="F5" s="908"/>
    </row>
    <row r="6" spans="1:6" ht="48" customHeight="1" x14ac:dyDescent="0.25">
      <c r="A6" s="901" t="s">
        <v>3472</v>
      </c>
      <c r="B6" s="901"/>
      <c r="C6" s="901"/>
      <c r="D6" s="901"/>
      <c r="E6" s="901"/>
      <c r="F6" s="901"/>
    </row>
    <row r="7" spans="1:6" ht="6.75" customHeight="1" thickBot="1" x14ac:dyDescent="0.3">
      <c r="A7" s="205"/>
      <c r="B7" s="1"/>
      <c r="C7" s="1"/>
      <c r="D7" s="1062"/>
      <c r="E7" s="1062"/>
      <c r="F7" s="1062"/>
    </row>
    <row r="8" spans="1:6" ht="15.75" customHeight="1" thickBot="1" x14ac:dyDescent="0.25">
      <c r="A8" s="1060" t="s">
        <v>901</v>
      </c>
      <c r="B8" s="1058" t="s">
        <v>902</v>
      </c>
      <c r="C8" s="1046" t="s">
        <v>903</v>
      </c>
      <c r="D8" s="1058" t="s">
        <v>192</v>
      </c>
      <c r="E8" s="1058" t="s">
        <v>3480</v>
      </c>
      <c r="F8" s="1058" t="s">
        <v>192</v>
      </c>
    </row>
    <row r="9" spans="1:6" ht="15.75" customHeight="1" thickBot="1" x14ac:dyDescent="0.25">
      <c r="A9" s="1060"/>
      <c r="B9" s="1059"/>
      <c r="C9" s="1061"/>
      <c r="D9" s="1059"/>
      <c r="E9" s="1059"/>
      <c r="F9" s="1059"/>
    </row>
    <row r="10" spans="1:6" s="207" customFormat="1" ht="51" customHeight="1" thickBot="1" x14ac:dyDescent="0.25">
      <c r="A10" s="208">
        <v>1</v>
      </c>
      <c r="B10" s="63" t="str">
        <f>IF(C10&gt;0,VLOOKUP(C10,Программа!A$2:B$5100,2))</f>
        <v>Муниципальная программа  "Развитие культуры, туризма и молодежной политики в Тутаевском муниципальном районе"</v>
      </c>
      <c r="C10" s="53" t="s">
        <v>714</v>
      </c>
      <c r="D10" s="809">
        <f>SUMIFS(Пр12!G$10:G$1648,Пр12!$D$10:$D$1648,C10)</f>
        <v>191646679</v>
      </c>
      <c r="E10" s="808">
        <f>SUMIFS(Пр12!H$10:H$1648,Пр12!$D$10:$D$1648,C10)</f>
        <v>189845787</v>
      </c>
      <c r="F10" s="809">
        <f>SUMIFS(Пр12!I$10:I$1648,Пр12!$D$10:$D$1648,C10)</f>
        <v>381492466</v>
      </c>
    </row>
    <row r="11" spans="1:6" s="210" customFormat="1" ht="19.5" customHeight="1" thickBot="1" x14ac:dyDescent="0.25">
      <c r="A11" s="211" t="s">
        <v>904</v>
      </c>
      <c r="B11" s="212" t="str">
        <f>IF(C11&gt;0,VLOOKUP(C11,Программа!A$2:B$5100,2))</f>
        <v>Ведомственная целевая программа «Молодежь»</v>
      </c>
      <c r="C11" s="810" t="s">
        <v>822</v>
      </c>
      <c r="D11" s="811">
        <f>SUMIFS(Пр12!G$10:G$1648,Пр12!$D$10:$D$1648,C11)</f>
        <v>12307959</v>
      </c>
      <c r="E11" s="808">
        <f>SUMIFS(Пр12!H$10:H$1648,Пр12!$D$10:$D$1648,C11)</f>
        <v>11970724</v>
      </c>
      <c r="F11" s="811">
        <f>SUMIFS(Пр12!I$10:I$1648,Пр12!$D$10:$D$1648,C11)</f>
        <v>24278683</v>
      </c>
    </row>
    <row r="12" spans="1:6" ht="51.75" customHeight="1" thickBot="1" x14ac:dyDescent="0.25">
      <c r="A12" s="213" t="s">
        <v>905</v>
      </c>
      <c r="B12" s="64" t="str">
        <f>IF(C12&gt;0,VLOOKUP(C12,Программа!A$2:B$5100,2))</f>
        <v>Обеспечение условий для выполнения муниципального задания на оказание услуг, выполнение работ в сфере молодежной политики</v>
      </c>
      <c r="C12" s="812" t="s">
        <v>824</v>
      </c>
      <c r="D12" s="808">
        <f>SUMIFS(Пр12!G$10:G$1648,Пр12!$D$10:$D$1648,C12)</f>
        <v>12217959</v>
      </c>
      <c r="E12" s="808">
        <f>SUMIFS(Пр12!H$10:H$1648,Пр12!$D$10:$D$1648,C12)</f>
        <v>11880724</v>
      </c>
      <c r="F12" s="811">
        <f>SUMIFS(Пр12!I$10:I$1648,Пр12!$D$10:$D$1648,C12)</f>
        <v>24098683</v>
      </c>
    </row>
    <row r="13" spans="1:6" ht="35.25" customHeight="1" thickBot="1" x14ac:dyDescent="0.25">
      <c r="A13" s="213"/>
      <c r="B13" s="64" t="str">
        <f>IF(C13&gt;0,VLOOKUP(C13,Программа!A$2:B$5100,2))</f>
        <v>Обеспечение качества и доступности услуг(работ) в сфере молодежной политики</v>
      </c>
      <c r="C13" s="812" t="s">
        <v>3047</v>
      </c>
      <c r="D13" s="808">
        <f>SUMIFS(Пр12!G$10:G$1648,Пр12!$D$10:$D$1648,C13)</f>
        <v>90000</v>
      </c>
      <c r="E13" s="808">
        <f>SUMIFS(Пр12!H$10:H$1648,Пр12!$D$10:$D$1648,C13)</f>
        <v>90000</v>
      </c>
      <c r="F13" s="811">
        <f>SUMIFS(Пр12!I$10:I$1648,Пр12!$D$10:$D$1648,C13)</f>
        <v>180000</v>
      </c>
    </row>
    <row r="14" spans="1:6" s="210" customFormat="1" ht="63.75" customHeight="1" thickBot="1" x14ac:dyDescent="0.25">
      <c r="A14" s="215" t="s">
        <v>906</v>
      </c>
      <c r="B14" s="212" t="str">
        <f>IF(C14&gt;0,VLOOKUP(C14,Программа!A$2:B$5100,2))</f>
        <v>Муниципальная целевая программа «Патриотическое воспитание граждан Российской Федерации, проживающих на территории Тутаевского муниципального района Ярославской области»</v>
      </c>
      <c r="C14" s="813" t="s">
        <v>716</v>
      </c>
      <c r="D14" s="811">
        <f>SUMIFS(Пр12!G$10:G$1648,Пр12!$D$10:$D$1648,C14)</f>
        <v>2120954</v>
      </c>
      <c r="E14" s="808">
        <f>SUMIFS(Пр12!H$10:H$1648,Пр12!$D$10:$D$1648,C14)</f>
        <v>2058962</v>
      </c>
      <c r="F14" s="811">
        <f>SUMIFS(Пр12!I$10:I$1648,Пр12!$D$10:$D$1648,C14)</f>
        <v>4179916</v>
      </c>
    </row>
    <row r="15" spans="1:6" ht="50.25" customHeight="1" thickBot="1" x14ac:dyDescent="0.25">
      <c r="A15" s="216" t="s">
        <v>907</v>
      </c>
      <c r="B15" s="64" t="str">
        <f>IF(C15&gt;0,VLOOKUP(C15,Программа!A$2:B$5100,2))</f>
        <v>Координирование деятельности, совершенствование организационного, методического и информационного функционирования системы патриотического воспитания</v>
      </c>
      <c r="C15" s="814" t="s">
        <v>718</v>
      </c>
      <c r="D15" s="808">
        <f>SUMIFS(Пр12!G$10:G$1648,Пр12!$D$10:$D$1648,C15)</f>
        <v>2120954</v>
      </c>
      <c r="E15" s="808">
        <f>SUMIFS(Пр12!H$10:H$1648,Пр12!$D$10:$D$1648,C15)</f>
        <v>2058962</v>
      </c>
      <c r="F15" s="811">
        <f>SUMIFS(Пр12!I$10:I$1648,Пр12!$D$10:$D$1648,C15)</f>
        <v>4179916</v>
      </c>
    </row>
    <row r="16" spans="1:6" s="210" customFormat="1" ht="48" customHeight="1" thickBot="1" x14ac:dyDescent="0.25">
      <c r="A16" s="217" t="s">
        <v>81</v>
      </c>
      <c r="B16" s="212" t="str">
        <f>IF(C16&gt;0,VLOOKUP(C16,Программа!A$2:B$5100,2))</f>
        <v>Муниципальная целевая программа «Комплексные меры противодействия злоупотреблению наркотиками и их незаконному обороту»</v>
      </c>
      <c r="C16" s="813" t="s">
        <v>721</v>
      </c>
      <c r="D16" s="811">
        <f>SUMIFS(Пр12!G$10:G$1648,Пр12!$D$10:$D$1648,C16)</f>
        <v>628424</v>
      </c>
      <c r="E16" s="808">
        <f>SUMIFS(Пр12!H$10:H$1648,Пр12!$D$10:$D$1648,C16)</f>
        <v>628424</v>
      </c>
      <c r="F16" s="811">
        <f>SUMIFS(Пр12!I$10:I$1648,Пр12!$D$10:$D$1648,C16)</f>
        <v>1256848</v>
      </c>
    </row>
    <row r="17" spans="1:6" ht="33.75" customHeight="1" thickBot="1" x14ac:dyDescent="0.25">
      <c r="A17" s="213" t="s">
        <v>908</v>
      </c>
      <c r="B17" s="64" t="str">
        <f>IF(C17&gt;0,VLOOKUP(C17,Программа!A$2:B$5100,2))</f>
        <v>Развитие системы профилактики немедицинского потребления наркотиков</v>
      </c>
      <c r="C17" s="814" t="s">
        <v>723</v>
      </c>
      <c r="D17" s="808">
        <f>SUMIFS(Пр12!G$10:G$1648,Пр12!$D$10:$D$1648,C17)</f>
        <v>628424</v>
      </c>
      <c r="E17" s="808">
        <f>SUMIFS(Пр12!H$10:H$1648,Пр12!$D$10:$D$1648,C17)</f>
        <v>628424</v>
      </c>
      <c r="F17" s="811">
        <f>SUMIFS(Пр12!I$10:I$1648,Пр12!$D$10:$D$1648,C17)</f>
        <v>1256848</v>
      </c>
    </row>
    <row r="18" spans="1:6" s="210" customFormat="1" ht="35.25" customHeight="1" thickBot="1" x14ac:dyDescent="0.25">
      <c r="A18" s="211" t="s">
        <v>909</v>
      </c>
      <c r="B18" s="212" t="str">
        <f>IF(C18&gt;0,VLOOKUP(C18,Программа!A$2:B$5100,2))</f>
        <v>Ведомственная целевая программа «Сохранение и развитие культуры Тутаевского муниципального района»</v>
      </c>
      <c r="C18" s="813" t="s">
        <v>817</v>
      </c>
      <c r="D18" s="811">
        <f>SUMIFS(Пр12!G$10:G$1648,Пр12!$D$10:$D$1648,C18)</f>
        <v>174268896</v>
      </c>
      <c r="E18" s="808">
        <f>SUMIFS(Пр12!H$10:H$1648,Пр12!$D$10:$D$1648,C18)</f>
        <v>172878425</v>
      </c>
      <c r="F18" s="811">
        <f>SUMIFS(Пр12!I$10:I$1648,Пр12!$D$10:$D$1648,C18)</f>
        <v>347147321</v>
      </c>
    </row>
    <row r="19" spans="1:6" ht="35.25" customHeight="1" thickBot="1" x14ac:dyDescent="0.25">
      <c r="A19" s="213" t="s">
        <v>910</v>
      </c>
      <c r="B19" s="64" t="str">
        <f>IF(C19&gt;0,VLOOKUP(C19,Программа!A$2:B$5100,2))</f>
        <v>Реализация дополнительных образовательных программ в сфере культуры</v>
      </c>
      <c r="C19" s="814" t="s">
        <v>819</v>
      </c>
      <c r="D19" s="808">
        <f>SUMIFS(Пр12!G$10:G$1648,Пр12!$D$10:$D$1648,C19)</f>
        <v>33089601</v>
      </c>
      <c r="E19" s="808">
        <f>SUMIFS(Пр12!H$10:H$1648,Пр12!$D$10:$D$1648,C19)</f>
        <v>32680358</v>
      </c>
      <c r="F19" s="811">
        <f>SUMIFS(Пр12!I$10:I$1648,Пр12!$D$10:$D$1648,C19)</f>
        <v>65769959</v>
      </c>
    </row>
    <row r="20" spans="1:6" ht="19.5" customHeight="1" thickBot="1" x14ac:dyDescent="0.25">
      <c r="A20" s="213" t="s">
        <v>911</v>
      </c>
      <c r="B20" s="64" t="str">
        <f>IF(C20&gt;0,VLOOKUP(C20,Программа!A$2:B$5100,2))</f>
        <v>Содействие доступу граждан к культурным ценностям</v>
      </c>
      <c r="C20" s="814" t="s">
        <v>836</v>
      </c>
      <c r="D20" s="808">
        <f>SUMIFS(Пр12!G$10:G$1648,Пр12!$D$10:$D$1648,C20)</f>
        <v>91420769</v>
      </c>
      <c r="E20" s="808">
        <f>SUMIFS(Пр12!H$10:H$1648,Пр12!$D$10:$D$1648,C20)</f>
        <v>89199866</v>
      </c>
      <c r="F20" s="811">
        <f>SUMIFS(Пр12!I$10:I$1648,Пр12!$D$10:$D$1648,C20)</f>
        <v>180620635</v>
      </c>
    </row>
    <row r="21" spans="1:6" ht="33.75" customHeight="1" thickBot="1" x14ac:dyDescent="0.25">
      <c r="A21" s="218" t="s">
        <v>912</v>
      </c>
      <c r="B21" s="64" t="str">
        <f>IF(C21&gt;0,VLOOKUP(C21,Программа!A$2:B$5100,2))</f>
        <v>Поддержка доступа граждан к информационно-библиотечным ресурсам</v>
      </c>
      <c r="C21" s="814" t="s">
        <v>841</v>
      </c>
      <c r="D21" s="808">
        <f>SUMIFS(Пр12!G$10:G$1648,Пр12!$D$10:$D$1648,C21)</f>
        <v>20757172</v>
      </c>
      <c r="E21" s="808">
        <f>SUMIFS(Пр12!H$10:H$1648,Пр12!$D$10:$D$1648,C21)</f>
        <v>21842271</v>
      </c>
      <c r="F21" s="811">
        <f>SUMIFS(Пр12!I$10:I$1648,Пр12!$D$10:$D$1648,C21)</f>
        <v>42599443</v>
      </c>
    </row>
    <row r="22" spans="1:6" ht="32.25" thickBot="1" x14ac:dyDescent="0.25">
      <c r="A22" s="213" t="s">
        <v>913</v>
      </c>
      <c r="B22" s="64" t="str">
        <f>IF(C22&gt;0,VLOOKUP(C22,Программа!A$2:B$5100,2))</f>
        <v>Обеспечение эффективности управления системой культуры</v>
      </c>
      <c r="C22" s="814" t="s">
        <v>844</v>
      </c>
      <c r="D22" s="808">
        <f>SUMIFS(Пр12!G$10:G$1648,Пр12!$D$10:$D$1648,C22)</f>
        <v>29001354</v>
      </c>
      <c r="E22" s="808">
        <f>SUMIFS(Пр12!H$10:H$1648,Пр12!$D$10:$D$1648,C22)</f>
        <v>29155930</v>
      </c>
      <c r="F22" s="811">
        <f>SUMIFS(Пр12!I$10:I$1648,Пр12!$D$10:$D$1648,C22)</f>
        <v>58157284</v>
      </c>
    </row>
    <row r="23" spans="1:6" s="210" customFormat="1" ht="51" customHeight="1" thickBot="1" x14ac:dyDescent="0.25">
      <c r="A23" s="217" t="s">
        <v>914</v>
      </c>
      <c r="B23" s="212" t="str">
        <f>IF(C23&gt;0,VLOOKUP(C23,Программа!A$2:B$5100,2))</f>
        <v>Муниципальная целевая программа «Развитие въездного и внутреннего туризма на территории Тутаевского муниципального района»</v>
      </c>
      <c r="C23" s="813" t="s">
        <v>812</v>
      </c>
      <c r="D23" s="811">
        <f>SUMIFS(Пр12!G$10:G$1648,Пр12!$D$10:$D$1648,C23)</f>
        <v>2320446</v>
      </c>
      <c r="E23" s="808">
        <f>SUMIFS(Пр12!H$10:H$1648,Пр12!$D$10:$D$1648,C23)</f>
        <v>2309252</v>
      </c>
      <c r="F23" s="811">
        <f>SUMIFS(Пр12!I$10:I$1648,Пр12!$D$10:$D$1648,C23)</f>
        <v>4629698</v>
      </c>
    </row>
    <row r="24" spans="1:6" ht="18.75" customHeight="1" thickBot="1" x14ac:dyDescent="0.25">
      <c r="A24" s="213" t="s">
        <v>915</v>
      </c>
      <c r="B24" s="64" t="str">
        <f>IF(C24&gt;0,VLOOKUP(C24,Программа!A$2:B$5100,2))</f>
        <v>Создание благоприятных условий для развития туризма</v>
      </c>
      <c r="C24" s="814" t="s">
        <v>814</v>
      </c>
      <c r="D24" s="808">
        <f>SUMIFS(Пр12!G$10:G$1648,Пр12!$D$10:$D$1648,C24)</f>
        <v>2320446</v>
      </c>
      <c r="E24" s="808">
        <f>SUMIFS(Пр12!H$10:H$1648,Пр12!$D$10:$D$1648,C24)</f>
        <v>2309252</v>
      </c>
      <c r="F24" s="811">
        <f>SUMIFS(Пр12!I$10:I$1648,Пр12!$D$10:$D$1648,C24)</f>
        <v>4629698</v>
      </c>
    </row>
    <row r="25" spans="1:6" s="207" customFormat="1" ht="50.25" customHeight="1" thickBot="1" x14ac:dyDescent="0.25">
      <c r="A25" s="208" t="s">
        <v>916</v>
      </c>
      <c r="B25" s="63" t="str">
        <f>IF(C25&gt;0,VLOOKUP(C25,Программа!A$2:B$5100,2))</f>
        <v>Муниципальная программа "Развитие образования, физической культуры и спорта в Тутаевском муниципальном районе"</v>
      </c>
      <c r="C25" s="53" t="s">
        <v>684</v>
      </c>
      <c r="D25" s="809">
        <f>SUMIFS(Пр12!G$10:G$1648,Пр12!$D$10:$D$1648,C25)</f>
        <v>1059661356</v>
      </c>
      <c r="E25" s="808">
        <f>SUMIFS(Пр12!H$10:H$1648,Пр12!$D$10:$D$1648,C25)</f>
        <v>1053028774</v>
      </c>
      <c r="F25" s="815">
        <f>SUMIFS(Пр12!I$10:I$1648,Пр12!$D$10:$D$1648,C25)</f>
        <v>2112690130</v>
      </c>
    </row>
    <row r="26" spans="1:6" s="210" customFormat="1" ht="48" customHeight="1" thickBot="1" x14ac:dyDescent="0.25">
      <c r="A26" s="217" t="s">
        <v>917</v>
      </c>
      <c r="B26" s="212" t="str">
        <f>IF(C26&gt;0,VLOOKUP(C26,Программа!A$2:B$5100,2))</f>
        <v xml:space="preserve">Ведомственная целевая программа департамента образования Администрации Тутаевского муниципального района </v>
      </c>
      <c r="C26" s="813" t="s">
        <v>686</v>
      </c>
      <c r="D26" s="811">
        <f>SUMIFS(Пр12!G$10:G$1648,Пр12!$D$10:$D$1648,C26)</f>
        <v>1019715979</v>
      </c>
      <c r="E26" s="808">
        <f>SUMIFS(Пр12!H$10:H$1648,Пр12!$D$10:$D$1648,C26)</f>
        <v>1013023398</v>
      </c>
      <c r="F26" s="811">
        <f>SUMIFS(Пр12!I$10:I$1648,Пр12!$D$10:$D$1648,C26)</f>
        <v>2032739377</v>
      </c>
    </row>
    <row r="27" spans="1:6" ht="31.5" customHeight="1" thickBot="1" x14ac:dyDescent="0.25">
      <c r="A27" s="218" t="s">
        <v>918</v>
      </c>
      <c r="B27" s="64" t="str">
        <f>IF(C27&gt;0,VLOOKUP(C27,Программа!A$2:B$5100,2))</f>
        <v>Обеспечение качества и доступности образовательных услуг в сфере дошкольного образования</v>
      </c>
      <c r="C27" s="814" t="s">
        <v>687</v>
      </c>
      <c r="D27" s="808">
        <f>SUMIFS(Пр12!G$10:G$1648,Пр12!$D$10:$D$1648,C27)</f>
        <v>423874651</v>
      </c>
      <c r="E27" s="808">
        <f>SUMIFS(Пр12!H$10:H$1648,Пр12!$D$10:$D$1648,C27)</f>
        <v>417162132</v>
      </c>
      <c r="F27" s="811">
        <f>SUMIFS(Пр12!I$10:I$1648,Пр12!$D$10:$D$1648,C27)</f>
        <v>841036783</v>
      </c>
    </row>
    <row r="28" spans="1:6" ht="30.75" customHeight="1" thickBot="1" x14ac:dyDescent="0.25">
      <c r="A28" s="218" t="s">
        <v>919</v>
      </c>
      <c r="B28" s="64" t="str">
        <f>IF(C28&gt;0,VLOOKUP(C28,Программа!A$2:B$5100,2))</f>
        <v>Обеспечение качества и доступности образовательных услуг в сфере общего образования</v>
      </c>
      <c r="C28" s="814" t="s">
        <v>727</v>
      </c>
      <c r="D28" s="808">
        <f>SUMIFS(Пр12!G$10:G$1648,Пр12!$D$10:$D$1648,C28)</f>
        <v>444719217</v>
      </c>
      <c r="E28" s="808">
        <f>SUMIFS(Пр12!H$10:H$1648,Пр12!$D$10:$D$1648,C28)</f>
        <v>445368009</v>
      </c>
      <c r="F28" s="811">
        <f>SUMIFS(Пр12!I$10:I$1648,Пр12!$D$10:$D$1648,C28)</f>
        <v>890087226</v>
      </c>
    </row>
    <row r="29" spans="1:6" ht="34.5" customHeight="1" thickBot="1" x14ac:dyDescent="0.25">
      <c r="A29" s="218" t="s">
        <v>920</v>
      </c>
      <c r="B29" s="64" t="str">
        <f>IF(C29&gt;0,VLOOKUP(C29,Программа!A$2:B$5100,2))</f>
        <v>Обеспечение качества и доступности образовательных услуг в сфере дополнительного образования</v>
      </c>
      <c r="C29" s="814" t="s">
        <v>751</v>
      </c>
      <c r="D29" s="808">
        <f>SUMIFS(Пр12!G$10:G$1648,Пр12!$D$10:$D$1648,C29)</f>
        <v>57530328</v>
      </c>
      <c r="E29" s="808">
        <f>SUMIFS(Пр12!H$10:H$1648,Пр12!$D$10:$D$1648,C29)</f>
        <v>58096179</v>
      </c>
      <c r="F29" s="811">
        <f>SUMIFS(Пр12!I$10:I$1648,Пр12!$D$10:$D$1648,C29)</f>
        <v>115626507</v>
      </c>
    </row>
    <row r="30" spans="1:6" ht="32.25" thickBot="1" x14ac:dyDescent="0.25">
      <c r="A30" s="213" t="s">
        <v>921</v>
      </c>
      <c r="B30" s="64" t="str">
        <f>IF(C30&gt;0,VLOOKUP(C30,Программа!A$2:B$5100,2))</f>
        <v>Повышение мотивации участников образовательного процесса</v>
      </c>
      <c r="C30" s="814" t="s">
        <v>729</v>
      </c>
      <c r="D30" s="808">
        <f>SUMIFS(Пр12!G$10:G$1648,Пр12!$D$10:$D$1648,C30)</f>
        <v>332000</v>
      </c>
      <c r="E30" s="808">
        <f>SUMIFS(Пр12!H$10:H$1648,Пр12!$D$10:$D$1648,C30)</f>
        <v>326000</v>
      </c>
      <c r="F30" s="811">
        <f>SUMIFS(Пр12!I$10:I$1648,Пр12!$D$10:$D$1648,C30)</f>
        <v>658000</v>
      </c>
    </row>
    <row r="31" spans="1:6" ht="63" customHeight="1" thickBot="1" x14ac:dyDescent="0.25">
      <c r="A31" s="218" t="s">
        <v>922</v>
      </c>
      <c r="B31" s="64" t="str">
        <f>IF(C31&gt;0,VLOOKUP(C31,Программа!A$2:B$5100,2))</f>
        <v>Обеспечение доступности и качества услуг в сфере психолого и медико- социального сопровождения детей, методической и консультационной помощи педагогическим работникам</v>
      </c>
      <c r="C31" s="814" t="s">
        <v>706</v>
      </c>
      <c r="D31" s="808">
        <f>SUMIFS(Пр12!G$10:G$1648,Пр12!$D$10:$D$1648,C31)</f>
        <v>10820079</v>
      </c>
      <c r="E31" s="808">
        <f>SUMIFS(Пр12!H$10:H$1648,Пр12!$D$10:$D$1648,C31)</f>
        <v>10820079</v>
      </c>
      <c r="F31" s="811">
        <f>SUMIFS(Пр12!I$10:I$1648,Пр12!$D$10:$D$1648,C31)</f>
        <v>21640158</v>
      </c>
    </row>
    <row r="32" spans="1:6" ht="48" customHeight="1" thickBot="1" x14ac:dyDescent="0.25">
      <c r="A32" s="213" t="s">
        <v>923</v>
      </c>
      <c r="B32" s="64" t="str">
        <f>IF(C32&gt;0,VLOOKUP(C32,Программа!A$2:B$5100,2))</f>
        <v>Обеспечение качества реализации мер по социальной поддержке детей-сирот и детей, оставшихся без попечения родителей</v>
      </c>
      <c r="C32" s="814" t="s">
        <v>736</v>
      </c>
      <c r="D32" s="808">
        <f>SUMIFS(Пр12!G$10:G$1648,Пр12!$D$10:$D$1648,C32)</f>
        <v>28840428</v>
      </c>
      <c r="E32" s="808">
        <f>SUMIFS(Пр12!H$10:H$1648,Пр12!$D$10:$D$1648,C32)</f>
        <v>28236926</v>
      </c>
      <c r="F32" s="811">
        <f>SUMIFS(Пр12!I$10:I$1648,Пр12!$D$10:$D$1648,C32)</f>
        <v>57077354</v>
      </c>
    </row>
    <row r="33" spans="1:6" ht="32.25" thickBot="1" x14ac:dyDescent="0.25">
      <c r="A33" s="213"/>
      <c r="B33" s="64" t="str">
        <f>IF(C33&gt;0,VLOOKUP(C33,Программа!A$2:B$5100,2))</f>
        <v>Обеспечение реализации мероприятий в рамках областных целевых программ</v>
      </c>
      <c r="C33" s="814" t="s">
        <v>2946</v>
      </c>
      <c r="D33" s="808">
        <f>SUMIFS(Пр12!G$10:G$1648,Пр12!$D$10:$D$1648,C33)</f>
        <v>5378740</v>
      </c>
      <c r="E33" s="808">
        <f>SUMIFS(Пр12!H$10:H$1648,Пр12!$D$10:$D$1648,C33)</f>
        <v>5249200</v>
      </c>
      <c r="F33" s="811">
        <f>SUMIFS(Пр12!I$10:I$1648,Пр12!$D$10:$D$1648,C33)</f>
        <v>10627940</v>
      </c>
    </row>
    <row r="34" spans="1:6" ht="16.5" thickBot="1" x14ac:dyDescent="0.25">
      <c r="A34" s="213"/>
      <c r="B34" s="64" t="str">
        <f>IF(C34&gt;0,VLOOKUP(C34,Программа!A$2:B$5100,2))</f>
        <v>Обеспечение компенсационных выплат</v>
      </c>
      <c r="C34" s="814" t="s">
        <v>2952</v>
      </c>
      <c r="D34" s="808">
        <f>SUMIFS(Пр12!G$10:G$1648,Пр12!$D$10:$D$1648,C34)</f>
        <v>19660519</v>
      </c>
      <c r="E34" s="808">
        <f>SUMIFS(Пр12!H$10:H$1648,Пр12!$D$10:$D$1648,C34)</f>
        <v>19092612</v>
      </c>
      <c r="F34" s="811">
        <f>SUMIFS(Пр12!I$10:I$1648,Пр12!$D$10:$D$1648,C34)</f>
        <v>38753131</v>
      </c>
    </row>
    <row r="35" spans="1:6" ht="32.25" thickBot="1" x14ac:dyDescent="0.25">
      <c r="A35" s="213"/>
      <c r="B35" s="64" t="str">
        <f>IF(C35&gt;0,VLOOKUP(C35,Программа!A$2:B$5100,2))</f>
        <v>Обеспечение эффективности управления системой образования</v>
      </c>
      <c r="C35" s="814" t="s">
        <v>2949</v>
      </c>
      <c r="D35" s="808">
        <f>SUMIFS(Пр12!G$10:G$1648,Пр12!$D$10:$D$1648,C35)</f>
        <v>28560017</v>
      </c>
      <c r="E35" s="808">
        <f>SUMIFS(Пр12!H$10:H$1648,Пр12!$D$10:$D$1648,C35)</f>
        <v>28672261</v>
      </c>
      <c r="F35" s="811">
        <f>SUMIFS(Пр12!I$10:I$1648,Пр12!$D$10:$D$1648,C35)</f>
        <v>57232278</v>
      </c>
    </row>
    <row r="36" spans="1:6" s="210" customFormat="1" ht="50.25" customHeight="1" thickBot="1" x14ac:dyDescent="0.25">
      <c r="A36" s="211" t="s">
        <v>924</v>
      </c>
      <c r="B36" s="212" t="str">
        <f>IF(C36&gt;0,VLOOKUP(C36,Программа!A$2:B$5100,2))</f>
        <v>Муниципальная целевая программа "Духовно-нравственное воспитание и просвещение населения Тутаевского муниципального района"</v>
      </c>
      <c r="C36" s="813" t="s">
        <v>738</v>
      </c>
      <c r="D36" s="811">
        <f>SUMIFS(Пр12!G$10:G$1648,Пр12!$D$10:$D$1648,C36)</f>
        <v>56000</v>
      </c>
      <c r="E36" s="808">
        <f>SUMIFS(Пр12!H$10:H$1648,Пр12!$D$10:$D$1648,C36)</f>
        <v>56000</v>
      </c>
      <c r="F36" s="811">
        <f>SUMIFS(Пр12!I$10:I$1648,Пр12!$D$10:$D$1648,C36)</f>
        <v>112000</v>
      </c>
    </row>
    <row r="37" spans="1:6" ht="33.75" customHeight="1" thickBot="1" x14ac:dyDescent="0.25">
      <c r="A37" s="213"/>
      <c r="B37" s="64" t="str">
        <f>IF(C37&gt;0,VLOOKUP(C37,Программа!A$2:B$5100,2))</f>
        <v>Реализация мер по созданию целостной системы духовно-нравственного воспитания и просвещения населения</v>
      </c>
      <c r="C37" s="814" t="s">
        <v>740</v>
      </c>
      <c r="D37" s="808">
        <f>SUMIFS(Пр12!G$10:G$1648,Пр12!$D$10:$D$1648,C37)</f>
        <v>56000</v>
      </c>
      <c r="E37" s="808">
        <f>SUMIFS(Пр12!H$10:H$1648,Пр12!$D$10:$D$1648,C37)</f>
        <v>56000</v>
      </c>
      <c r="F37" s="811">
        <f>SUMIFS(Пр12!I$10:I$1648,Пр12!$D$10:$D$1648,C37)</f>
        <v>112000</v>
      </c>
    </row>
    <row r="38" spans="1:6" s="210" customFormat="1" ht="34.5" customHeight="1" thickBot="1" x14ac:dyDescent="0.25">
      <c r="A38" s="211"/>
      <c r="B38" s="212" t="str">
        <f>IF(C38&gt;0,VLOOKUP(C38,Программа!A$2:B$5100,2))</f>
        <v>Муниципальная целевая программа "Развитие физической культуры и спорта в Тутаевском муниципальном районе"</v>
      </c>
      <c r="C38" s="813" t="s">
        <v>704</v>
      </c>
      <c r="D38" s="811">
        <f>SUMIFS(Пр12!G$10:G$1648,Пр12!$D$10:$D$1648,C38)</f>
        <v>39889377</v>
      </c>
      <c r="E38" s="808">
        <f>SUMIFS(Пр12!H$10:H$1648,Пр12!$D$10:$D$1648,C38)</f>
        <v>39949376</v>
      </c>
      <c r="F38" s="811">
        <f>SUMIFS(Пр12!I$10:I$1648,Пр12!$D$10:$D$1648,C38)</f>
        <v>79838753</v>
      </c>
    </row>
    <row r="39" spans="1:6" ht="66.75" customHeight="1" thickBot="1" x14ac:dyDescent="0.25">
      <c r="A39" s="213"/>
      <c r="B39" s="64" t="str">
        <f>IF(C39&gt;0,VLOOKUP(C39,Программа!A$2:B$5100,2))</f>
        <v>Организация и проведение физкультурно-оздоровительной и спортивно-массовой работы среди детей, обучающейся молодежи, населения и людей с ограниченными возможностями здоровья</v>
      </c>
      <c r="C39" s="814" t="s">
        <v>761</v>
      </c>
      <c r="D39" s="808">
        <f>SUMIFS(Пр12!G$10:G$1648,Пр12!$D$10:$D$1648,C39)</f>
        <v>39889377</v>
      </c>
      <c r="E39" s="808">
        <f>SUMIFS(Пр12!H$10:H$1648,Пр12!$D$10:$D$1648,C39)</f>
        <v>39949376</v>
      </c>
      <c r="F39" s="811">
        <f>SUMIFS(Пр12!I$10:I$1648,Пр12!$D$10:$D$1648,C39)</f>
        <v>79838753</v>
      </c>
    </row>
    <row r="40" spans="1:6" ht="16.5" hidden="1" thickBot="1" x14ac:dyDescent="0.25">
      <c r="A40" s="213"/>
      <c r="B40" s="64" t="str">
        <f>IF(C40&gt;0,VLOOKUP(C40,Программа!A$2:B$5100,2))</f>
        <v>Развитие сети плоскостных спортивных сооружений</v>
      </c>
      <c r="C40" s="814" t="s">
        <v>742</v>
      </c>
      <c r="D40" s="808">
        <f>SUMIFS(Пр12!G$10:G$1648,Пр12!$D$10:$D$1648,C40)</f>
        <v>0</v>
      </c>
      <c r="E40" s="808">
        <f>SUMIFS(Пр12!H$10:H$1648,Пр12!$D$10:$D$1648,C40)</f>
        <v>0</v>
      </c>
      <c r="F40" s="811">
        <f>SUMIFS(Пр12!I$10:I$1648,Пр12!$D$10:$D$1648,C40)</f>
        <v>0</v>
      </c>
    </row>
    <row r="41" spans="1:6" s="207" customFormat="1" ht="34.5" customHeight="1" thickBot="1" x14ac:dyDescent="0.25">
      <c r="A41" s="219"/>
      <c r="B41" s="63" t="str">
        <f>IF(C41&gt;0,VLOOKUP(C41,Программа!A$2:B$5100,2))</f>
        <v>Муниципальная программа "Социальная поддержка населения Тутаевского муниципального района"</v>
      </c>
      <c r="C41" s="816" t="s">
        <v>693</v>
      </c>
      <c r="D41" s="809">
        <f>SUMIFS(Пр12!G$10:G$1648,Пр12!$D$10:$D$1648,C41)</f>
        <v>412701075</v>
      </c>
      <c r="E41" s="808">
        <f>SUMIFS(Пр12!H$10:H$1648,Пр12!$D$10:$D$1648,C41)</f>
        <v>401934958</v>
      </c>
      <c r="F41" s="809">
        <f>SUMIFS(Пр12!I$10:I$1648,Пр12!$D$10:$D$1648,C41)</f>
        <v>814636033</v>
      </c>
    </row>
    <row r="42" spans="1:6" s="210" customFormat="1" ht="48" thickBot="1" x14ac:dyDescent="0.25">
      <c r="A42" s="211"/>
      <c r="B42" s="212" t="str">
        <f>IF(C42&gt;0,VLOOKUP(C42,Программа!A$2:B$5100,2))</f>
        <v xml:space="preserve">Ведомственная целевая программа «Социальная поддержка населения Тутаевского муниципального района» </v>
      </c>
      <c r="C42" s="813" t="s">
        <v>766</v>
      </c>
      <c r="D42" s="811">
        <f>SUMIFS(Пр12!G$10:G$1648,Пр12!$D$10:$D$1648,C42)</f>
        <v>412401075</v>
      </c>
      <c r="E42" s="808">
        <f>SUMIFS(Пр12!H$10:H$1648,Пр12!$D$10:$D$1648,C42)</f>
        <v>401684958</v>
      </c>
      <c r="F42" s="811">
        <f>SUMIFS(Пр12!I$10:I$1648,Пр12!$D$10:$D$1648,C42)</f>
        <v>814086033</v>
      </c>
    </row>
    <row r="43" spans="1:6" ht="33" customHeight="1" thickBot="1" x14ac:dyDescent="0.25">
      <c r="A43" s="213"/>
      <c r="B43" s="64" t="str">
        <f>IF(C43&gt;0,VLOOKUP(C43,Программа!A$2:B$5100,2))</f>
        <v>Исполнение публичных обязательств по предоставлению выплат, пособий и компенсаций</v>
      </c>
      <c r="C43" s="814" t="s">
        <v>768</v>
      </c>
      <c r="D43" s="808">
        <f>SUMIFS(Пр12!G$10:G$1648,Пр12!$D$10:$D$1648,C43)</f>
        <v>323056525</v>
      </c>
      <c r="E43" s="808">
        <f>SUMIFS(Пр12!H$10:H$1648,Пр12!$D$10:$D$1648,C43)</f>
        <v>313098917</v>
      </c>
      <c r="F43" s="811">
        <f>SUMIFS(Пр12!I$10:I$1648,Пр12!$D$10:$D$1648,C43)</f>
        <v>636155442</v>
      </c>
    </row>
    <row r="44" spans="1:6" ht="50.25" customHeight="1" thickBot="1" x14ac:dyDescent="0.25">
      <c r="A44" s="213"/>
      <c r="B44" s="64" t="str">
        <f>IF(C44&gt;0,VLOOKUP(C44,Программа!A$2:B$5100,2))</f>
        <v>Предоставление социальных услуг населению Тутаевского муниципального района на основе соблюдения стандартов и нормативов</v>
      </c>
      <c r="C44" s="814" t="s">
        <v>771</v>
      </c>
      <c r="D44" s="808">
        <f>SUMIFS(Пр12!G$10:G$1648,Пр12!$D$10:$D$1648,C44)</f>
        <v>84020480</v>
      </c>
      <c r="E44" s="808">
        <f>SUMIFS(Пр12!H$10:H$1648,Пр12!$D$10:$D$1648,C44)</f>
        <v>83303726</v>
      </c>
      <c r="F44" s="811">
        <f>SUMIFS(Пр12!I$10:I$1648,Пр12!$D$10:$D$1648,C44)</f>
        <v>167324206</v>
      </c>
    </row>
    <row r="45" spans="1:6" ht="49.5" customHeight="1" thickBot="1" x14ac:dyDescent="0.25">
      <c r="A45" s="213"/>
      <c r="B45" s="64" t="str">
        <f>IF(C45&gt;0,VLOOKUP(C45,Программа!A$2:B$5100,2))</f>
        <v>Социальная защита семей с детьми, инвалидов, ветеранов, граждан и детей, оказавшихся в трудной жизненной ситуации</v>
      </c>
      <c r="C45" s="814" t="s">
        <v>786</v>
      </c>
      <c r="D45" s="808">
        <f>SUMIFS(Пр12!G$10:G$1648,Пр12!$D$10:$D$1648,C45)</f>
        <v>5009200</v>
      </c>
      <c r="E45" s="808">
        <f>SUMIFS(Пр12!H$10:H$1648,Пр12!$D$10:$D$1648,C45)</f>
        <v>5057445</v>
      </c>
      <c r="F45" s="811">
        <f>SUMIFS(Пр12!I$10:I$1648,Пр12!$D$10:$D$1648,C45)</f>
        <v>10066645</v>
      </c>
    </row>
    <row r="46" spans="1:6" ht="32.25" thickBot="1" x14ac:dyDescent="0.25">
      <c r="A46" s="213"/>
      <c r="B46" s="64" t="str">
        <f>IF(C46&gt;0,VLOOKUP(C46,Программа!A$2:B$5100,2))</f>
        <v>Информационное обеспечение реализации мероприятий программы</v>
      </c>
      <c r="C46" s="814" t="s">
        <v>3201</v>
      </c>
      <c r="D46" s="808">
        <f>SUMIFS(Пр12!G$10:G$1648,Пр12!$D$10:$D$1648,C46)</f>
        <v>314870</v>
      </c>
      <c r="E46" s="808">
        <f>SUMIFS(Пр12!H$10:H$1648,Пр12!$D$10:$D$1648,C46)</f>
        <v>224870</v>
      </c>
      <c r="F46" s="811">
        <f>SUMIFS(Пр12!I$10:I$1648,Пр12!$D$10:$D$1648,C46)</f>
        <v>539740</v>
      </c>
    </row>
    <row r="47" spans="1:6" s="210" customFormat="1" ht="34.5" customHeight="1" thickBot="1" x14ac:dyDescent="0.25">
      <c r="A47" s="211"/>
      <c r="B47" s="212" t="str">
        <f>IF(C47&gt;0,VLOOKUP(C47,Программа!A$2:B$5100,2))</f>
        <v>Муниципальная целевая программа "Улучшение условий и охраны труда" по Тутаевскому муниципальному району</v>
      </c>
      <c r="C47" s="813" t="s">
        <v>695</v>
      </c>
      <c r="D47" s="811">
        <f>SUMIFS(Пр12!G$10:G$1648,Пр12!$D$10:$D$1648,C47)</f>
        <v>300000</v>
      </c>
      <c r="E47" s="808">
        <f>SUMIFS(Пр12!H$10:H$1648,Пр12!$D$10:$D$1648,C47)</f>
        <v>250000</v>
      </c>
      <c r="F47" s="811">
        <f>SUMIFS(Пр12!I$10:I$1648,Пр12!$D$10:$D$1648,C47)</f>
        <v>550000</v>
      </c>
    </row>
    <row r="48" spans="1:6" s="210" customFormat="1" ht="48.75" customHeight="1" thickBot="1" x14ac:dyDescent="0.25">
      <c r="A48" s="211"/>
      <c r="B48" s="64" t="str">
        <f>IF(C48&gt;0,VLOOKUP(C48,Программа!A$2:B$5100,2))</f>
        <v>Специальная оценка условий труда работающих в организациях расположенных на территории Тутаевского муниципального района</v>
      </c>
      <c r="C48" s="813" t="s">
        <v>696</v>
      </c>
      <c r="D48" s="808">
        <f>SUMIFS(Пр12!G$10:G$1648,Пр12!$D$10:$D$1648,C48)</f>
        <v>188800</v>
      </c>
      <c r="E48" s="808">
        <f>SUMIFS(Пр12!H$10:H$1648,Пр12!$D$10:$D$1648,C48)</f>
        <v>137100</v>
      </c>
      <c r="F48" s="811">
        <f>SUMIFS(Пр12!I$10:I$1648,Пр12!$D$10:$D$1648,C48)</f>
        <v>325900</v>
      </c>
    </row>
    <row r="49" spans="1:6" ht="34.5" customHeight="1" thickBot="1" x14ac:dyDescent="0.25">
      <c r="A49" s="213"/>
      <c r="B49" s="64" t="str">
        <f>IF(C49&gt;0,VLOOKUP(C49,Программа!A$2:B$5100,2))</f>
        <v>Обучение по охране труда работников организаций Тутаевского муниципального района</v>
      </c>
      <c r="C49" s="814" t="s">
        <v>2924</v>
      </c>
      <c r="D49" s="808">
        <f>SUMIFS(Пр12!G$10:G$1648,Пр12!$D$10:$D$1648,C49)</f>
        <v>111200</v>
      </c>
      <c r="E49" s="808">
        <f>SUMIFS(Пр12!H$10:H$1648,Пр12!$D$10:$D$1648,C49)</f>
        <v>112900</v>
      </c>
      <c r="F49" s="811">
        <f>SUMIFS(Пр12!I$10:I$1648,Пр12!$D$10:$D$1648,C49)</f>
        <v>224100</v>
      </c>
    </row>
    <row r="50" spans="1:6" s="207" customFormat="1" ht="20.25" customHeight="1" thickBot="1" x14ac:dyDescent="0.25">
      <c r="A50" s="219"/>
      <c r="B50" s="63" t="str">
        <f>IF(C50&gt;0,VLOOKUP(C50,Программа!A$2:B$5100,2))</f>
        <v>Муниципальная программа "Доступная среда "</v>
      </c>
      <c r="C50" s="53" t="s">
        <v>831</v>
      </c>
      <c r="D50" s="809">
        <f>SUMIFS(Пр12!G$10:G$1648,Пр12!$D$10:$D$1648,C50)</f>
        <v>57631</v>
      </c>
      <c r="E50" s="808">
        <f>SUMIFS(Пр12!H$10:H$1648,Пр12!$D$10:$D$1648,C50)</f>
        <v>57631</v>
      </c>
      <c r="F50" s="809">
        <f>SUMIFS(Пр12!I$10:I$1648,Пр12!$D$10:$D$1648,C50)</f>
        <v>115262</v>
      </c>
    </row>
    <row r="51" spans="1:6" ht="48" customHeight="1" thickBot="1" x14ac:dyDescent="0.25">
      <c r="A51" s="213"/>
      <c r="B51" s="64" t="str">
        <f>IF(C51&gt;0,VLOOKUP(C51,Программа!A$2:B$5100,2))</f>
        <v>Обеспечение доступности приоритетных объектов и услуг в сферах жизнедеятельности граждан с ограниченными возможностями с учетом их особых потребностей</v>
      </c>
      <c r="C51" s="814" t="s">
        <v>833</v>
      </c>
      <c r="D51" s="808">
        <f>SUMIFS(Пр12!G$10:G$1648,Пр12!$D$10:$D$1648,C51)</f>
        <v>57631</v>
      </c>
      <c r="E51" s="808">
        <f>SUMIFS(Пр12!H$10:H$1648,Пр12!$D$10:$D$1648,C51)</f>
        <v>57631</v>
      </c>
      <c r="F51" s="811">
        <f>SUMIFS(Пр12!I$10:I$1648,Пр12!$D$10:$D$1648,C51)</f>
        <v>115262</v>
      </c>
    </row>
    <row r="52" spans="1:6" s="207" customFormat="1" ht="50.25" customHeight="1" thickBot="1" x14ac:dyDescent="0.25">
      <c r="A52" s="219"/>
      <c r="B52" s="63" t="str">
        <f>IF(C52&gt;0,VLOOKUP(C52,Программа!A$2:B$5100,2))</f>
        <v>Муниципальная программа "Обеспечение качественными коммунальными услугами населения Тутаевского муниципального района"</v>
      </c>
      <c r="C52" s="53" t="s">
        <v>849</v>
      </c>
      <c r="D52" s="809">
        <f>SUMIFS(Пр12!G$10:G$1648,Пр12!$D$10:$D$1648,C52)</f>
        <v>30331552.530000001</v>
      </c>
      <c r="E52" s="808">
        <f>SUMIFS(Пр12!H$10:H$1648,Пр12!$D$10:$D$1648,C52)</f>
        <v>29670774</v>
      </c>
      <c r="F52" s="809">
        <f>SUMIFS(Пр12!I$10:I$1648,Пр12!$D$10:$D$1648,C52)</f>
        <v>60002326.530000001</v>
      </c>
    </row>
    <row r="53" spans="1:6" s="210" customFormat="1" ht="66" customHeight="1" thickBot="1" x14ac:dyDescent="0.25">
      <c r="A53" s="211"/>
      <c r="B53" s="212" t="str">
        <f>IF(C53&gt;0,VLOOKUP(C53,Программа!A$2:B$5100,2))</f>
        <v>Муниципальная целевая программа "Обеспечение надежного теплоснабжения жилищного фонда и учреждений  бюджетной сферы" на территории Тутаевского муниципального района</v>
      </c>
      <c r="C53" s="813" t="s">
        <v>851</v>
      </c>
      <c r="D53" s="811">
        <f>SUMIFS(Пр12!G$10:G$1648,Пр12!$D$10:$D$1648,C53)</f>
        <v>11831753</v>
      </c>
      <c r="E53" s="808">
        <f>SUMIFS(Пр12!H$10:H$1648,Пр12!$D$10:$D$1648,C53)</f>
        <v>11729701</v>
      </c>
      <c r="F53" s="811">
        <f>SUMIFS(Пр12!I$10:I$1648,Пр12!$D$10:$D$1648,C53)</f>
        <v>23561454</v>
      </c>
    </row>
    <row r="54" spans="1:6" ht="66" customHeight="1" thickBot="1" x14ac:dyDescent="0.25">
      <c r="A54" s="213"/>
      <c r="B54" s="64" t="str">
        <f>IF(C54&gt;0,VLOOKUP(C54,Программа!A$2:B$5100,2))</f>
        <v>Создание финансовых механизмом, обеспечивающих надежную, качественную и бесперебойную работу  теплоснабжающих предприятий, созданных с участием Администрации Тутаевского мунимципального района</v>
      </c>
      <c r="C54" s="814" t="s">
        <v>878</v>
      </c>
      <c r="D54" s="808">
        <f>SUMIFS(Пр12!G$10:G$1648,Пр12!$D$10:$D$1648,C54)</f>
        <v>11331753</v>
      </c>
      <c r="E54" s="808">
        <f>SUMIFS(Пр12!H$10:H$1648,Пр12!$D$10:$D$1648,C54)</f>
        <v>11331479</v>
      </c>
      <c r="F54" s="811">
        <f>SUMIFS(Пр12!I$10:I$1648,Пр12!$D$10:$D$1648,C54)</f>
        <v>22663232</v>
      </c>
    </row>
    <row r="55" spans="1:6" ht="48" thickBot="1" x14ac:dyDescent="0.25">
      <c r="A55" s="213"/>
      <c r="B55" s="64" t="str">
        <f>IF(C55&gt;0,VLOOKUP(C55,Программа!A$2:B$5100,2))</f>
        <v>Обеспечение надежного снабжения  твердым топливом  сельского населения, путем частичного возмещения расходов</v>
      </c>
      <c r="C55" s="814" t="s">
        <v>852</v>
      </c>
      <c r="D55" s="808">
        <f>SUMIFS(Пр12!G$10:G$1648,Пр12!$D$10:$D$1648,C55)</f>
        <v>500000</v>
      </c>
      <c r="E55" s="808">
        <f>SUMIFS(Пр12!H$10:H$1648,Пр12!$D$10:$D$1648,C55)</f>
        <v>398222</v>
      </c>
      <c r="F55" s="811">
        <f>SUMIFS(Пр12!I$10:I$1648,Пр12!$D$10:$D$1648,C55)</f>
        <v>898222</v>
      </c>
    </row>
    <row r="56" spans="1:6" s="210" customFormat="1" ht="63.75" customHeight="1" thickBot="1" x14ac:dyDescent="0.25">
      <c r="A56" s="211"/>
      <c r="B56" s="212" t="str">
        <f>IF(C56&gt;0,VLOOKUP(C56,Программа!A$2:B$5100,2))</f>
        <v xml:space="preserve">Муниципальная целевая   программа «Комплексная программа модернизации и реформирования жилищно-коммунального хозяйства Тутаевского муниципального района» </v>
      </c>
      <c r="C56" s="813" t="s">
        <v>881</v>
      </c>
      <c r="D56" s="811">
        <f>SUMIFS(Пр12!G$10:G$1648,Пр12!$D$10:$D$1648,C56)</f>
        <v>11410553</v>
      </c>
      <c r="E56" s="808">
        <f>SUMIFS(Пр12!H$10:H$1648,Пр12!$D$10:$D$1648,C56)</f>
        <v>11307529</v>
      </c>
      <c r="F56" s="811">
        <f>SUMIFS(Пр12!I$10:I$1648,Пр12!$D$10:$D$1648,C56)</f>
        <v>22718082</v>
      </c>
    </row>
    <row r="57" spans="1:6" ht="30.75" customHeight="1" thickBot="1" x14ac:dyDescent="0.25">
      <c r="A57" s="213"/>
      <c r="B57" s="64" t="str">
        <f>IF(C57&gt;0,VLOOKUP(C57,Программа!A$2:B$5100,2))</f>
        <v>Повышение уровня газификации и модернизации объектов социальной сферы</v>
      </c>
      <c r="C57" s="814" t="s">
        <v>882</v>
      </c>
      <c r="D57" s="808">
        <f>SUMIFS(Пр12!G$10:G$1648,Пр12!$D$10:$D$1648,C57)</f>
        <v>3438454</v>
      </c>
      <c r="E57" s="808">
        <f>SUMIFS(Пр12!H$10:H$1648,Пр12!$D$10:$D$1648,C57)</f>
        <v>3408457</v>
      </c>
      <c r="F57" s="811">
        <f>SUMIFS(Пр12!I$10:I$1648,Пр12!$D$10:$D$1648,C57)</f>
        <v>6846911</v>
      </c>
    </row>
    <row r="58" spans="1:6" ht="47.25" customHeight="1" thickBot="1" x14ac:dyDescent="0.25">
      <c r="A58" s="213"/>
      <c r="B58" s="64" t="str">
        <f>IF(C58&gt;0,VLOOKUP(C58,Программа!A$2:B$5100,2))</f>
        <v>Повышение уровня газификации жилищного фонда населенных пунктов, путем строительства  межпоселковых газопроводов и распределительных газовых сетей</v>
      </c>
      <c r="C58" s="814" t="s">
        <v>925</v>
      </c>
      <c r="D58" s="808">
        <f>SUMIFS(Пр12!G$10:G$1648,Пр12!$D$10:$D$1648,C58)</f>
        <v>7972099</v>
      </c>
      <c r="E58" s="808">
        <f>SUMIFS(Пр12!H$10:H$1648,Пр12!$D$10:$D$1648,C58)</f>
        <v>7899072</v>
      </c>
      <c r="F58" s="811">
        <f>SUMIFS(Пр12!I$10:I$1648,Пр12!$D$10:$D$1648,C58)</f>
        <v>15871171</v>
      </c>
    </row>
    <row r="59" spans="1:6" s="210" customFormat="1" ht="48" customHeight="1" thickBot="1" x14ac:dyDescent="0.25">
      <c r="A59" s="211"/>
      <c r="B59" s="212" t="str">
        <f>IF(C59&gt;0,VLOOKUP(C59,Программа!A$2:B$5100,2))</f>
        <v xml:space="preserve">Муниципальная целевая   программа «Развитие водоснабжения, водоотведения и очистки сточных вод» на территории Тутаевского муниципального района </v>
      </c>
      <c r="C59" s="813" t="s">
        <v>885</v>
      </c>
      <c r="D59" s="811">
        <f>SUMIFS(Пр12!G$10:G$1648,Пр12!$D$10:$D$1648,C59)</f>
        <v>3055000</v>
      </c>
      <c r="E59" s="808">
        <f>SUMIFS(Пр12!H$10:H$1648,Пр12!$D$10:$D$1648,C59)</f>
        <v>2615298</v>
      </c>
      <c r="F59" s="811">
        <f>SUMIFS(Пр12!I$10:I$1648,Пр12!$D$10:$D$1648,C59)</f>
        <v>5670298</v>
      </c>
    </row>
    <row r="60" spans="1:6" ht="47.25" customHeight="1" thickBot="1" x14ac:dyDescent="0.25">
      <c r="A60" s="213"/>
      <c r="B60" s="64" t="str">
        <f>IF(C60&gt;0,VLOOKUP(C60,Программа!A$2:B$5100,2))</f>
        <v>Гарантированное обеспечение населения питьевой водой, очистки сточных вод, охраны источников питьевого водоснабжения от загрязнения</v>
      </c>
      <c r="C60" s="814" t="s">
        <v>886</v>
      </c>
      <c r="D60" s="808">
        <f>SUMIFS(Пр12!G$10:G$1648,Пр12!$D$10:$D$1648,C60)</f>
        <v>3055000</v>
      </c>
      <c r="E60" s="808">
        <f>SUMIFS(Пр12!H$10:H$1648,Пр12!$D$10:$D$1648,C60)</f>
        <v>2615298</v>
      </c>
      <c r="F60" s="811">
        <f>SUMIFS(Пр12!I$10:I$1648,Пр12!$D$10:$D$1648,C60)</f>
        <v>5670298</v>
      </c>
    </row>
    <row r="61" spans="1:6" ht="48" hidden="1" thickBot="1" x14ac:dyDescent="0.25">
      <c r="A61" s="213"/>
      <c r="B61" s="64" t="str">
        <f>IF(C61&gt;0,VLOOKUP(C61,Программа!A$2:B$5100,2))</f>
        <v>Гарантированное обеспечение населения питьевой водой, очистки сточных вод, охраны источников питьевого водоснабжения от загрязнения</v>
      </c>
      <c r="C61" s="814" t="s">
        <v>926</v>
      </c>
      <c r="D61" s="808">
        <f>SUMIFS(Пр12!G$10:G$1648,Пр12!$D$10:$D$1648,C61)</f>
        <v>0</v>
      </c>
      <c r="E61" s="808">
        <f>SUMIFS(Пр12!H$10:H$1648,Пр12!$D$10:$D$1648,C61)</f>
        <v>0</v>
      </c>
      <c r="F61" s="811">
        <f>SUMIFS(Пр12!I$10:I$1648,Пр12!$D$10:$D$1648,C61)</f>
        <v>0</v>
      </c>
    </row>
    <row r="62" spans="1:6" s="210" customFormat="1" ht="50.25" customHeight="1" thickBot="1" x14ac:dyDescent="0.25">
      <c r="A62" s="211"/>
      <c r="B62" s="212" t="str">
        <f>IF(C62&gt;0,VLOOKUP(C62,Программа!A$2:B$5100,2))</f>
        <v>Муниципальная целевая программа "Подготовка объектов коммунального хозяйства Тутаевского муниципального района к работе в осенне-зимних условиях"</v>
      </c>
      <c r="C62" s="813" t="s">
        <v>888</v>
      </c>
      <c r="D62" s="811">
        <f>SUMIFS(Пр12!G$10:G$1648,Пр12!$D$10:$D$1648,C62)</f>
        <v>4034246.5300000003</v>
      </c>
      <c r="E62" s="808">
        <f>SUMIFS(Пр12!H$10:H$1648,Пр12!$D$10:$D$1648,C62)</f>
        <v>4018246</v>
      </c>
      <c r="F62" s="811">
        <f>SUMIFS(Пр12!I$10:I$1648,Пр12!$D$10:$D$1648,C62)</f>
        <v>8052492.5300000003</v>
      </c>
    </row>
    <row r="63" spans="1:6" ht="35.25" customHeight="1" thickBot="1" x14ac:dyDescent="0.25">
      <c r="A63" s="213"/>
      <c r="B63" s="64" t="str">
        <f>IF(C63&gt;0,VLOOKUP(C63,Программа!A$2:B$5100,2))</f>
        <v>Проведение комплекса работ по ремонту, замене и реконструкции объектов теплоснабжения</v>
      </c>
      <c r="C63" s="814" t="s">
        <v>890</v>
      </c>
      <c r="D63" s="808">
        <f>SUMIFS(Пр12!G$10:G$1648,Пр12!$D$10:$D$1648,C63)</f>
        <v>4016358.5300000003</v>
      </c>
      <c r="E63" s="808">
        <f>SUMIFS(Пр12!H$10:H$1648,Пр12!$D$10:$D$1648,C63)</f>
        <v>4016358</v>
      </c>
      <c r="F63" s="811">
        <f>SUMIFS(Пр12!I$10:I$1648,Пр12!$D$10:$D$1648,C63)</f>
        <v>8032716.5300000003</v>
      </c>
    </row>
    <row r="64" spans="1:6" ht="48" hidden="1" thickBot="1" x14ac:dyDescent="0.25">
      <c r="A64" s="213"/>
      <c r="B64" s="64" t="str">
        <f>IF(C64&gt;0,VLOOKUP(C64,Программа!A$2:B$5100,2))</f>
        <v>Проведение комплекса работ по ремонту, замене и реконструкции объектов водоснабжения, водоотведения и очистки сточных вод</v>
      </c>
      <c r="C64" s="814" t="s">
        <v>893</v>
      </c>
      <c r="D64" s="808">
        <f>SUMIFS(Пр12!G$10:G$1648,Пр12!$D$10:$D$1648,C64)</f>
        <v>16000</v>
      </c>
      <c r="E64" s="808">
        <f>SUMIFS(Пр12!H$10:H$1648,Пр12!$D$10:$D$1648,C64)</f>
        <v>0</v>
      </c>
      <c r="F64" s="811">
        <f>SUMIFS(Пр12!I$10:I$1648,Пр12!$D$10:$D$1648,C64)</f>
        <v>16000</v>
      </c>
    </row>
    <row r="65" spans="1:6" ht="33" customHeight="1" thickBot="1" x14ac:dyDescent="0.25">
      <c r="A65" s="213"/>
      <c r="B65" s="64" t="str">
        <f>IF(C65&gt;0,VLOOKUP(C65,Программа!A$2:B$5100,2))</f>
        <v>Проведение комплекса работ по ремонту, замене и реконструкции объектов газоснабжения</v>
      </c>
      <c r="C65" s="814" t="s">
        <v>895</v>
      </c>
      <c r="D65" s="808">
        <f>SUMIFS(Пр12!G$10:G$1648,Пр12!$D$10:$D$1648,C65)</f>
        <v>1888</v>
      </c>
      <c r="E65" s="808">
        <f>SUMIFS(Пр12!H$10:H$1648,Пр12!$D$10:$D$1648,C65)</f>
        <v>1888</v>
      </c>
      <c r="F65" s="811">
        <f>SUMIFS(Пр12!I$10:I$1648,Пр12!$D$10:$D$1648,C65)</f>
        <v>3776</v>
      </c>
    </row>
    <row r="66" spans="1:6" s="207" customFormat="1" ht="48.75" customHeight="1" thickBot="1" x14ac:dyDescent="0.25">
      <c r="A66" s="219"/>
      <c r="B66" s="63" t="str">
        <f>IF(C66&gt;0,VLOOKUP(C66,Программа!A$2:B$5100,2))</f>
        <v>Муниципальная  программа "Об энергосбережении и повышении энергетической эффективности Тутаевского муниципального района"</v>
      </c>
      <c r="C66" s="53" t="s">
        <v>854</v>
      </c>
      <c r="D66" s="809">
        <f>SUMIFS(Пр12!G$10:G$1648,Пр12!$D$10:$D$1648,C66)</f>
        <v>266964</v>
      </c>
      <c r="E66" s="808">
        <f>SUMIFS(Пр12!H$10:H$1648,Пр12!$D$10:$D$1648,C66)</f>
        <v>266963</v>
      </c>
      <c r="F66" s="809">
        <f>SUMIFS(Пр12!I$10:I$1648,Пр12!$D$10:$D$1648,C66)</f>
        <v>533927</v>
      </c>
    </row>
    <row r="67" spans="1:6" ht="64.5" customHeight="1" thickBot="1" x14ac:dyDescent="0.25">
      <c r="A67" s="213"/>
      <c r="B67" s="64" t="str">
        <f>IF(C67&gt;0,VLOOKUP(C67,Программа!A$2:B$5100,2))</f>
        <v>Обеспечение рационального использования топливно- энергетических ресурсов при их производстве, передаче и потреблении и создание условий повышения энергетической эффективности</v>
      </c>
      <c r="C67" s="814" t="s">
        <v>856</v>
      </c>
      <c r="D67" s="808">
        <f>SUMIFS(Пр12!G$10:G$1648,Пр12!$D$10:$D$1648,C67)</f>
        <v>266964</v>
      </c>
      <c r="E67" s="808">
        <f>SUMIFS(Пр12!H$10:H$1648,Пр12!$D$10:$D$1648,C67)</f>
        <v>266963</v>
      </c>
      <c r="F67" s="811">
        <f>SUMIFS(Пр12!I$10:I$1648,Пр12!$D$10:$D$1648,C67)</f>
        <v>533927</v>
      </c>
    </row>
    <row r="68" spans="1:6" s="207" customFormat="1" ht="48" thickBot="1" x14ac:dyDescent="0.25">
      <c r="A68" s="219"/>
      <c r="B68" s="63" t="str">
        <f>IF(C68&gt;0,VLOOKUP(C68,Программа!A$2:B$5100,2))</f>
        <v>Муниципальная программа "Развитие дорожного хозяйства и транспорта в Тутаевском муниципальном районе"</v>
      </c>
      <c r="C68" s="53" t="s">
        <v>867</v>
      </c>
      <c r="D68" s="809">
        <f>SUMIFS(Пр12!G$10:G$1648,Пр12!$D$10:$D$1648,C68)</f>
        <v>145957145.51999998</v>
      </c>
      <c r="E68" s="808">
        <f>SUMIFS(Пр12!H$10:H$1648,Пр12!$D$10:$D$1648,C68)</f>
        <v>137312414</v>
      </c>
      <c r="F68" s="815">
        <f>SUMIFS(Пр12!I$10:I$1648,Пр12!$D$10:$D$1648,C68)</f>
        <v>283269559.51999998</v>
      </c>
    </row>
    <row r="69" spans="1:6" s="210" customFormat="1" ht="49.5" customHeight="1" thickBot="1" x14ac:dyDescent="0.25">
      <c r="A69" s="211"/>
      <c r="B69" s="212" t="str">
        <f>IF(C69&gt;0,VLOOKUP(C69,Программа!A$2:B$5100,2))</f>
        <v>Муниципальная целевая программа «Повышение безопасности дорожного движения на территории Тутаевского муниципального района»</v>
      </c>
      <c r="C69" s="813" t="s">
        <v>869</v>
      </c>
      <c r="D69" s="811">
        <f>SUMIFS(Пр12!G$10:G$1648,Пр12!$D$10:$D$1648,C69)</f>
        <v>5283221</v>
      </c>
      <c r="E69" s="808">
        <f>SUMIFS(Пр12!H$10:H$1648,Пр12!$D$10:$D$1648,C69)</f>
        <v>2934143</v>
      </c>
      <c r="F69" s="811">
        <f>SUMIFS(Пр12!I$10:I$1648,Пр12!$D$10:$D$1648,C69)</f>
        <v>8217364</v>
      </c>
    </row>
    <row r="70" spans="1:6" ht="32.25" thickBot="1" x14ac:dyDescent="0.25">
      <c r="A70" s="213"/>
      <c r="B70" s="64" t="str">
        <f>IF(C70&gt;0,VLOOKUP(C70,Программа!A$2:B$5100,2))</f>
        <v>Повышение безопасности дорожного движения на автомобильных дорогах</v>
      </c>
      <c r="C70" s="814" t="s">
        <v>871</v>
      </c>
      <c r="D70" s="808">
        <f>SUMIFS(Пр12!G$10:G$1648,Пр12!$D$10:$D$1648,C70)</f>
        <v>5283221</v>
      </c>
      <c r="E70" s="808">
        <f>SUMIFS(Пр12!H$10:H$1648,Пр12!$D$10:$D$1648,C70)</f>
        <v>2934143</v>
      </c>
      <c r="F70" s="811">
        <f>SUMIFS(Пр12!I$10:I$1648,Пр12!$D$10:$D$1648,C70)</f>
        <v>8217364</v>
      </c>
    </row>
    <row r="71" spans="1:6" s="210" customFormat="1" ht="48" customHeight="1" thickBot="1" x14ac:dyDescent="0.25">
      <c r="A71" s="211"/>
      <c r="B71" s="212" t="str">
        <f>IF(C71&gt;0,VLOOKUP(C71,Программа!A$2:B$5100,2))</f>
        <v>Муниципальная целевая программа «Сохранность автомобильных дорог общего пользования Тутаевского муниципального района»</v>
      </c>
      <c r="C71" s="813" t="s">
        <v>874</v>
      </c>
      <c r="D71" s="811">
        <f>SUMIFS(Пр12!G$10:G$1648,Пр12!$D$10:$D$1648,C71)</f>
        <v>140673924.51999998</v>
      </c>
      <c r="E71" s="808">
        <f>SUMIFS(Пр12!H$10:H$1648,Пр12!$D$10:$D$1648,C71)</f>
        <v>134378271</v>
      </c>
      <c r="F71" s="811">
        <f>SUMIFS(Пр12!I$10:I$1648,Пр12!$D$10:$D$1648,C71)</f>
        <v>275052195.51999998</v>
      </c>
    </row>
    <row r="72" spans="1:6" ht="33.75" customHeight="1" thickBot="1" x14ac:dyDescent="0.25">
      <c r="A72" s="213"/>
      <c r="B72" s="64" t="str">
        <f>IF(C72&gt;0,VLOOKUP(C72,Программа!A$2:B$5100,2))</f>
        <v>Приведение  в нормативное состояние автомобильных дорог общего пользования</v>
      </c>
      <c r="C72" s="814" t="s">
        <v>876</v>
      </c>
      <c r="D72" s="808">
        <f>SUMIFS(Пр12!G$10:G$1648,Пр12!$D$10:$D$1648,C72)</f>
        <v>140673924.51999998</v>
      </c>
      <c r="E72" s="808">
        <f>SUMIFS(Пр12!H$10:H$1648,Пр12!$D$10:$D$1648,C72)</f>
        <v>134378271</v>
      </c>
      <c r="F72" s="811">
        <f>SUMIFS(Пр12!I$10:I$1648,Пр12!$D$10:$D$1648,C72)</f>
        <v>275052195.51999998</v>
      </c>
    </row>
    <row r="73" spans="1:6" s="207" customFormat="1" ht="46.5" customHeight="1" thickBot="1" x14ac:dyDescent="0.25">
      <c r="A73" s="219"/>
      <c r="B73" s="63" t="str">
        <f>IF(C73&gt;0,VLOOKUP(C73,Программа!A$2:B$5100,2))</f>
        <v>Муниципальная программа "Стимулирование развития жилищного строительства в Тутаевском муниципальном  районе Ярославской области"</v>
      </c>
      <c r="C73" s="53" t="s">
        <v>928</v>
      </c>
      <c r="D73" s="809">
        <f>SUMIFS(Пр12!G$10:G$1648,Пр12!$D$10:$D$1648,C73)</f>
        <v>4328455</v>
      </c>
      <c r="E73" s="808">
        <f>SUMIFS(Пр12!H$10:H$1648,Пр12!$D$10:$D$1648,C73)</f>
        <v>4084664</v>
      </c>
      <c r="F73" s="809">
        <f>SUMIFS(Пр12!I$10:I$1648,Пр12!$D$10:$D$1648,C73)</f>
        <v>8413119</v>
      </c>
    </row>
    <row r="74" spans="1:6" s="210" customFormat="1" ht="63.75" customHeight="1" thickBot="1" x14ac:dyDescent="0.25">
      <c r="A74" s="211"/>
      <c r="B74" s="212" t="str">
        <f>IF(C74&gt;0,VLOOKUP(C74,Программа!A$2:B$5100,2))</f>
        <v>Муниципальная целевая программа "Поддержка граждан, проживающих на территории Тутаевского муниципального района Ярославской области в сфере ипотечного жилищного кредитования"</v>
      </c>
      <c r="C74" s="813" t="s">
        <v>930</v>
      </c>
      <c r="D74" s="811">
        <f>SUMIFS(Пр12!G$10:G$1648,Пр12!$D$10:$D$1648,C74)</f>
        <v>400000</v>
      </c>
      <c r="E74" s="808">
        <f>SUMIFS(Пр12!H$10:H$1648,Пр12!$D$10:$D$1648,C74)</f>
        <v>170845</v>
      </c>
      <c r="F74" s="811">
        <f>SUMIFS(Пр12!I$10:I$1648,Пр12!$D$10:$D$1648,C74)</f>
        <v>570845</v>
      </c>
    </row>
    <row r="75" spans="1:6" ht="79.5" customHeight="1" thickBot="1" x14ac:dyDescent="0.25">
      <c r="A75" s="213"/>
      <c r="B75" s="64" t="str">
        <f>IF(C75&gt;0,VLOOKUP(C75,Программа!A$2:B$5100,2))</f>
        <v>Обеспечение доступности жилья в соответствии с  уровнем платежеспособности спроса граждан, путем оказания поддержки гражданам, проживающим на территории Тутаевского муниципального района, в сфере ипотечного жилищного кредитования и займа</v>
      </c>
      <c r="C75" s="814" t="s">
        <v>932</v>
      </c>
      <c r="D75" s="808">
        <f>SUMIFS(Пр12!G$10:G$1648,Пр12!$D$10:$D$1648,C75)</f>
        <v>400000</v>
      </c>
      <c r="E75" s="808">
        <f>SUMIFS(Пр12!H$10:H$1648,Пр12!$D$10:$D$1648,C75)</f>
        <v>170845</v>
      </c>
      <c r="F75" s="811">
        <f>SUMIFS(Пр12!I$10:I$1648,Пр12!$D$10:$D$1648,C75)</f>
        <v>570845</v>
      </c>
    </row>
    <row r="76" spans="1:6" s="210" customFormat="1" ht="48" hidden="1" thickBot="1" x14ac:dyDescent="0.25">
      <c r="A76" s="211"/>
      <c r="B76" s="212" t="str">
        <f>IF(C76&gt;0,VLOOKUP(C76,Программа!A$2:B$5100,2))</f>
        <v>Муниципальная целевая программа "Переселение граждан из аварийного жилищного фонда в Тутаевском муниципальном районе"</v>
      </c>
      <c r="C76" s="813" t="s">
        <v>934</v>
      </c>
      <c r="D76" s="811">
        <f>SUMIFS(Пр12!G$10:G$1648,Пр12!$D$10:$D$1648,C76)</f>
        <v>0</v>
      </c>
      <c r="E76" s="808">
        <f>SUMIFS(Пр12!H$10:H$1648,Пр12!$D$10:$D$1648,C76)</f>
        <v>0</v>
      </c>
      <c r="F76" s="811">
        <f>SUMIFS(Пр12!I$10:I$1648,Пр12!$D$10:$D$1648,C76)</f>
        <v>0</v>
      </c>
    </row>
    <row r="77" spans="1:6" ht="63.75" hidden="1" thickBot="1" x14ac:dyDescent="0.25">
      <c r="A77" s="213"/>
      <c r="B77" s="64" t="str">
        <f>IF(C77&gt;0,VLOOKUP(C77,Программа!A$2:B$5100,2))</f>
        <v>Финансовое и организационное обеспечение переселения граждан из аварийных многоквартирных домов на территории Тутаевского муниципального района</v>
      </c>
      <c r="C77" s="814" t="s">
        <v>936</v>
      </c>
      <c r="D77" s="808">
        <f>SUMIFS(Пр12!G$10:G$1648,Пр12!$D$10:$D$1648,C77)</f>
        <v>0</v>
      </c>
      <c r="E77" s="808">
        <f>SUMIFS(Пр12!H$10:H$1648,Пр12!$D$10:$D$1648,C77)</f>
        <v>0</v>
      </c>
      <c r="F77" s="811">
        <f>SUMIFS(Пр12!I$10:I$1648,Пр12!$D$10:$D$1648,C77)</f>
        <v>0</v>
      </c>
    </row>
    <row r="78" spans="1:6" s="210" customFormat="1" ht="79.5" hidden="1" thickBot="1" x14ac:dyDescent="0.25">
      <c r="A78" s="211"/>
      <c r="B78" s="212" t="str">
        <f>IF(C78&gt;0,VLOOKUP(C78,Программа!A$2:B$5100,2))</f>
        <v>Муниципальная целевая программа "Переселение граждан из  жилищного фонда, признанного непригодным для проживания, и (или) жилищного фонда с высоким уровнем износа на территории Тутаевского муниципального района"</v>
      </c>
      <c r="C78" s="813" t="s">
        <v>938</v>
      </c>
      <c r="D78" s="811">
        <f>SUMIFS(Пр12!G$10:G$1648,Пр12!$D$10:$D$1648,C78)</f>
        <v>0</v>
      </c>
      <c r="E78" s="808">
        <f>SUMIFS(Пр12!H$10:H$1648,Пр12!$D$10:$D$1648,C78)</f>
        <v>0</v>
      </c>
      <c r="F78" s="811">
        <f>SUMIFS(Пр12!I$10:I$1648,Пр12!$D$10:$D$1648,C78)</f>
        <v>0</v>
      </c>
    </row>
    <row r="79" spans="1:6" ht="48" hidden="1" thickBot="1" x14ac:dyDescent="0.25">
      <c r="A79" s="213"/>
      <c r="B79" s="64" t="str">
        <f>IF(C79&gt;0,VLOOKUP(C79,Программа!A$2:B$5100,2))</f>
        <v>Финансовое и организационное обеспечение переселения граждан из непригодного для проживания жилищного фонда с высоким уровнем износа</v>
      </c>
      <c r="C79" s="814" t="s">
        <v>940</v>
      </c>
      <c r="D79" s="808">
        <f>SUMIFS(Пр12!G$10:G$1648,Пр12!$D$10:$D$1648,C79)</f>
        <v>0</v>
      </c>
      <c r="E79" s="808">
        <f>SUMIFS(Пр12!H$10:H$1648,Пр12!$D$10:$D$1648,C79)</f>
        <v>0</v>
      </c>
      <c r="F79" s="811">
        <f>SUMIFS(Пр12!I$10:I$1648,Пр12!$D$10:$D$1648,C79)</f>
        <v>0</v>
      </c>
    </row>
    <row r="80" spans="1:6" s="210" customFormat="1" ht="49.5" customHeight="1" thickBot="1" x14ac:dyDescent="0.25">
      <c r="A80" s="211"/>
      <c r="B80" s="212" t="str">
        <f>IF(C80&gt;0,VLOOKUP(C80,Программа!A$2:B$5100,2))</f>
        <v>Муниципальная целевая программа "Предоставление молодым семьям социальных выплат на приобретение(строительство) жилья"</v>
      </c>
      <c r="C80" s="813" t="s">
        <v>942</v>
      </c>
      <c r="D80" s="811">
        <f>SUMIFS(Пр12!G$10:G$1648,Пр12!$D$10:$D$1648,C80)</f>
        <v>3928455</v>
      </c>
      <c r="E80" s="808">
        <f>SUMIFS(Пр12!H$10:H$1648,Пр12!$D$10:$D$1648,C80)</f>
        <v>3913819</v>
      </c>
      <c r="F80" s="811">
        <f>SUMIFS(Пр12!I$10:I$1648,Пр12!$D$10:$D$1648,C80)</f>
        <v>7842274</v>
      </c>
    </row>
    <row r="81" spans="1:6" ht="36" customHeight="1" thickBot="1" x14ac:dyDescent="0.25">
      <c r="A81" s="213"/>
      <c r="B81" s="64" t="str">
        <f>IF(C81&gt;0,VLOOKUP(C81,Программа!A$2:B$5100,2))</f>
        <v>Создание условий для поддержки  молодых семей в приобретении (строительстве) жилья</v>
      </c>
      <c r="C81" s="814" t="s">
        <v>944</v>
      </c>
      <c r="D81" s="808">
        <f>SUMIFS(Пр12!G$10:G$1648,Пр12!$D$10:$D$1648,C81)</f>
        <v>3928455</v>
      </c>
      <c r="E81" s="808">
        <f>SUMIFS(Пр12!H$10:H$1648,Пр12!$D$10:$D$1648,C81)</f>
        <v>3913819</v>
      </c>
      <c r="F81" s="811">
        <f>SUMIFS(Пр12!I$10:I$1648,Пр12!$D$10:$D$1648,C81)</f>
        <v>7842274</v>
      </c>
    </row>
    <row r="82" spans="1:6" s="207" customFormat="1" ht="63.75" customHeight="1" thickBot="1" x14ac:dyDescent="0.25">
      <c r="A82" s="219"/>
      <c r="B82" s="63" t="str">
        <f>IF(C82&gt;0,VLOOKUP(C82,Программа!A$2:B$5100,2))</f>
        <v>Муниципальная программа "Экономическое развитие и инновационная экономика, развитие предпринимательства и сельского хозяйства в Тутаевском муниципальном районе"</v>
      </c>
      <c r="C82" s="53" t="s">
        <v>653</v>
      </c>
      <c r="D82" s="809">
        <f>SUMIFS(Пр12!G$10:G$1648,Пр12!$D$10:$D$1648,C82)</f>
        <v>6531604</v>
      </c>
      <c r="E82" s="808">
        <f>SUMIFS(Пр12!H$10:H$1648,Пр12!$D$10:$D$1648,C82)</f>
        <v>5600175</v>
      </c>
      <c r="F82" s="809">
        <f>SUMIFS(Пр12!I$10:I$1648,Пр12!$D$10:$D$1648,C82)</f>
        <v>12131779</v>
      </c>
    </row>
    <row r="83" spans="1:6" s="210" customFormat="1" ht="46.5" customHeight="1" thickBot="1" x14ac:dyDescent="0.25">
      <c r="A83" s="211"/>
      <c r="B83" s="212" t="str">
        <f>IF(C83&gt;0,VLOOKUP(C83,Программа!A$2:B$5100,2))</f>
        <v>Муниципальная целевая программа «Развитие субъектов малого и среднего предпринимательства Тутаевского муниципального района»</v>
      </c>
      <c r="C83" s="817" t="s">
        <v>664</v>
      </c>
      <c r="D83" s="811">
        <f>SUMIFS(Пр12!G$10:G$1648,Пр12!$D$10:$D$1648,C83)</f>
        <v>4000001</v>
      </c>
      <c r="E83" s="808">
        <f>SUMIFS(Пр12!H$10:H$1648,Пр12!$D$10:$D$1648,C83)</f>
        <v>3177882</v>
      </c>
      <c r="F83" s="811">
        <f>SUMIFS(Пр12!I$10:I$1648,Пр12!$D$10:$D$1648,C83)</f>
        <v>7177883</v>
      </c>
    </row>
    <row r="84" spans="1:6" ht="63.75" hidden="1" thickBot="1" x14ac:dyDescent="0.25">
      <c r="A84" s="213"/>
      <c r="B84" s="64" t="str">
        <f>IF(C84&gt;0,VLOOKUP(C84,Программа!A$2:B$5100,2))</f>
        <v>Популяризация роли предпринимательства, информационная, консультационная и организационная поддержка субъектов малого и среднего предпринимательства</v>
      </c>
      <c r="C84" s="818" t="s">
        <v>666</v>
      </c>
      <c r="D84" s="808">
        <f>SUMIFS(Пр12!G$10:G$1648,Пр12!$D$10:$D$1648,C84)</f>
        <v>0</v>
      </c>
      <c r="E84" s="808">
        <f>SUMIFS(Пр12!H$10:H$1648,Пр12!$D$10:$D$1648,C84)</f>
        <v>0</v>
      </c>
      <c r="F84" s="811">
        <f>SUMIFS(Пр12!I$10:I$1648,Пр12!$D$10:$D$1648,C84)</f>
        <v>0</v>
      </c>
    </row>
    <row r="85" spans="1:6" ht="36" customHeight="1" thickBot="1" x14ac:dyDescent="0.25">
      <c r="A85" s="213"/>
      <c r="B85" s="64" t="str">
        <f>IF(C85&gt;0,VLOOKUP(C85,Программа!A$2:B$5100,2))</f>
        <v>Развитие системы финансовой поддержки субъектов малого и среднего предпринимательства</v>
      </c>
      <c r="C85" s="818" t="s">
        <v>668</v>
      </c>
      <c r="D85" s="808">
        <f>SUMIFS(Пр12!G$10:G$1648,Пр12!$D$10:$D$1648,C85)</f>
        <v>4000001</v>
      </c>
      <c r="E85" s="808">
        <f>SUMIFS(Пр12!H$10:H$1648,Пр12!$D$10:$D$1648,C85)</f>
        <v>3177882</v>
      </c>
      <c r="F85" s="811">
        <f>SUMIFS(Пр12!I$10:I$1648,Пр12!$D$10:$D$1648,C85)</f>
        <v>7177883</v>
      </c>
    </row>
    <row r="86" spans="1:6" s="210" customFormat="1" ht="48" thickBot="1" x14ac:dyDescent="0.25">
      <c r="A86" s="211"/>
      <c r="B86" s="212" t="str">
        <f>IF(C86&gt;0,VLOOKUP(C86,Программа!A$2:B$5100,2))</f>
        <v>Муниципальная целевая программа "Развитие потребительского рынка Тутаевского муниципального района "</v>
      </c>
      <c r="C86" s="819" t="s">
        <v>670</v>
      </c>
      <c r="D86" s="811">
        <f>SUMIFS(Пр12!G$10:G$1648,Пр12!$D$10:$D$1648,C86)</f>
        <v>230586</v>
      </c>
      <c r="E86" s="808">
        <f>SUMIFS(Пр12!H$10:H$1648,Пр12!$D$10:$D$1648,C86)</f>
        <v>175586</v>
      </c>
      <c r="F86" s="811">
        <f>SUMIFS(Пр12!I$10:I$1648,Пр12!$D$10:$D$1648,C86)</f>
        <v>406172</v>
      </c>
    </row>
    <row r="87" spans="1:6" ht="34.5" customHeight="1" thickBot="1" x14ac:dyDescent="0.25">
      <c r="A87" s="213"/>
      <c r="B87" s="64" t="str">
        <f>IF(C87&gt;0,VLOOKUP(C87,Программа!A$2:B$5100,2))</f>
        <v>Обеспечение доступности товаров для сельского населения путем оказания государственной поддержки</v>
      </c>
      <c r="C87" s="818" t="s">
        <v>672</v>
      </c>
      <c r="D87" s="808">
        <f>SUMIFS(Пр12!G$10:G$1648,Пр12!$D$10:$D$1648,C87)</f>
        <v>230586</v>
      </c>
      <c r="E87" s="808">
        <f>SUMIFS(Пр12!H$10:H$1648,Пр12!$D$10:$D$1648,C87)</f>
        <v>175586</v>
      </c>
      <c r="F87" s="811">
        <f>SUMIFS(Пр12!I$10:I$1648,Пр12!$D$10:$D$1648,C87)</f>
        <v>406172</v>
      </c>
    </row>
    <row r="88" spans="1:6" s="210" customFormat="1" ht="54" customHeight="1" thickBot="1" x14ac:dyDescent="0.25">
      <c r="A88" s="211"/>
      <c r="B88" s="212" t="str">
        <f>IF(C88&gt;0,VLOOKUP(C88,Программа!A$2:B$5100,2))</f>
        <v>Муниципальная целевая программа "Развитие агропромышленного комплекса и сельских территорий Тутаевского муниципального района"</v>
      </c>
      <c r="C88" s="819" t="s">
        <v>655</v>
      </c>
      <c r="D88" s="811">
        <f>SUMIFS(Пр12!G$10:G$1648,Пр12!$D$10:$D$1648,C88)</f>
        <v>2301017</v>
      </c>
      <c r="E88" s="808">
        <f>SUMIFS(Пр12!H$10:H$1648,Пр12!$D$10:$D$1648,C88)</f>
        <v>2246707</v>
      </c>
      <c r="F88" s="811">
        <f>SUMIFS(Пр12!I$10:I$1648,Пр12!$D$10:$D$1648,C88)</f>
        <v>4547724</v>
      </c>
    </row>
    <row r="89" spans="1:6" ht="50.25" customHeight="1" thickBot="1" x14ac:dyDescent="0.25">
      <c r="A89" s="213"/>
      <c r="B89" s="64" t="str">
        <f>IF(C89&gt;0,VLOOKUP(C89,Программа!A$2:B$5100,2))</f>
        <v>Поддержка сельскохозяйственного производства в рамках субсидирования  (молоко, овцеводство) сельскохозяйственных товаропроизводителей</v>
      </c>
      <c r="C89" s="818" t="s">
        <v>657</v>
      </c>
      <c r="D89" s="808">
        <f>SUMIFS(Пр12!G$10:G$1648,Пр12!$D$10:$D$1648,C89)</f>
        <v>2005900</v>
      </c>
      <c r="E89" s="808">
        <f>SUMIFS(Пр12!H$10:H$1648,Пр12!$D$10:$D$1648,C89)</f>
        <v>1971590</v>
      </c>
      <c r="F89" s="811">
        <f>SUMIFS(Пр12!I$10:I$1648,Пр12!$D$10:$D$1648,C89)</f>
        <v>3977490</v>
      </c>
    </row>
    <row r="90" spans="1:6" ht="18.75" customHeight="1" thickBot="1" x14ac:dyDescent="0.25">
      <c r="A90" s="213"/>
      <c r="B90" s="64" t="str">
        <f>IF(C90&gt;0,VLOOKUP(C90,Программа!A$2:B$5100,2))</f>
        <v xml:space="preserve">Кадровое обеспечение агропромышленного комплекса </v>
      </c>
      <c r="C90" s="818" t="s">
        <v>659</v>
      </c>
      <c r="D90" s="808">
        <f>SUMIFS(Пр12!G$10:G$1648,Пр12!$D$10:$D$1648,C90)</f>
        <v>50000</v>
      </c>
      <c r="E90" s="808">
        <f>SUMIFS(Пр12!H$10:H$1648,Пр12!$D$10:$D$1648,C90)</f>
        <v>30000</v>
      </c>
      <c r="F90" s="811">
        <f>SUMIFS(Пр12!I$10:I$1648,Пр12!$D$10:$D$1648,C90)</f>
        <v>80000</v>
      </c>
    </row>
    <row r="91" spans="1:6" ht="63.75" customHeight="1" thickBot="1" x14ac:dyDescent="0.25">
      <c r="A91" s="213"/>
      <c r="B91" s="64" t="str">
        <f>IF(C91&gt;0,VLOOKUP(C91,Программа!A$2:B$5100,2))</f>
        <v>Повышение стимула роста профессионального мастерства, привлечение овцеводов и туристов для популяризации бренда романовской овцы, поощрение передовиков сельскохозяйственного  производства</v>
      </c>
      <c r="C91" s="818" t="s">
        <v>662</v>
      </c>
      <c r="D91" s="808">
        <f>SUMIFS(Пр12!G$10:G$1648,Пр12!$D$10:$D$1648,C91)</f>
        <v>245117</v>
      </c>
      <c r="E91" s="808">
        <f>SUMIFS(Пр12!H$10:H$1648,Пр12!$D$10:$D$1648,C91)</f>
        <v>245117</v>
      </c>
      <c r="F91" s="811">
        <f>SUMIFS(Пр12!I$10:I$1648,Пр12!$D$10:$D$1648,C91)</f>
        <v>490234</v>
      </c>
    </row>
    <row r="92" spans="1:6" s="207" customFormat="1" ht="48" hidden="1" thickBot="1" x14ac:dyDescent="0.25">
      <c r="A92" s="219"/>
      <c r="B92" s="63" t="str">
        <f>IF(C92&gt;0,VLOOKUP(C92,Программа!A$2:B$5100,2))</f>
        <v>Муниципальная программа "Повышение эффективности управления муниципальными финансами"</v>
      </c>
      <c r="C92" s="53" t="s">
        <v>632</v>
      </c>
      <c r="D92" s="809">
        <f>SUMIFS(Пр12!G$10:G$1648,Пр12!$D$10:$D$1648,C92)</f>
        <v>0</v>
      </c>
      <c r="E92" s="808">
        <f>SUMIFS(Пр12!H$10:H$1648,Пр12!$D$10:$D$1648,C92)</f>
        <v>0</v>
      </c>
      <c r="F92" s="815">
        <f>SUMIFS(Пр12!I$10:I$1648,Пр12!$D$10:$D$1648,C92)</f>
        <v>0</v>
      </c>
    </row>
    <row r="93" spans="1:6" ht="16.5" hidden="1" thickBot="1" x14ac:dyDescent="0.25">
      <c r="A93" s="213"/>
      <c r="B93" s="64" t="str">
        <f>IF(C93&gt;0,VLOOKUP(C93,Программа!A$2:B$5100,2))</f>
        <v>Совершенствование межбюджетных отношений</v>
      </c>
      <c r="C93" s="820" t="s">
        <v>807</v>
      </c>
      <c r="D93" s="808">
        <f>SUMIFS(Пр12!G$10:G$1648,Пр12!$D$10:$D$1648,C93)</f>
        <v>0</v>
      </c>
      <c r="E93" s="808">
        <f>SUMIFS(Пр12!H$10:H$1648,Пр12!$D$10:$D$1648,C93)</f>
        <v>0</v>
      </c>
      <c r="F93" s="811">
        <f>SUMIFS(Пр12!I$10:I$1648,Пр12!$D$10:$D$1648,C93)</f>
        <v>0</v>
      </c>
    </row>
    <row r="94" spans="1:6" ht="32.25" hidden="1" thickBot="1" x14ac:dyDescent="0.25">
      <c r="A94" s="213"/>
      <c r="B94" s="64" t="str">
        <f>IF(C94&gt;0,VLOOKUP(C94,Программа!A$2:B$5100,2))</f>
        <v xml:space="preserve">Повышение эффективности управления муниципальным долгом </v>
      </c>
      <c r="C94" s="818" t="s">
        <v>803</v>
      </c>
      <c r="D94" s="808">
        <f>SUMIFS(Пр12!G$10:G$1648,Пр12!$D$10:$D$1648,C94)</f>
        <v>0</v>
      </c>
      <c r="E94" s="808">
        <f>SUMIFS(Пр12!H$10:H$1648,Пр12!$D$10:$D$1648,C94)</f>
        <v>0</v>
      </c>
      <c r="F94" s="811">
        <f>SUMIFS(Пр12!I$10:I$1648,Пр12!$D$10:$D$1648,C94)</f>
        <v>0</v>
      </c>
    </row>
    <row r="95" spans="1:6" s="210" customFormat="1" ht="48" hidden="1" thickBot="1" x14ac:dyDescent="0.25">
      <c r="A95" s="211"/>
      <c r="B95" s="212" t="str">
        <f>IF(C95&gt;0,VLOOKUP(C95,Программа!A$2:B$5100,2))</f>
        <v>Ведомственная целевая программа департамента финансов администрации Тутаевского муниципального района</v>
      </c>
      <c r="C95" s="819" t="s">
        <v>795</v>
      </c>
      <c r="D95" s="811">
        <f>SUMIFS(Пр12!G$10:G$1648,Пр12!$D$10:$D$1648,C95)</f>
        <v>0</v>
      </c>
      <c r="E95" s="808">
        <f>SUMIFS(Пр12!H$10:H$1648,Пр12!$D$10:$D$1648,C95)</f>
        <v>0</v>
      </c>
      <c r="F95" s="811">
        <f>SUMIFS(Пр12!I$10:I$1648,Пр12!$D$10:$D$1648,C95)</f>
        <v>0</v>
      </c>
    </row>
    <row r="96" spans="1:6" ht="16.5" hidden="1" thickBot="1" x14ac:dyDescent="0.25">
      <c r="A96" s="213"/>
      <c r="B96" s="64" t="str">
        <f>IF(C96&gt;0,VLOOKUP(C96,Программа!A$2:B$5100,2))</f>
        <v>Обеспечение деятельности финансового органа</v>
      </c>
      <c r="C96" s="818" t="s">
        <v>797</v>
      </c>
      <c r="D96" s="808">
        <f>SUMIFS(Пр12!G$10:G$1648,Пр12!$D$10:$D$1648,C96)</f>
        <v>0</v>
      </c>
      <c r="E96" s="808">
        <f>SUMIFS(Пр12!H$10:H$1648,Пр12!$D$10:$D$1648,C96)</f>
        <v>0</v>
      </c>
      <c r="F96" s="811">
        <f>SUMIFS(Пр12!I$10:I$1648,Пр12!$D$10:$D$1648,C96)</f>
        <v>0</v>
      </c>
    </row>
    <row r="97" spans="1:6" s="207" customFormat="1" ht="63.75" customHeight="1" thickBot="1" x14ac:dyDescent="0.25">
      <c r="A97" s="219"/>
      <c r="B97" s="63" t="str">
        <f>IF(C97&gt;0,VLOOKUP(C97,Программа!A$2:B$5100,2))</f>
        <v>Муниципальная программа "Развитие муниципальной службы и повышение квалификации руководителей муниципальных учреждений в  Тутаевском муниципальном районе"</v>
      </c>
      <c r="C97" s="821" t="s">
        <v>636</v>
      </c>
      <c r="D97" s="809">
        <f>SUMIFS(Пр12!G$10:G$1648,Пр12!$D$10:$D$1648,C97)</f>
        <v>329800</v>
      </c>
      <c r="E97" s="808">
        <f>SUMIFS(Пр12!H$10:H$1648,Пр12!$D$10:$D$1648,C97)</f>
        <v>245700</v>
      </c>
      <c r="F97" s="809">
        <f>SUMIFS(Пр12!I$10:I$1648,Пр12!$D$10:$D$1648,C97)</f>
        <v>575500</v>
      </c>
    </row>
    <row r="98" spans="1:6" ht="51" customHeight="1" thickBot="1" x14ac:dyDescent="0.25">
      <c r="A98" s="213"/>
      <c r="B98" s="64" t="str">
        <f>IF(C98&gt;0,VLOOKUP(C98,Программа!A$2:B$5100,2))</f>
        <v xml:space="preserve">Профессиональное развитие  муниципальных служащих и повышение квалификации руководителей муниципальных учреждений </v>
      </c>
      <c r="C98" s="822" t="s">
        <v>637</v>
      </c>
      <c r="D98" s="808">
        <f>SUMIFS(Пр12!G$10:G$1648,Пр12!$D$10:$D$1648,C98)</f>
        <v>329800</v>
      </c>
      <c r="E98" s="808">
        <f>SUMIFS(Пр12!H$10:H$1648,Пр12!$D$10:$D$1648,C98)</f>
        <v>245700</v>
      </c>
      <c r="F98" s="811">
        <f>SUMIFS(Пр12!I$10:I$1648,Пр12!$D$10:$D$1648,C98)</f>
        <v>575500</v>
      </c>
    </row>
    <row r="99" spans="1:6" s="207" customFormat="1" ht="50.25" customHeight="1" thickBot="1" x14ac:dyDescent="0.25">
      <c r="A99" s="219"/>
      <c r="B99" s="63" t="str">
        <f>IF(C99&gt;0,VLOOKUP(C99,Программа!A$2:B$5100,2))</f>
        <v>Муниципальная программа "Информатизация управленческой деятельности Администрации Тутаевского муниципального района"</v>
      </c>
      <c r="C99" s="821" t="s">
        <v>640</v>
      </c>
      <c r="D99" s="809">
        <f>SUMIFS(Пр12!G$10:G$1648,Пр12!$D$10:$D$1648,C99)</f>
        <v>2504570</v>
      </c>
      <c r="E99" s="808">
        <f>SUMIFS(Пр12!H$10:H$1648,Пр12!$D$10:$D$1648,C99)</f>
        <v>2279065</v>
      </c>
      <c r="F99" s="815">
        <f>SUMIFS(Пр12!I$10:I$1648,Пр12!$D$10:$D$1648,C99)</f>
        <v>4783635</v>
      </c>
    </row>
    <row r="100" spans="1:6" ht="32.25" thickBot="1" x14ac:dyDescent="0.25">
      <c r="A100" s="213"/>
      <c r="B100" s="64" t="str">
        <f>IF(C100&gt;0,VLOOKUP(C100,Программа!A$2:B$5100,2))</f>
        <v>Бесперебойное функционирование информационных систем</v>
      </c>
      <c r="C100" s="823" t="s">
        <v>677</v>
      </c>
      <c r="D100" s="808">
        <f>SUMIFS(Пр12!G$10:G$1648,Пр12!$D$10:$D$1648,C100)</f>
        <v>1936570</v>
      </c>
      <c r="E100" s="808">
        <f>SUMIFS(Пр12!H$10:H$1648,Пр12!$D$10:$D$1648,C100)</f>
        <v>1853519</v>
      </c>
      <c r="F100" s="811">
        <f>SUMIFS(Пр12!I$10:I$1648,Пр12!$D$10:$D$1648,C100)</f>
        <v>3790089</v>
      </c>
    </row>
    <row r="101" spans="1:6" ht="52.5" customHeight="1" thickBot="1" x14ac:dyDescent="0.25">
      <c r="A101" s="213"/>
      <c r="B101" s="64" t="str">
        <f>IF(C101&gt;0,VLOOKUP(C101,Программа!A$2:B$5100,2))</f>
        <v>Закупка компьютерного оборудования  и оргтехники для бесперебойного обеспечения деятельности органов местного самоуправления</v>
      </c>
      <c r="C101" s="822" t="s">
        <v>642</v>
      </c>
      <c r="D101" s="808">
        <f>SUMIFS(Пр12!G$10:G$1648,Пр12!$D$10:$D$1648,C101)</f>
        <v>568000</v>
      </c>
      <c r="E101" s="808">
        <f>SUMIFS(Пр12!H$10:H$1648,Пр12!$D$10:$D$1648,C101)</f>
        <v>425546</v>
      </c>
      <c r="F101" s="811">
        <f>SUMIFS(Пр12!I$10:I$1648,Пр12!$D$10:$D$1648,C101)</f>
        <v>993546</v>
      </c>
    </row>
    <row r="102" spans="1:6" s="207" customFormat="1" ht="78" customHeight="1" thickBot="1" x14ac:dyDescent="0.25">
      <c r="A102" s="219"/>
      <c r="B102" s="63" t="str">
        <f>IF(C102&gt;0,VLOOKUP(C102,Программа!A$2:B$5100,2))</f>
        <v>Муниципальная программа "Поддержки гражданских инициатив, социально ориентированных некоммерческих организаций и территориального общественного самоуправления Тутаевского муниципального района"</v>
      </c>
      <c r="C102" s="821" t="s">
        <v>644</v>
      </c>
      <c r="D102" s="809">
        <f>SUMIFS(Пр12!G$10:G$1648,Пр12!$D$10:$D$1648,C102)</f>
        <v>1418352</v>
      </c>
      <c r="E102" s="808">
        <f>SUMIFS(Пр12!H$10:H$1648,Пр12!$D$10:$D$1648,C102)</f>
        <v>1421012</v>
      </c>
      <c r="F102" s="815">
        <f>SUMIFS(Пр12!I$10:I$1648,Пр12!$D$10:$D$1648,C102)</f>
        <v>2839364</v>
      </c>
    </row>
    <row r="103" spans="1:6" ht="66.75" customHeight="1" thickBot="1" x14ac:dyDescent="0.25">
      <c r="A103" s="213"/>
      <c r="B103" s="64" t="str">
        <f>IF(C103&gt;0,VLOOKUP(C103,Программа!A$2:B$5100,2))</f>
        <v xml:space="preserve">Стимулирование и поддержка реализации социально-значимых проектов и программ, реализуемых гражданскими активистами, СОНКО ИТОС, реализуемых на территории ТМР </v>
      </c>
      <c r="C103" s="823" t="s">
        <v>645</v>
      </c>
      <c r="D103" s="808">
        <f>SUMIFS(Пр12!G$10:G$1648,Пр12!$D$10:$D$1648,C103)</f>
        <v>1418352</v>
      </c>
      <c r="E103" s="808">
        <f>SUMIFS(Пр12!H$10:H$1648,Пр12!$D$10:$D$1648,C103)</f>
        <v>1421012</v>
      </c>
      <c r="F103" s="811">
        <f>SUMIFS(Пр12!I$10:I$1648,Пр12!$D$10:$D$1648,C103)</f>
        <v>2839364</v>
      </c>
    </row>
    <row r="104" spans="1:6" ht="48" hidden="1" thickBot="1" x14ac:dyDescent="0.25">
      <c r="A104" s="218" t="s">
        <v>945</v>
      </c>
      <c r="B104" s="64" t="str">
        <f>IF(C104&gt;0,VLOOKUP(C104,Программа!A$2:B$5100,2))</f>
        <v>Развитие взаимодействия органов местного самоуправления Тутаевского муниципального района, СОНКО и ТОС</v>
      </c>
      <c r="C104" s="822" t="s">
        <v>946</v>
      </c>
      <c r="D104" s="808">
        <f>SUMIFS(Пр12!G$10:G$1648,Пр12!$D$10:$D$1648,C104)</f>
        <v>0</v>
      </c>
      <c r="E104" s="808">
        <f>SUMIFS(Пр12!H$10:H$1648,Пр12!$D$10:$D$1648,C104)</f>
        <v>0</v>
      </c>
      <c r="F104" s="811">
        <f>SUMIFS(Пр12!I$10:I$1648,Пр12!$D$10:$D$1648,C104)</f>
        <v>0</v>
      </c>
    </row>
    <row r="105" spans="1:6" s="207" customFormat="1" ht="46.5" customHeight="1" thickBot="1" x14ac:dyDescent="0.25">
      <c r="A105" s="219" t="s">
        <v>947</v>
      </c>
      <c r="B105" s="63" t="str">
        <f>IF(C105&gt;0,VLOOKUP(C105,Программа!A$2:B$5100,2))</f>
        <v>Муниципальная программа "Профилактика правонарушений и усиление борьбы с преступностью в Тутаевском муниципальном районе"</v>
      </c>
      <c r="C105" s="821" t="s">
        <v>746</v>
      </c>
      <c r="D105" s="809">
        <f>SUMIFS(Пр12!G$10:G$1648,Пр12!$D$10:$D$1648,C105)</f>
        <v>266000</v>
      </c>
      <c r="E105" s="808">
        <f>SUMIFS(Пр12!H$10:H$1648,Пр12!$D$10:$D$1648,C105)</f>
        <v>260000</v>
      </c>
      <c r="F105" s="815">
        <f>SUMIFS(Пр12!I$10:I$1648,Пр12!$D$10:$D$1648,C105)</f>
        <v>526000</v>
      </c>
    </row>
    <row r="106" spans="1:6" ht="32.25" thickBot="1" x14ac:dyDescent="0.25">
      <c r="A106" s="218" t="s">
        <v>948</v>
      </c>
      <c r="B106" s="64" t="str">
        <f>IF(C106&gt;0,VLOOKUP(C106,Программа!A$2:B$5100,2))</f>
        <v>Реализация мероприятий по профилактике правонарушений</v>
      </c>
      <c r="C106" s="822" t="s">
        <v>748</v>
      </c>
      <c r="D106" s="808">
        <f>SUMIFS(Пр12!G$10:G$1648,Пр12!$D$10:$D$1648,C106)</f>
        <v>266000</v>
      </c>
      <c r="E106" s="808">
        <f>SUMIFS(Пр12!H$10:H$1648,Пр12!$D$10:$D$1648,C106)</f>
        <v>260000</v>
      </c>
      <c r="F106" s="811">
        <f>SUMIFS(Пр12!I$10:I$1648,Пр12!$D$10:$D$1648,C106)</f>
        <v>526000</v>
      </c>
    </row>
    <row r="107" spans="1:6" s="207" customFormat="1" ht="50.25" customHeight="1" thickBot="1" x14ac:dyDescent="0.25">
      <c r="A107" s="219" t="s">
        <v>949</v>
      </c>
      <c r="B107" s="63" t="str">
        <f>IF(C107&gt;0,VLOOKUP(C107,Программа!A$2:B$5100,2))</f>
        <v>Муниципальная программа  "Организация перевозок автомобильным и речным транспортом на территории Тутаевского муниципального района"</v>
      </c>
      <c r="C107" s="821" t="s">
        <v>859</v>
      </c>
      <c r="D107" s="809">
        <f>SUMIFS(Пр12!G$10:G$1648,Пр12!$D$10:$D$1648,C107)</f>
        <v>28637860</v>
      </c>
      <c r="E107" s="808">
        <f>SUMIFS(Пр12!H$10:H$1648,Пр12!$D$10:$D$1648,C107)</f>
        <v>28049974</v>
      </c>
      <c r="F107" s="815">
        <f>SUMIFS(Пр12!I$10:I$1648,Пр12!$D$10:$D$1648,C107)</f>
        <v>56687834</v>
      </c>
    </row>
    <row r="108" spans="1:6" ht="65.25" customHeight="1" thickBot="1" x14ac:dyDescent="0.25">
      <c r="A108" s="213" t="s">
        <v>950</v>
      </c>
      <c r="B108" s="64" t="str">
        <f>IF(C108&gt;0,VLOOKUP(C108,Программа!A$2:B$5100,2))</f>
        <v>Предоставление социальных услуг лицам, находящимся под диспансерным наблюдением в связи с туберкулезом, и больных туберкулезом  при проезде в транспорте общего пользования</v>
      </c>
      <c r="C108" s="820" t="s">
        <v>861</v>
      </c>
      <c r="D108" s="808">
        <f>SUMIFS(Пр12!G$10:G$1648,Пр12!$D$10:$D$1648,C108)</f>
        <v>15000</v>
      </c>
      <c r="E108" s="808">
        <f>SUMIFS(Пр12!H$10:H$1648,Пр12!$D$10:$D$1648,C108)</f>
        <v>10279</v>
      </c>
      <c r="F108" s="811">
        <f>SUMIFS(Пр12!I$10:I$1648,Пр12!$D$10:$D$1648,C108)</f>
        <v>25279</v>
      </c>
    </row>
    <row r="109" spans="1:6" ht="50.25" customHeight="1" thickBot="1" x14ac:dyDescent="0.25">
      <c r="A109" s="213" t="s">
        <v>951</v>
      </c>
      <c r="B109" s="64" t="str">
        <f>IF(C109&gt;0,VLOOKUP(C109,Программа!A$2:B$5100,2))</f>
        <v>Предоставление социальных услуг детям из многодетных семей, обучающихся в общеобразовательных организациях  при проезде в транспорте общего пользования</v>
      </c>
      <c r="C109" s="818" t="s">
        <v>863</v>
      </c>
      <c r="D109" s="808">
        <f>SUMIFS(Пр12!G$10:G$1648,Пр12!$D$10:$D$1648,C109)</f>
        <v>661007</v>
      </c>
      <c r="E109" s="808">
        <f>SUMIFS(Пр12!H$10:H$1648,Пр12!$D$10:$D$1648,C109)</f>
        <v>609286</v>
      </c>
      <c r="F109" s="811">
        <f>SUMIFS(Пр12!I$10:I$1648,Пр12!$D$10:$D$1648,C109)</f>
        <v>1270293</v>
      </c>
    </row>
    <row r="110" spans="1:6" ht="50.25" customHeight="1" thickBot="1" x14ac:dyDescent="0.25">
      <c r="A110" s="213" t="s">
        <v>952</v>
      </c>
      <c r="B110" s="64" t="str">
        <f>IF(C110&gt;0,VLOOKUP(C110,Программа!A$2:B$5100,2))</f>
        <v>Организация предоставления транспортных услуг по перевозке пассажиров автомобильным транспортом, транспортом общего пользования</v>
      </c>
      <c r="C110" s="818" t="s">
        <v>865</v>
      </c>
      <c r="D110" s="808">
        <f>SUMIFS(Пр12!G$10:G$1648,Пр12!$D$10:$D$1648,C110)</f>
        <v>22007853</v>
      </c>
      <c r="E110" s="808">
        <f>SUMIFS(Пр12!H$10:H$1648,Пр12!$D$10:$D$1648,C110)</f>
        <v>21476409</v>
      </c>
      <c r="F110" s="811">
        <f>SUMIFS(Пр12!I$10:I$1648,Пр12!$D$10:$D$1648,C110)</f>
        <v>43484262</v>
      </c>
    </row>
    <row r="111" spans="1:6" ht="36.75" customHeight="1" thickBot="1" x14ac:dyDescent="0.25">
      <c r="A111" s="213"/>
      <c r="B111" s="64" t="str">
        <f>IF(C111&gt;0,VLOOKUP(C111,Программа!A$2:B$5100,2))</f>
        <v>Организация предоставления транспортных услуг по перевозке пассажиров речным транспортом</v>
      </c>
      <c r="C111" s="822" t="s">
        <v>3294</v>
      </c>
      <c r="D111" s="808">
        <f>SUMIFS(Пр12!G$10:G$1648,Пр12!$D$10:$D$1648,C111)</f>
        <v>5954000</v>
      </c>
      <c r="E111" s="808">
        <f>SUMIFS(Пр12!H$10:H$1648,Пр12!$D$10:$D$1648,C111)</f>
        <v>5954000</v>
      </c>
      <c r="F111" s="811">
        <f>SUMIFS(Пр12!I$10:I$1648,Пр12!$D$10:$D$1648,C111)</f>
        <v>11908000</v>
      </c>
    </row>
    <row r="112" spans="1:6" s="207" customFormat="1" ht="33.75" customHeight="1" thickBot="1" x14ac:dyDescent="0.25">
      <c r="A112" s="208" t="s">
        <v>73</v>
      </c>
      <c r="B112" s="63" t="str">
        <f>IF(C112&gt;0,VLOOKUP(C112,Программа!A$2:B$5100,2))</f>
        <v>Муниципальная программа  "Развитие жилищного хозяйства Тутаевского муниципального района"</v>
      </c>
      <c r="C112" s="824" t="s">
        <v>954</v>
      </c>
      <c r="D112" s="809">
        <f>SUMIFS(Пр12!G$10:G$1648,Пр12!$D$10:$D$1648,C112)</f>
        <v>3492209</v>
      </c>
      <c r="E112" s="808">
        <f>SUMIFS(Пр12!H$10:H$1648,Пр12!$D$10:$D$1648,C112)</f>
        <v>3245762</v>
      </c>
      <c r="F112" s="809">
        <f>SUMIFS(Пр12!I$10:I$1648,Пр12!$D$10:$D$1648,C112)</f>
        <v>6737971</v>
      </c>
    </row>
    <row r="113" spans="1:6" s="210" customFormat="1" ht="49.5" customHeight="1" thickBot="1" x14ac:dyDescent="0.25">
      <c r="A113" s="211" t="s">
        <v>955</v>
      </c>
      <c r="B113" s="212" t="str">
        <f>IF(C113&gt;0,VLOOKUP(C113,Программа!A$2:B$5100,2))</f>
        <v>Муниципальная целевая программа "Развитие  лифтового хозяйства на территории городского поселения Тутаев Тутаевского муниципального района"</v>
      </c>
      <c r="C113" s="825" t="s">
        <v>957</v>
      </c>
      <c r="D113" s="811">
        <f>SUMIFS(Пр12!G$10:G$1648,Пр12!$D$10:$D$1648,C113)</f>
        <v>1349209</v>
      </c>
      <c r="E113" s="808">
        <f>SUMIFS(Пр12!H$10:H$1648,Пр12!$D$10:$D$1648,C113)</f>
        <v>1349208</v>
      </c>
      <c r="F113" s="811">
        <f>SUMIFS(Пр12!I$10:I$1648,Пр12!$D$10:$D$1648,C113)</f>
        <v>2698417</v>
      </c>
    </row>
    <row r="114" spans="1:6" ht="34.5" customHeight="1" thickBot="1" x14ac:dyDescent="0.25">
      <c r="A114" s="213" t="s">
        <v>958</v>
      </c>
      <c r="B114" s="64" t="str">
        <f>IF(C114&gt;0,VLOOKUP(C114,Программа!A$2:B$5100,2))</f>
        <v>Обеспечение мероприятий по восстановлению лифтового хозяйства многоквартирных домов</v>
      </c>
      <c r="C114" s="826" t="s">
        <v>960</v>
      </c>
      <c r="D114" s="808">
        <f>SUMIFS(Пр12!G$10:G$1648,Пр12!$D$10:$D$1648,C114)</f>
        <v>1349209</v>
      </c>
      <c r="E114" s="808">
        <f>SUMIFS(Пр12!H$10:H$1648,Пр12!$D$10:$D$1648,C114)</f>
        <v>1349208</v>
      </c>
      <c r="F114" s="811">
        <f>SUMIFS(Пр12!I$10:I$1648,Пр12!$D$10:$D$1648,C114)</f>
        <v>2698417</v>
      </c>
    </row>
    <row r="115" spans="1:6" s="210" customFormat="1" ht="46.5" customHeight="1" thickBot="1" x14ac:dyDescent="0.25">
      <c r="A115" s="211" t="s">
        <v>961</v>
      </c>
      <c r="B115" s="212" t="str">
        <f>IF(C115&gt;0,VLOOKUP(C115,Программа!A$2:B$5100,2))</f>
        <v>Муниципальная целевая программа "Ремонт и содержание муниципального жилищного фонда   Тутаевского муниципального района"</v>
      </c>
      <c r="C115" s="825" t="s">
        <v>963</v>
      </c>
      <c r="D115" s="811">
        <f>SUMIFS(Пр12!G$10:G$1648,Пр12!$D$10:$D$1648,C115)</f>
        <v>2143000</v>
      </c>
      <c r="E115" s="808">
        <f>SUMIFS(Пр12!H$10:H$1648,Пр12!$D$10:$D$1648,C115)</f>
        <v>1896554</v>
      </c>
      <c r="F115" s="811">
        <f>SUMIFS(Пр12!I$10:I$1648,Пр12!$D$10:$D$1648,C115)</f>
        <v>4039554</v>
      </c>
    </row>
    <row r="116" spans="1:6" ht="32.25" hidden="1" thickBot="1" x14ac:dyDescent="0.25">
      <c r="A116" s="218" t="s">
        <v>44</v>
      </c>
      <c r="B116" s="64" t="str">
        <f>IF(C116&gt;0,VLOOKUP(C116,Программа!A$2:B$5100,2))</f>
        <v>Обеспечение мероприятий по замене приборов учета в муниципальном жилищном фонде</v>
      </c>
      <c r="C116" s="827" t="s">
        <v>965</v>
      </c>
      <c r="D116" s="808">
        <f>SUMIFS(Пр12!G$10:G$1648,Пр12!$D$10:$D$1648,C116)</f>
        <v>100000</v>
      </c>
      <c r="E116" s="808">
        <f>SUMIFS(Пр12!H$10:H$1648,Пр12!$D$10:$D$1648,C116)</f>
        <v>0</v>
      </c>
      <c r="F116" s="811">
        <f>SUMIFS(Пр12!I$10:I$1648,Пр12!$D$10:$D$1648,C116)</f>
        <v>100000</v>
      </c>
    </row>
    <row r="117" spans="1:6" ht="32.25" thickBot="1" x14ac:dyDescent="0.25">
      <c r="A117" s="213" t="s">
        <v>966</v>
      </c>
      <c r="B117" s="64" t="str">
        <f>IF(C117&gt;0,VLOOKUP(C117,Программа!A$2:B$5100,2))</f>
        <v>Обеспечение мероприятий по ремонту общедомового имущества</v>
      </c>
      <c r="C117" s="827" t="s">
        <v>968</v>
      </c>
      <c r="D117" s="808">
        <f>SUMIFS(Пр12!G$10:G$1648,Пр12!$D$10:$D$1648,C117)</f>
        <v>1243000</v>
      </c>
      <c r="E117" s="808">
        <f>SUMIFS(Пр12!H$10:H$1648,Пр12!$D$10:$D$1648,C117)</f>
        <v>1372975</v>
      </c>
      <c r="F117" s="811">
        <f>SUMIFS(Пр12!I$10:I$1648,Пр12!$D$10:$D$1648,C117)</f>
        <v>2615975</v>
      </c>
    </row>
    <row r="118" spans="1:6" ht="32.25" thickBot="1" x14ac:dyDescent="0.25">
      <c r="A118" s="218" t="s">
        <v>56</v>
      </c>
      <c r="B118" s="64" t="str">
        <f>IF(C118&gt;0,VLOOKUP(C118,Программа!A$2:B$5100,2))</f>
        <v>Обеспечение мероприятий по ремонту муниципальных квартир</v>
      </c>
      <c r="C118" s="827" t="s">
        <v>969</v>
      </c>
      <c r="D118" s="808">
        <f>SUMIFS(Пр12!G$10:G$1648,Пр12!$D$10:$D$1648,C118)</f>
        <v>623000</v>
      </c>
      <c r="E118" s="808">
        <f>SUMIFS(Пр12!H$10:H$1648,Пр12!$D$10:$D$1648,C118)</f>
        <v>403579</v>
      </c>
      <c r="F118" s="811">
        <f>SUMIFS(Пр12!I$10:I$1648,Пр12!$D$10:$D$1648,C118)</f>
        <v>1026579</v>
      </c>
    </row>
    <row r="119" spans="1:6" ht="34.5" customHeight="1" thickBot="1" x14ac:dyDescent="0.25">
      <c r="A119" s="218"/>
      <c r="B119" s="676" t="str">
        <f>IF(C119&gt;0,VLOOKUP(C119,Программа!A$2:B$5100,2))</f>
        <v>Обеспечение мероприятий по обследованию жилых домов</v>
      </c>
      <c r="C119" s="826" t="s">
        <v>3281</v>
      </c>
      <c r="D119" s="828">
        <f>SUMIFS(Пр12!G$10:G$1648,Пр12!$D$10:$D$1648,C119)</f>
        <v>177000</v>
      </c>
      <c r="E119" s="808">
        <f>SUMIFS(Пр12!H$10:H$1648,Пр12!$D$10:$D$1648,C119)</f>
        <v>120000</v>
      </c>
      <c r="F119" s="811">
        <f>SUMIFS(Пр12!I$10:I$1648,Пр12!$D$10:$D$1648,C119)</f>
        <v>297000</v>
      </c>
    </row>
    <row r="120" spans="1:6" s="207" customFormat="1" ht="49.5" customHeight="1" thickBot="1" x14ac:dyDescent="0.25">
      <c r="A120" s="219"/>
      <c r="B120" s="677" t="str">
        <f>IF(C120&gt;0,VLOOKUP(C120,Программа!A$2:B$5100,2))</f>
        <v>Муниципальная программа "Благоустройство  и санитарно-эпидемиологическая безопасность  Тутаевского муниципального района</v>
      </c>
      <c r="C120" s="829" t="s">
        <v>972</v>
      </c>
      <c r="D120" s="830">
        <f>SUMIFS(Пр12!G$10:G$1648,Пр12!$D$10:$D$1648,C120)</f>
        <v>36121105.219999999</v>
      </c>
      <c r="E120" s="831">
        <f>SUMIFS(Пр12!H$10:H$1648,Пр12!$D$10:$D$1648,C120)</f>
        <v>29264590</v>
      </c>
      <c r="F120" s="832">
        <f>SUMIFS(Пр12!I$10:I$1648,Пр12!$D$10:$D$1648,C120)</f>
        <v>65385695.219999999</v>
      </c>
    </row>
    <row r="121" spans="1:6" s="210" customFormat="1" ht="47.25" customHeight="1" thickBot="1" x14ac:dyDescent="0.25">
      <c r="A121" s="266"/>
      <c r="B121" s="674" t="str">
        <f>IF(C121&gt;0,VLOOKUP(C121,Программа!A$2:B$5100,2))</f>
        <v>Муниципальная целевая программа "Организация и развитие ритуальных услуг и мест захоронения в Тутаевском муниципальном районе"</v>
      </c>
      <c r="C121" s="833" t="s">
        <v>974</v>
      </c>
      <c r="D121" s="262">
        <f>SUMIFS(Пр12!G$10:G$1648,Пр12!$D$10:$D$1648,C121)</f>
        <v>1007324</v>
      </c>
      <c r="E121" s="258">
        <f>SUMIFS(Пр12!H$10:H$1648,Пр12!$D$10:$D$1648,C121)</f>
        <v>837120</v>
      </c>
      <c r="F121" s="262">
        <f>SUMIFS(Пр12!I$10:I$1648,Пр12!$D$10:$D$1648,C121)</f>
        <v>1844444</v>
      </c>
    </row>
    <row r="122" spans="1:6" ht="33.75" customHeight="1" thickBot="1" x14ac:dyDescent="0.25">
      <c r="A122" s="265"/>
      <c r="B122" s="28" t="str">
        <f>IF(C122&gt;0,VLOOKUP(C122,Программа!A$2:B$5100,2))</f>
        <v>Обеспечение комплекса работ по повышению уровня благоустройства мест погребений</v>
      </c>
      <c r="C122" s="826" t="s">
        <v>976</v>
      </c>
      <c r="D122" s="258">
        <f>SUMIFS(Пр12!G$10:G$1648,Пр12!$D$10:$D$1648,C122)</f>
        <v>1007324</v>
      </c>
      <c r="E122" s="258">
        <f>SUMIFS(Пр12!H$10:H$1648,Пр12!$D$10:$D$1648,C122)</f>
        <v>837120</v>
      </c>
      <c r="F122" s="262">
        <f>SUMIFS(Пр12!I$10:I$1648,Пр12!$D$10:$D$1648,C122)</f>
        <v>1844444</v>
      </c>
    </row>
    <row r="123" spans="1:6" s="210" customFormat="1" ht="51" customHeight="1" thickBot="1" x14ac:dyDescent="0.25">
      <c r="A123" s="266"/>
      <c r="B123" s="674" t="str">
        <f>IF(C123&gt;0,VLOOKUP(C123,Программа!A$2:B$5100,2))</f>
        <v>Муниципальная целевая программа "Благоустройство и озеленение территории  в Тутаевского муниципального  района"</v>
      </c>
      <c r="C123" s="833" t="s">
        <v>978</v>
      </c>
      <c r="D123" s="262">
        <f>SUMIFS(Пр12!G$10:G$1648,Пр12!$D$10:$D$1648,C123)</f>
        <v>35113781.219999999</v>
      </c>
      <c r="E123" s="258">
        <f>SUMIFS(Пр12!H$10:H$1648,Пр12!$D$10:$D$1648,C123)</f>
        <v>28427470</v>
      </c>
      <c r="F123" s="262">
        <f>SUMIFS(Пр12!I$10:I$1648,Пр12!$D$10:$D$1648,C123)</f>
        <v>63541251.219999999</v>
      </c>
    </row>
    <row r="124" spans="1:6" ht="49.5" customHeight="1" thickBot="1" x14ac:dyDescent="0.25">
      <c r="A124" s="265"/>
      <c r="B124" s="28" t="str">
        <f>IF(C124&gt;0,VLOOKUP(C124,Программа!A$2:B$5100,2))</f>
        <v>Улучшение уровня внешнего благоустройства и санитарного  состояния территорий Тутаевского муниципального района</v>
      </c>
      <c r="C124" s="826" t="s">
        <v>980</v>
      </c>
      <c r="D124" s="258">
        <f>SUMIFS(Пр12!G$10:G$1648,Пр12!$D$10:$D$1648,C124)</f>
        <v>35113781.219999999</v>
      </c>
      <c r="E124" s="258">
        <f>SUMIFS(Пр12!H$10:H$1648,Пр12!$D$10:$D$1648,C124)</f>
        <v>28427470</v>
      </c>
      <c r="F124" s="262">
        <f>SUMIFS(Пр12!I$10:I$1648,Пр12!$D$10:$D$1648,C124)</f>
        <v>63541251.219999999</v>
      </c>
    </row>
    <row r="125" spans="1:6" ht="32.25" hidden="1" thickBot="1" x14ac:dyDescent="0.25">
      <c r="A125" s="265"/>
      <c r="B125" s="28" t="str">
        <f>IF(C125&gt;0,VLOOKUP(C125,Программа!A$2:B$5100,2))</f>
        <v xml:space="preserve">Обеспечение мероприятий по совершенствованию  эстетического  состояния территорий </v>
      </c>
      <c r="C125" s="826" t="s">
        <v>982</v>
      </c>
      <c r="D125" s="258">
        <f>SUMIFS(Пр12!G$10:G$1648,Пр12!$D$10:$D$1648,C125)</f>
        <v>0</v>
      </c>
      <c r="E125" s="258">
        <f>SUMIFS(Пр12!H$10:H$1648,Пр12!$D$10:$D$1648,C125)</f>
        <v>0</v>
      </c>
      <c r="F125" s="262">
        <f>SUMIFS(Пр12!I$10:I$1648,Пр12!$D$10:$D$1648,C125)</f>
        <v>0</v>
      </c>
    </row>
    <row r="126" spans="1:6" ht="32.25" hidden="1" thickBot="1" x14ac:dyDescent="0.25">
      <c r="A126" s="265"/>
      <c r="B126" s="28" t="str">
        <f>IF(C126&gt;0,VLOOKUP(C126,Программа!A$2:B$5100,2))</f>
        <v>Обеспечение мероприятий по благоустройству мест массового отдыха населения</v>
      </c>
      <c r="C126" s="826" t="s">
        <v>984</v>
      </c>
      <c r="D126" s="258">
        <f>SUMIFS(Пр12!G$10:G$1648,Пр12!$D$10:$D$1648,C126)</f>
        <v>0</v>
      </c>
      <c r="E126" s="258">
        <f>SUMIFS(Пр12!H$10:H$1648,Пр12!$D$10:$D$1648,C126)</f>
        <v>0</v>
      </c>
      <c r="F126" s="262">
        <f>SUMIFS(Пр12!I$10:I$1648,Пр12!$D$10:$D$1648,C126)</f>
        <v>0</v>
      </c>
    </row>
    <row r="127" spans="1:6" s="207" customFormat="1" ht="51" customHeight="1" thickBot="1" x14ac:dyDescent="0.25">
      <c r="A127" s="219"/>
      <c r="B127" s="555" t="str">
        <f>IF(C127&gt;0,VLOOKUP(C127,Программа!A$2:B$5100,2))</f>
        <v>Муниципальная программа "Обеспечение населения Тутаевского муниципального района банными услугами"</v>
      </c>
      <c r="C127" s="834" t="s">
        <v>986</v>
      </c>
      <c r="D127" s="835">
        <f>SUMIFS(Пр12!G$10:G$1648,Пр12!$D$10:$D$1648,C127)</f>
        <v>5350000</v>
      </c>
      <c r="E127" s="836">
        <f>SUMIFS(Пр12!H$10:H$1648,Пр12!$D$10:$D$1648,C127)</f>
        <v>5232088</v>
      </c>
      <c r="F127" s="835">
        <f>SUMIFS(Пр12!I$10:I$1648,Пр12!$D$10:$D$1648,C127)</f>
        <v>10582088</v>
      </c>
    </row>
    <row r="128" spans="1:6" ht="32.25" customHeight="1" thickBot="1" x14ac:dyDescent="0.25">
      <c r="A128" s="213"/>
      <c r="B128" s="64" t="str">
        <f>IF(C128&gt;0,VLOOKUP(C128,Программа!A$2:B$5100,2))</f>
        <v>Обеспечение населения Тутаевского муниципального района банными услугами</v>
      </c>
      <c r="C128" s="837" t="s">
        <v>988</v>
      </c>
      <c r="D128" s="808">
        <f>SUMIFS(Пр12!G$10:G$1648,Пр12!$D$10:$D$1648,C128)</f>
        <v>5350000</v>
      </c>
      <c r="E128" s="808">
        <f>SUMIFS(Пр12!H$10:H$1648,Пр12!$D$10:$D$1648,C128)</f>
        <v>5232088</v>
      </c>
      <c r="F128" s="811">
        <f>SUMIFS(Пр12!I$10:I$1648,Пр12!$D$10:$D$1648,C128)</f>
        <v>10582088</v>
      </c>
    </row>
    <row r="129" spans="1:6" ht="47.25" customHeight="1" thickBot="1" x14ac:dyDescent="0.25">
      <c r="A129" s="213"/>
      <c r="B129" s="554" t="str">
        <f>IF(C129&gt;0,VLOOKUP(C129,Программа!A$2:B$5100,2))</f>
        <v>Муниципальная программа "Охрана окружающей среды и рациональное природопользование в Тутаевском муниципальном районе"</v>
      </c>
      <c r="C129" s="838" t="s">
        <v>2911</v>
      </c>
      <c r="D129" s="832">
        <f>SUMIFS(Пр12!G$10:G$1648,Пр12!$D$10:$D$1648,C129)</f>
        <v>913855.13</v>
      </c>
      <c r="E129" s="808">
        <f>SUMIFS(Пр12!H$10:H$1648,Пр12!$D$10:$D$1648,C129)</f>
        <v>791919</v>
      </c>
      <c r="F129" s="815">
        <f>SUMIFS(Пр12!I$10:I$1648,Пр12!$D$10:$D$1648,C129)</f>
        <v>1705774.13</v>
      </c>
    </row>
    <row r="130" spans="1:6" ht="32.25" hidden="1" thickBot="1" x14ac:dyDescent="0.25">
      <c r="A130" s="265"/>
      <c r="B130" s="28" t="str">
        <f>IF(C130&gt;0,VLOOKUP(C130,Программа!A$2:B$5100,2))</f>
        <v>Развитие водохозяйственного комплекса Тутаевского муниципального района</v>
      </c>
      <c r="C130" s="826" t="s">
        <v>2912</v>
      </c>
      <c r="D130" s="258">
        <f>SUMIFS(Пр12!G$10:G$1648,Пр12!$D$10:$D$1648,C130)</f>
        <v>0</v>
      </c>
      <c r="E130" s="808">
        <f>SUMIFS(Пр12!H$10:H$1648,Пр12!$D$10:$D$1648,C130)</f>
        <v>0</v>
      </c>
      <c r="F130" s="811">
        <f>SUMIFS(Пр12!I$10:I$1648,Пр12!$D$10:$D$1648,C130)</f>
        <v>0</v>
      </c>
    </row>
    <row r="131" spans="1:6" ht="48.75" customHeight="1" thickBot="1" x14ac:dyDescent="0.25">
      <c r="A131" s="265"/>
      <c r="B131" s="28" t="str">
        <f>IF(C131&gt;0,VLOOKUP(C131,Программа!A$2:B$5100,2))</f>
        <v>Проведение мероприятий по охране окружающей среды и природопользованию на территории Тутаевского муниципального района</v>
      </c>
      <c r="C131" s="826" t="s">
        <v>2959</v>
      </c>
      <c r="D131" s="258">
        <f>SUMIFS(Пр12!G$10:G$1648,Пр12!$D$10:$D$1648,C131)</f>
        <v>913855.13</v>
      </c>
      <c r="E131" s="808">
        <f>SUMIFS(Пр12!H$10:H$1648,Пр12!$D$10:$D$1648,C131)</f>
        <v>791919</v>
      </c>
      <c r="F131" s="811">
        <f>SUMIFS(Пр12!I$10:I$1648,Пр12!$D$10:$D$1648,C131)</f>
        <v>1705774.13</v>
      </c>
    </row>
    <row r="132" spans="1:6" ht="48" customHeight="1" thickBot="1" x14ac:dyDescent="0.25">
      <c r="A132" s="213"/>
      <c r="B132" s="555" t="str">
        <f>IF(C132&gt;0,VLOOKUP(C132,Программа!A$2:B$5100,2))</f>
        <v>Муниципальная программа "Обеспечение муниципальных закупок в Тутаевском муниципальном районе"</v>
      </c>
      <c r="C132" s="839" t="s">
        <v>2927</v>
      </c>
      <c r="D132" s="835">
        <f>SUMIFS(Пр12!G$10:G$1648,Пр12!$D$10:$D$1648,C132)</f>
        <v>432953</v>
      </c>
      <c r="E132" s="809">
        <f>SUMIFS(Пр12!H$10:H$1648,Пр12!$D$10:$D$1648,C132)</f>
        <v>361342</v>
      </c>
      <c r="F132" s="815">
        <f>SUMIFS(Пр12!I$10:I$1648,Пр12!$D$10:$D$1648,C132)</f>
        <v>794295</v>
      </c>
    </row>
    <row r="133" spans="1:6" ht="49.5" customHeight="1" thickBot="1" x14ac:dyDescent="0.25">
      <c r="A133" s="213"/>
      <c r="B133" s="64" t="str">
        <f>IF(C133&gt;0,VLOOKUP(C133,Программа!A$2:B$5100,2))</f>
        <v>Организация системы подготовки, планирования, информационного сопровождения и осуществления муниципальных закупок</v>
      </c>
      <c r="C133" s="840" t="s">
        <v>2929</v>
      </c>
      <c r="D133" s="831">
        <f>SUMIFS(Пр12!G$10:G$1648,Пр12!$D$10:$D$1648,C133)</f>
        <v>432953</v>
      </c>
      <c r="E133" s="808">
        <f>SUMIFS(Пр12!H$10:H$1648,Пр12!$D$10:$D$1648,C133)</f>
        <v>361342</v>
      </c>
      <c r="F133" s="811">
        <f>SUMIFS(Пр12!I$10:I$1648,Пр12!$D$10:$D$1648,C133)</f>
        <v>794295</v>
      </c>
    </row>
    <row r="134" spans="1:6" ht="79.5" hidden="1" thickBot="1" x14ac:dyDescent="0.25">
      <c r="A134" s="213"/>
      <c r="B134" s="64" t="str">
        <f>IF(C134&gt;0,VLOOKUP(C134,Программа!A$2:B$5100,2))</f>
        <v>Повышение профессионального уровня специалистов, занятых в цикле размещения муниципальных закупок и совершенствование профессионализма специалистов в сфере закупок и стимулирование повышения их квалификации</v>
      </c>
      <c r="C134" s="841" t="s">
        <v>2931</v>
      </c>
      <c r="D134" s="831">
        <f>SUMIFS(Пр12!G$10:G$1648,Пр12!$D$10:$D$1648,C134)</f>
        <v>0</v>
      </c>
      <c r="E134" s="808">
        <f>SUMIFS(Пр12!H$10:H$1648,Пр12!$D$10:$D$1648,C134)</f>
        <v>0</v>
      </c>
      <c r="F134" s="811">
        <f>SUMIFS(Пр12!I$10:I$1648,Пр12!$D$10:$D$1648,C134)</f>
        <v>0</v>
      </c>
    </row>
    <row r="135" spans="1:6" ht="48" hidden="1" thickBot="1" x14ac:dyDescent="0.25">
      <c r="A135" s="213"/>
      <c r="B135" s="63" t="str">
        <f>IF(C135&gt;0,VLOOKUP(C135,Программа!A$2:B$5100,2))</f>
        <v>Ведомственная целевая программа департамента финансов администрации Тутаевского муниципального района</v>
      </c>
      <c r="C135" s="842" t="s">
        <v>2933</v>
      </c>
      <c r="D135" s="832">
        <f>SUMIFS(Пр12!G$10:G$1648,Пр12!$D$10:$D$1648,C135)</f>
        <v>0</v>
      </c>
      <c r="E135" s="809">
        <f>SUMIFS(Пр12!H$10:H$1648,Пр12!$D$10:$D$1648,C135)</f>
        <v>0</v>
      </c>
      <c r="F135" s="815">
        <f>SUMIFS(Пр12!I$10:I$1648,Пр12!$D$10:$D$1648,C135)</f>
        <v>0</v>
      </c>
    </row>
    <row r="136" spans="1:6" ht="32.25" hidden="1" thickBot="1" x14ac:dyDescent="0.25">
      <c r="A136" s="213"/>
      <c r="B136" s="64" t="str">
        <f>IF(C136&gt;0,VLOOKUP(C136,Программа!A$2:B$5100,2))</f>
        <v>Обеспечение условий для исполнения функций финансового органа</v>
      </c>
      <c r="C136" s="826" t="s">
        <v>2934</v>
      </c>
      <c r="D136" s="831">
        <f>SUMIFS(Пр12!G$10:G$1648,Пр12!$D$10:$D$1648,C136)</f>
        <v>0</v>
      </c>
      <c r="E136" s="808">
        <f>SUMIFS(Пр12!H$10:H$1648,Пр12!$D$10:$D$1648,C136)</f>
        <v>0</v>
      </c>
      <c r="F136" s="811">
        <f>SUMIFS(Пр12!I$10:I$1648,Пр12!$D$10:$D$1648,C136)</f>
        <v>0</v>
      </c>
    </row>
    <row r="137" spans="1:6" ht="32.25" hidden="1" thickBot="1" x14ac:dyDescent="0.25">
      <c r="A137" s="213"/>
      <c r="B137" s="64" t="str">
        <f>IF(C137&gt;0,VLOOKUP(C137,Программа!A$2:B$5100,2))</f>
        <v>Организационно-техническое обеспечение бюджетного процесса</v>
      </c>
      <c r="C137" s="826" t="s">
        <v>3151</v>
      </c>
      <c r="D137" s="831">
        <f>SUMIFS(Пр12!G$10:G$1648,Пр12!$D$10:$D$1648,C137)</f>
        <v>0</v>
      </c>
      <c r="E137" s="808">
        <f>SUMIFS(Пр12!H$10:H$1648,Пр12!$D$10:$D$1648,C137)</f>
        <v>0</v>
      </c>
      <c r="F137" s="811">
        <f>SUMIFS(Пр12!I$10:I$1648,Пр12!$D$10:$D$1648,C137)</f>
        <v>0</v>
      </c>
    </row>
    <row r="138" spans="1:6" ht="32.25" hidden="1" thickBot="1" x14ac:dyDescent="0.25">
      <c r="A138" s="213"/>
      <c r="B138" s="64" t="str">
        <f>IF(C138&gt;0,VLOOKUP(C138,Программа!A$2:B$5100,2))</f>
        <v>Нормативно-методическое обеспечение бюджетного процесса</v>
      </c>
      <c r="C138" s="826" t="s">
        <v>3153</v>
      </c>
      <c r="D138" s="831">
        <f>SUMIFS(Пр12!G$10:G$1648,Пр12!$D$10:$D$1648,C138)</f>
        <v>0</v>
      </c>
      <c r="E138" s="808">
        <f>SUMIFS(Пр12!H$10:H$1648,Пр12!$D$10:$D$1648,C138)</f>
        <v>0</v>
      </c>
      <c r="F138" s="811">
        <f>SUMIFS(Пр12!I$10:I$1648,Пр12!$D$10:$D$1648,C138)</f>
        <v>0</v>
      </c>
    </row>
    <row r="139" spans="1:6" ht="51" customHeight="1" thickBot="1" x14ac:dyDescent="0.25">
      <c r="A139" s="213"/>
      <c r="B139" s="554" t="str">
        <f>IF(C139&gt;0,VLOOKUP(C139,Программа!A$2:B$5100,2))</f>
        <v>Муниципальная программа "Формирование  современной городской среды"  Тутаевского муниципального района</v>
      </c>
      <c r="C139" s="843" t="s">
        <v>3155</v>
      </c>
      <c r="D139" s="832">
        <f>SUMIFS(Пр12!G$10:G$1648,Пр12!$D$10:$D$1648,C139)</f>
        <v>34199835.379999995</v>
      </c>
      <c r="E139" s="832">
        <f>SUMIFS(Пр12!H$10:H$1648,Пр12!$D$10:$D$1648,C139)</f>
        <v>14111714</v>
      </c>
      <c r="F139" s="844">
        <f>SUMIFS(Пр12!I$10:I$1648,Пр12!$D$10:$D$1648,C139)+1</f>
        <v>48311550.379999995</v>
      </c>
    </row>
    <row r="140" spans="1:6" ht="20.25" customHeight="1" thickBot="1" x14ac:dyDescent="0.25">
      <c r="A140" s="265"/>
      <c r="B140" s="28" t="str">
        <f>IF(C140&gt;0,VLOOKUP(C140,Программа!A$2:B$5100,2))</f>
        <v>Повышение уровня благоустройства дворовых территорий</v>
      </c>
      <c r="C140" s="826" t="s">
        <v>3183</v>
      </c>
      <c r="D140" s="258">
        <f>SUMIFS(Пр12!G$10:G$1648,Пр12!$D$10:$D$1648,C140)</f>
        <v>12056203.620000001</v>
      </c>
      <c r="E140" s="258">
        <f>SUMIFS(Пр12!H$10:H$1648,Пр12!$D$10:$D$1648,C140)</f>
        <v>8718070</v>
      </c>
      <c r="F140" s="262">
        <f>SUMIFS(Пр12!I$10:I$1648,Пр12!$D$10:$D$1648,C140)</f>
        <v>20774273.620000001</v>
      </c>
    </row>
    <row r="141" spans="1:6" ht="32.25" thickBot="1" x14ac:dyDescent="0.25">
      <c r="A141" s="265"/>
      <c r="B141" s="28" t="str">
        <f>IF(C141&gt;0,VLOOKUP(C141,Программа!A$2:B$5100,2))</f>
        <v>Повышение  уровня благоустройства  мест массового отдыха людей</v>
      </c>
      <c r="C141" s="826" t="s">
        <v>3184</v>
      </c>
      <c r="D141" s="258">
        <f>SUMIFS(Пр12!G$10:G$1648,Пр12!$D$10:$D$1648,C141)</f>
        <v>5071747</v>
      </c>
      <c r="E141" s="258">
        <f>SUMIFS(Пр12!H$10:H$1648,Пр12!$D$10:$D$1648,C141)</f>
        <v>1089243</v>
      </c>
      <c r="F141" s="262">
        <f>SUMIFS(Пр12!I$10:I$1648,Пр12!$D$10:$D$1648,C141)</f>
        <v>6160990</v>
      </c>
    </row>
    <row r="142" spans="1:6" ht="48.75" customHeight="1" thickBot="1" x14ac:dyDescent="0.25">
      <c r="A142" s="265"/>
      <c r="B142" s="28" t="str">
        <f>IF(C142&gt;0,VLOOKUP(C142,Программа!A$2:B$5100,2))</f>
        <v>Повышение безопасности движения пешеходов и транспортных средств на придомовых территориях и проездах к дворовым территориям МКД</v>
      </c>
      <c r="C142" s="826" t="s">
        <v>3185</v>
      </c>
      <c r="D142" s="258">
        <f>SUMIFS(Пр12!G$10:G$1648,Пр12!$D$10:$D$1648,C142)</f>
        <v>17071884.759999998</v>
      </c>
      <c r="E142" s="258">
        <f>SUMIFS(Пр12!H$10:H$1648,Пр12!$D$10:$D$1648,C142)</f>
        <v>4304401</v>
      </c>
      <c r="F142" s="262">
        <f>SUMIFS(Пр12!I$10:I$1648,Пр12!$D$10:$D$1648,C142)</f>
        <v>21376285.759999998</v>
      </c>
    </row>
    <row r="143" spans="1:6" ht="49.5" customHeight="1" thickBot="1" x14ac:dyDescent="0.25">
      <c r="A143" s="213"/>
      <c r="B143" s="555" t="str">
        <f>IF(C143&gt;0,VLOOKUP(C143,Программа!A$2:B$5100,2))</f>
        <v>Муниципальная программа "Внедрение и развитие аппаратно-программного комплекса "Безопасный город"</v>
      </c>
      <c r="C143" s="839" t="s">
        <v>3160</v>
      </c>
      <c r="D143" s="835">
        <f>D144</f>
        <v>957000</v>
      </c>
      <c r="E143" s="835">
        <f>E144</f>
        <v>813094</v>
      </c>
      <c r="F143" s="835">
        <f>F144</f>
        <v>1770094</v>
      </c>
    </row>
    <row r="144" spans="1:6" ht="32.25" thickBot="1" x14ac:dyDescent="0.25">
      <c r="A144" s="213"/>
      <c r="B144" s="640" t="str">
        <f>IF(C144&gt;0,VLOOKUP(C144,Программа!A$2:B$5100,2))</f>
        <v>Мероприятия по обеспечению безопасности жителей района</v>
      </c>
      <c r="C144" s="840" t="s">
        <v>3162</v>
      </c>
      <c r="D144" s="831">
        <f>SUMIFS(Пр12!G$10:G$1648,Пр12!$D$10:$D$1648,C144)</f>
        <v>957000</v>
      </c>
      <c r="E144" s="831">
        <f>SUMIFS(Пр12!H$10:H$1648,Пр12!$D$10:$D$1648,C144)</f>
        <v>813094</v>
      </c>
      <c r="F144" s="845">
        <f>SUMIFS(Пр12!I$10:I$1648,Пр12!$D$10:$D$1648,C144)</f>
        <v>1770094</v>
      </c>
    </row>
    <row r="145" spans="1:6" ht="15" customHeight="1" thickBot="1" x14ac:dyDescent="0.25">
      <c r="A145" s="213"/>
      <c r="B145" s="63" t="s">
        <v>177</v>
      </c>
      <c r="C145" s="53"/>
      <c r="D145" s="809">
        <f>D127+D120+D112+D107+D105+D102+D99+D97+D92+D82+D73+D68+D66+D52+D50+D41+D25+D10+D129+D132+D135+D139+D143</f>
        <v>1966106001.7800002</v>
      </c>
      <c r="E145" s="809">
        <f>E127+E120+E112+E107+E105+E102+E99+E97+E92+E82+E73+E68+E66+E52+E50+E41+E25+E10+E129+E132+E135+E139+E143</f>
        <v>1907878400</v>
      </c>
      <c r="F145" s="809">
        <f>F127+F120+F112+F107+F105+F102+F99+F97+F92+F82+F73+F68+F66+F52+F50+F41+F25+F10+F129+F132+F135+F139+F143</f>
        <v>3873984402.7800002</v>
      </c>
    </row>
    <row r="146" spans="1:6" ht="20.25" customHeight="1" thickBot="1" x14ac:dyDescent="0.25">
      <c r="A146" s="218" t="s">
        <v>989</v>
      </c>
      <c r="B146" s="64" t="str">
        <f>IF(C146&gt;0,VLOOKUP(C146,Программа!A$2:B$5100,2))</f>
        <v>Непрограммные расходы бюджета</v>
      </c>
      <c r="C146" s="814" t="s">
        <v>624</v>
      </c>
      <c r="D146" s="808">
        <f>SUMIFS(Пр12!G$10:G$1648,Пр12!$D$10:$D$1648,C146)</f>
        <v>137453622.25999999</v>
      </c>
      <c r="E146" s="808">
        <f>SUMIFS(Пр12!H$10:H$1648,Пр12!$D$10:$D$1648,C146)</f>
        <v>131741636</v>
      </c>
      <c r="F146" s="811">
        <f>SUMIFS(Пр12!I$10:I$1648,Пр12!$D$10:$D$1648,C146)</f>
        <v>269195258.25999999</v>
      </c>
    </row>
    <row r="147" spans="1:6" ht="18" customHeight="1" thickBot="1" x14ac:dyDescent="0.25">
      <c r="A147" s="218" t="s">
        <v>990</v>
      </c>
      <c r="B147" s="64" t="str">
        <f>IF(C147&gt;0,VLOOKUP(C147,Программа!A$2:B$5100,2))</f>
        <v>Межбюджетные трансферты  поселениям района</v>
      </c>
      <c r="C147" s="814" t="s">
        <v>799</v>
      </c>
      <c r="D147" s="808">
        <f>SUMIFS(Пр12!G$10:G$1648,Пр12!$D$10:$D$1648,C147)</f>
        <v>163598061.80000001</v>
      </c>
      <c r="E147" s="808">
        <f>SUMIFS(Пр12!H$10:H$1648,Пр12!$D$10:$D$1648,C147)</f>
        <v>161601755</v>
      </c>
      <c r="F147" s="811">
        <f>SUMIFS(Пр12!I$10:I$1648,Пр12!$D$10:$D$1648,C147)</f>
        <v>325199816.80000001</v>
      </c>
    </row>
    <row r="148" spans="1:6" ht="16.5" thickBot="1" x14ac:dyDescent="0.25">
      <c r="A148" s="218"/>
      <c r="B148" s="63" t="s">
        <v>991</v>
      </c>
      <c r="C148" s="846"/>
      <c r="D148" s="809">
        <f>D145+D146+D147+1</f>
        <v>2267157686.8400002</v>
      </c>
      <c r="E148" s="809">
        <f>E145+E146+E147</f>
        <v>2201221791</v>
      </c>
      <c r="F148" s="809">
        <f>F145+F146+F147</f>
        <v>4468379477.8400002</v>
      </c>
    </row>
    <row r="149" spans="1:6" x14ac:dyDescent="0.2">
      <c r="C149" s="222"/>
    </row>
    <row r="150" spans="1:6" x14ac:dyDescent="0.2">
      <c r="C150" s="222"/>
    </row>
    <row r="151" spans="1:6" x14ac:dyDescent="0.2">
      <c r="C151" s="222"/>
    </row>
    <row r="152" spans="1:6" x14ac:dyDescent="0.2">
      <c r="C152" s="222"/>
    </row>
    <row r="153" spans="1:6" x14ac:dyDescent="0.2">
      <c r="C153" s="222"/>
    </row>
    <row r="154" spans="1:6" x14ac:dyDescent="0.2">
      <c r="C154" s="222"/>
    </row>
    <row r="155" spans="1:6" x14ac:dyDescent="0.2">
      <c r="C155" s="222"/>
    </row>
    <row r="156" spans="1:6" x14ac:dyDescent="0.2">
      <c r="C156" s="222"/>
    </row>
    <row r="157" spans="1:6" x14ac:dyDescent="0.2">
      <c r="C157" s="222"/>
    </row>
    <row r="158" spans="1:6" x14ac:dyDescent="0.2">
      <c r="C158" s="222"/>
    </row>
    <row r="159" spans="1:6" x14ac:dyDescent="0.2">
      <c r="C159" s="222"/>
    </row>
    <row r="160" spans="1:6" x14ac:dyDescent="0.2">
      <c r="C160" s="222"/>
    </row>
    <row r="161" spans="3:3" x14ac:dyDescent="0.2">
      <c r="C161" s="222"/>
    </row>
    <row r="162" spans="3:3" x14ac:dyDescent="0.2">
      <c r="C162" s="222"/>
    </row>
    <row r="163" spans="3:3" x14ac:dyDescent="0.2">
      <c r="C163" s="222"/>
    </row>
    <row r="164" spans="3:3" x14ac:dyDescent="0.2">
      <c r="C164" s="222"/>
    </row>
    <row r="165" spans="3:3" x14ac:dyDescent="0.2">
      <c r="C165" s="222"/>
    </row>
    <row r="166" spans="3:3" x14ac:dyDescent="0.2">
      <c r="C166" s="222"/>
    </row>
    <row r="167" spans="3:3" x14ac:dyDescent="0.2">
      <c r="C167" s="222"/>
    </row>
    <row r="168" spans="3:3" x14ac:dyDescent="0.2">
      <c r="C168" s="222"/>
    </row>
    <row r="169" spans="3:3" x14ac:dyDescent="0.2">
      <c r="C169" s="222"/>
    </row>
    <row r="170" spans="3:3" x14ac:dyDescent="0.2">
      <c r="C170" s="222"/>
    </row>
    <row r="171" spans="3:3" x14ac:dyDescent="0.2">
      <c r="C171" s="222"/>
    </row>
    <row r="172" spans="3:3" x14ac:dyDescent="0.2">
      <c r="C172" s="222"/>
    </row>
    <row r="173" spans="3:3" x14ac:dyDescent="0.2">
      <c r="C173" s="222"/>
    </row>
    <row r="174" spans="3:3" x14ac:dyDescent="0.2">
      <c r="C174" s="222"/>
    </row>
    <row r="175" spans="3:3" x14ac:dyDescent="0.2">
      <c r="C175" s="222"/>
    </row>
    <row r="176" spans="3:3" x14ac:dyDescent="0.2">
      <c r="C176" s="222"/>
    </row>
    <row r="177" spans="3:3" x14ac:dyDescent="0.2">
      <c r="C177" s="222"/>
    </row>
    <row r="178" spans="3:3" x14ac:dyDescent="0.2">
      <c r="C178" s="222"/>
    </row>
    <row r="179" spans="3:3" x14ac:dyDescent="0.2">
      <c r="C179" s="222"/>
    </row>
    <row r="180" spans="3:3" x14ac:dyDescent="0.2">
      <c r="C180" s="222"/>
    </row>
    <row r="181" spans="3:3" x14ac:dyDescent="0.2">
      <c r="C181" s="222"/>
    </row>
    <row r="182" spans="3:3" x14ac:dyDescent="0.2">
      <c r="C182" s="222"/>
    </row>
    <row r="183" spans="3:3" x14ac:dyDescent="0.2">
      <c r="C183" s="222"/>
    </row>
    <row r="184" spans="3:3" x14ac:dyDescent="0.2">
      <c r="C184" s="222"/>
    </row>
    <row r="185" spans="3:3" x14ac:dyDescent="0.2">
      <c r="C185" s="222"/>
    </row>
    <row r="186" spans="3:3" x14ac:dyDescent="0.2">
      <c r="C186" s="222"/>
    </row>
    <row r="187" spans="3:3" x14ac:dyDescent="0.2">
      <c r="C187" s="222"/>
    </row>
    <row r="188" spans="3:3" x14ac:dyDescent="0.2">
      <c r="C188" s="222"/>
    </row>
    <row r="189" spans="3:3" x14ac:dyDescent="0.2">
      <c r="C189" s="222"/>
    </row>
    <row r="190" spans="3:3" x14ac:dyDescent="0.2">
      <c r="C190" s="222"/>
    </row>
    <row r="191" spans="3:3" x14ac:dyDescent="0.2">
      <c r="C191" s="222"/>
    </row>
    <row r="192" spans="3:3" x14ac:dyDescent="0.2">
      <c r="C192" s="222"/>
    </row>
    <row r="193" spans="3:3" x14ac:dyDescent="0.2">
      <c r="C193" s="222"/>
    </row>
    <row r="194" spans="3:3" x14ac:dyDescent="0.2">
      <c r="C194" s="222"/>
    </row>
    <row r="195" spans="3:3" x14ac:dyDescent="0.2">
      <c r="C195" s="222"/>
    </row>
    <row r="196" spans="3:3" x14ac:dyDescent="0.2">
      <c r="C196" s="222"/>
    </row>
    <row r="197" spans="3:3" x14ac:dyDescent="0.2">
      <c r="C197" s="222"/>
    </row>
    <row r="198" spans="3:3" x14ac:dyDescent="0.2">
      <c r="C198" s="222"/>
    </row>
    <row r="199" spans="3:3" x14ac:dyDescent="0.2">
      <c r="C199" s="222"/>
    </row>
    <row r="200" spans="3:3" x14ac:dyDescent="0.2">
      <c r="C200" s="222"/>
    </row>
    <row r="201" spans="3:3" x14ac:dyDescent="0.2">
      <c r="C201" s="222"/>
    </row>
    <row r="202" spans="3:3" x14ac:dyDescent="0.2">
      <c r="C202" s="222"/>
    </row>
    <row r="203" spans="3:3" x14ac:dyDescent="0.2">
      <c r="C203" s="222"/>
    </row>
    <row r="204" spans="3:3" x14ac:dyDescent="0.2">
      <c r="C204" s="222"/>
    </row>
    <row r="205" spans="3:3" x14ac:dyDescent="0.2">
      <c r="C205" s="222"/>
    </row>
    <row r="206" spans="3:3" x14ac:dyDescent="0.2">
      <c r="C206" s="222"/>
    </row>
    <row r="207" spans="3:3" x14ac:dyDescent="0.2">
      <c r="C207" s="222"/>
    </row>
    <row r="208" spans="3:3" x14ac:dyDescent="0.2">
      <c r="C208" s="222"/>
    </row>
    <row r="209" spans="3:3" x14ac:dyDescent="0.2">
      <c r="C209" s="222"/>
    </row>
    <row r="210" spans="3:3" x14ac:dyDescent="0.2">
      <c r="C210" s="222"/>
    </row>
    <row r="211" spans="3:3" x14ac:dyDescent="0.2">
      <c r="C211" s="222"/>
    </row>
    <row r="212" spans="3:3" x14ac:dyDescent="0.2">
      <c r="C212" s="222"/>
    </row>
    <row r="213" spans="3:3" x14ac:dyDescent="0.2">
      <c r="C213" s="222"/>
    </row>
    <row r="214" spans="3:3" x14ac:dyDescent="0.2">
      <c r="C214" s="222"/>
    </row>
    <row r="215" spans="3:3" x14ac:dyDescent="0.2">
      <c r="C215" s="222"/>
    </row>
    <row r="216" spans="3:3" x14ac:dyDescent="0.2">
      <c r="C216" s="222"/>
    </row>
    <row r="217" spans="3:3" x14ac:dyDescent="0.2">
      <c r="C217" s="222"/>
    </row>
    <row r="218" spans="3:3" x14ac:dyDescent="0.2">
      <c r="C218" s="222"/>
    </row>
    <row r="219" spans="3:3" x14ac:dyDescent="0.2">
      <c r="C219" s="222"/>
    </row>
  </sheetData>
  <mergeCells count="13">
    <mergeCell ref="A6:F6"/>
    <mergeCell ref="D7:F7"/>
    <mergeCell ref="A1:F1"/>
    <mergeCell ref="A2:F2"/>
    <mergeCell ref="A3:F3"/>
    <mergeCell ref="A4:F4"/>
    <mergeCell ref="D5:F5"/>
    <mergeCell ref="E8:E9"/>
    <mergeCell ref="F8:F9"/>
    <mergeCell ref="A8:A9"/>
    <mergeCell ref="B8:B9"/>
    <mergeCell ref="C8:C9"/>
    <mergeCell ref="D8:D9"/>
  </mergeCells>
  <printOptions gridLinesSet="0"/>
  <pageMargins left="1.1023622047244095" right="0.70866141732283472" top="0.74803149606299213" bottom="0.74803149606299213" header="0.51181102362204722" footer="0.51181102362204722"/>
  <pageSetup paperSize="9" scale="97" fitToHeight="67" orientation="portrait" r:id="rId1"/>
  <headerFooter>
    <oddFooter>&amp;C&amp;P</oddFooter>
  </headerFooter>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7"/>
  <sheetViews>
    <sheetView showGridLines="0" view="pageBreakPreview" topLeftCell="A31" zoomScale="115" zoomScaleSheetLayoutView="115" workbookViewId="0">
      <selection activeCell="F24" sqref="F24"/>
    </sheetView>
  </sheetViews>
  <sheetFormatPr defaultColWidth="9.140625" defaultRowHeight="15.75" x14ac:dyDescent="0.25"/>
  <cols>
    <col min="1" max="1" width="4.140625" style="32" customWidth="1"/>
    <col min="2" max="2" width="42.7109375" style="32" customWidth="1"/>
    <col min="3" max="3" width="12.85546875" style="32" hidden="1" customWidth="1"/>
    <col min="4" max="4" width="11.28515625" style="32" hidden="1" customWidth="1"/>
    <col min="5" max="5" width="18.7109375" style="32" customWidth="1"/>
    <col min="6" max="6" width="43.42578125" style="32" customWidth="1"/>
    <col min="7" max="16384" width="9.140625" style="32"/>
  </cols>
  <sheetData>
    <row r="1" spans="1:9" x14ac:dyDescent="0.25">
      <c r="B1" s="890" t="s">
        <v>351</v>
      </c>
      <c r="C1" s="890"/>
      <c r="D1" s="890"/>
      <c r="E1" s="890"/>
    </row>
    <row r="2" spans="1:9" x14ac:dyDescent="0.25">
      <c r="B2" s="890" t="s">
        <v>1</v>
      </c>
      <c r="C2" s="890"/>
      <c r="D2" s="890"/>
      <c r="E2" s="890"/>
    </row>
    <row r="3" spans="1:9" x14ac:dyDescent="0.25">
      <c r="B3" s="890" t="s">
        <v>2</v>
      </c>
      <c r="C3" s="890"/>
      <c r="D3" s="890"/>
      <c r="E3" s="890"/>
    </row>
    <row r="4" spans="1:9" ht="14.25" customHeight="1" x14ac:dyDescent="0.25">
      <c r="B4" s="890" t="s">
        <v>3329</v>
      </c>
      <c r="C4" s="890"/>
      <c r="D4" s="890"/>
      <c r="E4" s="890"/>
    </row>
    <row r="5" spans="1:9" ht="9.75" customHeight="1" x14ac:dyDescent="0.25">
      <c r="B5" s="5"/>
      <c r="C5" s="5"/>
    </row>
    <row r="6" spans="1:9" ht="0.75" customHeight="1" x14ac:dyDescent="0.25"/>
    <row r="7" spans="1:9" ht="34.5" customHeight="1" x14ac:dyDescent="0.25">
      <c r="A7" s="891" t="s">
        <v>3093</v>
      </c>
      <c r="B7" s="891"/>
      <c r="C7" s="891"/>
      <c r="D7" s="891"/>
      <c r="E7" s="891"/>
      <c r="F7" s="4"/>
    </row>
    <row r="8" spans="1:9" s="490" customFormat="1" ht="34.5" hidden="1" customHeight="1" x14ac:dyDescent="0.25">
      <c r="A8" s="489"/>
      <c r="B8" s="489"/>
      <c r="C8" s="489"/>
      <c r="F8" s="4"/>
    </row>
    <row r="9" spans="1:9" ht="28.5" customHeight="1" thickBot="1" x14ac:dyDescent="0.3">
      <c r="A9" s="1063" t="s">
        <v>3188</v>
      </c>
      <c r="B9" s="1063"/>
      <c r="C9" s="1063"/>
      <c r="D9" s="1063"/>
      <c r="E9" s="1063"/>
    </row>
    <row r="10" spans="1:9" ht="13.9" customHeight="1" x14ac:dyDescent="0.25">
      <c r="A10" s="1065" t="s">
        <v>1009</v>
      </c>
      <c r="B10" s="1066"/>
      <c r="C10" s="311" t="s">
        <v>192</v>
      </c>
      <c r="D10" s="574" t="s">
        <v>995</v>
      </c>
      <c r="E10" s="574" t="s">
        <v>192</v>
      </c>
      <c r="I10" s="395"/>
    </row>
    <row r="11" spans="1:9" s="490" customFormat="1" x14ac:dyDescent="0.25">
      <c r="A11" s="1023" t="s">
        <v>1012</v>
      </c>
      <c r="B11" s="1024"/>
      <c r="C11" s="278">
        <v>700000</v>
      </c>
      <c r="D11" s="278"/>
      <c r="E11" s="278">
        <f>C11+D11</f>
        <v>700000</v>
      </c>
      <c r="I11" s="395"/>
    </row>
    <row r="12" spans="1:9" s="490" customFormat="1" x14ac:dyDescent="0.25">
      <c r="A12" s="1023" t="s">
        <v>1036</v>
      </c>
      <c r="B12" s="1024"/>
      <c r="C12" s="278">
        <v>1246185</v>
      </c>
      <c r="D12" s="278"/>
      <c r="E12" s="278">
        <f>C12+D12</f>
        <v>1246185</v>
      </c>
      <c r="I12" s="395"/>
    </row>
    <row r="13" spans="1:9" s="490" customFormat="1" x14ac:dyDescent="0.25">
      <c r="A13" s="1023" t="s">
        <v>1037</v>
      </c>
      <c r="B13" s="1024"/>
      <c r="C13" s="278">
        <v>1300000</v>
      </c>
      <c r="D13" s="278">
        <v>-680000</v>
      </c>
      <c r="E13" s="278">
        <f>C13+D13</f>
        <v>620000</v>
      </c>
      <c r="I13" s="395"/>
    </row>
    <row r="14" spans="1:9" s="490" customFormat="1" x14ac:dyDescent="0.25">
      <c r="A14" s="1071" t="s">
        <v>1013</v>
      </c>
      <c r="B14" s="1072"/>
      <c r="C14" s="278">
        <v>2000000</v>
      </c>
      <c r="D14" s="278">
        <v>350000</v>
      </c>
      <c r="E14" s="278">
        <f>C14+D14</f>
        <v>2350000</v>
      </c>
      <c r="I14" s="395"/>
    </row>
    <row r="15" spans="1:9" ht="17.25" customHeight="1" x14ac:dyDescent="0.25">
      <c r="A15" s="1067" t="s">
        <v>1034</v>
      </c>
      <c r="B15" s="1068"/>
      <c r="C15" s="230">
        <v>17303489</v>
      </c>
      <c r="D15" s="230">
        <v>330000</v>
      </c>
      <c r="E15" s="278">
        <f>C15+D15</f>
        <v>17633489</v>
      </c>
      <c r="I15" s="395"/>
    </row>
    <row r="16" spans="1:9" ht="18" customHeight="1" thickBot="1" x14ac:dyDescent="0.3">
      <c r="A16" s="1069" t="s">
        <v>177</v>
      </c>
      <c r="B16" s="1070"/>
      <c r="C16" s="396">
        <f>C11+C12+C13+C14+C15</f>
        <v>22549674</v>
      </c>
      <c r="D16" s="396">
        <f>D11+D12+D13+D14+D15</f>
        <v>0</v>
      </c>
      <c r="E16" s="396">
        <f>E11+E12+E13+E14+E15</f>
        <v>22549674</v>
      </c>
    </row>
    <row r="17" spans="1:5" ht="9" customHeight="1" x14ac:dyDescent="0.25"/>
    <row r="18" spans="1:5" ht="34.9" customHeight="1" thickBot="1" x14ac:dyDescent="0.3">
      <c r="A18" s="1064" t="s">
        <v>3189</v>
      </c>
      <c r="B18" s="1064"/>
      <c r="C18" s="1064"/>
      <c r="D18" s="1064"/>
      <c r="E18" s="1064"/>
    </row>
    <row r="19" spans="1:5" ht="31.5" x14ac:dyDescent="0.25">
      <c r="A19" s="1065" t="s">
        <v>1009</v>
      </c>
      <c r="B19" s="1066"/>
      <c r="C19" s="534" t="s">
        <v>192</v>
      </c>
      <c r="D19" s="574" t="s">
        <v>192</v>
      </c>
      <c r="E19" s="574" t="s">
        <v>192</v>
      </c>
    </row>
    <row r="20" spans="1:5" x14ac:dyDescent="0.25">
      <c r="A20" s="1067" t="s">
        <v>1013</v>
      </c>
      <c r="B20" s="1068"/>
      <c r="C20" s="230">
        <v>59000</v>
      </c>
      <c r="D20" s="230"/>
      <c r="E20" s="230">
        <v>59000</v>
      </c>
    </row>
    <row r="21" spans="1:5" ht="16.5" thickBot="1" x14ac:dyDescent="0.3">
      <c r="A21" s="1069" t="s">
        <v>177</v>
      </c>
      <c r="B21" s="1070"/>
      <c r="C21" s="396">
        <f>C20</f>
        <v>59000</v>
      </c>
      <c r="D21" s="396">
        <f>D20</f>
        <v>0</v>
      </c>
      <c r="E21" s="396">
        <f>E20</f>
        <v>59000</v>
      </c>
    </row>
    <row r="22" spans="1:5" s="678" customFormat="1" ht="9" customHeight="1" x14ac:dyDescent="0.25">
      <c r="A22" s="681"/>
      <c r="B22" s="681"/>
      <c r="C22" s="682"/>
      <c r="D22" s="682"/>
      <c r="E22" s="682"/>
    </row>
    <row r="23" spans="1:5" ht="36.6" customHeight="1" x14ac:dyDescent="0.25">
      <c r="A23" s="1064" t="s">
        <v>3305</v>
      </c>
      <c r="B23" s="1064"/>
      <c r="C23" s="1064"/>
      <c r="D23" s="1064"/>
      <c r="E23" s="1064"/>
    </row>
    <row r="24" spans="1:5" ht="31.9" customHeight="1" x14ac:dyDescent="0.25">
      <c r="A24" s="889" t="s">
        <v>1009</v>
      </c>
      <c r="B24" s="889"/>
      <c r="C24" s="690" t="s">
        <v>192</v>
      </c>
      <c r="D24" s="690" t="s">
        <v>192</v>
      </c>
      <c r="E24" s="690" t="s">
        <v>192</v>
      </c>
    </row>
    <row r="25" spans="1:5" x14ac:dyDescent="0.25">
      <c r="A25" s="1068" t="s">
        <v>1034</v>
      </c>
      <c r="B25" s="1068"/>
      <c r="C25" s="230">
        <v>62210987</v>
      </c>
      <c r="D25" s="230"/>
      <c r="E25" s="230">
        <f>C25+D25</f>
        <v>62210987</v>
      </c>
    </row>
    <row r="26" spans="1:5" s="678" customFormat="1" x14ac:dyDescent="0.25">
      <c r="A26" s="1028" t="s">
        <v>177</v>
      </c>
      <c r="B26" s="1028"/>
      <c r="C26" s="306">
        <f>C25</f>
        <v>62210987</v>
      </c>
      <c r="D26" s="306">
        <f>D25</f>
        <v>0</v>
      </c>
      <c r="E26" s="306">
        <f>E25</f>
        <v>62210987</v>
      </c>
    </row>
    <row r="27" spans="1:5" s="686" customFormat="1" ht="47.25" customHeight="1" thickBot="1" x14ac:dyDescent="0.3">
      <c r="A27" s="1064" t="s">
        <v>3334</v>
      </c>
      <c r="B27" s="1064"/>
      <c r="C27" s="1064"/>
      <c r="D27" s="1064"/>
      <c r="E27" s="1064"/>
    </row>
    <row r="28" spans="1:5" ht="31.5" x14ac:dyDescent="0.25">
      <c r="A28" s="1065" t="s">
        <v>1009</v>
      </c>
      <c r="B28" s="1066"/>
      <c r="C28" s="691" t="s">
        <v>192</v>
      </c>
      <c r="D28" s="691" t="s">
        <v>192</v>
      </c>
      <c r="E28" s="692" t="s">
        <v>192</v>
      </c>
    </row>
    <row r="29" spans="1:5" ht="20.25" customHeight="1" x14ac:dyDescent="0.25">
      <c r="A29" s="1067" t="s">
        <v>1034</v>
      </c>
      <c r="B29" s="1068"/>
      <c r="C29" s="321">
        <v>6546083.3799999999</v>
      </c>
      <c r="D29" s="230"/>
      <c r="E29" s="321">
        <f>C29+D29</f>
        <v>6546083.3799999999</v>
      </c>
    </row>
    <row r="30" spans="1:5" ht="16.5" thickBot="1" x14ac:dyDescent="0.3">
      <c r="A30" s="1069" t="s">
        <v>177</v>
      </c>
      <c r="B30" s="1070"/>
      <c r="C30" s="396">
        <f>C29</f>
        <v>6546083.3799999999</v>
      </c>
      <c r="D30" s="396">
        <f>D29</f>
        <v>0</v>
      </c>
      <c r="E30" s="693">
        <f>E29</f>
        <v>6546083.3799999999</v>
      </c>
    </row>
    <row r="31" spans="1:5" s="708" customFormat="1" x14ac:dyDescent="0.25">
      <c r="A31" s="681"/>
      <c r="B31" s="681"/>
      <c r="C31" s="682"/>
      <c r="D31" s="682"/>
      <c r="E31" s="682"/>
    </row>
    <row r="32" spans="1:5" s="708" customFormat="1" ht="33.75" customHeight="1" thickBot="1" x14ac:dyDescent="0.3">
      <c r="A32" s="1064" t="s">
        <v>3375</v>
      </c>
      <c r="B32" s="1064"/>
      <c r="C32" s="1064"/>
      <c r="D32" s="1064"/>
      <c r="E32" s="1064"/>
    </row>
    <row r="33" spans="1:5" s="708" customFormat="1" ht="31.5" x14ac:dyDescent="0.25">
      <c r="A33" s="1065" t="s">
        <v>1009</v>
      </c>
      <c r="B33" s="1066"/>
      <c r="C33" s="709" t="s">
        <v>192</v>
      </c>
      <c r="D33" s="709" t="s">
        <v>192</v>
      </c>
      <c r="E33" s="692" t="s">
        <v>192</v>
      </c>
    </row>
    <row r="34" spans="1:5" s="708" customFormat="1" x14ac:dyDescent="0.25">
      <c r="A34" s="1067" t="s">
        <v>1034</v>
      </c>
      <c r="B34" s="1068"/>
      <c r="C34" s="321">
        <v>0</v>
      </c>
      <c r="D34" s="230">
        <v>1509822</v>
      </c>
      <c r="E34" s="321">
        <f>C34+D34</f>
        <v>1509822</v>
      </c>
    </row>
    <row r="35" spans="1:5" s="708" customFormat="1" ht="16.5" thickBot="1" x14ac:dyDescent="0.3">
      <c r="A35" s="1069" t="s">
        <v>177</v>
      </c>
      <c r="B35" s="1070"/>
      <c r="C35" s="396">
        <f>C34</f>
        <v>0</v>
      </c>
      <c r="D35" s="396">
        <f>D34</f>
        <v>1509822</v>
      </c>
      <c r="E35" s="693">
        <f>E34</f>
        <v>1509822</v>
      </c>
    </row>
    <row r="36" spans="1:5" s="708" customFormat="1" ht="21.75" customHeight="1" x14ac:dyDescent="0.25">
      <c r="A36" s="681"/>
      <c r="B36" s="681"/>
      <c r="C36" s="682"/>
      <c r="D36" s="682"/>
      <c r="E36" s="682"/>
    </row>
    <row r="37" spans="1:5" s="708" customFormat="1" ht="48.75" customHeight="1" thickBot="1" x14ac:dyDescent="0.3">
      <c r="A37" s="1064" t="s">
        <v>3376</v>
      </c>
      <c r="B37" s="1064"/>
      <c r="C37" s="1064"/>
      <c r="D37" s="1064"/>
      <c r="E37" s="1064"/>
    </row>
    <row r="38" spans="1:5" s="708" customFormat="1" ht="31.5" x14ac:dyDescent="0.25">
      <c r="A38" s="1065" t="s">
        <v>1009</v>
      </c>
      <c r="B38" s="1066"/>
      <c r="C38" s="709" t="s">
        <v>192</v>
      </c>
      <c r="D38" s="709" t="s">
        <v>192</v>
      </c>
      <c r="E38" s="692" t="s">
        <v>192</v>
      </c>
    </row>
    <row r="39" spans="1:5" s="708" customFormat="1" ht="15.75" customHeight="1" x14ac:dyDescent="0.25">
      <c r="A39" s="1023" t="s">
        <v>1037</v>
      </c>
      <c r="B39" s="1024"/>
      <c r="C39" s="321">
        <v>0</v>
      </c>
      <c r="D39" s="230">
        <v>5302790</v>
      </c>
      <c r="E39" s="321">
        <f>C39+D39</f>
        <v>5302790</v>
      </c>
    </row>
    <row r="40" spans="1:5" s="708" customFormat="1" ht="16.5" thickBot="1" x14ac:dyDescent="0.3">
      <c r="A40" s="1069" t="s">
        <v>177</v>
      </c>
      <c r="B40" s="1070"/>
      <c r="C40" s="396">
        <f>C39</f>
        <v>0</v>
      </c>
      <c r="D40" s="396">
        <f>D39</f>
        <v>5302790</v>
      </c>
      <c r="E40" s="693">
        <f>E39</f>
        <v>5302790</v>
      </c>
    </row>
    <row r="41" spans="1:5" s="730" customFormat="1" x14ac:dyDescent="0.25">
      <c r="A41" s="681"/>
      <c r="B41" s="681"/>
      <c r="C41" s="682"/>
      <c r="D41" s="682"/>
      <c r="E41" s="682"/>
    </row>
    <row r="42" spans="1:5" s="730" customFormat="1" ht="38.25" customHeight="1" thickBot="1" x14ac:dyDescent="0.3">
      <c r="A42" s="1064" t="s">
        <v>3410</v>
      </c>
      <c r="B42" s="1064"/>
      <c r="C42" s="1064"/>
      <c r="D42" s="1064"/>
      <c r="E42" s="1064"/>
    </row>
    <row r="43" spans="1:5" s="730" customFormat="1" ht="31.5" x14ac:dyDescent="0.25">
      <c r="A43" s="1065" t="s">
        <v>1009</v>
      </c>
      <c r="B43" s="1066"/>
      <c r="C43" s="731" t="s">
        <v>192</v>
      </c>
      <c r="D43" s="731" t="s">
        <v>192</v>
      </c>
      <c r="E43" s="692" t="s">
        <v>192</v>
      </c>
    </row>
    <row r="44" spans="1:5" s="730" customFormat="1" x14ac:dyDescent="0.25">
      <c r="A44" s="1067" t="s">
        <v>1034</v>
      </c>
      <c r="B44" s="1068"/>
      <c r="C44" s="321">
        <v>0</v>
      </c>
      <c r="D44" s="230">
        <v>10000000</v>
      </c>
      <c r="E44" s="321">
        <f>C44+D44</f>
        <v>10000000</v>
      </c>
    </row>
    <row r="45" spans="1:5" s="730" customFormat="1" ht="16.5" thickBot="1" x14ac:dyDescent="0.3">
      <c r="A45" s="1069" t="s">
        <v>177</v>
      </c>
      <c r="B45" s="1070"/>
      <c r="C45" s="396">
        <f>C44</f>
        <v>0</v>
      </c>
      <c r="D45" s="396">
        <f>D44</f>
        <v>10000000</v>
      </c>
      <c r="E45" s="693">
        <f>E44</f>
        <v>10000000</v>
      </c>
    </row>
    <row r="46" spans="1:5" ht="16.5" thickBot="1" x14ac:dyDescent="0.3">
      <c r="A46" s="1075"/>
      <c r="B46" s="1075"/>
      <c r="C46" s="1075"/>
      <c r="D46" s="1075"/>
      <c r="E46" s="1075"/>
    </row>
    <row r="47" spans="1:5" ht="16.5" thickBot="1" x14ac:dyDescent="0.3">
      <c r="A47" s="1073" t="s">
        <v>899</v>
      </c>
      <c r="B47" s="1074"/>
      <c r="C47" s="711">
        <f>C16+C21+C26+C30</f>
        <v>91365744.379999995</v>
      </c>
      <c r="D47" s="711">
        <f>D16+D21+D26+D30+D35+D40+D45</f>
        <v>16812612</v>
      </c>
      <c r="E47" s="711">
        <f>E16+E21+E26+E30+E35+E40+E45</f>
        <v>108178356.38</v>
      </c>
    </row>
  </sheetData>
  <mergeCells count="39">
    <mergeCell ref="A45:B45"/>
    <mergeCell ref="A47:B47"/>
    <mergeCell ref="A28:B28"/>
    <mergeCell ref="A29:B29"/>
    <mergeCell ref="A30:B30"/>
    <mergeCell ref="A46:E46"/>
    <mergeCell ref="A32:E32"/>
    <mergeCell ref="A33:B33"/>
    <mergeCell ref="A34:B34"/>
    <mergeCell ref="A35:B35"/>
    <mergeCell ref="A37:E37"/>
    <mergeCell ref="A38:B38"/>
    <mergeCell ref="A39:B39"/>
    <mergeCell ref="A40:B40"/>
    <mergeCell ref="A42:E42"/>
    <mergeCell ref="A43:B43"/>
    <mergeCell ref="A44:B44"/>
    <mergeCell ref="A21:B21"/>
    <mergeCell ref="A19:B19"/>
    <mergeCell ref="A25:B25"/>
    <mergeCell ref="A26:B26"/>
    <mergeCell ref="A24:B24"/>
    <mergeCell ref="A23:E23"/>
    <mergeCell ref="A27:E27"/>
    <mergeCell ref="A20:B20"/>
    <mergeCell ref="B1:E1"/>
    <mergeCell ref="B2:E2"/>
    <mergeCell ref="B3:E3"/>
    <mergeCell ref="B4:E4"/>
    <mergeCell ref="A7:E7"/>
    <mergeCell ref="A9:E9"/>
    <mergeCell ref="A18:E18"/>
    <mergeCell ref="A10:B10"/>
    <mergeCell ref="A15:B15"/>
    <mergeCell ref="A16:B16"/>
    <mergeCell ref="A11:B11"/>
    <mergeCell ref="A12:B12"/>
    <mergeCell ref="A13:B13"/>
    <mergeCell ref="A14:B14"/>
  </mergeCells>
  <printOptions gridLinesSet="0"/>
  <pageMargins left="1.1023622047244095" right="0.70866141732283472" top="0.74803149606299213" bottom="0.74803149606299213" header="0.51181102362204722" footer="0.51181102362204722"/>
  <pageSetup paperSize="9" fitToHeight="3" orientation="portrait" r:id="rId1"/>
  <headerFooter>
    <oddFooter>&amp;C&amp;P</oddFooter>
  </headerFooter>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7"/>
  <sheetViews>
    <sheetView showGridLines="0" view="pageBreakPreview" zoomScaleSheetLayoutView="100" workbookViewId="0">
      <selection activeCell="E18" sqref="E18"/>
    </sheetView>
  </sheetViews>
  <sheetFormatPr defaultColWidth="9.140625" defaultRowHeight="12.75" x14ac:dyDescent="0.2"/>
  <cols>
    <col min="1" max="1" width="4.140625" style="122" customWidth="1"/>
    <col min="2" max="2" width="55.140625" style="122" customWidth="1"/>
    <col min="3" max="4" width="13.5703125" style="122" hidden="1" customWidth="1"/>
    <col min="5" max="5" width="11.28515625" style="122" bestFit="1" customWidth="1"/>
    <col min="6" max="7" width="11.28515625" style="122" hidden="1" customWidth="1"/>
    <col min="8" max="8" width="11.28515625" style="122" bestFit="1" customWidth="1"/>
    <col min="9" max="16384" width="9.140625" style="122"/>
  </cols>
  <sheetData>
    <row r="1" spans="1:8" ht="15.75" x14ac:dyDescent="0.25">
      <c r="A1" s="32"/>
      <c r="B1" s="890" t="s">
        <v>1041</v>
      </c>
      <c r="C1" s="890"/>
      <c r="D1" s="890"/>
      <c r="E1" s="890"/>
      <c r="F1" s="890"/>
      <c r="G1" s="890"/>
      <c r="H1" s="890"/>
    </row>
    <row r="2" spans="1:8" ht="15.75" x14ac:dyDescent="0.25">
      <c r="A2" s="32"/>
      <c r="B2" s="890" t="s">
        <v>1</v>
      </c>
      <c r="C2" s="890"/>
      <c r="D2" s="890"/>
      <c r="E2" s="890"/>
      <c r="F2" s="890"/>
      <c r="G2" s="890"/>
      <c r="H2" s="890"/>
    </row>
    <row r="3" spans="1:8" ht="15.75" x14ac:dyDescent="0.25">
      <c r="A3" s="32"/>
      <c r="B3" s="890" t="s">
        <v>2</v>
      </c>
      <c r="C3" s="890"/>
      <c r="D3" s="890"/>
      <c r="E3" s="890"/>
      <c r="F3" s="890"/>
      <c r="G3" s="890"/>
      <c r="H3" s="890"/>
    </row>
    <row r="4" spans="1:8" ht="15.75" x14ac:dyDescent="0.25">
      <c r="A4" s="32"/>
      <c r="B4" s="890" t="s">
        <v>3090</v>
      </c>
      <c r="C4" s="890"/>
      <c r="D4" s="890"/>
      <c r="E4" s="890"/>
      <c r="F4" s="890"/>
      <c r="G4" s="890"/>
      <c r="H4" s="890"/>
    </row>
    <row r="5" spans="1:8" ht="15.75" x14ac:dyDescent="0.25">
      <c r="A5" s="32"/>
      <c r="B5" s="5"/>
      <c r="C5" s="32"/>
      <c r="D5" s="911"/>
      <c r="E5" s="911"/>
      <c r="F5" s="911"/>
      <c r="G5" s="911"/>
      <c r="H5" s="911"/>
    </row>
    <row r="6" spans="1:8" ht="15.75" x14ac:dyDescent="0.25">
      <c r="A6" s="32"/>
      <c r="B6" s="32"/>
      <c r="C6" s="32"/>
      <c r="D6" s="911"/>
      <c r="E6" s="911"/>
      <c r="F6" s="911"/>
      <c r="G6" s="911"/>
      <c r="H6" s="911"/>
    </row>
    <row r="7" spans="1:8" ht="35.25" customHeight="1" x14ac:dyDescent="0.2">
      <c r="A7" s="891" t="s">
        <v>3095</v>
      </c>
      <c r="B7" s="891"/>
      <c r="C7" s="891"/>
      <c r="D7" s="891"/>
      <c r="E7" s="891"/>
      <c r="F7" s="891"/>
      <c r="G7" s="891"/>
      <c r="H7" s="891"/>
    </row>
    <row r="8" spans="1:8" ht="12.75" customHeight="1" x14ac:dyDescent="0.2">
      <c r="A8" s="1064" t="s">
        <v>3094</v>
      </c>
      <c r="B8" s="1064"/>
      <c r="C8" s="1064"/>
      <c r="D8" s="1064"/>
      <c r="E8" s="1064"/>
      <c r="F8" s="1064"/>
      <c r="G8" s="1064"/>
      <c r="H8" s="1064"/>
    </row>
    <row r="9" spans="1:8" ht="12.75" customHeight="1" x14ac:dyDescent="0.2">
      <c r="A9" s="1064"/>
      <c r="B9" s="1064"/>
      <c r="C9" s="1064"/>
      <c r="D9" s="1064"/>
      <c r="E9" s="1064"/>
      <c r="F9" s="1064"/>
      <c r="G9" s="1064"/>
      <c r="H9" s="1064"/>
    </row>
    <row r="10" spans="1:8" ht="47.25" x14ac:dyDescent="0.2">
      <c r="A10" s="889" t="s">
        <v>1009</v>
      </c>
      <c r="B10" s="889"/>
      <c r="C10" s="497" t="s">
        <v>2809</v>
      </c>
      <c r="D10" s="573" t="s">
        <v>995</v>
      </c>
      <c r="E10" s="573" t="s">
        <v>2809</v>
      </c>
      <c r="F10" s="497" t="s">
        <v>567</v>
      </c>
      <c r="G10" s="573" t="s">
        <v>995</v>
      </c>
      <c r="H10" s="573" t="s">
        <v>567</v>
      </c>
    </row>
    <row r="11" spans="1:8" ht="15.75" customHeight="1" x14ac:dyDescent="0.25">
      <c r="A11" s="1023" t="s">
        <v>1036</v>
      </c>
      <c r="B11" s="1024"/>
      <c r="C11" s="258">
        <v>500000</v>
      </c>
      <c r="D11" s="258"/>
      <c r="E11" s="258"/>
      <c r="F11" s="258"/>
      <c r="G11" s="258"/>
      <c r="H11" s="258"/>
    </row>
    <row r="12" spans="1:8" ht="15.75" customHeight="1" x14ac:dyDescent="0.25">
      <c r="A12" s="1023" t="s">
        <v>1037</v>
      </c>
      <c r="B12" s="1024"/>
      <c r="C12" s="258">
        <v>1500000</v>
      </c>
      <c r="D12" s="258"/>
      <c r="E12" s="258"/>
      <c r="F12" s="258"/>
      <c r="G12" s="258"/>
      <c r="H12" s="258"/>
    </row>
    <row r="13" spans="1:8" ht="15.75" customHeight="1" x14ac:dyDescent="0.25">
      <c r="A13" s="1023" t="s">
        <v>1038</v>
      </c>
      <c r="B13" s="1024"/>
      <c r="C13" s="230">
        <v>500000</v>
      </c>
      <c r="D13" s="230"/>
      <c r="E13" s="258"/>
      <c r="F13" s="230"/>
      <c r="G13" s="230"/>
      <c r="H13" s="258"/>
    </row>
    <row r="14" spans="1:8" ht="15.75" x14ac:dyDescent="0.25">
      <c r="A14" s="1023" t="s">
        <v>1012</v>
      </c>
      <c r="B14" s="1024"/>
      <c r="C14" s="230">
        <v>500000</v>
      </c>
      <c r="D14" s="230"/>
      <c r="E14" s="258"/>
      <c r="F14" s="230"/>
      <c r="G14" s="230"/>
      <c r="H14" s="258"/>
    </row>
    <row r="15" spans="1:8" ht="15.75" x14ac:dyDescent="0.25">
      <c r="A15" s="1023" t="s">
        <v>1034</v>
      </c>
      <c r="B15" s="1024"/>
      <c r="C15" s="230">
        <v>12700000</v>
      </c>
      <c r="D15" s="230"/>
      <c r="E15" s="258"/>
      <c r="F15" s="230"/>
      <c r="G15" s="230"/>
      <c r="H15" s="258"/>
    </row>
    <row r="16" spans="1:8" ht="15.75" x14ac:dyDescent="0.25">
      <c r="A16" s="1028" t="s">
        <v>177</v>
      </c>
      <c r="B16" s="1028"/>
      <c r="C16" s="20">
        <f t="shared" ref="C16:H16" si="0">SUM(C11:C15)</f>
        <v>15700000</v>
      </c>
      <c r="D16" s="20">
        <f t="shared" si="0"/>
        <v>0</v>
      </c>
      <c r="E16" s="20">
        <f t="shared" si="0"/>
        <v>0</v>
      </c>
      <c r="F16" s="20">
        <f t="shared" si="0"/>
        <v>0</v>
      </c>
      <c r="G16" s="20">
        <f t="shared" si="0"/>
        <v>0</v>
      </c>
      <c r="H16" s="20">
        <f t="shared" si="0"/>
        <v>0</v>
      </c>
    </row>
    <row r="17" spans="1:8" ht="15.75" x14ac:dyDescent="0.25">
      <c r="A17" s="888"/>
      <c r="B17" s="888"/>
      <c r="C17" s="888"/>
      <c r="D17" s="1076"/>
      <c r="E17" s="888"/>
      <c r="F17" s="888"/>
      <c r="G17" s="888"/>
      <c r="H17" s="1076"/>
    </row>
  </sheetData>
  <mergeCells count="16">
    <mergeCell ref="A8:H9"/>
    <mergeCell ref="E17:H17"/>
    <mergeCell ref="A14:B14"/>
    <mergeCell ref="A15:B15"/>
    <mergeCell ref="A16:B16"/>
    <mergeCell ref="A17:D17"/>
    <mergeCell ref="A10:B10"/>
    <mergeCell ref="A11:B11"/>
    <mergeCell ref="A12:B12"/>
    <mergeCell ref="A13:B13"/>
    <mergeCell ref="A7:H7"/>
    <mergeCell ref="B1:H1"/>
    <mergeCell ref="B2:H2"/>
    <mergeCell ref="B3:H3"/>
    <mergeCell ref="B4:H4"/>
    <mergeCell ref="D5:H6"/>
  </mergeCells>
  <printOptions gridLinesSet="0"/>
  <pageMargins left="0.70866141732283472" right="0.70866141732283472" top="0.74803149606299213" bottom="0.74803149606299213" header="0.51181102362204722" footer="0.51181102362204722"/>
  <pageSetup paperSize="9" orientation="portrait" r:id="rId1"/>
  <headerFooter>
    <oddFooter>&amp;C&amp;P</oddFooter>
  </headerFooter>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showGridLines="0" workbookViewId="0"/>
  </sheetViews>
  <sheetFormatPr defaultColWidth="9.140625" defaultRowHeight="12.75" x14ac:dyDescent="0.2"/>
  <cols>
    <col min="1" max="1" width="59" style="122" customWidth="1"/>
    <col min="2" max="3" width="0" style="122" hidden="1" customWidth="1"/>
    <col min="4" max="4" width="14.85546875" style="122" customWidth="1"/>
    <col min="5" max="5" width="14.42578125" style="122" customWidth="1"/>
    <col min="6" max="16384" width="9.140625" style="122"/>
  </cols>
  <sheetData/>
  <printOptions gridLinesSet="0"/>
  <pageMargins left="0.70866141732283472" right="0.70866141732283472" top="0.74803149606299213" bottom="0.74803149606299213" header="0.5" footer="0.5"/>
  <pageSetup paperSize="9" orientation="portrait"/>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7"/>
  <sheetViews>
    <sheetView view="pageBreakPreview" zoomScale="85" zoomScaleSheetLayoutView="85" workbookViewId="0">
      <selection activeCell="N38" sqref="N38"/>
    </sheetView>
  </sheetViews>
  <sheetFormatPr defaultColWidth="9.140625" defaultRowHeight="12.75" x14ac:dyDescent="0.2"/>
  <cols>
    <col min="1" max="1" width="64" style="492" customWidth="1"/>
    <col min="2" max="3" width="0" style="492" hidden="1" customWidth="1"/>
    <col min="4" max="4" width="18" style="492" customWidth="1"/>
    <col min="5" max="5" width="20.42578125" style="492" customWidth="1"/>
    <col min="6" max="16384" width="9.140625" style="492"/>
  </cols>
  <sheetData>
    <row r="1" spans="1:5" ht="18.75" x14ac:dyDescent="0.3">
      <c r="A1" s="1031" t="s">
        <v>1048</v>
      </c>
      <c r="B1" s="1031"/>
      <c r="C1" s="1031"/>
      <c r="D1" s="1031"/>
      <c r="E1" s="1031"/>
    </row>
    <row r="2" spans="1:5" ht="18.75" x14ac:dyDescent="0.3">
      <c r="A2" s="1031" t="s">
        <v>1</v>
      </c>
      <c r="B2" s="1031"/>
      <c r="C2" s="1031"/>
      <c r="D2" s="1031"/>
      <c r="E2" s="1031"/>
    </row>
    <row r="3" spans="1:5" ht="18.75" x14ac:dyDescent="0.3">
      <c r="A3" s="1031" t="s">
        <v>2</v>
      </c>
      <c r="B3" s="1031"/>
      <c r="C3" s="1031"/>
      <c r="D3" s="1031"/>
      <c r="E3" s="1031"/>
    </row>
    <row r="4" spans="1:5" ht="18.75" x14ac:dyDescent="0.3">
      <c r="A4" s="1031" t="s">
        <v>3090</v>
      </c>
      <c r="B4" s="1031"/>
      <c r="C4" s="1031"/>
      <c r="D4" s="1031"/>
      <c r="E4" s="1031"/>
    </row>
    <row r="5" spans="1:5" x14ac:dyDescent="0.2">
      <c r="A5" s="1077"/>
      <c r="B5" s="1077"/>
      <c r="C5" s="1077"/>
      <c r="D5" s="1077"/>
      <c r="E5" s="1077"/>
    </row>
    <row r="6" spans="1:5" ht="18.75" x14ac:dyDescent="0.3">
      <c r="A6" s="1078"/>
      <c r="B6" s="1078"/>
      <c r="C6" s="1078"/>
      <c r="D6" s="1078"/>
      <c r="E6" s="1078"/>
    </row>
    <row r="7" spans="1:5" ht="47.25" customHeight="1" x14ac:dyDescent="0.2">
      <c r="A7" s="1051" t="s">
        <v>3096</v>
      </c>
      <c r="B7" s="1051"/>
      <c r="C7" s="1051"/>
      <c r="D7" s="1051"/>
      <c r="E7" s="1051"/>
    </row>
    <row r="8" spans="1:5" ht="18.75" x14ac:dyDescent="0.3">
      <c r="A8" s="561"/>
      <c r="B8" s="561"/>
      <c r="C8" s="561"/>
      <c r="D8" s="1078"/>
      <c r="E8" s="1078"/>
    </row>
    <row r="9" spans="1:5" ht="39" customHeight="1" x14ac:dyDescent="0.2">
      <c r="A9" s="1051" t="s">
        <v>1043</v>
      </c>
      <c r="B9" s="1051"/>
      <c r="C9" s="1051"/>
      <c r="D9" s="1051"/>
      <c r="E9" s="1051"/>
    </row>
    <row r="10" spans="1:5" ht="18.75" x14ac:dyDescent="0.2">
      <c r="A10" s="1051"/>
      <c r="B10" s="1051"/>
      <c r="C10" s="1051"/>
      <c r="D10" s="1051"/>
      <c r="E10" s="1051"/>
    </row>
    <row r="11" spans="1:5" ht="19.5" thickBot="1" x14ac:dyDescent="0.25">
      <c r="A11" s="1051"/>
      <c r="B11" s="1051"/>
      <c r="C11" s="1051"/>
      <c r="D11" s="1051"/>
      <c r="E11" s="1051"/>
    </row>
    <row r="12" spans="1:5" ht="56.25" x14ac:dyDescent="0.2">
      <c r="A12" s="562" t="s">
        <v>1009</v>
      </c>
      <c r="B12" s="563" t="s">
        <v>2810</v>
      </c>
      <c r="C12" s="563" t="s">
        <v>1045</v>
      </c>
      <c r="D12" s="245" t="s">
        <v>567</v>
      </c>
      <c r="E12" s="245" t="s">
        <v>3092</v>
      </c>
    </row>
    <row r="13" spans="1:5" ht="18.75" x14ac:dyDescent="0.3">
      <c r="A13" s="564" t="s">
        <v>1012</v>
      </c>
      <c r="B13" s="565">
        <v>57000</v>
      </c>
      <c r="C13" s="565"/>
      <c r="D13" s="566">
        <v>78702</v>
      </c>
      <c r="E13" s="566">
        <v>81578</v>
      </c>
    </row>
    <row r="14" spans="1:5" ht="18.75" x14ac:dyDescent="0.3">
      <c r="A14" s="564" t="s">
        <v>1047</v>
      </c>
      <c r="B14" s="565">
        <v>57000</v>
      </c>
      <c r="C14" s="565"/>
      <c r="D14" s="566">
        <v>78702</v>
      </c>
      <c r="E14" s="566">
        <v>81578</v>
      </c>
    </row>
    <row r="15" spans="1:5" ht="18.75" x14ac:dyDescent="0.3">
      <c r="A15" s="564" t="s">
        <v>1037</v>
      </c>
      <c r="B15" s="565">
        <v>374000</v>
      </c>
      <c r="C15" s="565"/>
      <c r="D15" s="566">
        <v>393516</v>
      </c>
      <c r="E15" s="566">
        <v>407892</v>
      </c>
    </row>
    <row r="16" spans="1:5" ht="18.75" x14ac:dyDescent="0.3">
      <c r="A16" s="564" t="s">
        <v>1013</v>
      </c>
      <c r="B16" s="565">
        <v>187000</v>
      </c>
      <c r="C16" s="565"/>
      <c r="D16" s="566">
        <v>196758</v>
      </c>
      <c r="E16" s="566">
        <v>203946</v>
      </c>
    </row>
    <row r="17" spans="1:5" ht="19.5" thickBot="1" x14ac:dyDescent="0.35">
      <c r="A17" s="567" t="s">
        <v>177</v>
      </c>
      <c r="B17" s="568">
        <f>SUM(B13:B16)</f>
        <v>675000</v>
      </c>
      <c r="C17" s="568">
        <f>SUM(C13:C16)</f>
        <v>0</v>
      </c>
      <c r="D17" s="569">
        <f>SUM(D13:D16)</f>
        <v>747678</v>
      </c>
      <c r="E17" s="569">
        <f>SUM(E13:E16)</f>
        <v>774994</v>
      </c>
    </row>
  </sheetData>
  <mergeCells count="11">
    <mergeCell ref="A1:E1"/>
    <mergeCell ref="A2:E2"/>
    <mergeCell ref="A3:E3"/>
    <mergeCell ref="A4:E4"/>
    <mergeCell ref="A11:E11"/>
    <mergeCell ref="A5:E5"/>
    <mergeCell ref="A6:E6"/>
    <mergeCell ref="A7:E7"/>
    <mergeCell ref="D8:E8"/>
    <mergeCell ref="A9:E9"/>
    <mergeCell ref="A10:E10"/>
  </mergeCells>
  <pageMargins left="0.70866141732283472" right="0.70866141732283472" top="0.74803149606299213" bottom="0.74803149606299213" header="0.51181102362204722" footer="0.51181102362204722"/>
  <pageSetup paperSize="9" scale="87" orientation="portrait" r:id="rId1"/>
  <headerFooter>
    <oddFooter>&amp;C&amp;P</oddFooter>
  </headerFooter>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31"/>
  <sheetViews>
    <sheetView view="pageBreakPreview" topLeftCell="A8" zoomScale="115" zoomScaleSheetLayoutView="115" workbookViewId="0">
      <selection activeCell="B36" sqref="B36"/>
    </sheetView>
  </sheetViews>
  <sheetFormatPr defaultColWidth="9.140625" defaultRowHeight="12.75" x14ac:dyDescent="0.2"/>
  <cols>
    <col min="1" max="1" width="46.140625" style="492" customWidth="1"/>
    <col min="2" max="2" width="13.140625" style="492" customWidth="1"/>
    <col min="3" max="3" width="12.7109375" style="492" customWidth="1"/>
    <col min="4" max="4" width="14.5703125" style="492" customWidth="1"/>
    <col min="5" max="16384" width="9.140625" style="492"/>
  </cols>
  <sheetData>
    <row r="1" spans="1:4" ht="15.75" x14ac:dyDescent="0.25">
      <c r="A1" s="894" t="s">
        <v>565</v>
      </c>
      <c r="B1" s="894"/>
      <c r="C1" s="894"/>
      <c r="D1" s="894"/>
    </row>
    <row r="2" spans="1:4" ht="15.75" x14ac:dyDescent="0.25">
      <c r="A2" s="894" t="s">
        <v>1</v>
      </c>
      <c r="B2" s="894"/>
      <c r="C2" s="894"/>
      <c r="D2" s="894"/>
    </row>
    <row r="3" spans="1:4" ht="15.75" x14ac:dyDescent="0.25">
      <c r="A3" s="894" t="s">
        <v>2</v>
      </c>
      <c r="B3" s="894"/>
      <c r="C3" s="894"/>
      <c r="D3" s="894"/>
    </row>
    <row r="4" spans="1:4" ht="15.75" x14ac:dyDescent="0.25">
      <c r="A4" s="894" t="s">
        <v>3329</v>
      </c>
      <c r="B4" s="894"/>
      <c r="C4" s="894"/>
      <c r="D4" s="894"/>
    </row>
    <row r="5" spans="1:4" x14ac:dyDescent="0.2">
      <c r="A5" s="496"/>
      <c r="B5" s="495"/>
      <c r="C5" s="658"/>
      <c r="D5" s="658"/>
    </row>
    <row r="6" spans="1:4" x14ac:dyDescent="0.2">
      <c r="A6" s="495"/>
      <c r="B6" s="495"/>
      <c r="C6" s="658"/>
      <c r="D6" s="658"/>
    </row>
    <row r="7" spans="1:4" ht="45" customHeight="1" x14ac:dyDescent="0.2">
      <c r="A7" s="1079" t="s">
        <v>3097</v>
      </c>
      <c r="B7" s="1079"/>
      <c r="C7" s="1079"/>
      <c r="D7" s="1079"/>
    </row>
    <row r="8" spans="1:4" ht="18.75" x14ac:dyDescent="0.2">
      <c r="A8" s="512"/>
      <c r="B8" s="495"/>
      <c r="C8" s="658"/>
      <c r="D8" s="658"/>
    </row>
    <row r="9" spans="1:4" ht="48" customHeight="1" x14ac:dyDescent="0.2">
      <c r="A9" s="1079" t="s">
        <v>2921</v>
      </c>
      <c r="B9" s="1079"/>
      <c r="C9" s="1079"/>
      <c r="D9" s="1079"/>
    </row>
    <row r="10" spans="1:4" ht="0.75" customHeight="1" x14ac:dyDescent="0.2">
      <c r="A10" s="513"/>
      <c r="B10" s="495"/>
      <c r="C10" s="658"/>
      <c r="D10" s="658"/>
    </row>
    <row r="11" spans="1:4" ht="19.5" thickBot="1" x14ac:dyDescent="0.25">
      <c r="A11" s="513"/>
      <c r="B11" s="495"/>
      <c r="C11" s="658"/>
      <c r="D11" s="658"/>
    </row>
    <row r="12" spans="1:4" ht="32.25" thickBot="1" x14ac:dyDescent="0.25">
      <c r="A12" s="670" t="s">
        <v>1009</v>
      </c>
      <c r="B12" s="671" t="s">
        <v>2809</v>
      </c>
      <c r="C12" s="672" t="s">
        <v>995</v>
      </c>
      <c r="D12" s="673" t="s">
        <v>2809</v>
      </c>
    </row>
    <row r="13" spans="1:4" ht="15.75" hidden="1" x14ac:dyDescent="0.25">
      <c r="A13" s="666" t="s">
        <v>1012</v>
      </c>
      <c r="B13" s="667" t="e">
        <f>#REF!+#REF!</f>
        <v>#REF!</v>
      </c>
      <c r="C13" s="668"/>
      <c r="D13" s="669"/>
    </row>
    <row r="14" spans="1:4" ht="15.75" x14ac:dyDescent="0.25">
      <c r="A14" s="514" t="s">
        <v>1012</v>
      </c>
      <c r="B14" s="659">
        <v>300000</v>
      </c>
      <c r="C14" s="683"/>
      <c r="D14" s="660">
        <f>SUM(B14:C14)</f>
        <v>300000</v>
      </c>
    </row>
    <row r="15" spans="1:4" ht="15.75" x14ac:dyDescent="0.25">
      <c r="A15" s="514" t="s">
        <v>1047</v>
      </c>
      <c r="B15" s="659">
        <v>200000</v>
      </c>
      <c r="C15" s="683"/>
      <c r="D15" s="660">
        <f>SUM(B15:C15)</f>
        <v>200000</v>
      </c>
    </row>
    <row r="16" spans="1:4" ht="15.75" hidden="1" x14ac:dyDescent="0.25">
      <c r="A16" s="514" t="s">
        <v>1037</v>
      </c>
      <c r="B16" s="659">
        <v>400000</v>
      </c>
      <c r="C16" s="683">
        <v>-400000</v>
      </c>
      <c r="D16" s="660">
        <f>SUM(B16:C16)</f>
        <v>0</v>
      </c>
    </row>
    <row r="17" spans="1:4" ht="16.5" thickBot="1" x14ac:dyDescent="0.3">
      <c r="A17" s="515" t="s">
        <v>1013</v>
      </c>
      <c r="B17" s="661">
        <v>700000</v>
      </c>
      <c r="C17" s="684"/>
      <c r="D17" s="662">
        <f>SUM(B17:C17)</f>
        <v>700000</v>
      </c>
    </row>
    <row r="18" spans="1:4" ht="20.25" customHeight="1" thickBot="1" x14ac:dyDescent="0.3">
      <c r="A18" s="663" t="s">
        <v>177</v>
      </c>
      <c r="B18" s="664">
        <f>B14+B15+B17</f>
        <v>1200000</v>
      </c>
      <c r="C18" s="664">
        <f>C14+C15+C17</f>
        <v>0</v>
      </c>
      <c r="D18" s="665">
        <f>SUM(D13:D17)</f>
        <v>1200000</v>
      </c>
    </row>
    <row r="19" spans="1:4" x14ac:dyDescent="0.2">
      <c r="A19" s="697"/>
      <c r="B19" s="697"/>
      <c r="C19" s="697"/>
      <c r="D19" s="697"/>
    </row>
    <row r="20" spans="1:4" ht="62.25" customHeight="1" x14ac:dyDescent="0.2">
      <c r="A20" s="1079" t="s">
        <v>3357</v>
      </c>
      <c r="B20" s="1079"/>
      <c r="C20" s="1079"/>
      <c r="D20" s="1079"/>
    </row>
    <row r="21" spans="1:4" ht="13.5" customHeight="1" thickBot="1" x14ac:dyDescent="0.25">
      <c r="A21" s="513"/>
      <c r="B21" s="695"/>
      <c r="C21" s="658"/>
      <c r="D21" s="658"/>
    </row>
    <row r="22" spans="1:4" ht="31.5" x14ac:dyDescent="0.2">
      <c r="A22" s="701" t="s">
        <v>1009</v>
      </c>
      <c r="B22" s="702" t="s">
        <v>2809</v>
      </c>
      <c r="C22" s="698" t="s">
        <v>995</v>
      </c>
      <c r="D22" s="699" t="s">
        <v>2809</v>
      </c>
    </row>
    <row r="23" spans="1:4" ht="15.75" x14ac:dyDescent="0.25">
      <c r="A23" s="705" t="s">
        <v>1012</v>
      </c>
      <c r="B23" s="659">
        <v>500000</v>
      </c>
      <c r="C23" s="683"/>
      <c r="D23" s="700">
        <f>SUM(B23:C23)</f>
        <v>500000</v>
      </c>
    </row>
    <row r="24" spans="1:4" ht="15.75" x14ac:dyDescent="0.25">
      <c r="A24" s="705" t="s">
        <v>1047</v>
      </c>
      <c r="B24" s="659">
        <v>1311000</v>
      </c>
      <c r="C24" s="683"/>
      <c r="D24" s="700">
        <f>SUM(B24:C24)</f>
        <v>1311000</v>
      </c>
    </row>
    <row r="25" spans="1:4" ht="15.75" x14ac:dyDescent="0.25">
      <c r="A25" s="705" t="s">
        <v>1037</v>
      </c>
      <c r="B25" s="659">
        <v>500000</v>
      </c>
      <c r="C25" s="683"/>
      <c r="D25" s="700">
        <f>SUM(B25:C25)</f>
        <v>500000</v>
      </c>
    </row>
    <row r="26" spans="1:4" ht="15.75" customHeight="1" x14ac:dyDescent="0.25">
      <c r="A26" s="705" t="s">
        <v>1013</v>
      </c>
      <c r="B26" s="659">
        <v>800000</v>
      </c>
      <c r="C26" s="683"/>
      <c r="D26" s="700">
        <f>SUM(B26:C26)</f>
        <v>800000</v>
      </c>
    </row>
    <row r="27" spans="1:4" ht="15.75" customHeight="1" x14ac:dyDescent="0.25">
      <c r="A27" s="705" t="s">
        <v>1034</v>
      </c>
      <c r="B27" s="659">
        <v>1389000</v>
      </c>
      <c r="C27" s="683"/>
      <c r="D27" s="700">
        <f>SUM(B27:C27)</f>
        <v>1389000</v>
      </c>
    </row>
    <row r="28" spans="1:4" ht="16.5" thickBot="1" x14ac:dyDescent="0.3">
      <c r="A28" s="703" t="s">
        <v>177</v>
      </c>
      <c r="B28" s="704">
        <f>SUM(B23:B27)</f>
        <v>4500000</v>
      </c>
      <c r="C28" s="704">
        <f>SUM(C23:C27)</f>
        <v>0</v>
      </c>
      <c r="D28" s="704">
        <f>SUM(D23:D27)</f>
        <v>4500000</v>
      </c>
    </row>
    <row r="29" spans="1:4" ht="17.25" customHeight="1" x14ac:dyDescent="0.2">
      <c r="A29" s="658"/>
      <c r="B29" s="658"/>
      <c r="C29" s="658"/>
      <c r="D29" s="658"/>
    </row>
    <row r="30" spans="1:4" x14ac:dyDescent="0.2">
      <c r="A30" s="707" t="s">
        <v>899</v>
      </c>
      <c r="B30" s="706">
        <f>B18+B28</f>
        <v>5700000</v>
      </c>
      <c r="C30" s="706">
        <f>C18+C28</f>
        <v>0</v>
      </c>
      <c r="D30" s="706">
        <f>D18+D28</f>
        <v>5700000</v>
      </c>
    </row>
    <row r="31" spans="1:4" x14ac:dyDescent="0.2">
      <c r="A31" s="658"/>
      <c r="B31" s="658"/>
      <c r="C31" s="658"/>
      <c r="D31" s="658"/>
    </row>
  </sheetData>
  <mergeCells count="7">
    <mergeCell ref="A20:D20"/>
    <mergeCell ref="A9:D9"/>
    <mergeCell ref="A7:D7"/>
    <mergeCell ref="A1:D1"/>
    <mergeCell ref="A2:D2"/>
    <mergeCell ref="A3:D3"/>
    <mergeCell ref="A4:D4"/>
  </mergeCells>
  <pageMargins left="1.1023622047244095" right="0.70866141732283472" top="0.74803149606299213" bottom="0.74803149606299213" header="0.51181102362204722" footer="0.51181102362204722"/>
  <pageSetup paperSize="9" scale="97" orientation="portrait" r:id="rId1"/>
  <headerFooter>
    <oddFooter>&amp;C&amp;P</oddFooter>
  </headerFooter>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513"/>
  <sheetViews>
    <sheetView showGridLines="0" topLeftCell="A1442" workbookViewId="0">
      <selection activeCell="B1474" sqref="B1473:B1474"/>
    </sheetView>
  </sheetViews>
  <sheetFormatPr defaultColWidth="31.85546875" defaultRowHeight="12.75" x14ac:dyDescent="0.2"/>
  <cols>
    <col min="1" max="1" width="7" style="397" bestFit="1" customWidth="1"/>
    <col min="2" max="2" width="106.140625" style="398" customWidth="1"/>
    <col min="3" max="16384" width="31.85546875" style="380"/>
  </cols>
  <sheetData>
    <row r="1" spans="1:2" s="399" customFormat="1" hidden="1" x14ac:dyDescent="0.2">
      <c r="A1" s="397"/>
      <c r="B1" s="400"/>
    </row>
    <row r="2" spans="1:2" hidden="1" x14ac:dyDescent="0.2"/>
    <row r="3" spans="1:2" hidden="1" x14ac:dyDescent="0.2"/>
    <row r="4" spans="1:2" hidden="1" x14ac:dyDescent="0.2"/>
    <row r="5" spans="1:2" hidden="1" x14ac:dyDescent="0.2"/>
    <row r="6" spans="1:2" hidden="1" x14ac:dyDescent="0.2"/>
    <row r="7" spans="1:2" hidden="1" x14ac:dyDescent="0.2"/>
    <row r="8" spans="1:2" hidden="1" x14ac:dyDescent="0.2"/>
    <row r="9" spans="1:2" hidden="1" x14ac:dyDescent="0.2"/>
    <row r="10" spans="1:2" hidden="1" x14ac:dyDescent="0.2"/>
    <row r="11" spans="1:2" hidden="1" x14ac:dyDescent="0.2"/>
    <row r="12" spans="1:2" hidden="1" x14ac:dyDescent="0.2"/>
    <row r="13" spans="1:2" hidden="1" x14ac:dyDescent="0.2"/>
    <row r="14" spans="1:2" hidden="1" x14ac:dyDescent="0.2"/>
    <row r="15" spans="1:2" hidden="1" x14ac:dyDescent="0.2"/>
    <row r="16" spans="1:2" hidden="1" x14ac:dyDescent="0.2"/>
    <row r="17" hidden="1" x14ac:dyDescent="0.2"/>
    <row r="18" hidden="1" x14ac:dyDescent="0.2"/>
    <row r="19" hidden="1" x14ac:dyDescent="0.2"/>
    <row r="20" hidden="1" x14ac:dyDescent="0.2"/>
    <row r="21" hidden="1" x14ac:dyDescent="0.2"/>
    <row r="22" hidden="1" x14ac:dyDescent="0.2"/>
    <row r="23" hidden="1" x14ac:dyDescent="0.2"/>
    <row r="24" hidden="1" x14ac:dyDescent="0.2"/>
    <row r="25" hidden="1" x14ac:dyDescent="0.2"/>
    <row r="26" hidden="1" x14ac:dyDescent="0.2"/>
    <row r="27" hidden="1" x14ac:dyDescent="0.2"/>
    <row r="28" hidden="1" x14ac:dyDescent="0.2"/>
    <row r="29" hidden="1" x14ac:dyDescent="0.2"/>
    <row r="30" hidden="1" x14ac:dyDescent="0.2"/>
    <row r="31" hidden="1" x14ac:dyDescent="0.2"/>
    <row r="32" hidden="1" x14ac:dyDescent="0.2"/>
    <row r="33" hidden="1" x14ac:dyDescent="0.2"/>
    <row r="34" hidden="1" x14ac:dyDescent="0.2"/>
    <row r="35" hidden="1" x14ac:dyDescent="0.2"/>
    <row r="36" hidden="1" x14ac:dyDescent="0.2"/>
    <row r="37" hidden="1" x14ac:dyDescent="0.2"/>
    <row r="38" hidden="1" x14ac:dyDescent="0.2"/>
    <row r="39" hidden="1" x14ac:dyDescent="0.2"/>
    <row r="40" hidden="1" x14ac:dyDescent="0.2"/>
    <row r="41" hidden="1" x14ac:dyDescent="0.2"/>
    <row r="42" hidden="1" x14ac:dyDescent="0.2"/>
    <row r="43" hidden="1" x14ac:dyDescent="0.2"/>
    <row r="44" hidden="1" x14ac:dyDescent="0.2"/>
    <row r="45" hidden="1" x14ac:dyDescent="0.2"/>
    <row r="46" hidden="1" x14ac:dyDescent="0.2"/>
    <row r="47" hidden="1" x14ac:dyDescent="0.2"/>
    <row r="48" hidden="1" x14ac:dyDescent="0.2"/>
    <row r="49" hidden="1" x14ac:dyDescent="0.2"/>
    <row r="50" hidden="1" x14ac:dyDescent="0.2"/>
    <row r="51" hidden="1" x14ac:dyDescent="0.2"/>
    <row r="52" hidden="1" x14ac:dyDescent="0.2"/>
    <row r="53" hidden="1" x14ac:dyDescent="0.2"/>
    <row r="54" hidden="1" x14ac:dyDescent="0.2"/>
    <row r="55" hidden="1" x14ac:dyDescent="0.2"/>
    <row r="56" hidden="1" x14ac:dyDescent="0.2"/>
    <row r="57" hidden="1" x14ac:dyDescent="0.2"/>
    <row r="58" hidden="1" x14ac:dyDescent="0.2"/>
    <row r="59" hidden="1" x14ac:dyDescent="0.2"/>
    <row r="60" hidden="1" x14ac:dyDescent="0.2"/>
    <row r="61" hidden="1" x14ac:dyDescent="0.2"/>
    <row r="62" hidden="1" x14ac:dyDescent="0.2"/>
    <row r="63" hidden="1" x14ac:dyDescent="0.2"/>
    <row r="64" hidden="1" x14ac:dyDescent="0.2"/>
    <row r="65" hidden="1" x14ac:dyDescent="0.2"/>
    <row r="66" hidden="1" x14ac:dyDescent="0.2"/>
    <row r="67" hidden="1" x14ac:dyDescent="0.2"/>
    <row r="68" hidden="1" x14ac:dyDescent="0.2"/>
    <row r="69" hidden="1" x14ac:dyDescent="0.2"/>
    <row r="70" hidden="1" x14ac:dyDescent="0.2"/>
    <row r="71" hidden="1" x14ac:dyDescent="0.2"/>
    <row r="72" hidden="1" x14ac:dyDescent="0.2"/>
    <row r="73" hidden="1" x14ac:dyDescent="0.2"/>
    <row r="74" hidden="1" x14ac:dyDescent="0.2"/>
    <row r="75" hidden="1" x14ac:dyDescent="0.2"/>
    <row r="76" hidden="1" x14ac:dyDescent="0.2"/>
    <row r="77" hidden="1" x14ac:dyDescent="0.2"/>
    <row r="78" hidden="1" x14ac:dyDescent="0.2"/>
    <row r="79" hidden="1" x14ac:dyDescent="0.2"/>
    <row r="80" hidden="1" x14ac:dyDescent="0.2"/>
    <row r="81" hidden="1" x14ac:dyDescent="0.2"/>
    <row r="82" hidden="1" x14ac:dyDescent="0.2"/>
    <row r="83" hidden="1" x14ac:dyDescent="0.2"/>
    <row r="84" hidden="1" x14ac:dyDescent="0.2"/>
    <row r="85" hidden="1" x14ac:dyDescent="0.2"/>
    <row r="86" hidden="1" x14ac:dyDescent="0.2"/>
    <row r="87" hidden="1" x14ac:dyDescent="0.2"/>
    <row r="88" hidden="1" x14ac:dyDescent="0.2"/>
    <row r="89" hidden="1" x14ac:dyDescent="0.2"/>
    <row r="90" hidden="1" x14ac:dyDescent="0.2"/>
    <row r="91" hidden="1" x14ac:dyDescent="0.2"/>
    <row r="92" hidden="1" x14ac:dyDescent="0.2"/>
    <row r="93" hidden="1" x14ac:dyDescent="0.2"/>
    <row r="94" hidden="1" x14ac:dyDescent="0.2"/>
    <row r="95" hidden="1" x14ac:dyDescent="0.2"/>
    <row r="96" hidden="1" x14ac:dyDescent="0.2"/>
    <row r="97" spans="2:2" hidden="1" x14ac:dyDescent="0.2"/>
    <row r="98" spans="2:2" hidden="1" x14ac:dyDescent="0.2"/>
    <row r="99" spans="2:2" hidden="1" x14ac:dyDescent="0.2">
      <c r="B99" s="380"/>
    </row>
    <row r="100" spans="2:2" hidden="1" x14ac:dyDescent="0.2"/>
    <row r="101" spans="2:2" hidden="1" x14ac:dyDescent="0.2"/>
    <row r="102" spans="2:2" hidden="1" x14ac:dyDescent="0.2"/>
    <row r="103" spans="2:2" hidden="1" x14ac:dyDescent="0.2"/>
    <row r="104" spans="2:2" hidden="1" x14ac:dyDescent="0.2"/>
    <row r="105" spans="2:2" hidden="1" x14ac:dyDescent="0.2"/>
    <row r="106" spans="2:2" hidden="1" x14ac:dyDescent="0.2"/>
    <row r="107" spans="2:2" hidden="1" x14ac:dyDescent="0.2"/>
    <row r="108" spans="2:2" hidden="1" x14ac:dyDescent="0.2"/>
    <row r="109" spans="2:2" hidden="1" x14ac:dyDescent="0.2"/>
    <row r="110" spans="2:2" hidden="1" x14ac:dyDescent="0.2"/>
    <row r="111" spans="2:2" hidden="1" x14ac:dyDescent="0.2"/>
    <row r="112" spans="2:2" hidden="1" x14ac:dyDescent="0.2"/>
    <row r="113" hidden="1" x14ac:dyDescent="0.2"/>
    <row r="114" hidden="1" x14ac:dyDescent="0.2"/>
    <row r="115" hidden="1" x14ac:dyDescent="0.2"/>
    <row r="116" hidden="1" x14ac:dyDescent="0.2"/>
    <row r="117" hidden="1" x14ac:dyDescent="0.2"/>
    <row r="118" hidden="1" x14ac:dyDescent="0.2"/>
    <row r="119" hidden="1" x14ac:dyDescent="0.2"/>
    <row r="120" hidden="1" x14ac:dyDescent="0.2"/>
    <row r="121" hidden="1" x14ac:dyDescent="0.2"/>
    <row r="122" hidden="1" x14ac:dyDescent="0.2"/>
    <row r="123" hidden="1" x14ac:dyDescent="0.2"/>
    <row r="124" hidden="1" x14ac:dyDescent="0.2"/>
    <row r="125" hidden="1" x14ac:dyDescent="0.2"/>
    <row r="126" hidden="1" x14ac:dyDescent="0.2"/>
    <row r="127" hidden="1" x14ac:dyDescent="0.2"/>
    <row r="128" hidden="1" x14ac:dyDescent="0.2"/>
    <row r="129" hidden="1" x14ac:dyDescent="0.2"/>
    <row r="130" hidden="1" x14ac:dyDescent="0.2"/>
    <row r="131" hidden="1" x14ac:dyDescent="0.2"/>
    <row r="132" hidden="1" x14ac:dyDescent="0.2"/>
    <row r="133" hidden="1" x14ac:dyDescent="0.2"/>
    <row r="134" hidden="1" x14ac:dyDescent="0.2"/>
    <row r="135" hidden="1" x14ac:dyDescent="0.2"/>
    <row r="136" hidden="1" x14ac:dyDescent="0.2"/>
    <row r="137" hidden="1" x14ac:dyDescent="0.2"/>
    <row r="138" hidden="1" x14ac:dyDescent="0.2"/>
    <row r="139" hidden="1" x14ac:dyDescent="0.2"/>
    <row r="140" hidden="1" x14ac:dyDescent="0.2"/>
    <row r="141" hidden="1" x14ac:dyDescent="0.2"/>
    <row r="142" hidden="1" x14ac:dyDescent="0.2"/>
    <row r="143" hidden="1" x14ac:dyDescent="0.2"/>
    <row r="144" hidden="1" x14ac:dyDescent="0.2"/>
    <row r="145" hidden="1" x14ac:dyDescent="0.2"/>
    <row r="146" hidden="1" x14ac:dyDescent="0.2"/>
    <row r="147" hidden="1" x14ac:dyDescent="0.2"/>
    <row r="148" hidden="1" x14ac:dyDescent="0.2"/>
    <row r="149" hidden="1" x14ac:dyDescent="0.2"/>
    <row r="150" hidden="1" x14ac:dyDescent="0.2"/>
    <row r="151" hidden="1" x14ac:dyDescent="0.2"/>
    <row r="152" hidden="1" x14ac:dyDescent="0.2"/>
    <row r="153" hidden="1" x14ac:dyDescent="0.2"/>
    <row r="154" hidden="1" x14ac:dyDescent="0.2"/>
    <row r="155" hidden="1" x14ac:dyDescent="0.2"/>
    <row r="156" hidden="1" x14ac:dyDescent="0.2"/>
    <row r="157" hidden="1" x14ac:dyDescent="0.2"/>
    <row r="158" hidden="1" x14ac:dyDescent="0.2"/>
    <row r="159" hidden="1" x14ac:dyDescent="0.2"/>
    <row r="160" hidden="1" x14ac:dyDescent="0.2"/>
    <row r="161" hidden="1" x14ac:dyDescent="0.2"/>
    <row r="162" hidden="1" x14ac:dyDescent="0.2"/>
    <row r="163" hidden="1" x14ac:dyDescent="0.2"/>
    <row r="164" hidden="1" x14ac:dyDescent="0.2"/>
    <row r="165" hidden="1" x14ac:dyDescent="0.2"/>
    <row r="166" hidden="1" x14ac:dyDescent="0.2"/>
    <row r="167" hidden="1" x14ac:dyDescent="0.2"/>
    <row r="168" hidden="1" x14ac:dyDescent="0.2"/>
    <row r="169" hidden="1" x14ac:dyDescent="0.2"/>
    <row r="170" hidden="1" x14ac:dyDescent="0.2"/>
    <row r="171" hidden="1" x14ac:dyDescent="0.2"/>
    <row r="172" hidden="1" x14ac:dyDescent="0.2"/>
    <row r="173" hidden="1" x14ac:dyDescent="0.2"/>
    <row r="174" hidden="1" x14ac:dyDescent="0.2"/>
    <row r="175" hidden="1" x14ac:dyDescent="0.2"/>
    <row r="176" hidden="1" x14ac:dyDescent="0.2"/>
    <row r="177" hidden="1" x14ac:dyDescent="0.2"/>
    <row r="178" hidden="1" x14ac:dyDescent="0.2"/>
    <row r="179" hidden="1" x14ac:dyDescent="0.2"/>
    <row r="180" hidden="1" x14ac:dyDescent="0.2"/>
    <row r="181" hidden="1" x14ac:dyDescent="0.2"/>
    <row r="182" hidden="1" x14ac:dyDescent="0.2"/>
    <row r="183" hidden="1" x14ac:dyDescent="0.2"/>
    <row r="184" hidden="1" x14ac:dyDescent="0.2"/>
    <row r="185" hidden="1" x14ac:dyDescent="0.2"/>
    <row r="186" hidden="1" x14ac:dyDescent="0.2"/>
    <row r="187" hidden="1" x14ac:dyDescent="0.2"/>
    <row r="188" hidden="1" x14ac:dyDescent="0.2"/>
    <row r="189" hidden="1" x14ac:dyDescent="0.2"/>
    <row r="190" hidden="1" x14ac:dyDescent="0.2"/>
    <row r="191" hidden="1" x14ac:dyDescent="0.2"/>
    <row r="192" hidden="1" x14ac:dyDescent="0.2"/>
    <row r="193" hidden="1" x14ac:dyDescent="0.2"/>
    <row r="194" hidden="1" x14ac:dyDescent="0.2"/>
    <row r="195" hidden="1" x14ac:dyDescent="0.2"/>
    <row r="196" hidden="1" x14ac:dyDescent="0.2"/>
    <row r="197" hidden="1" x14ac:dyDescent="0.2"/>
    <row r="198" hidden="1" x14ac:dyDescent="0.2"/>
    <row r="199" hidden="1" x14ac:dyDescent="0.2"/>
    <row r="200" hidden="1" x14ac:dyDescent="0.2"/>
    <row r="201" hidden="1" x14ac:dyDescent="0.2"/>
    <row r="202" hidden="1" x14ac:dyDescent="0.2"/>
    <row r="203" hidden="1" x14ac:dyDescent="0.2"/>
    <row r="204" hidden="1" x14ac:dyDescent="0.2"/>
    <row r="205" hidden="1" x14ac:dyDescent="0.2"/>
    <row r="206" hidden="1" x14ac:dyDescent="0.2"/>
    <row r="207" hidden="1" x14ac:dyDescent="0.2"/>
    <row r="208" hidden="1" x14ac:dyDescent="0.2"/>
    <row r="209" hidden="1" x14ac:dyDescent="0.2"/>
    <row r="210" hidden="1" x14ac:dyDescent="0.2"/>
    <row r="211" hidden="1" x14ac:dyDescent="0.2"/>
    <row r="212" hidden="1" x14ac:dyDescent="0.2"/>
    <row r="213" hidden="1" x14ac:dyDescent="0.2"/>
    <row r="214" hidden="1" x14ac:dyDescent="0.2"/>
    <row r="215" hidden="1" x14ac:dyDescent="0.2"/>
    <row r="216" hidden="1" x14ac:dyDescent="0.2"/>
    <row r="217" hidden="1" x14ac:dyDescent="0.2"/>
    <row r="218" hidden="1" x14ac:dyDescent="0.2"/>
    <row r="219" hidden="1" x14ac:dyDescent="0.2"/>
    <row r="220" hidden="1" x14ac:dyDescent="0.2"/>
    <row r="221" hidden="1" x14ac:dyDescent="0.2"/>
    <row r="222" hidden="1" x14ac:dyDescent="0.2"/>
    <row r="223" hidden="1" x14ac:dyDescent="0.2"/>
    <row r="224" hidden="1" x14ac:dyDescent="0.2"/>
    <row r="225" hidden="1" x14ac:dyDescent="0.2"/>
    <row r="226" hidden="1" x14ac:dyDescent="0.2"/>
    <row r="227" hidden="1" x14ac:dyDescent="0.2"/>
    <row r="228" hidden="1" x14ac:dyDescent="0.2"/>
    <row r="229" hidden="1" x14ac:dyDescent="0.2"/>
    <row r="230" hidden="1" x14ac:dyDescent="0.2"/>
    <row r="231" hidden="1" x14ac:dyDescent="0.2"/>
    <row r="232" hidden="1" x14ac:dyDescent="0.2"/>
    <row r="233" hidden="1" x14ac:dyDescent="0.2"/>
    <row r="234" hidden="1" x14ac:dyDescent="0.2"/>
    <row r="235" hidden="1" x14ac:dyDescent="0.2"/>
    <row r="236" hidden="1" x14ac:dyDescent="0.2"/>
    <row r="237" hidden="1" x14ac:dyDescent="0.2"/>
    <row r="238" hidden="1" x14ac:dyDescent="0.2"/>
    <row r="239" hidden="1" x14ac:dyDescent="0.2"/>
    <row r="240" hidden="1" x14ac:dyDescent="0.2"/>
    <row r="241" hidden="1" x14ac:dyDescent="0.2"/>
    <row r="242" hidden="1" x14ac:dyDescent="0.2"/>
    <row r="243" hidden="1" x14ac:dyDescent="0.2"/>
    <row r="244" hidden="1" x14ac:dyDescent="0.2"/>
    <row r="245" hidden="1" x14ac:dyDescent="0.2"/>
    <row r="246" hidden="1" x14ac:dyDescent="0.2"/>
    <row r="247" hidden="1" x14ac:dyDescent="0.2"/>
    <row r="248" hidden="1" x14ac:dyDescent="0.2"/>
    <row r="249" hidden="1" x14ac:dyDescent="0.2"/>
    <row r="250" hidden="1" x14ac:dyDescent="0.2"/>
    <row r="251" hidden="1" x14ac:dyDescent="0.2"/>
    <row r="252" hidden="1" x14ac:dyDescent="0.2"/>
    <row r="253" hidden="1" x14ac:dyDescent="0.2"/>
    <row r="254" hidden="1" x14ac:dyDescent="0.2"/>
    <row r="255" hidden="1" x14ac:dyDescent="0.2"/>
    <row r="256" hidden="1" x14ac:dyDescent="0.2"/>
    <row r="257" hidden="1" x14ac:dyDescent="0.2"/>
    <row r="258" hidden="1" x14ac:dyDescent="0.2"/>
    <row r="259" hidden="1" x14ac:dyDescent="0.2"/>
    <row r="260" hidden="1" x14ac:dyDescent="0.2"/>
    <row r="261" hidden="1" x14ac:dyDescent="0.2"/>
    <row r="262" hidden="1" x14ac:dyDescent="0.2"/>
    <row r="263" hidden="1" x14ac:dyDescent="0.2"/>
    <row r="264" hidden="1" x14ac:dyDescent="0.2"/>
    <row r="265" hidden="1" x14ac:dyDescent="0.2"/>
    <row r="266" hidden="1" x14ac:dyDescent="0.2"/>
    <row r="267" hidden="1" x14ac:dyDescent="0.2"/>
    <row r="268" hidden="1" x14ac:dyDescent="0.2"/>
    <row r="269" hidden="1" x14ac:dyDescent="0.2"/>
    <row r="270" hidden="1" x14ac:dyDescent="0.2"/>
    <row r="271" hidden="1" x14ac:dyDescent="0.2"/>
    <row r="272" hidden="1" x14ac:dyDescent="0.2"/>
    <row r="273" hidden="1" x14ac:dyDescent="0.2"/>
    <row r="274" hidden="1" x14ac:dyDescent="0.2"/>
    <row r="275" hidden="1" x14ac:dyDescent="0.2"/>
    <row r="276" hidden="1" x14ac:dyDescent="0.2"/>
    <row r="277" hidden="1" x14ac:dyDescent="0.2"/>
    <row r="278" hidden="1" x14ac:dyDescent="0.2"/>
    <row r="279" hidden="1" x14ac:dyDescent="0.2"/>
    <row r="280" hidden="1" x14ac:dyDescent="0.2"/>
    <row r="281" hidden="1" x14ac:dyDescent="0.2"/>
    <row r="282" hidden="1" x14ac:dyDescent="0.2"/>
    <row r="283" hidden="1" x14ac:dyDescent="0.2"/>
    <row r="284" hidden="1" x14ac:dyDescent="0.2"/>
    <row r="285" hidden="1" x14ac:dyDescent="0.2"/>
    <row r="286" hidden="1" x14ac:dyDescent="0.2"/>
    <row r="287" hidden="1" x14ac:dyDescent="0.2"/>
    <row r="288" hidden="1" x14ac:dyDescent="0.2"/>
    <row r="289" hidden="1" x14ac:dyDescent="0.2"/>
    <row r="290" hidden="1" x14ac:dyDescent="0.2"/>
    <row r="291" hidden="1" x14ac:dyDescent="0.2"/>
    <row r="292" hidden="1" x14ac:dyDescent="0.2"/>
    <row r="293" hidden="1" x14ac:dyDescent="0.2"/>
    <row r="294" hidden="1" x14ac:dyDescent="0.2"/>
    <row r="295" hidden="1" x14ac:dyDescent="0.2"/>
    <row r="296" hidden="1" x14ac:dyDescent="0.2"/>
    <row r="297" hidden="1" x14ac:dyDescent="0.2"/>
    <row r="298" hidden="1" x14ac:dyDescent="0.2"/>
    <row r="299" hidden="1" x14ac:dyDescent="0.2"/>
    <row r="300" hidden="1" x14ac:dyDescent="0.2"/>
    <row r="301" hidden="1" x14ac:dyDescent="0.2"/>
    <row r="302" hidden="1" x14ac:dyDescent="0.2"/>
    <row r="303" hidden="1" x14ac:dyDescent="0.2"/>
    <row r="304" hidden="1" x14ac:dyDescent="0.2"/>
    <row r="305" hidden="1" x14ac:dyDescent="0.2"/>
    <row r="306" hidden="1" x14ac:dyDescent="0.2"/>
    <row r="307" hidden="1" x14ac:dyDescent="0.2"/>
    <row r="308" hidden="1" x14ac:dyDescent="0.2"/>
    <row r="309" hidden="1" x14ac:dyDescent="0.2"/>
    <row r="310" hidden="1" x14ac:dyDescent="0.2"/>
    <row r="311" hidden="1" x14ac:dyDescent="0.2"/>
    <row r="312" hidden="1" x14ac:dyDescent="0.2"/>
    <row r="313" hidden="1" x14ac:dyDescent="0.2"/>
    <row r="314" hidden="1" x14ac:dyDescent="0.2"/>
    <row r="315" hidden="1" x14ac:dyDescent="0.2"/>
    <row r="316" hidden="1" x14ac:dyDescent="0.2"/>
    <row r="317" hidden="1" x14ac:dyDescent="0.2"/>
    <row r="318" hidden="1" x14ac:dyDescent="0.2"/>
    <row r="319" hidden="1" x14ac:dyDescent="0.2"/>
    <row r="320" hidden="1" x14ac:dyDescent="0.2"/>
    <row r="321" hidden="1" x14ac:dyDescent="0.2"/>
    <row r="322" hidden="1" x14ac:dyDescent="0.2"/>
    <row r="323" hidden="1" x14ac:dyDescent="0.2"/>
    <row r="324" hidden="1" x14ac:dyDescent="0.2"/>
    <row r="325" hidden="1" x14ac:dyDescent="0.2"/>
    <row r="326" hidden="1" x14ac:dyDescent="0.2"/>
    <row r="327" hidden="1" x14ac:dyDescent="0.2"/>
    <row r="328" hidden="1" x14ac:dyDescent="0.2"/>
    <row r="329" hidden="1" x14ac:dyDescent="0.2"/>
    <row r="330" hidden="1" x14ac:dyDescent="0.2"/>
    <row r="331" hidden="1" x14ac:dyDescent="0.2"/>
    <row r="332" hidden="1" x14ac:dyDescent="0.2"/>
    <row r="333" hidden="1" x14ac:dyDescent="0.2"/>
    <row r="334" hidden="1" x14ac:dyDescent="0.2"/>
    <row r="335" hidden="1" x14ac:dyDescent="0.2"/>
    <row r="336" hidden="1" x14ac:dyDescent="0.2"/>
    <row r="337" hidden="1" x14ac:dyDescent="0.2"/>
    <row r="338" hidden="1" x14ac:dyDescent="0.2"/>
    <row r="339" hidden="1" x14ac:dyDescent="0.2"/>
    <row r="340" hidden="1" x14ac:dyDescent="0.2"/>
    <row r="341" hidden="1" x14ac:dyDescent="0.2"/>
    <row r="342" hidden="1" x14ac:dyDescent="0.2"/>
    <row r="343" hidden="1" x14ac:dyDescent="0.2"/>
    <row r="344" hidden="1" x14ac:dyDescent="0.2"/>
    <row r="345" hidden="1" x14ac:dyDescent="0.2"/>
    <row r="346" hidden="1" x14ac:dyDescent="0.2"/>
    <row r="347" hidden="1" x14ac:dyDescent="0.2"/>
    <row r="348" hidden="1" x14ac:dyDescent="0.2"/>
    <row r="349" hidden="1" x14ac:dyDescent="0.2"/>
    <row r="350" hidden="1" x14ac:dyDescent="0.2"/>
    <row r="351" hidden="1" x14ac:dyDescent="0.2"/>
    <row r="352" hidden="1" x14ac:dyDescent="0.2"/>
    <row r="353" hidden="1" x14ac:dyDescent="0.2"/>
    <row r="354" hidden="1" x14ac:dyDescent="0.2"/>
    <row r="355" hidden="1" x14ac:dyDescent="0.2"/>
    <row r="356" hidden="1" x14ac:dyDescent="0.2"/>
    <row r="357" hidden="1" x14ac:dyDescent="0.2"/>
    <row r="358" hidden="1" x14ac:dyDescent="0.2"/>
    <row r="359" hidden="1" x14ac:dyDescent="0.2"/>
    <row r="360" hidden="1" x14ac:dyDescent="0.2"/>
    <row r="361" hidden="1" x14ac:dyDescent="0.2"/>
    <row r="362" hidden="1" x14ac:dyDescent="0.2"/>
    <row r="363" hidden="1" x14ac:dyDescent="0.2"/>
    <row r="364" hidden="1" x14ac:dyDescent="0.2"/>
    <row r="365" hidden="1" x14ac:dyDescent="0.2"/>
    <row r="366" hidden="1" x14ac:dyDescent="0.2"/>
    <row r="367" hidden="1" x14ac:dyDescent="0.2"/>
    <row r="368" hidden="1" x14ac:dyDescent="0.2"/>
    <row r="369" hidden="1" x14ac:dyDescent="0.2"/>
    <row r="370" hidden="1" x14ac:dyDescent="0.2"/>
    <row r="371" hidden="1" x14ac:dyDescent="0.2"/>
    <row r="372" hidden="1" x14ac:dyDescent="0.2"/>
    <row r="373" hidden="1" x14ac:dyDescent="0.2"/>
    <row r="374" hidden="1" x14ac:dyDescent="0.2"/>
    <row r="375" hidden="1" x14ac:dyDescent="0.2"/>
    <row r="376" hidden="1" x14ac:dyDescent="0.2"/>
    <row r="377" hidden="1" x14ac:dyDescent="0.2"/>
    <row r="378" hidden="1" x14ac:dyDescent="0.2"/>
    <row r="379" hidden="1" x14ac:dyDescent="0.2"/>
    <row r="380" hidden="1" x14ac:dyDescent="0.2"/>
    <row r="381" hidden="1" x14ac:dyDescent="0.2"/>
    <row r="382" hidden="1" x14ac:dyDescent="0.2"/>
    <row r="383" hidden="1" x14ac:dyDescent="0.2"/>
    <row r="384" hidden="1" x14ac:dyDescent="0.2"/>
    <row r="385" hidden="1" x14ac:dyDescent="0.2"/>
    <row r="386" hidden="1" x14ac:dyDescent="0.2"/>
    <row r="387" hidden="1" x14ac:dyDescent="0.2"/>
    <row r="388" hidden="1" x14ac:dyDescent="0.2"/>
    <row r="389" hidden="1" x14ac:dyDescent="0.2"/>
    <row r="390" hidden="1" x14ac:dyDescent="0.2"/>
    <row r="391" hidden="1" x14ac:dyDescent="0.2"/>
    <row r="392" hidden="1" x14ac:dyDescent="0.2"/>
    <row r="393" hidden="1" x14ac:dyDescent="0.2"/>
    <row r="394" hidden="1" x14ac:dyDescent="0.2"/>
    <row r="395" hidden="1" x14ac:dyDescent="0.2"/>
    <row r="396" hidden="1" x14ac:dyDescent="0.2"/>
    <row r="397" hidden="1" x14ac:dyDescent="0.2"/>
    <row r="398" hidden="1" x14ac:dyDescent="0.2"/>
    <row r="399" hidden="1" x14ac:dyDescent="0.2"/>
    <row r="400" hidden="1" x14ac:dyDescent="0.2"/>
    <row r="401" hidden="1" x14ac:dyDescent="0.2"/>
    <row r="402" hidden="1" x14ac:dyDescent="0.2"/>
    <row r="403" hidden="1" x14ac:dyDescent="0.2"/>
    <row r="404" hidden="1" x14ac:dyDescent="0.2"/>
    <row r="405" hidden="1" x14ac:dyDescent="0.2"/>
    <row r="406" hidden="1" x14ac:dyDescent="0.2"/>
    <row r="407" hidden="1" x14ac:dyDescent="0.2"/>
    <row r="408" hidden="1" x14ac:dyDescent="0.2"/>
    <row r="409" hidden="1" x14ac:dyDescent="0.2"/>
    <row r="410" hidden="1" x14ac:dyDescent="0.2"/>
    <row r="411" hidden="1" x14ac:dyDescent="0.2"/>
    <row r="412" hidden="1" x14ac:dyDescent="0.2"/>
    <row r="413" hidden="1" x14ac:dyDescent="0.2"/>
    <row r="414" hidden="1" x14ac:dyDescent="0.2"/>
    <row r="415" hidden="1" x14ac:dyDescent="0.2"/>
    <row r="416" hidden="1" x14ac:dyDescent="0.2"/>
    <row r="417" hidden="1" x14ac:dyDescent="0.2"/>
    <row r="418" hidden="1" x14ac:dyDescent="0.2"/>
    <row r="419" hidden="1" x14ac:dyDescent="0.2"/>
    <row r="420" hidden="1" x14ac:dyDescent="0.2"/>
    <row r="421" hidden="1" x14ac:dyDescent="0.2"/>
    <row r="422" hidden="1" x14ac:dyDescent="0.2"/>
    <row r="423" hidden="1" x14ac:dyDescent="0.2"/>
    <row r="424" hidden="1" x14ac:dyDescent="0.2"/>
    <row r="425" hidden="1" x14ac:dyDescent="0.2"/>
    <row r="426" hidden="1" x14ac:dyDescent="0.2"/>
    <row r="427" hidden="1" x14ac:dyDescent="0.2"/>
    <row r="428" hidden="1" x14ac:dyDescent="0.2"/>
    <row r="429" hidden="1" x14ac:dyDescent="0.2"/>
    <row r="430" hidden="1" x14ac:dyDescent="0.2"/>
    <row r="431" hidden="1" x14ac:dyDescent="0.2"/>
    <row r="432" hidden="1" x14ac:dyDescent="0.2"/>
    <row r="433" hidden="1" x14ac:dyDescent="0.2"/>
    <row r="434" hidden="1" x14ac:dyDescent="0.2"/>
    <row r="435" hidden="1" x14ac:dyDescent="0.2"/>
    <row r="436" hidden="1" x14ac:dyDescent="0.2"/>
    <row r="437" hidden="1" x14ac:dyDescent="0.2"/>
    <row r="438" hidden="1" x14ac:dyDescent="0.2"/>
    <row r="439" hidden="1" x14ac:dyDescent="0.2"/>
    <row r="440" hidden="1" x14ac:dyDescent="0.2"/>
    <row r="441" hidden="1" x14ac:dyDescent="0.2"/>
    <row r="442" hidden="1" x14ac:dyDescent="0.2"/>
    <row r="443" hidden="1" x14ac:dyDescent="0.2"/>
    <row r="444" hidden="1" x14ac:dyDescent="0.2"/>
    <row r="445" hidden="1" x14ac:dyDescent="0.2"/>
    <row r="446" hidden="1" x14ac:dyDescent="0.2"/>
    <row r="447" hidden="1" x14ac:dyDescent="0.2"/>
    <row r="448" hidden="1" x14ac:dyDescent="0.2"/>
    <row r="449" hidden="1" x14ac:dyDescent="0.2"/>
    <row r="450" hidden="1" x14ac:dyDescent="0.2"/>
    <row r="451" hidden="1" x14ac:dyDescent="0.2"/>
    <row r="452" hidden="1" x14ac:dyDescent="0.2"/>
    <row r="453" hidden="1" x14ac:dyDescent="0.2"/>
    <row r="454" hidden="1" x14ac:dyDescent="0.2"/>
    <row r="455" hidden="1" x14ac:dyDescent="0.2"/>
    <row r="456" hidden="1" x14ac:dyDescent="0.2"/>
    <row r="457" hidden="1" x14ac:dyDescent="0.2"/>
    <row r="458" hidden="1" x14ac:dyDescent="0.2"/>
    <row r="459" hidden="1" x14ac:dyDescent="0.2"/>
    <row r="460" hidden="1" x14ac:dyDescent="0.2"/>
    <row r="461" hidden="1" x14ac:dyDescent="0.2"/>
    <row r="462" hidden="1" x14ac:dyDescent="0.2"/>
    <row r="463" hidden="1" x14ac:dyDescent="0.2"/>
    <row r="464" hidden="1" x14ac:dyDescent="0.2"/>
    <row r="465" hidden="1" x14ac:dyDescent="0.2"/>
    <row r="466" hidden="1" x14ac:dyDescent="0.2"/>
    <row r="467" hidden="1" x14ac:dyDescent="0.2"/>
    <row r="468" hidden="1" x14ac:dyDescent="0.2"/>
    <row r="469" hidden="1" x14ac:dyDescent="0.2"/>
    <row r="470" hidden="1" x14ac:dyDescent="0.2"/>
    <row r="471" hidden="1" x14ac:dyDescent="0.2"/>
    <row r="472" hidden="1" x14ac:dyDescent="0.2"/>
    <row r="473" hidden="1" x14ac:dyDescent="0.2"/>
    <row r="474" hidden="1" x14ac:dyDescent="0.2"/>
    <row r="475" hidden="1" x14ac:dyDescent="0.2"/>
    <row r="476" hidden="1" x14ac:dyDescent="0.2"/>
    <row r="477" hidden="1" x14ac:dyDescent="0.2"/>
    <row r="478" hidden="1" x14ac:dyDescent="0.2"/>
    <row r="479" hidden="1" x14ac:dyDescent="0.2"/>
    <row r="480" hidden="1" x14ac:dyDescent="0.2"/>
    <row r="481" hidden="1" x14ac:dyDescent="0.2"/>
    <row r="482" hidden="1" x14ac:dyDescent="0.2"/>
    <row r="483" hidden="1" x14ac:dyDescent="0.2"/>
    <row r="484" hidden="1" x14ac:dyDescent="0.2"/>
    <row r="485" hidden="1" x14ac:dyDescent="0.2"/>
    <row r="486" hidden="1" x14ac:dyDescent="0.2"/>
    <row r="487" hidden="1" x14ac:dyDescent="0.2"/>
    <row r="488" hidden="1" x14ac:dyDescent="0.2"/>
    <row r="489" hidden="1" x14ac:dyDescent="0.2"/>
    <row r="490" hidden="1" x14ac:dyDescent="0.2"/>
    <row r="491" hidden="1" x14ac:dyDescent="0.2"/>
    <row r="492" hidden="1" x14ac:dyDescent="0.2"/>
    <row r="493" hidden="1" x14ac:dyDescent="0.2"/>
    <row r="494" hidden="1" x14ac:dyDescent="0.2"/>
    <row r="495" hidden="1" x14ac:dyDescent="0.2"/>
    <row r="496" hidden="1" x14ac:dyDescent="0.2"/>
    <row r="497" hidden="1" x14ac:dyDescent="0.2"/>
    <row r="498" hidden="1" x14ac:dyDescent="0.2"/>
    <row r="499" hidden="1" x14ac:dyDescent="0.2"/>
    <row r="500" hidden="1" x14ac:dyDescent="0.2"/>
    <row r="501" hidden="1" x14ac:dyDescent="0.2"/>
    <row r="502" hidden="1" x14ac:dyDescent="0.2"/>
    <row r="503" hidden="1" x14ac:dyDescent="0.2"/>
    <row r="504" hidden="1" x14ac:dyDescent="0.2"/>
    <row r="505" hidden="1" x14ac:dyDescent="0.2"/>
    <row r="506" hidden="1" x14ac:dyDescent="0.2"/>
    <row r="507" hidden="1" x14ac:dyDescent="0.2"/>
    <row r="508" hidden="1" x14ac:dyDescent="0.2"/>
    <row r="509" hidden="1" x14ac:dyDescent="0.2"/>
    <row r="510" hidden="1" x14ac:dyDescent="0.2"/>
    <row r="511" hidden="1" x14ac:dyDescent="0.2"/>
    <row r="512" hidden="1" x14ac:dyDescent="0.2"/>
    <row r="513" hidden="1" x14ac:dyDescent="0.2"/>
    <row r="514" hidden="1" x14ac:dyDescent="0.2"/>
    <row r="515" hidden="1" x14ac:dyDescent="0.2"/>
    <row r="516" hidden="1" x14ac:dyDescent="0.2"/>
    <row r="517" hidden="1" x14ac:dyDescent="0.2"/>
    <row r="518" hidden="1" x14ac:dyDescent="0.2"/>
    <row r="519" hidden="1" x14ac:dyDescent="0.2"/>
    <row r="520" hidden="1" x14ac:dyDescent="0.2"/>
    <row r="521" hidden="1" x14ac:dyDescent="0.2"/>
    <row r="522" hidden="1" x14ac:dyDescent="0.2"/>
    <row r="523" hidden="1" x14ac:dyDescent="0.2"/>
    <row r="524" hidden="1" x14ac:dyDescent="0.2"/>
    <row r="525" hidden="1" x14ac:dyDescent="0.2"/>
    <row r="526" hidden="1" x14ac:dyDescent="0.2"/>
    <row r="527" hidden="1" x14ac:dyDescent="0.2"/>
    <row r="528" hidden="1" x14ac:dyDescent="0.2"/>
    <row r="529" hidden="1" x14ac:dyDescent="0.2"/>
    <row r="530" hidden="1" x14ac:dyDescent="0.2"/>
    <row r="531" hidden="1" x14ac:dyDescent="0.2"/>
    <row r="532" hidden="1" x14ac:dyDescent="0.2"/>
    <row r="533" hidden="1" x14ac:dyDescent="0.2"/>
    <row r="534" hidden="1" x14ac:dyDescent="0.2"/>
    <row r="535" hidden="1" x14ac:dyDescent="0.2"/>
    <row r="536" hidden="1" x14ac:dyDescent="0.2"/>
    <row r="537" hidden="1" x14ac:dyDescent="0.2"/>
    <row r="538" hidden="1" x14ac:dyDescent="0.2"/>
    <row r="539" hidden="1" x14ac:dyDescent="0.2"/>
    <row r="540" hidden="1" x14ac:dyDescent="0.2"/>
    <row r="541" hidden="1" x14ac:dyDescent="0.2"/>
    <row r="542" hidden="1" x14ac:dyDescent="0.2"/>
    <row r="543" hidden="1" x14ac:dyDescent="0.2"/>
    <row r="544" hidden="1" x14ac:dyDescent="0.2"/>
    <row r="545" hidden="1" x14ac:dyDescent="0.2"/>
    <row r="546" hidden="1" x14ac:dyDescent="0.2"/>
    <row r="547" hidden="1" x14ac:dyDescent="0.2"/>
    <row r="548" hidden="1" x14ac:dyDescent="0.2"/>
    <row r="549" hidden="1" x14ac:dyDescent="0.2"/>
    <row r="550" hidden="1" x14ac:dyDescent="0.2"/>
    <row r="551" hidden="1" x14ac:dyDescent="0.2"/>
    <row r="552" hidden="1" x14ac:dyDescent="0.2"/>
    <row r="553" hidden="1" x14ac:dyDescent="0.2"/>
    <row r="554" hidden="1" x14ac:dyDescent="0.2"/>
    <row r="555" hidden="1" x14ac:dyDescent="0.2"/>
    <row r="556" hidden="1" x14ac:dyDescent="0.2"/>
    <row r="557" hidden="1" x14ac:dyDescent="0.2"/>
    <row r="558" hidden="1" x14ac:dyDescent="0.2"/>
    <row r="559" hidden="1" x14ac:dyDescent="0.2"/>
    <row r="560" hidden="1" x14ac:dyDescent="0.2"/>
    <row r="561" hidden="1" x14ac:dyDescent="0.2"/>
    <row r="562" hidden="1" x14ac:dyDescent="0.2"/>
    <row r="563" hidden="1" x14ac:dyDescent="0.2"/>
    <row r="564" hidden="1" x14ac:dyDescent="0.2"/>
    <row r="565" hidden="1" x14ac:dyDescent="0.2"/>
    <row r="566" hidden="1" x14ac:dyDescent="0.2"/>
    <row r="567" hidden="1" x14ac:dyDescent="0.2"/>
    <row r="568" hidden="1" x14ac:dyDescent="0.2"/>
    <row r="569" hidden="1" x14ac:dyDescent="0.2"/>
    <row r="570" hidden="1" x14ac:dyDescent="0.2"/>
    <row r="571" hidden="1" x14ac:dyDescent="0.2"/>
    <row r="572" hidden="1" x14ac:dyDescent="0.2"/>
    <row r="573" hidden="1" x14ac:dyDescent="0.2"/>
    <row r="574" hidden="1" x14ac:dyDescent="0.2"/>
    <row r="575" hidden="1" x14ac:dyDescent="0.2"/>
    <row r="576" hidden="1" x14ac:dyDescent="0.2"/>
    <row r="577" hidden="1" x14ac:dyDescent="0.2"/>
    <row r="578" hidden="1" x14ac:dyDescent="0.2"/>
    <row r="579" hidden="1" x14ac:dyDescent="0.2"/>
    <row r="580" hidden="1" x14ac:dyDescent="0.2"/>
    <row r="581" hidden="1" x14ac:dyDescent="0.2"/>
    <row r="582" hidden="1" x14ac:dyDescent="0.2"/>
    <row r="583" hidden="1" x14ac:dyDescent="0.2"/>
    <row r="584" hidden="1" x14ac:dyDescent="0.2"/>
    <row r="585" hidden="1" x14ac:dyDescent="0.2"/>
    <row r="586" hidden="1" x14ac:dyDescent="0.2"/>
    <row r="587" hidden="1" x14ac:dyDescent="0.2"/>
    <row r="588" hidden="1" x14ac:dyDescent="0.2"/>
    <row r="589" hidden="1" x14ac:dyDescent="0.2"/>
    <row r="590" hidden="1" x14ac:dyDescent="0.2"/>
    <row r="591" hidden="1" x14ac:dyDescent="0.2"/>
    <row r="592" hidden="1" x14ac:dyDescent="0.2"/>
    <row r="593" hidden="1" x14ac:dyDescent="0.2"/>
    <row r="594" hidden="1" x14ac:dyDescent="0.2"/>
    <row r="595" hidden="1" x14ac:dyDescent="0.2"/>
    <row r="596" hidden="1" x14ac:dyDescent="0.2"/>
    <row r="597" hidden="1" x14ac:dyDescent="0.2"/>
    <row r="598" hidden="1" x14ac:dyDescent="0.2"/>
    <row r="599" hidden="1" x14ac:dyDescent="0.2"/>
    <row r="600" hidden="1" x14ac:dyDescent="0.2"/>
    <row r="601" hidden="1" x14ac:dyDescent="0.2"/>
    <row r="602" hidden="1" x14ac:dyDescent="0.2"/>
    <row r="603" hidden="1" x14ac:dyDescent="0.2"/>
    <row r="604" hidden="1" x14ac:dyDescent="0.2"/>
    <row r="605" hidden="1" x14ac:dyDescent="0.2"/>
    <row r="606" hidden="1" x14ac:dyDescent="0.2"/>
    <row r="607" hidden="1" x14ac:dyDescent="0.2"/>
    <row r="608" hidden="1" x14ac:dyDescent="0.2"/>
    <row r="609" hidden="1" x14ac:dyDescent="0.2"/>
    <row r="610" hidden="1" x14ac:dyDescent="0.2"/>
    <row r="611" hidden="1" x14ac:dyDescent="0.2"/>
    <row r="612" hidden="1" x14ac:dyDescent="0.2"/>
    <row r="613" hidden="1" x14ac:dyDescent="0.2"/>
    <row r="614" hidden="1" x14ac:dyDescent="0.2"/>
    <row r="615" hidden="1" x14ac:dyDescent="0.2"/>
    <row r="616" hidden="1" x14ac:dyDescent="0.2"/>
    <row r="617" hidden="1" x14ac:dyDescent="0.2"/>
    <row r="618" hidden="1" x14ac:dyDescent="0.2"/>
    <row r="619" hidden="1" x14ac:dyDescent="0.2"/>
    <row r="620" hidden="1" x14ac:dyDescent="0.2"/>
    <row r="621" hidden="1" x14ac:dyDescent="0.2"/>
    <row r="622" hidden="1" x14ac:dyDescent="0.2"/>
    <row r="623" hidden="1" x14ac:dyDescent="0.2"/>
    <row r="624" hidden="1" x14ac:dyDescent="0.2"/>
    <row r="625" hidden="1" x14ac:dyDescent="0.2"/>
    <row r="626" hidden="1" x14ac:dyDescent="0.2"/>
    <row r="627" hidden="1" x14ac:dyDescent="0.2"/>
    <row r="628" hidden="1" x14ac:dyDescent="0.2"/>
    <row r="629" hidden="1" x14ac:dyDescent="0.2"/>
    <row r="630" hidden="1" x14ac:dyDescent="0.2"/>
    <row r="631" hidden="1" x14ac:dyDescent="0.2"/>
    <row r="632" hidden="1" x14ac:dyDescent="0.2"/>
    <row r="633" hidden="1" x14ac:dyDescent="0.2"/>
    <row r="634" hidden="1" x14ac:dyDescent="0.2"/>
    <row r="635" hidden="1" x14ac:dyDescent="0.2"/>
    <row r="636" hidden="1" x14ac:dyDescent="0.2"/>
    <row r="637" hidden="1" x14ac:dyDescent="0.2"/>
    <row r="638" hidden="1" x14ac:dyDescent="0.2"/>
    <row r="639" hidden="1" x14ac:dyDescent="0.2"/>
    <row r="640" hidden="1" x14ac:dyDescent="0.2"/>
    <row r="641" hidden="1" x14ac:dyDescent="0.2"/>
    <row r="642" hidden="1" x14ac:dyDescent="0.2"/>
    <row r="643" hidden="1" x14ac:dyDescent="0.2"/>
    <row r="644" hidden="1" x14ac:dyDescent="0.2"/>
    <row r="645" hidden="1" x14ac:dyDescent="0.2"/>
    <row r="646" hidden="1" x14ac:dyDescent="0.2"/>
    <row r="647" hidden="1" x14ac:dyDescent="0.2"/>
    <row r="648" hidden="1" x14ac:dyDescent="0.2"/>
    <row r="649" hidden="1" x14ac:dyDescent="0.2"/>
    <row r="650" hidden="1" x14ac:dyDescent="0.2"/>
    <row r="651" hidden="1" x14ac:dyDescent="0.2"/>
    <row r="652" hidden="1" x14ac:dyDescent="0.2"/>
    <row r="653" hidden="1" x14ac:dyDescent="0.2"/>
    <row r="654" hidden="1" x14ac:dyDescent="0.2"/>
    <row r="655" hidden="1" x14ac:dyDescent="0.2"/>
    <row r="656" hidden="1" x14ac:dyDescent="0.2"/>
    <row r="657" hidden="1" x14ac:dyDescent="0.2"/>
    <row r="658" hidden="1" x14ac:dyDescent="0.2"/>
    <row r="659" hidden="1" x14ac:dyDescent="0.2"/>
    <row r="660" hidden="1" x14ac:dyDescent="0.2"/>
    <row r="661" hidden="1" x14ac:dyDescent="0.2"/>
    <row r="662" hidden="1" x14ac:dyDescent="0.2"/>
    <row r="663" hidden="1" x14ac:dyDescent="0.2"/>
    <row r="664" hidden="1" x14ac:dyDescent="0.2"/>
    <row r="665" hidden="1" x14ac:dyDescent="0.2"/>
    <row r="666" hidden="1" x14ac:dyDescent="0.2"/>
    <row r="667" hidden="1" x14ac:dyDescent="0.2"/>
    <row r="668" hidden="1" x14ac:dyDescent="0.2"/>
    <row r="669" hidden="1" x14ac:dyDescent="0.2"/>
    <row r="670" hidden="1" x14ac:dyDescent="0.2"/>
    <row r="671" hidden="1" x14ac:dyDescent="0.2"/>
    <row r="672" hidden="1" x14ac:dyDescent="0.2"/>
    <row r="673" hidden="1" x14ac:dyDescent="0.2"/>
    <row r="674" hidden="1" x14ac:dyDescent="0.2"/>
    <row r="675" hidden="1" x14ac:dyDescent="0.2"/>
    <row r="676" hidden="1" x14ac:dyDescent="0.2"/>
    <row r="677" hidden="1" x14ac:dyDescent="0.2"/>
    <row r="678" hidden="1" x14ac:dyDescent="0.2"/>
    <row r="679" hidden="1" x14ac:dyDescent="0.2"/>
    <row r="680" hidden="1" x14ac:dyDescent="0.2"/>
    <row r="681" hidden="1" x14ac:dyDescent="0.2"/>
    <row r="682" hidden="1" x14ac:dyDescent="0.2"/>
    <row r="683" hidden="1" x14ac:dyDescent="0.2"/>
    <row r="684" hidden="1" x14ac:dyDescent="0.2"/>
    <row r="685" hidden="1" x14ac:dyDescent="0.2"/>
    <row r="686" hidden="1" x14ac:dyDescent="0.2"/>
    <row r="687" hidden="1" x14ac:dyDescent="0.2"/>
    <row r="688" hidden="1" x14ac:dyDescent="0.2"/>
    <row r="689" hidden="1" x14ac:dyDescent="0.2"/>
    <row r="690" hidden="1" x14ac:dyDescent="0.2"/>
    <row r="691" hidden="1" x14ac:dyDescent="0.2"/>
    <row r="692" hidden="1" x14ac:dyDescent="0.2"/>
    <row r="693" hidden="1" x14ac:dyDescent="0.2"/>
    <row r="694" hidden="1" x14ac:dyDescent="0.2"/>
    <row r="695" hidden="1" x14ac:dyDescent="0.2"/>
    <row r="696" hidden="1" x14ac:dyDescent="0.2"/>
    <row r="697" hidden="1" x14ac:dyDescent="0.2"/>
    <row r="698" hidden="1" x14ac:dyDescent="0.2"/>
    <row r="699" hidden="1" x14ac:dyDescent="0.2"/>
    <row r="700" hidden="1" x14ac:dyDescent="0.2"/>
    <row r="701" hidden="1" x14ac:dyDescent="0.2"/>
    <row r="702" hidden="1" x14ac:dyDescent="0.2"/>
    <row r="703" hidden="1" x14ac:dyDescent="0.2"/>
    <row r="704" hidden="1" x14ac:dyDescent="0.2"/>
    <row r="705" hidden="1" x14ac:dyDescent="0.2"/>
    <row r="706" hidden="1" x14ac:dyDescent="0.2"/>
    <row r="707" hidden="1" x14ac:dyDescent="0.2"/>
    <row r="708" hidden="1" x14ac:dyDescent="0.2"/>
    <row r="709" hidden="1" x14ac:dyDescent="0.2"/>
    <row r="710" hidden="1" x14ac:dyDescent="0.2"/>
    <row r="711" hidden="1" x14ac:dyDescent="0.2"/>
    <row r="712" hidden="1" x14ac:dyDescent="0.2"/>
    <row r="713" hidden="1" x14ac:dyDescent="0.2"/>
    <row r="714" hidden="1" x14ac:dyDescent="0.2"/>
    <row r="715" hidden="1" x14ac:dyDescent="0.2"/>
    <row r="716" hidden="1" x14ac:dyDescent="0.2"/>
    <row r="717" hidden="1" x14ac:dyDescent="0.2"/>
    <row r="718" hidden="1" x14ac:dyDescent="0.2"/>
    <row r="719" hidden="1" x14ac:dyDescent="0.2"/>
    <row r="720" hidden="1" x14ac:dyDescent="0.2"/>
    <row r="721" hidden="1" x14ac:dyDescent="0.2"/>
    <row r="722" hidden="1" x14ac:dyDescent="0.2"/>
    <row r="723" hidden="1" x14ac:dyDescent="0.2"/>
    <row r="724" hidden="1" x14ac:dyDescent="0.2"/>
    <row r="725" hidden="1" x14ac:dyDescent="0.2"/>
    <row r="726" hidden="1" x14ac:dyDescent="0.2"/>
    <row r="727" hidden="1" x14ac:dyDescent="0.2"/>
    <row r="728" hidden="1" x14ac:dyDescent="0.2"/>
    <row r="729" hidden="1" x14ac:dyDescent="0.2"/>
    <row r="730" hidden="1" x14ac:dyDescent="0.2"/>
    <row r="731" hidden="1" x14ac:dyDescent="0.2"/>
    <row r="732" hidden="1" x14ac:dyDescent="0.2"/>
    <row r="733" hidden="1" x14ac:dyDescent="0.2"/>
    <row r="734" hidden="1" x14ac:dyDescent="0.2"/>
    <row r="735" hidden="1" x14ac:dyDescent="0.2"/>
    <row r="736" hidden="1" x14ac:dyDescent="0.2"/>
    <row r="737" hidden="1" x14ac:dyDescent="0.2"/>
    <row r="738" hidden="1" x14ac:dyDescent="0.2"/>
    <row r="739" hidden="1" x14ac:dyDescent="0.2"/>
    <row r="740" hidden="1" x14ac:dyDescent="0.2"/>
    <row r="741" hidden="1" x14ac:dyDescent="0.2"/>
    <row r="742" hidden="1" x14ac:dyDescent="0.2"/>
    <row r="743" hidden="1" x14ac:dyDescent="0.2"/>
    <row r="744" hidden="1" x14ac:dyDescent="0.2"/>
    <row r="745" hidden="1" x14ac:dyDescent="0.2"/>
    <row r="746" hidden="1" x14ac:dyDescent="0.2"/>
    <row r="747" hidden="1" x14ac:dyDescent="0.2"/>
    <row r="748" hidden="1" x14ac:dyDescent="0.2"/>
    <row r="749" hidden="1" x14ac:dyDescent="0.2"/>
    <row r="750" hidden="1" x14ac:dyDescent="0.2"/>
    <row r="751" hidden="1" x14ac:dyDescent="0.2"/>
    <row r="752" hidden="1" x14ac:dyDescent="0.2"/>
    <row r="753" hidden="1" x14ac:dyDescent="0.2"/>
    <row r="754" hidden="1" x14ac:dyDescent="0.2"/>
    <row r="755" hidden="1" x14ac:dyDescent="0.2"/>
    <row r="756" hidden="1" x14ac:dyDescent="0.2"/>
    <row r="757" hidden="1" x14ac:dyDescent="0.2"/>
    <row r="758" hidden="1" x14ac:dyDescent="0.2"/>
    <row r="759" hidden="1" x14ac:dyDescent="0.2"/>
    <row r="760" hidden="1" x14ac:dyDescent="0.2"/>
    <row r="761" hidden="1" x14ac:dyDescent="0.2"/>
    <row r="762" hidden="1" x14ac:dyDescent="0.2"/>
    <row r="763" hidden="1" x14ac:dyDescent="0.2"/>
    <row r="764" hidden="1" x14ac:dyDescent="0.2"/>
    <row r="765" hidden="1" x14ac:dyDescent="0.2"/>
    <row r="766" hidden="1" x14ac:dyDescent="0.2"/>
    <row r="767" hidden="1" x14ac:dyDescent="0.2"/>
    <row r="768" hidden="1" x14ac:dyDescent="0.2"/>
    <row r="769" hidden="1" x14ac:dyDescent="0.2"/>
    <row r="770" hidden="1" x14ac:dyDescent="0.2"/>
    <row r="771" hidden="1" x14ac:dyDescent="0.2"/>
    <row r="772" hidden="1" x14ac:dyDescent="0.2"/>
    <row r="773" hidden="1" x14ac:dyDescent="0.2"/>
    <row r="774" hidden="1" x14ac:dyDescent="0.2"/>
    <row r="775" hidden="1" x14ac:dyDescent="0.2"/>
    <row r="776" hidden="1" x14ac:dyDescent="0.2"/>
    <row r="777" hidden="1" x14ac:dyDescent="0.2"/>
    <row r="778" hidden="1" x14ac:dyDescent="0.2"/>
    <row r="779" hidden="1" x14ac:dyDescent="0.2"/>
    <row r="780" hidden="1" x14ac:dyDescent="0.2"/>
    <row r="781" hidden="1" x14ac:dyDescent="0.2"/>
    <row r="782" hidden="1" x14ac:dyDescent="0.2"/>
    <row r="783" hidden="1" x14ac:dyDescent="0.2"/>
    <row r="784" hidden="1" x14ac:dyDescent="0.2"/>
    <row r="785" hidden="1" x14ac:dyDescent="0.2"/>
    <row r="786" hidden="1" x14ac:dyDescent="0.2"/>
    <row r="787" hidden="1" x14ac:dyDescent="0.2"/>
    <row r="788" hidden="1" x14ac:dyDescent="0.2"/>
    <row r="789" hidden="1" x14ac:dyDescent="0.2"/>
    <row r="790" hidden="1" x14ac:dyDescent="0.2"/>
    <row r="791" hidden="1" x14ac:dyDescent="0.2"/>
    <row r="792" hidden="1" x14ac:dyDescent="0.2"/>
    <row r="793" hidden="1" x14ac:dyDescent="0.2"/>
    <row r="794" hidden="1" x14ac:dyDescent="0.2"/>
    <row r="795" hidden="1" x14ac:dyDescent="0.2"/>
    <row r="796" hidden="1" x14ac:dyDescent="0.2"/>
    <row r="797" hidden="1" x14ac:dyDescent="0.2"/>
    <row r="798" hidden="1" x14ac:dyDescent="0.2"/>
    <row r="799" hidden="1" x14ac:dyDescent="0.2"/>
    <row r="800" hidden="1" x14ac:dyDescent="0.2"/>
    <row r="801" hidden="1" x14ac:dyDescent="0.2"/>
    <row r="802" hidden="1" x14ac:dyDescent="0.2"/>
    <row r="803" hidden="1" x14ac:dyDescent="0.2"/>
    <row r="804" hidden="1" x14ac:dyDescent="0.2"/>
    <row r="805" hidden="1" x14ac:dyDescent="0.2"/>
    <row r="806" hidden="1" x14ac:dyDescent="0.2"/>
    <row r="807" hidden="1" x14ac:dyDescent="0.2"/>
    <row r="808" hidden="1" x14ac:dyDescent="0.2"/>
    <row r="809" hidden="1" x14ac:dyDescent="0.2"/>
    <row r="810" hidden="1" x14ac:dyDescent="0.2"/>
    <row r="811" hidden="1" x14ac:dyDescent="0.2"/>
    <row r="812" hidden="1" x14ac:dyDescent="0.2"/>
    <row r="813" hidden="1" x14ac:dyDescent="0.2"/>
    <row r="814" hidden="1" x14ac:dyDescent="0.2"/>
    <row r="815" hidden="1" x14ac:dyDescent="0.2"/>
    <row r="816" hidden="1" x14ac:dyDescent="0.2"/>
    <row r="817" hidden="1" x14ac:dyDescent="0.2"/>
    <row r="818" hidden="1" x14ac:dyDescent="0.2"/>
    <row r="819" hidden="1" x14ac:dyDescent="0.2"/>
    <row r="820" hidden="1" x14ac:dyDescent="0.2"/>
    <row r="821" hidden="1" x14ac:dyDescent="0.2"/>
    <row r="822" hidden="1" x14ac:dyDescent="0.2"/>
    <row r="823" hidden="1" x14ac:dyDescent="0.2"/>
    <row r="824" hidden="1" x14ac:dyDescent="0.2"/>
    <row r="825" hidden="1" x14ac:dyDescent="0.2"/>
    <row r="826" hidden="1" x14ac:dyDescent="0.2"/>
    <row r="827" hidden="1" x14ac:dyDescent="0.2"/>
    <row r="828" hidden="1" x14ac:dyDescent="0.2"/>
    <row r="829" hidden="1" x14ac:dyDescent="0.2"/>
    <row r="830" hidden="1" x14ac:dyDescent="0.2"/>
    <row r="831" hidden="1" x14ac:dyDescent="0.2"/>
    <row r="832" hidden="1" x14ac:dyDescent="0.2"/>
    <row r="833" hidden="1" x14ac:dyDescent="0.2"/>
    <row r="834" hidden="1" x14ac:dyDescent="0.2"/>
    <row r="835" hidden="1" x14ac:dyDescent="0.2"/>
    <row r="836" hidden="1" x14ac:dyDescent="0.2"/>
    <row r="837" hidden="1" x14ac:dyDescent="0.2"/>
    <row r="838" hidden="1" x14ac:dyDescent="0.2"/>
    <row r="839" hidden="1" x14ac:dyDescent="0.2"/>
    <row r="840" hidden="1" x14ac:dyDescent="0.2"/>
    <row r="841" hidden="1" x14ac:dyDescent="0.2"/>
    <row r="842" hidden="1" x14ac:dyDescent="0.2"/>
    <row r="843" hidden="1" x14ac:dyDescent="0.2"/>
    <row r="844" hidden="1" x14ac:dyDescent="0.2"/>
    <row r="845" hidden="1" x14ac:dyDescent="0.2"/>
    <row r="846" hidden="1" x14ac:dyDescent="0.2"/>
    <row r="847" hidden="1" x14ac:dyDescent="0.2"/>
    <row r="848" hidden="1" x14ac:dyDescent="0.2"/>
    <row r="849" hidden="1" x14ac:dyDescent="0.2"/>
    <row r="850" hidden="1" x14ac:dyDescent="0.2"/>
    <row r="851" hidden="1" x14ac:dyDescent="0.2"/>
    <row r="852" hidden="1" x14ac:dyDescent="0.2"/>
    <row r="853" hidden="1" x14ac:dyDescent="0.2"/>
    <row r="854" hidden="1" x14ac:dyDescent="0.2"/>
    <row r="855" hidden="1" x14ac:dyDescent="0.2"/>
    <row r="856" hidden="1" x14ac:dyDescent="0.2"/>
    <row r="857" hidden="1" x14ac:dyDescent="0.2"/>
    <row r="858" hidden="1" x14ac:dyDescent="0.2"/>
    <row r="859" hidden="1" x14ac:dyDescent="0.2"/>
    <row r="860" hidden="1" x14ac:dyDescent="0.2"/>
    <row r="861" hidden="1" x14ac:dyDescent="0.2"/>
    <row r="862" hidden="1" x14ac:dyDescent="0.2"/>
    <row r="863" hidden="1" x14ac:dyDescent="0.2"/>
    <row r="864" hidden="1" x14ac:dyDescent="0.2"/>
    <row r="865" hidden="1" x14ac:dyDescent="0.2"/>
    <row r="866" hidden="1" x14ac:dyDescent="0.2"/>
    <row r="867" hidden="1" x14ac:dyDescent="0.2"/>
    <row r="868" hidden="1" x14ac:dyDescent="0.2"/>
    <row r="869" hidden="1" x14ac:dyDescent="0.2"/>
    <row r="870" hidden="1" x14ac:dyDescent="0.2"/>
    <row r="871" hidden="1" x14ac:dyDescent="0.2"/>
    <row r="872" hidden="1" x14ac:dyDescent="0.2"/>
    <row r="873" hidden="1" x14ac:dyDescent="0.2"/>
    <row r="874" hidden="1" x14ac:dyDescent="0.2"/>
    <row r="875" hidden="1" x14ac:dyDescent="0.2"/>
    <row r="876" hidden="1" x14ac:dyDescent="0.2"/>
    <row r="877" hidden="1" x14ac:dyDescent="0.2"/>
    <row r="878" hidden="1" x14ac:dyDescent="0.2"/>
    <row r="879" hidden="1" x14ac:dyDescent="0.2"/>
    <row r="880" hidden="1" x14ac:dyDescent="0.2"/>
    <row r="881" hidden="1" x14ac:dyDescent="0.2"/>
    <row r="882" hidden="1" x14ac:dyDescent="0.2"/>
    <row r="883" hidden="1" x14ac:dyDescent="0.2"/>
    <row r="884" hidden="1" x14ac:dyDescent="0.2"/>
    <row r="885" hidden="1" x14ac:dyDescent="0.2"/>
    <row r="886" hidden="1" x14ac:dyDescent="0.2"/>
    <row r="887" hidden="1" x14ac:dyDescent="0.2"/>
    <row r="888" hidden="1" x14ac:dyDescent="0.2"/>
    <row r="889" hidden="1" x14ac:dyDescent="0.2"/>
    <row r="890" hidden="1" x14ac:dyDescent="0.2"/>
    <row r="891" hidden="1" x14ac:dyDescent="0.2"/>
    <row r="892" hidden="1" x14ac:dyDescent="0.2"/>
    <row r="893" hidden="1" x14ac:dyDescent="0.2"/>
    <row r="894" hidden="1" x14ac:dyDescent="0.2"/>
    <row r="895" hidden="1" x14ac:dyDescent="0.2"/>
    <row r="896" hidden="1" x14ac:dyDescent="0.2"/>
    <row r="897" hidden="1" x14ac:dyDescent="0.2"/>
    <row r="898" hidden="1" x14ac:dyDescent="0.2"/>
    <row r="899" hidden="1" x14ac:dyDescent="0.2"/>
    <row r="900" hidden="1" x14ac:dyDescent="0.2"/>
    <row r="901" hidden="1" x14ac:dyDescent="0.2"/>
    <row r="902" hidden="1" x14ac:dyDescent="0.2"/>
    <row r="903" hidden="1" x14ac:dyDescent="0.2"/>
    <row r="904" hidden="1" x14ac:dyDescent="0.2"/>
    <row r="905" hidden="1" x14ac:dyDescent="0.2"/>
    <row r="906" hidden="1" x14ac:dyDescent="0.2"/>
    <row r="907" hidden="1" x14ac:dyDescent="0.2"/>
    <row r="908" hidden="1" x14ac:dyDescent="0.2"/>
    <row r="909" hidden="1" x14ac:dyDescent="0.2"/>
    <row r="910" hidden="1" x14ac:dyDescent="0.2"/>
    <row r="911" hidden="1" x14ac:dyDescent="0.2"/>
    <row r="912" hidden="1" x14ac:dyDescent="0.2"/>
    <row r="913" hidden="1" x14ac:dyDescent="0.2"/>
    <row r="914" hidden="1" x14ac:dyDescent="0.2"/>
    <row r="915" hidden="1" x14ac:dyDescent="0.2"/>
    <row r="916" hidden="1" x14ac:dyDescent="0.2"/>
    <row r="917" hidden="1" x14ac:dyDescent="0.2"/>
    <row r="918" hidden="1" x14ac:dyDescent="0.2"/>
    <row r="919" hidden="1" x14ac:dyDescent="0.2"/>
    <row r="920" hidden="1" x14ac:dyDescent="0.2"/>
    <row r="921" hidden="1" x14ac:dyDescent="0.2"/>
    <row r="922" hidden="1" x14ac:dyDescent="0.2"/>
    <row r="923" hidden="1" x14ac:dyDescent="0.2"/>
    <row r="924" hidden="1" x14ac:dyDescent="0.2"/>
    <row r="925" hidden="1" x14ac:dyDescent="0.2"/>
    <row r="926" hidden="1" x14ac:dyDescent="0.2"/>
    <row r="927" hidden="1" x14ac:dyDescent="0.2"/>
    <row r="928" hidden="1" x14ac:dyDescent="0.2"/>
    <row r="929" hidden="1" x14ac:dyDescent="0.2"/>
    <row r="930" hidden="1" x14ac:dyDescent="0.2"/>
    <row r="931" hidden="1" x14ac:dyDescent="0.2"/>
    <row r="932" hidden="1" x14ac:dyDescent="0.2"/>
    <row r="933" hidden="1" x14ac:dyDescent="0.2"/>
    <row r="934" hidden="1" x14ac:dyDescent="0.2"/>
    <row r="935" hidden="1" x14ac:dyDescent="0.2"/>
    <row r="936" hidden="1" x14ac:dyDescent="0.2"/>
    <row r="937" hidden="1" x14ac:dyDescent="0.2"/>
    <row r="938" hidden="1" x14ac:dyDescent="0.2"/>
    <row r="939" hidden="1" x14ac:dyDescent="0.2"/>
    <row r="940" hidden="1" x14ac:dyDescent="0.2"/>
    <row r="941" hidden="1" x14ac:dyDescent="0.2"/>
    <row r="942" hidden="1" x14ac:dyDescent="0.2"/>
    <row r="943" hidden="1" x14ac:dyDescent="0.2"/>
    <row r="944" hidden="1" x14ac:dyDescent="0.2"/>
    <row r="945" hidden="1" x14ac:dyDescent="0.2"/>
    <row r="946" hidden="1" x14ac:dyDescent="0.2"/>
    <row r="947" hidden="1" x14ac:dyDescent="0.2"/>
    <row r="948" hidden="1" x14ac:dyDescent="0.2"/>
    <row r="949" hidden="1" x14ac:dyDescent="0.2"/>
    <row r="950" hidden="1" x14ac:dyDescent="0.2"/>
    <row r="951" hidden="1" x14ac:dyDescent="0.2"/>
    <row r="952" hidden="1" x14ac:dyDescent="0.2"/>
    <row r="953" hidden="1" x14ac:dyDescent="0.2"/>
    <row r="954" hidden="1" x14ac:dyDescent="0.2"/>
    <row r="955" hidden="1" x14ac:dyDescent="0.2"/>
    <row r="956" hidden="1" x14ac:dyDescent="0.2"/>
    <row r="957" hidden="1" x14ac:dyDescent="0.2"/>
    <row r="958" hidden="1" x14ac:dyDescent="0.2"/>
    <row r="959" hidden="1" x14ac:dyDescent="0.2"/>
    <row r="960" hidden="1" x14ac:dyDescent="0.2"/>
    <row r="961" hidden="1" x14ac:dyDescent="0.2"/>
    <row r="962" hidden="1" x14ac:dyDescent="0.2"/>
    <row r="963" hidden="1" x14ac:dyDescent="0.2"/>
    <row r="964" hidden="1" x14ac:dyDescent="0.2"/>
    <row r="965" hidden="1" x14ac:dyDescent="0.2"/>
    <row r="966" hidden="1" x14ac:dyDescent="0.2"/>
    <row r="967" hidden="1" x14ac:dyDescent="0.2"/>
    <row r="968" hidden="1" x14ac:dyDescent="0.2"/>
    <row r="969" hidden="1" x14ac:dyDescent="0.2"/>
    <row r="970" hidden="1" x14ac:dyDescent="0.2"/>
    <row r="971" hidden="1" x14ac:dyDescent="0.2"/>
    <row r="972" hidden="1" x14ac:dyDescent="0.2"/>
    <row r="973" hidden="1" x14ac:dyDescent="0.2"/>
    <row r="974" hidden="1" x14ac:dyDescent="0.2"/>
    <row r="975" hidden="1" x14ac:dyDescent="0.2"/>
    <row r="976" hidden="1" x14ac:dyDescent="0.2"/>
    <row r="977" hidden="1" x14ac:dyDescent="0.2"/>
    <row r="978" hidden="1" x14ac:dyDescent="0.2"/>
    <row r="979" hidden="1" x14ac:dyDescent="0.2"/>
    <row r="980" hidden="1" x14ac:dyDescent="0.2"/>
    <row r="981" hidden="1" x14ac:dyDescent="0.2"/>
    <row r="982" hidden="1" x14ac:dyDescent="0.2"/>
    <row r="983" hidden="1" x14ac:dyDescent="0.2"/>
    <row r="984" hidden="1" x14ac:dyDescent="0.2"/>
    <row r="985" hidden="1" x14ac:dyDescent="0.2"/>
    <row r="986" hidden="1" x14ac:dyDescent="0.2"/>
    <row r="987" hidden="1" x14ac:dyDescent="0.2"/>
    <row r="988" hidden="1" x14ac:dyDescent="0.2"/>
    <row r="989" hidden="1" x14ac:dyDescent="0.2"/>
    <row r="990" hidden="1" x14ac:dyDescent="0.2"/>
    <row r="991" hidden="1" x14ac:dyDescent="0.2"/>
    <row r="992" hidden="1" x14ac:dyDescent="0.2"/>
    <row r="993" hidden="1" x14ac:dyDescent="0.2"/>
    <row r="994" hidden="1" x14ac:dyDescent="0.2"/>
    <row r="995" hidden="1" x14ac:dyDescent="0.2"/>
    <row r="996" hidden="1" x14ac:dyDescent="0.2"/>
    <row r="997" hidden="1" x14ac:dyDescent="0.2"/>
    <row r="998" hidden="1" x14ac:dyDescent="0.2"/>
    <row r="999" hidden="1" x14ac:dyDescent="0.2"/>
    <row r="1000" hidden="1" x14ac:dyDescent="0.2"/>
    <row r="1001" hidden="1" x14ac:dyDescent="0.2"/>
    <row r="1002" hidden="1" x14ac:dyDescent="0.2"/>
    <row r="1003" hidden="1" x14ac:dyDescent="0.2"/>
    <row r="1004" hidden="1" x14ac:dyDescent="0.2"/>
    <row r="1005" hidden="1" x14ac:dyDescent="0.2"/>
    <row r="1006" hidden="1" x14ac:dyDescent="0.2"/>
    <row r="1007" hidden="1" x14ac:dyDescent="0.2"/>
    <row r="1008" hidden="1" x14ac:dyDescent="0.2"/>
    <row r="1009" hidden="1" x14ac:dyDescent="0.2"/>
    <row r="1010" hidden="1" x14ac:dyDescent="0.2"/>
    <row r="1011" hidden="1" x14ac:dyDescent="0.2"/>
    <row r="1012" hidden="1" x14ac:dyDescent="0.2"/>
    <row r="1013" hidden="1" x14ac:dyDescent="0.2"/>
    <row r="1014" hidden="1" x14ac:dyDescent="0.2"/>
    <row r="1015" hidden="1" x14ac:dyDescent="0.2"/>
    <row r="1016" hidden="1" x14ac:dyDescent="0.2"/>
    <row r="1017" hidden="1" x14ac:dyDescent="0.2"/>
    <row r="1018" hidden="1" x14ac:dyDescent="0.2"/>
    <row r="1019" hidden="1" x14ac:dyDescent="0.2"/>
    <row r="1020" hidden="1" x14ac:dyDescent="0.2"/>
    <row r="1021" hidden="1" x14ac:dyDescent="0.2"/>
    <row r="1022" hidden="1" x14ac:dyDescent="0.2"/>
    <row r="1023" hidden="1" x14ac:dyDescent="0.2"/>
    <row r="1024" hidden="1" x14ac:dyDescent="0.2"/>
    <row r="1025" hidden="1" x14ac:dyDescent="0.2"/>
    <row r="1026" hidden="1" x14ac:dyDescent="0.2"/>
    <row r="1027" hidden="1" x14ac:dyDescent="0.2"/>
    <row r="1028" hidden="1" x14ac:dyDescent="0.2"/>
    <row r="1029" hidden="1" x14ac:dyDescent="0.2"/>
    <row r="1030" hidden="1" x14ac:dyDescent="0.2"/>
    <row r="1031" hidden="1" x14ac:dyDescent="0.2"/>
    <row r="1032" hidden="1" x14ac:dyDescent="0.2"/>
    <row r="1033" hidden="1" x14ac:dyDescent="0.2"/>
    <row r="1034" hidden="1" x14ac:dyDescent="0.2"/>
    <row r="1035" hidden="1" x14ac:dyDescent="0.2"/>
    <row r="1036" hidden="1" x14ac:dyDescent="0.2"/>
    <row r="1037" hidden="1" x14ac:dyDescent="0.2"/>
    <row r="1038" hidden="1" x14ac:dyDescent="0.2"/>
    <row r="1039" hidden="1" x14ac:dyDescent="0.2"/>
    <row r="1040" hidden="1" x14ac:dyDescent="0.2"/>
    <row r="1041" hidden="1" x14ac:dyDescent="0.2"/>
    <row r="1042" hidden="1" x14ac:dyDescent="0.2"/>
    <row r="1043" hidden="1" x14ac:dyDescent="0.2"/>
    <row r="1044" hidden="1" x14ac:dyDescent="0.2"/>
    <row r="1045" hidden="1" x14ac:dyDescent="0.2"/>
    <row r="1046" hidden="1" x14ac:dyDescent="0.2"/>
    <row r="1047" hidden="1" x14ac:dyDescent="0.2"/>
    <row r="1048" hidden="1" x14ac:dyDescent="0.2"/>
    <row r="1049" hidden="1" x14ac:dyDescent="0.2"/>
    <row r="1050" hidden="1" x14ac:dyDescent="0.2"/>
    <row r="1051" hidden="1" x14ac:dyDescent="0.2"/>
    <row r="1052" hidden="1" x14ac:dyDescent="0.2"/>
    <row r="1053" hidden="1" x14ac:dyDescent="0.2"/>
    <row r="1054" hidden="1" x14ac:dyDescent="0.2"/>
    <row r="1055" hidden="1" x14ac:dyDescent="0.2"/>
    <row r="1056" hidden="1" x14ac:dyDescent="0.2"/>
    <row r="1057" hidden="1" x14ac:dyDescent="0.2"/>
    <row r="1058" hidden="1" x14ac:dyDescent="0.2"/>
    <row r="1059" hidden="1" x14ac:dyDescent="0.2"/>
    <row r="1060" hidden="1" x14ac:dyDescent="0.2"/>
    <row r="1061" hidden="1" x14ac:dyDescent="0.2"/>
    <row r="1062" hidden="1" x14ac:dyDescent="0.2"/>
    <row r="1063" hidden="1" x14ac:dyDescent="0.2"/>
    <row r="1064" hidden="1" x14ac:dyDescent="0.2"/>
    <row r="1065" hidden="1" x14ac:dyDescent="0.2"/>
    <row r="1066" hidden="1" x14ac:dyDescent="0.2"/>
    <row r="1067" hidden="1" x14ac:dyDescent="0.2"/>
    <row r="1068" hidden="1" x14ac:dyDescent="0.2"/>
    <row r="1069" hidden="1" x14ac:dyDescent="0.2"/>
    <row r="1070" hidden="1" x14ac:dyDescent="0.2"/>
    <row r="1071" hidden="1" x14ac:dyDescent="0.2"/>
    <row r="1072" hidden="1" x14ac:dyDescent="0.2"/>
    <row r="1073" hidden="1" x14ac:dyDescent="0.2"/>
    <row r="1074" hidden="1" x14ac:dyDescent="0.2"/>
    <row r="1075" hidden="1" x14ac:dyDescent="0.2"/>
    <row r="1076" hidden="1" x14ac:dyDescent="0.2"/>
    <row r="1077" hidden="1" x14ac:dyDescent="0.2"/>
    <row r="1078" hidden="1" x14ac:dyDescent="0.2"/>
    <row r="1079" hidden="1" x14ac:dyDescent="0.2"/>
    <row r="1080" hidden="1" x14ac:dyDescent="0.2"/>
    <row r="1081" hidden="1" x14ac:dyDescent="0.2"/>
    <row r="1082" hidden="1" x14ac:dyDescent="0.2"/>
    <row r="1083" hidden="1" x14ac:dyDescent="0.2"/>
    <row r="1084" hidden="1" x14ac:dyDescent="0.2"/>
    <row r="1085" hidden="1" x14ac:dyDescent="0.2"/>
    <row r="1086" hidden="1" x14ac:dyDescent="0.2"/>
    <row r="1087" hidden="1" x14ac:dyDescent="0.2"/>
    <row r="1088" hidden="1" x14ac:dyDescent="0.2"/>
    <row r="1089" hidden="1" x14ac:dyDescent="0.2"/>
    <row r="1090" hidden="1" x14ac:dyDescent="0.2"/>
    <row r="1091" hidden="1" x14ac:dyDescent="0.2"/>
    <row r="1092" hidden="1" x14ac:dyDescent="0.2"/>
    <row r="1093" hidden="1" x14ac:dyDescent="0.2"/>
    <row r="1094" hidden="1" x14ac:dyDescent="0.2"/>
    <row r="1095" hidden="1" x14ac:dyDescent="0.2"/>
    <row r="1096" hidden="1" x14ac:dyDescent="0.2"/>
    <row r="1097" hidden="1" x14ac:dyDescent="0.2"/>
    <row r="1098" hidden="1" x14ac:dyDescent="0.2"/>
    <row r="1099" hidden="1" x14ac:dyDescent="0.2"/>
    <row r="1100" hidden="1" x14ac:dyDescent="0.2"/>
    <row r="1101" hidden="1" x14ac:dyDescent="0.2"/>
    <row r="1102" hidden="1" x14ac:dyDescent="0.2"/>
    <row r="1103" hidden="1" x14ac:dyDescent="0.2"/>
    <row r="1104" hidden="1" x14ac:dyDescent="0.2"/>
    <row r="1105" hidden="1" x14ac:dyDescent="0.2"/>
    <row r="1106" hidden="1" x14ac:dyDescent="0.2"/>
    <row r="1107" hidden="1" x14ac:dyDescent="0.2"/>
    <row r="1108" hidden="1" x14ac:dyDescent="0.2"/>
    <row r="1109" hidden="1" x14ac:dyDescent="0.2"/>
    <row r="1110" hidden="1" x14ac:dyDescent="0.2"/>
    <row r="1111" hidden="1" x14ac:dyDescent="0.2"/>
    <row r="1112" hidden="1" x14ac:dyDescent="0.2"/>
    <row r="1113" hidden="1" x14ac:dyDescent="0.2"/>
    <row r="1114" hidden="1" x14ac:dyDescent="0.2"/>
    <row r="1115" hidden="1" x14ac:dyDescent="0.2"/>
    <row r="1116" hidden="1" x14ac:dyDescent="0.2"/>
    <row r="1117" hidden="1" x14ac:dyDescent="0.2"/>
    <row r="1118" hidden="1" x14ac:dyDescent="0.2"/>
    <row r="1119" hidden="1" x14ac:dyDescent="0.2"/>
    <row r="1120" hidden="1" x14ac:dyDescent="0.2"/>
    <row r="1121" hidden="1" x14ac:dyDescent="0.2"/>
    <row r="1122" hidden="1" x14ac:dyDescent="0.2"/>
    <row r="1123" hidden="1" x14ac:dyDescent="0.2"/>
    <row r="1124" hidden="1" x14ac:dyDescent="0.2"/>
    <row r="1125" hidden="1" x14ac:dyDescent="0.2"/>
    <row r="1126" hidden="1" x14ac:dyDescent="0.2"/>
    <row r="1127" hidden="1" x14ac:dyDescent="0.2"/>
    <row r="1128" hidden="1" x14ac:dyDescent="0.2"/>
    <row r="1129" hidden="1" x14ac:dyDescent="0.2"/>
    <row r="1130" hidden="1" x14ac:dyDescent="0.2"/>
    <row r="1131" hidden="1" x14ac:dyDescent="0.2"/>
    <row r="1132" hidden="1" x14ac:dyDescent="0.2"/>
    <row r="1133" hidden="1" x14ac:dyDescent="0.2"/>
    <row r="1134" hidden="1" x14ac:dyDescent="0.2"/>
    <row r="1135" hidden="1" x14ac:dyDescent="0.2"/>
    <row r="1136" hidden="1" x14ac:dyDescent="0.2"/>
    <row r="1137" hidden="1" x14ac:dyDescent="0.2"/>
    <row r="1138" hidden="1" x14ac:dyDescent="0.2"/>
    <row r="1139" hidden="1" x14ac:dyDescent="0.2"/>
    <row r="1140" hidden="1" x14ac:dyDescent="0.2"/>
    <row r="1141" hidden="1" x14ac:dyDescent="0.2"/>
    <row r="1142" hidden="1" x14ac:dyDescent="0.2"/>
    <row r="1143" hidden="1" x14ac:dyDescent="0.2"/>
    <row r="1144" hidden="1" x14ac:dyDescent="0.2"/>
    <row r="1145" hidden="1" x14ac:dyDescent="0.2"/>
    <row r="1146" hidden="1" x14ac:dyDescent="0.2"/>
    <row r="1147" hidden="1" x14ac:dyDescent="0.2"/>
    <row r="1148" hidden="1" x14ac:dyDescent="0.2"/>
    <row r="1149" hidden="1" x14ac:dyDescent="0.2"/>
    <row r="1150" hidden="1" x14ac:dyDescent="0.2"/>
    <row r="1151" hidden="1" x14ac:dyDescent="0.2"/>
    <row r="1152" hidden="1" x14ac:dyDescent="0.2"/>
    <row r="1153" hidden="1" x14ac:dyDescent="0.2"/>
    <row r="1154" hidden="1" x14ac:dyDescent="0.2"/>
    <row r="1155" hidden="1" x14ac:dyDescent="0.2"/>
    <row r="1156" hidden="1" x14ac:dyDescent="0.2"/>
    <row r="1157" hidden="1" x14ac:dyDescent="0.2"/>
    <row r="1158" hidden="1" x14ac:dyDescent="0.2"/>
    <row r="1159" hidden="1" x14ac:dyDescent="0.2"/>
    <row r="1160" hidden="1" x14ac:dyDescent="0.2"/>
    <row r="1161" hidden="1" x14ac:dyDescent="0.2"/>
    <row r="1162" hidden="1" x14ac:dyDescent="0.2"/>
    <row r="1163" hidden="1" x14ac:dyDescent="0.2"/>
    <row r="1164" hidden="1" x14ac:dyDescent="0.2"/>
    <row r="1165" hidden="1" x14ac:dyDescent="0.2"/>
    <row r="1166" hidden="1" x14ac:dyDescent="0.2"/>
    <row r="1167" hidden="1" x14ac:dyDescent="0.2"/>
    <row r="1168" hidden="1" x14ac:dyDescent="0.2"/>
    <row r="1169" hidden="1" x14ac:dyDescent="0.2"/>
    <row r="1170" hidden="1" x14ac:dyDescent="0.2"/>
    <row r="1171" hidden="1" x14ac:dyDescent="0.2"/>
    <row r="1172" hidden="1" x14ac:dyDescent="0.2"/>
    <row r="1173" hidden="1" x14ac:dyDescent="0.2"/>
    <row r="1174" hidden="1" x14ac:dyDescent="0.2"/>
    <row r="1175" hidden="1" x14ac:dyDescent="0.2"/>
    <row r="1176" hidden="1" x14ac:dyDescent="0.2"/>
    <row r="1177" hidden="1" x14ac:dyDescent="0.2"/>
    <row r="1178" hidden="1" x14ac:dyDescent="0.2"/>
    <row r="1179" hidden="1" x14ac:dyDescent="0.2"/>
    <row r="1180" hidden="1" x14ac:dyDescent="0.2"/>
    <row r="1181" hidden="1" x14ac:dyDescent="0.2"/>
    <row r="1182" hidden="1" x14ac:dyDescent="0.2"/>
    <row r="1183" hidden="1" x14ac:dyDescent="0.2"/>
    <row r="1184" hidden="1" x14ac:dyDescent="0.2"/>
    <row r="1185" hidden="1" x14ac:dyDescent="0.2"/>
    <row r="1186" hidden="1" x14ac:dyDescent="0.2"/>
    <row r="1187" hidden="1" x14ac:dyDescent="0.2"/>
    <row r="1188" hidden="1" x14ac:dyDescent="0.2"/>
    <row r="1189" hidden="1" x14ac:dyDescent="0.2"/>
    <row r="1190" hidden="1" x14ac:dyDescent="0.2"/>
    <row r="1191" hidden="1" x14ac:dyDescent="0.2"/>
    <row r="1192" hidden="1" x14ac:dyDescent="0.2"/>
    <row r="1193" hidden="1" x14ac:dyDescent="0.2"/>
    <row r="1194" hidden="1" x14ac:dyDescent="0.2"/>
    <row r="1195" hidden="1" x14ac:dyDescent="0.2"/>
    <row r="1196" hidden="1" x14ac:dyDescent="0.2"/>
    <row r="1197" hidden="1" x14ac:dyDescent="0.2"/>
    <row r="1198" hidden="1" x14ac:dyDescent="0.2"/>
    <row r="1199" hidden="1" x14ac:dyDescent="0.2"/>
    <row r="1200" hidden="1" x14ac:dyDescent="0.2"/>
    <row r="1201" hidden="1" x14ac:dyDescent="0.2"/>
    <row r="1202" hidden="1" x14ac:dyDescent="0.2"/>
    <row r="1203" hidden="1" x14ac:dyDescent="0.2"/>
    <row r="1204" hidden="1" x14ac:dyDescent="0.2"/>
    <row r="1205" hidden="1" x14ac:dyDescent="0.2"/>
    <row r="1206" hidden="1" x14ac:dyDescent="0.2"/>
    <row r="1207" hidden="1" x14ac:dyDescent="0.2"/>
    <row r="1208" hidden="1" x14ac:dyDescent="0.2"/>
    <row r="1209" hidden="1" x14ac:dyDescent="0.2"/>
    <row r="1210" hidden="1" x14ac:dyDescent="0.2"/>
    <row r="1211" hidden="1" x14ac:dyDescent="0.2"/>
    <row r="1212" hidden="1" x14ac:dyDescent="0.2"/>
    <row r="1213" hidden="1" x14ac:dyDescent="0.2"/>
    <row r="1214" hidden="1" x14ac:dyDescent="0.2"/>
    <row r="1215" hidden="1" x14ac:dyDescent="0.2"/>
    <row r="1216" hidden="1" x14ac:dyDescent="0.2"/>
    <row r="1217" hidden="1" x14ac:dyDescent="0.2"/>
    <row r="1218" hidden="1" x14ac:dyDescent="0.2"/>
    <row r="1219" hidden="1" x14ac:dyDescent="0.2"/>
    <row r="1220" hidden="1" x14ac:dyDescent="0.2"/>
    <row r="1221" hidden="1" x14ac:dyDescent="0.2"/>
    <row r="1222" hidden="1" x14ac:dyDescent="0.2"/>
    <row r="1223" hidden="1" x14ac:dyDescent="0.2"/>
    <row r="1224" hidden="1" x14ac:dyDescent="0.2"/>
    <row r="1225" hidden="1" x14ac:dyDescent="0.2"/>
    <row r="1226" hidden="1" x14ac:dyDescent="0.2"/>
    <row r="1227" hidden="1" x14ac:dyDescent="0.2"/>
    <row r="1228" hidden="1" x14ac:dyDescent="0.2"/>
    <row r="1229" hidden="1" x14ac:dyDescent="0.2"/>
    <row r="1230" hidden="1" x14ac:dyDescent="0.2"/>
    <row r="1231" hidden="1" x14ac:dyDescent="0.2"/>
    <row r="1232" hidden="1" x14ac:dyDescent="0.2"/>
    <row r="1233" hidden="1" x14ac:dyDescent="0.2"/>
    <row r="1234" hidden="1" x14ac:dyDescent="0.2"/>
    <row r="1235" hidden="1" x14ac:dyDescent="0.2"/>
    <row r="1236" hidden="1" x14ac:dyDescent="0.2"/>
    <row r="1237" hidden="1" x14ac:dyDescent="0.2"/>
    <row r="1238" hidden="1" x14ac:dyDescent="0.2"/>
    <row r="1239" hidden="1" x14ac:dyDescent="0.2"/>
    <row r="1240" hidden="1" x14ac:dyDescent="0.2"/>
    <row r="1241" hidden="1" x14ac:dyDescent="0.2"/>
    <row r="1242" hidden="1" x14ac:dyDescent="0.2"/>
    <row r="1243" hidden="1" x14ac:dyDescent="0.2"/>
    <row r="1244" hidden="1" x14ac:dyDescent="0.2"/>
    <row r="1245" hidden="1" x14ac:dyDescent="0.2"/>
    <row r="1246" hidden="1" x14ac:dyDescent="0.2"/>
    <row r="1247" hidden="1" x14ac:dyDescent="0.2"/>
    <row r="1248" hidden="1" x14ac:dyDescent="0.2"/>
    <row r="1249" hidden="1" x14ac:dyDescent="0.2"/>
    <row r="1250" hidden="1" x14ac:dyDescent="0.2"/>
    <row r="1251" hidden="1" x14ac:dyDescent="0.2"/>
    <row r="1252" hidden="1" x14ac:dyDescent="0.2"/>
    <row r="1253" hidden="1" x14ac:dyDescent="0.2"/>
    <row r="1254" hidden="1" x14ac:dyDescent="0.2"/>
    <row r="1255" hidden="1" x14ac:dyDescent="0.2"/>
    <row r="1256" hidden="1" x14ac:dyDescent="0.2"/>
    <row r="1257" hidden="1" x14ac:dyDescent="0.2"/>
    <row r="1258" hidden="1" x14ac:dyDescent="0.2"/>
    <row r="1259" hidden="1" x14ac:dyDescent="0.2"/>
    <row r="1260" hidden="1" x14ac:dyDescent="0.2"/>
    <row r="1261" hidden="1" x14ac:dyDescent="0.2"/>
    <row r="1262" hidden="1" x14ac:dyDescent="0.2"/>
    <row r="1263" hidden="1" x14ac:dyDescent="0.2"/>
    <row r="1264" hidden="1" x14ac:dyDescent="0.2"/>
    <row r="1265" hidden="1" x14ac:dyDescent="0.2"/>
    <row r="1266" hidden="1" x14ac:dyDescent="0.2"/>
    <row r="1267" hidden="1" x14ac:dyDescent="0.2"/>
    <row r="1268" hidden="1" x14ac:dyDescent="0.2"/>
    <row r="1269" hidden="1" x14ac:dyDescent="0.2"/>
    <row r="1270" hidden="1" x14ac:dyDescent="0.2"/>
    <row r="1271" hidden="1" x14ac:dyDescent="0.2"/>
    <row r="1272" hidden="1" x14ac:dyDescent="0.2"/>
    <row r="1273" hidden="1" x14ac:dyDescent="0.2"/>
    <row r="1274" hidden="1" x14ac:dyDescent="0.2"/>
    <row r="1275" hidden="1" x14ac:dyDescent="0.2"/>
    <row r="1276" hidden="1" x14ac:dyDescent="0.2"/>
    <row r="1277" hidden="1" x14ac:dyDescent="0.2"/>
    <row r="1278" hidden="1" x14ac:dyDescent="0.2"/>
    <row r="1279" hidden="1" x14ac:dyDescent="0.2"/>
    <row r="1280" hidden="1" x14ac:dyDescent="0.2"/>
    <row r="1281" hidden="1" x14ac:dyDescent="0.2"/>
    <row r="1282" hidden="1" x14ac:dyDescent="0.2"/>
    <row r="1283" hidden="1" x14ac:dyDescent="0.2"/>
    <row r="1284" hidden="1" x14ac:dyDescent="0.2"/>
    <row r="1285" hidden="1" x14ac:dyDescent="0.2"/>
    <row r="1286" hidden="1" x14ac:dyDescent="0.2"/>
    <row r="1287" hidden="1" x14ac:dyDescent="0.2"/>
    <row r="1288" hidden="1" x14ac:dyDescent="0.2"/>
    <row r="1289" hidden="1" x14ac:dyDescent="0.2"/>
    <row r="1290" hidden="1" x14ac:dyDescent="0.2"/>
    <row r="1291" hidden="1" x14ac:dyDescent="0.2"/>
    <row r="1292" hidden="1" x14ac:dyDescent="0.2"/>
    <row r="1293" hidden="1" x14ac:dyDescent="0.2"/>
    <row r="1294" hidden="1" x14ac:dyDescent="0.2"/>
    <row r="1295" hidden="1" x14ac:dyDescent="0.2"/>
    <row r="1296" hidden="1" x14ac:dyDescent="0.2"/>
    <row r="1297" hidden="1" x14ac:dyDescent="0.2"/>
    <row r="1298" hidden="1" x14ac:dyDescent="0.2"/>
    <row r="1299" hidden="1" x14ac:dyDescent="0.2"/>
    <row r="1300" hidden="1" x14ac:dyDescent="0.2"/>
    <row r="1301" hidden="1" x14ac:dyDescent="0.2"/>
    <row r="1302" hidden="1" x14ac:dyDescent="0.2"/>
    <row r="1303" hidden="1" x14ac:dyDescent="0.2"/>
    <row r="1304" hidden="1" x14ac:dyDescent="0.2"/>
    <row r="1305" hidden="1" x14ac:dyDescent="0.2"/>
    <row r="1306" hidden="1" x14ac:dyDescent="0.2"/>
    <row r="1307" hidden="1" x14ac:dyDescent="0.2"/>
    <row r="1308" hidden="1" x14ac:dyDescent="0.2"/>
    <row r="1309" hidden="1" x14ac:dyDescent="0.2"/>
    <row r="1310" hidden="1" x14ac:dyDescent="0.2"/>
    <row r="1311" hidden="1" x14ac:dyDescent="0.2"/>
    <row r="1312" hidden="1" x14ac:dyDescent="0.2"/>
    <row r="1313" hidden="1" x14ac:dyDescent="0.2"/>
    <row r="1314" hidden="1" x14ac:dyDescent="0.2"/>
    <row r="1315" hidden="1" x14ac:dyDescent="0.2"/>
    <row r="1316" hidden="1" x14ac:dyDescent="0.2"/>
    <row r="1317" hidden="1" x14ac:dyDescent="0.2"/>
    <row r="1318" hidden="1" x14ac:dyDescent="0.2"/>
    <row r="1319" hidden="1" x14ac:dyDescent="0.2"/>
    <row r="1320" hidden="1" x14ac:dyDescent="0.2"/>
    <row r="1321" hidden="1" x14ac:dyDescent="0.2"/>
    <row r="1322" hidden="1" x14ac:dyDescent="0.2"/>
    <row r="1323" hidden="1" x14ac:dyDescent="0.2"/>
    <row r="1324" hidden="1" x14ac:dyDescent="0.2"/>
    <row r="1325" hidden="1" x14ac:dyDescent="0.2"/>
    <row r="1326" hidden="1" x14ac:dyDescent="0.2"/>
    <row r="1327" hidden="1" x14ac:dyDescent="0.2"/>
    <row r="1328" hidden="1" x14ac:dyDescent="0.2"/>
    <row r="1329" hidden="1" x14ac:dyDescent="0.2"/>
    <row r="1330" hidden="1" x14ac:dyDescent="0.2"/>
    <row r="1331" hidden="1" x14ac:dyDescent="0.2"/>
    <row r="1332" hidden="1" x14ac:dyDescent="0.2"/>
    <row r="1333" hidden="1" x14ac:dyDescent="0.2"/>
    <row r="1334" hidden="1" x14ac:dyDescent="0.2"/>
    <row r="1335" hidden="1" x14ac:dyDescent="0.2"/>
    <row r="1336" hidden="1" x14ac:dyDescent="0.2"/>
    <row r="1337" hidden="1" x14ac:dyDescent="0.2"/>
    <row r="1338" hidden="1" x14ac:dyDescent="0.2"/>
    <row r="1339" hidden="1" x14ac:dyDescent="0.2"/>
    <row r="1340" hidden="1" x14ac:dyDescent="0.2"/>
    <row r="1341" hidden="1" x14ac:dyDescent="0.2"/>
    <row r="1342" hidden="1" x14ac:dyDescent="0.2"/>
    <row r="1343" hidden="1" x14ac:dyDescent="0.2"/>
    <row r="1344" hidden="1" x14ac:dyDescent="0.2"/>
    <row r="1345" hidden="1" x14ac:dyDescent="0.2"/>
    <row r="1346" hidden="1" x14ac:dyDescent="0.2"/>
    <row r="1347" hidden="1" x14ac:dyDescent="0.2"/>
    <row r="1348" hidden="1" x14ac:dyDescent="0.2"/>
    <row r="1349" hidden="1" x14ac:dyDescent="0.2"/>
    <row r="1350" hidden="1" x14ac:dyDescent="0.2"/>
    <row r="1351" hidden="1" x14ac:dyDescent="0.2"/>
    <row r="1352" hidden="1" x14ac:dyDescent="0.2"/>
    <row r="1353" hidden="1" x14ac:dyDescent="0.2"/>
    <row r="1354" hidden="1" x14ac:dyDescent="0.2"/>
    <row r="1355" hidden="1" x14ac:dyDescent="0.2"/>
    <row r="1356" hidden="1" x14ac:dyDescent="0.2"/>
    <row r="1357" hidden="1" x14ac:dyDescent="0.2"/>
    <row r="1358" hidden="1" x14ac:dyDescent="0.2"/>
    <row r="1359" hidden="1" x14ac:dyDescent="0.2"/>
    <row r="1360" hidden="1" x14ac:dyDescent="0.2"/>
    <row r="1361" hidden="1" x14ac:dyDescent="0.2"/>
    <row r="1362" hidden="1" x14ac:dyDescent="0.2"/>
    <row r="1363" hidden="1" x14ac:dyDescent="0.2"/>
    <row r="1364" hidden="1" x14ac:dyDescent="0.2"/>
    <row r="1365" hidden="1" x14ac:dyDescent="0.2"/>
    <row r="1366" hidden="1" x14ac:dyDescent="0.2"/>
    <row r="1367" hidden="1" x14ac:dyDescent="0.2"/>
    <row r="1368" hidden="1" x14ac:dyDescent="0.2"/>
    <row r="1369" hidden="1" x14ac:dyDescent="0.2"/>
    <row r="1370" hidden="1" x14ac:dyDescent="0.2"/>
    <row r="1371" hidden="1" x14ac:dyDescent="0.2"/>
    <row r="1372" hidden="1" x14ac:dyDescent="0.2"/>
    <row r="1373" hidden="1" x14ac:dyDescent="0.2"/>
    <row r="1374" hidden="1" x14ac:dyDescent="0.2"/>
    <row r="1375" hidden="1" x14ac:dyDescent="0.2"/>
    <row r="1376" hidden="1" x14ac:dyDescent="0.2"/>
    <row r="1377" hidden="1" x14ac:dyDescent="0.2"/>
    <row r="1378" hidden="1" x14ac:dyDescent="0.2"/>
    <row r="1379" hidden="1" x14ac:dyDescent="0.2"/>
    <row r="1380" hidden="1" x14ac:dyDescent="0.2"/>
    <row r="1381" hidden="1" x14ac:dyDescent="0.2"/>
    <row r="1382" hidden="1" x14ac:dyDescent="0.2"/>
    <row r="1383" hidden="1" x14ac:dyDescent="0.2"/>
    <row r="1384" hidden="1" x14ac:dyDescent="0.2"/>
    <row r="1385" hidden="1" x14ac:dyDescent="0.2"/>
    <row r="1386" hidden="1" x14ac:dyDescent="0.2"/>
    <row r="1387" hidden="1" x14ac:dyDescent="0.2"/>
    <row r="1388" hidden="1" x14ac:dyDescent="0.2"/>
    <row r="1389" hidden="1" x14ac:dyDescent="0.2"/>
    <row r="1390" hidden="1" x14ac:dyDescent="0.2"/>
    <row r="1391" hidden="1" x14ac:dyDescent="0.2"/>
    <row r="1392" hidden="1" x14ac:dyDescent="0.2"/>
    <row r="1393" spans="1:3" hidden="1" x14ac:dyDescent="0.2"/>
    <row r="1394" spans="1:3" hidden="1" x14ac:dyDescent="0.2"/>
    <row r="1395" spans="1:3" hidden="1" x14ac:dyDescent="0.2"/>
    <row r="1396" spans="1:3" hidden="1" x14ac:dyDescent="0.2"/>
    <row r="1397" spans="1:3" hidden="1" x14ac:dyDescent="0.2"/>
    <row r="1398" spans="1:3" hidden="1" x14ac:dyDescent="0.2"/>
    <row r="1399" spans="1:3" hidden="1" x14ac:dyDescent="0.2"/>
    <row r="1400" spans="1:3" x14ac:dyDescent="0.2">
      <c r="A1400" s="401">
        <v>100</v>
      </c>
      <c r="B1400" s="402" t="s">
        <v>193</v>
      </c>
      <c r="C1400" s="398"/>
    </row>
    <row r="1401" spans="1:3" x14ac:dyDescent="0.2">
      <c r="A1401" s="403">
        <v>101</v>
      </c>
      <c r="B1401" s="404" t="s">
        <v>194</v>
      </c>
      <c r="C1401" s="398"/>
    </row>
    <row r="1402" spans="1:3" x14ac:dyDescent="0.2">
      <c r="A1402" s="403">
        <v>102</v>
      </c>
      <c r="B1402" s="405" t="s">
        <v>195</v>
      </c>
      <c r="C1402" s="398"/>
    </row>
    <row r="1403" spans="1:3" ht="25.5" x14ac:dyDescent="0.2">
      <c r="A1403" s="403">
        <v>103</v>
      </c>
      <c r="B1403" s="405" t="s">
        <v>196</v>
      </c>
      <c r="C1403" s="398"/>
    </row>
    <row r="1404" spans="1:3" ht="25.5" x14ac:dyDescent="0.2">
      <c r="A1404" s="403">
        <v>104</v>
      </c>
      <c r="B1404" s="405" t="s">
        <v>197</v>
      </c>
      <c r="C1404" s="398"/>
    </row>
    <row r="1405" spans="1:3" x14ac:dyDescent="0.2">
      <c r="A1405" s="403">
        <v>105</v>
      </c>
      <c r="B1405" s="405" t="s">
        <v>198</v>
      </c>
      <c r="C1405" s="398"/>
    </row>
    <row r="1406" spans="1:3" ht="25.5" x14ac:dyDescent="0.2">
      <c r="A1406" s="403">
        <v>106</v>
      </c>
      <c r="B1406" s="405" t="s">
        <v>199</v>
      </c>
      <c r="C1406" s="398"/>
    </row>
    <row r="1407" spans="1:3" x14ac:dyDescent="0.2">
      <c r="A1407" s="403">
        <v>107</v>
      </c>
      <c r="B1407" s="405" t="s">
        <v>200</v>
      </c>
      <c r="C1407" s="398"/>
    </row>
    <row r="1408" spans="1:3" x14ac:dyDescent="0.2">
      <c r="A1408" s="403">
        <v>108</v>
      </c>
      <c r="B1408" s="405" t="s">
        <v>201</v>
      </c>
      <c r="C1408" s="398"/>
    </row>
    <row r="1409" spans="1:3" x14ac:dyDescent="0.2">
      <c r="A1409" s="403">
        <v>109</v>
      </c>
      <c r="B1409" s="405" t="s">
        <v>202</v>
      </c>
      <c r="C1409" s="398"/>
    </row>
    <row r="1410" spans="1:3" x14ac:dyDescent="0.2">
      <c r="A1410" s="403">
        <v>110</v>
      </c>
      <c r="B1410" s="405" t="s">
        <v>203</v>
      </c>
      <c r="C1410" s="398"/>
    </row>
    <row r="1411" spans="1:3" x14ac:dyDescent="0.2">
      <c r="A1411" s="403">
        <v>111</v>
      </c>
      <c r="B1411" s="405" t="s">
        <v>204</v>
      </c>
      <c r="C1411" s="398"/>
    </row>
    <row r="1412" spans="1:3" x14ac:dyDescent="0.2">
      <c r="A1412" s="403">
        <v>112</v>
      </c>
      <c r="B1412" s="405" t="s">
        <v>205</v>
      </c>
      <c r="C1412" s="398"/>
    </row>
    <row r="1413" spans="1:3" x14ac:dyDescent="0.2">
      <c r="A1413" s="403">
        <v>113</v>
      </c>
      <c r="B1413" s="405" t="s">
        <v>206</v>
      </c>
      <c r="C1413" s="398"/>
    </row>
    <row r="1414" spans="1:3" x14ac:dyDescent="0.2">
      <c r="A1414" s="401">
        <v>200</v>
      </c>
      <c r="B1414" s="406" t="s">
        <v>207</v>
      </c>
      <c r="C1414" s="398"/>
    </row>
    <row r="1415" spans="1:3" x14ac:dyDescent="0.2">
      <c r="A1415" s="403">
        <v>201</v>
      </c>
      <c r="B1415" s="405" t="s">
        <v>208</v>
      </c>
      <c r="C1415" s="398"/>
    </row>
    <row r="1416" spans="1:3" x14ac:dyDescent="0.2">
      <c r="A1416" s="403">
        <v>202</v>
      </c>
      <c r="B1416" s="405" t="s">
        <v>209</v>
      </c>
      <c r="C1416" s="398"/>
    </row>
    <row r="1417" spans="1:3" x14ac:dyDescent="0.2">
      <c r="A1417" s="403">
        <v>203</v>
      </c>
      <c r="B1417" s="405" t="s">
        <v>210</v>
      </c>
      <c r="C1417" s="398"/>
    </row>
    <row r="1418" spans="1:3" x14ac:dyDescent="0.2">
      <c r="A1418" s="403">
        <v>204</v>
      </c>
      <c r="B1418" s="405" t="s">
        <v>211</v>
      </c>
      <c r="C1418" s="398"/>
    </row>
    <row r="1419" spans="1:3" x14ac:dyDescent="0.2">
      <c r="A1419" s="403">
        <v>205</v>
      </c>
      <c r="B1419" s="405" t="s">
        <v>212</v>
      </c>
      <c r="C1419" s="398"/>
    </row>
    <row r="1420" spans="1:3" x14ac:dyDescent="0.2">
      <c r="A1420" s="403">
        <v>206</v>
      </c>
      <c r="B1420" s="405" t="s">
        <v>213</v>
      </c>
      <c r="C1420" s="398"/>
    </row>
    <row r="1421" spans="1:3" x14ac:dyDescent="0.2">
      <c r="A1421" s="403">
        <v>207</v>
      </c>
      <c r="B1421" s="405" t="s">
        <v>214</v>
      </c>
      <c r="C1421" s="398"/>
    </row>
    <row r="1422" spans="1:3" x14ac:dyDescent="0.2">
      <c r="A1422" s="403">
        <v>208</v>
      </c>
      <c r="B1422" s="405" t="s">
        <v>215</v>
      </c>
      <c r="C1422" s="398"/>
    </row>
    <row r="1423" spans="1:3" x14ac:dyDescent="0.2">
      <c r="A1423" s="403">
        <v>209</v>
      </c>
      <c r="B1423" s="405" t="s">
        <v>216</v>
      </c>
      <c r="C1423" s="398"/>
    </row>
    <row r="1424" spans="1:3" x14ac:dyDescent="0.2">
      <c r="A1424" s="401">
        <v>300</v>
      </c>
      <c r="B1424" s="406" t="s">
        <v>217</v>
      </c>
      <c r="C1424" s="398"/>
    </row>
    <row r="1425" spans="1:3" x14ac:dyDescent="0.2">
      <c r="A1425" s="403">
        <v>301</v>
      </c>
      <c r="B1425" s="405" t="s">
        <v>2811</v>
      </c>
      <c r="C1425" s="398"/>
    </row>
    <row r="1426" spans="1:3" x14ac:dyDescent="0.2">
      <c r="A1426" s="403">
        <v>302</v>
      </c>
      <c r="B1426" s="405" t="s">
        <v>2812</v>
      </c>
      <c r="C1426" s="398"/>
    </row>
    <row r="1427" spans="1:3" x14ac:dyDescent="0.2">
      <c r="A1427" s="403">
        <v>303</v>
      </c>
      <c r="B1427" s="405" t="s">
        <v>218</v>
      </c>
      <c r="C1427" s="398"/>
    </row>
    <row r="1428" spans="1:3" x14ac:dyDescent="0.2">
      <c r="A1428" s="403">
        <v>304</v>
      </c>
      <c r="B1428" s="405" t="s">
        <v>219</v>
      </c>
      <c r="C1428" s="398"/>
    </row>
    <row r="1429" spans="1:3" x14ac:dyDescent="0.2">
      <c r="A1429" s="403">
        <v>305</v>
      </c>
      <c r="B1429" s="405" t="s">
        <v>220</v>
      </c>
      <c r="C1429" s="398"/>
    </row>
    <row r="1430" spans="1:3" x14ac:dyDescent="0.2">
      <c r="A1430" s="403">
        <v>306</v>
      </c>
      <c r="B1430" s="405" t="s">
        <v>221</v>
      </c>
      <c r="C1430" s="398"/>
    </row>
    <row r="1431" spans="1:3" x14ac:dyDescent="0.2">
      <c r="A1431" s="403">
        <v>307</v>
      </c>
      <c r="B1431" s="405" t="s">
        <v>222</v>
      </c>
      <c r="C1431" s="398"/>
    </row>
    <row r="1432" spans="1:3" x14ac:dyDescent="0.2">
      <c r="A1432" s="403">
        <v>308</v>
      </c>
      <c r="B1432" s="405" t="s">
        <v>223</v>
      </c>
      <c r="C1432" s="398"/>
    </row>
    <row r="1433" spans="1:3" ht="25.5" x14ac:dyDescent="0.2">
      <c r="A1433" s="403">
        <v>309</v>
      </c>
      <c r="B1433" s="405" t="s">
        <v>224</v>
      </c>
      <c r="C1433" s="398"/>
    </row>
    <row r="1434" spans="1:3" x14ac:dyDescent="0.2">
      <c r="A1434" s="403">
        <v>310</v>
      </c>
      <c r="B1434" s="405" t="s">
        <v>225</v>
      </c>
      <c r="C1434" s="398"/>
    </row>
    <row r="1435" spans="1:3" x14ac:dyDescent="0.2">
      <c r="A1435" s="403">
        <v>311</v>
      </c>
      <c r="B1435" s="405" t="s">
        <v>226</v>
      </c>
      <c r="C1435" s="398"/>
    </row>
    <row r="1436" spans="1:3" x14ac:dyDescent="0.2">
      <c r="A1436" s="403">
        <v>312</v>
      </c>
      <c r="B1436" s="405" t="s">
        <v>227</v>
      </c>
      <c r="C1436" s="398"/>
    </row>
    <row r="1437" spans="1:3" x14ac:dyDescent="0.2">
      <c r="A1437" s="403">
        <v>313</v>
      </c>
      <c r="B1437" s="405" t="s">
        <v>228</v>
      </c>
      <c r="C1437" s="398"/>
    </row>
    <row r="1438" spans="1:3" x14ac:dyDescent="0.2">
      <c r="A1438" s="403">
        <v>314</v>
      </c>
      <c r="B1438" s="405" t="s">
        <v>229</v>
      </c>
      <c r="C1438" s="398"/>
    </row>
    <row r="1439" spans="1:3" x14ac:dyDescent="0.2">
      <c r="A1439" s="401">
        <v>400</v>
      </c>
      <c r="B1439" s="406" t="s">
        <v>230</v>
      </c>
      <c r="C1439" s="398"/>
    </row>
    <row r="1440" spans="1:3" x14ac:dyDescent="0.2">
      <c r="A1440" s="403">
        <v>401</v>
      </c>
      <c r="B1440" s="407" t="s">
        <v>231</v>
      </c>
      <c r="C1440" s="398"/>
    </row>
    <row r="1441" spans="1:3" x14ac:dyDescent="0.2">
      <c r="A1441" s="403">
        <v>402</v>
      </c>
      <c r="B1441" s="404" t="s">
        <v>232</v>
      </c>
      <c r="C1441" s="398"/>
    </row>
    <row r="1442" spans="1:3" x14ac:dyDescent="0.2">
      <c r="A1442" s="403">
        <v>403</v>
      </c>
      <c r="B1442" s="405" t="s">
        <v>233</v>
      </c>
      <c r="C1442" s="398"/>
    </row>
    <row r="1443" spans="1:3" x14ac:dyDescent="0.2">
      <c r="A1443" s="403">
        <v>404</v>
      </c>
      <c r="B1443" s="405" t="s">
        <v>234</v>
      </c>
      <c r="C1443" s="398"/>
    </row>
    <row r="1444" spans="1:3" x14ac:dyDescent="0.2">
      <c r="A1444" s="403">
        <v>405</v>
      </c>
      <c r="B1444" s="405" t="s">
        <v>235</v>
      </c>
      <c r="C1444" s="398"/>
    </row>
    <row r="1445" spans="1:3" x14ac:dyDescent="0.2">
      <c r="A1445" s="403">
        <v>406</v>
      </c>
      <c r="B1445" s="405" t="s">
        <v>236</v>
      </c>
      <c r="C1445" s="398"/>
    </row>
    <row r="1446" spans="1:3" x14ac:dyDescent="0.2">
      <c r="A1446" s="403">
        <v>407</v>
      </c>
      <c r="B1446" s="405" t="s">
        <v>237</v>
      </c>
      <c r="C1446" s="398"/>
    </row>
    <row r="1447" spans="1:3" x14ac:dyDescent="0.2">
      <c r="A1447" s="403">
        <v>408</v>
      </c>
      <c r="B1447" s="405" t="s">
        <v>238</v>
      </c>
      <c r="C1447" s="398"/>
    </row>
    <row r="1448" spans="1:3" x14ac:dyDescent="0.2">
      <c r="A1448" s="403">
        <v>409</v>
      </c>
      <c r="B1448" s="405" t="s">
        <v>239</v>
      </c>
      <c r="C1448" s="398"/>
    </row>
    <row r="1449" spans="1:3" x14ac:dyDescent="0.2">
      <c r="A1449" s="403">
        <v>410</v>
      </c>
      <c r="B1449" s="405" t="s">
        <v>240</v>
      </c>
      <c r="C1449" s="398"/>
    </row>
    <row r="1450" spans="1:3" x14ac:dyDescent="0.2">
      <c r="A1450" s="403">
        <v>411</v>
      </c>
      <c r="B1450" s="405" t="s">
        <v>241</v>
      </c>
      <c r="C1450" s="398"/>
    </row>
    <row r="1451" spans="1:3" x14ac:dyDescent="0.2">
      <c r="A1451" s="403">
        <v>412</v>
      </c>
      <c r="B1451" s="405" t="s">
        <v>242</v>
      </c>
      <c r="C1451" s="398"/>
    </row>
    <row r="1452" spans="1:3" x14ac:dyDescent="0.2">
      <c r="A1452" s="401">
        <v>500</v>
      </c>
      <c r="B1452" s="406" t="s">
        <v>243</v>
      </c>
      <c r="C1452" s="398"/>
    </row>
    <row r="1453" spans="1:3" x14ac:dyDescent="0.2">
      <c r="A1453" s="403">
        <v>501</v>
      </c>
      <c r="B1453" s="405" t="s">
        <v>244</v>
      </c>
      <c r="C1453" s="398"/>
    </row>
    <row r="1454" spans="1:3" x14ac:dyDescent="0.2">
      <c r="A1454" s="403">
        <v>502</v>
      </c>
      <c r="B1454" s="405" t="s">
        <v>245</v>
      </c>
      <c r="C1454" s="398"/>
    </row>
    <row r="1455" spans="1:3" x14ac:dyDescent="0.2">
      <c r="A1455" s="403">
        <v>503</v>
      </c>
      <c r="B1455" s="404" t="s">
        <v>246</v>
      </c>
      <c r="C1455" s="398"/>
    </row>
    <row r="1456" spans="1:3" x14ac:dyDescent="0.2">
      <c r="A1456" s="403">
        <v>504</v>
      </c>
      <c r="B1456" s="405" t="s">
        <v>247</v>
      </c>
      <c r="C1456" s="398"/>
    </row>
    <row r="1457" spans="1:3" x14ac:dyDescent="0.2">
      <c r="A1457" s="403">
        <v>505</v>
      </c>
      <c r="B1457" s="405" t="s">
        <v>248</v>
      </c>
      <c r="C1457" s="398"/>
    </row>
    <row r="1458" spans="1:3" x14ac:dyDescent="0.2">
      <c r="A1458" s="401">
        <v>600</v>
      </c>
      <c r="B1458" s="408" t="s">
        <v>249</v>
      </c>
      <c r="C1458" s="398"/>
    </row>
    <row r="1459" spans="1:3" x14ac:dyDescent="0.2">
      <c r="A1459" s="403">
        <v>601</v>
      </c>
      <c r="B1459" s="404" t="s">
        <v>250</v>
      </c>
      <c r="C1459" s="398"/>
    </row>
    <row r="1460" spans="1:3" x14ac:dyDescent="0.2">
      <c r="A1460" s="403">
        <v>602</v>
      </c>
      <c r="B1460" s="405" t="s">
        <v>251</v>
      </c>
      <c r="C1460" s="398"/>
    </row>
    <row r="1461" spans="1:3" x14ac:dyDescent="0.2">
      <c r="A1461" s="403">
        <v>603</v>
      </c>
      <c r="B1461" s="405" t="s">
        <v>252</v>
      </c>
      <c r="C1461" s="398"/>
    </row>
    <row r="1462" spans="1:3" x14ac:dyDescent="0.2">
      <c r="A1462" s="403">
        <v>604</v>
      </c>
      <c r="B1462" s="405" t="s">
        <v>253</v>
      </c>
      <c r="C1462" s="398"/>
    </row>
    <row r="1463" spans="1:3" x14ac:dyDescent="0.2">
      <c r="A1463" s="403">
        <v>605</v>
      </c>
      <c r="B1463" s="405" t="s">
        <v>254</v>
      </c>
      <c r="C1463" s="398"/>
    </row>
    <row r="1464" spans="1:3" x14ac:dyDescent="0.2">
      <c r="A1464" s="401">
        <v>700</v>
      </c>
      <c r="B1464" s="408" t="s">
        <v>255</v>
      </c>
      <c r="C1464" s="398"/>
    </row>
    <row r="1465" spans="1:3" x14ac:dyDescent="0.2">
      <c r="A1465" s="403">
        <v>701</v>
      </c>
      <c r="B1465" s="405" t="s">
        <v>256</v>
      </c>
      <c r="C1465" s="398"/>
    </row>
    <row r="1466" spans="1:3" x14ac:dyDescent="0.2">
      <c r="A1466" s="403">
        <v>702</v>
      </c>
      <c r="B1466" s="405" t="s">
        <v>257</v>
      </c>
      <c r="C1466" s="398"/>
    </row>
    <row r="1467" spans="1:3" x14ac:dyDescent="0.2">
      <c r="A1467" s="403">
        <v>703</v>
      </c>
      <c r="B1467" s="405" t="s">
        <v>2913</v>
      </c>
      <c r="C1467" s="398"/>
    </row>
    <row r="1468" spans="1:3" x14ac:dyDescent="0.2">
      <c r="A1468" s="403">
        <v>704</v>
      </c>
      <c r="B1468" s="405" t="s">
        <v>258</v>
      </c>
      <c r="C1468" s="398"/>
    </row>
    <row r="1469" spans="1:3" x14ac:dyDescent="0.2">
      <c r="A1469" s="403">
        <v>705</v>
      </c>
      <c r="B1469" s="405" t="s">
        <v>259</v>
      </c>
      <c r="C1469" s="398"/>
    </row>
    <row r="1470" spans="1:3" x14ac:dyDescent="0.2">
      <c r="A1470" s="409">
        <v>706</v>
      </c>
      <c r="B1470" s="410" t="s">
        <v>260</v>
      </c>
      <c r="C1470" s="398"/>
    </row>
    <row r="1471" spans="1:3" x14ac:dyDescent="0.2">
      <c r="A1471" s="403">
        <v>707</v>
      </c>
      <c r="B1471" s="405" t="s">
        <v>2914</v>
      </c>
      <c r="C1471" s="398"/>
    </row>
    <row r="1472" spans="1:3" x14ac:dyDescent="0.2">
      <c r="A1472" s="403">
        <v>708</v>
      </c>
      <c r="B1472" s="405" t="s">
        <v>261</v>
      </c>
      <c r="C1472" s="398"/>
    </row>
    <row r="1473" spans="1:3" x14ac:dyDescent="0.2">
      <c r="A1473" s="403">
        <v>709</v>
      </c>
      <c r="B1473" s="405" t="s">
        <v>262</v>
      </c>
      <c r="C1473" s="398"/>
    </row>
    <row r="1474" spans="1:3" x14ac:dyDescent="0.2">
      <c r="A1474" s="401">
        <v>800</v>
      </c>
      <c r="B1474" s="408" t="s">
        <v>263</v>
      </c>
      <c r="C1474" s="398"/>
    </row>
    <row r="1475" spans="1:3" x14ac:dyDescent="0.2">
      <c r="A1475" s="403">
        <v>801</v>
      </c>
      <c r="B1475" s="405" t="s">
        <v>264</v>
      </c>
      <c r="C1475" s="398"/>
    </row>
    <row r="1476" spans="1:3" x14ac:dyDescent="0.2">
      <c r="A1476" s="403">
        <v>802</v>
      </c>
      <c r="B1476" s="405" t="s">
        <v>265</v>
      </c>
      <c r="C1476" s="398"/>
    </row>
    <row r="1477" spans="1:3" x14ac:dyDescent="0.2">
      <c r="A1477" s="403">
        <v>803</v>
      </c>
      <c r="B1477" s="405" t="s">
        <v>266</v>
      </c>
      <c r="C1477" s="398"/>
    </row>
    <row r="1478" spans="1:3" x14ac:dyDescent="0.2">
      <c r="A1478" s="403">
        <v>804</v>
      </c>
      <c r="B1478" s="405" t="s">
        <v>267</v>
      </c>
      <c r="C1478" s="398"/>
    </row>
    <row r="1479" spans="1:3" x14ac:dyDescent="0.2">
      <c r="A1479" s="401">
        <v>900</v>
      </c>
      <c r="B1479" s="408" t="s">
        <v>268</v>
      </c>
      <c r="C1479" s="398"/>
    </row>
    <row r="1480" spans="1:3" x14ac:dyDescent="0.2">
      <c r="A1480" s="403">
        <v>901</v>
      </c>
      <c r="B1480" s="405" t="s">
        <v>269</v>
      </c>
      <c r="C1480" s="398"/>
    </row>
    <row r="1481" spans="1:3" x14ac:dyDescent="0.2">
      <c r="A1481" s="403">
        <v>902</v>
      </c>
      <c r="B1481" s="405" t="s">
        <v>270</v>
      </c>
      <c r="C1481" s="398"/>
    </row>
    <row r="1482" spans="1:3" x14ac:dyDescent="0.2">
      <c r="A1482" s="403">
        <v>903</v>
      </c>
      <c r="B1482" s="405" t="s">
        <v>271</v>
      </c>
      <c r="C1482" s="398"/>
    </row>
    <row r="1483" spans="1:3" x14ac:dyDescent="0.2">
      <c r="A1483" s="403">
        <v>904</v>
      </c>
      <c r="B1483" s="405" t="s">
        <v>272</v>
      </c>
      <c r="C1483" s="398"/>
    </row>
    <row r="1484" spans="1:3" x14ac:dyDescent="0.2">
      <c r="A1484" s="403">
        <v>905</v>
      </c>
      <c r="B1484" s="411" t="s">
        <v>273</v>
      </c>
      <c r="C1484" s="398"/>
    </row>
    <row r="1485" spans="1:3" x14ac:dyDescent="0.2">
      <c r="A1485" s="403">
        <v>906</v>
      </c>
      <c r="B1485" s="411" t="s">
        <v>274</v>
      </c>
      <c r="C1485" s="398"/>
    </row>
    <row r="1486" spans="1:3" x14ac:dyDescent="0.2">
      <c r="A1486" s="403">
        <v>907</v>
      </c>
      <c r="B1486" s="405" t="s">
        <v>275</v>
      </c>
      <c r="C1486" s="398"/>
    </row>
    <row r="1487" spans="1:3" x14ac:dyDescent="0.2">
      <c r="A1487" s="403">
        <v>908</v>
      </c>
      <c r="B1487" s="404" t="s">
        <v>276</v>
      </c>
      <c r="C1487" s="398"/>
    </row>
    <row r="1488" spans="1:3" x14ac:dyDescent="0.2">
      <c r="A1488" s="403">
        <v>909</v>
      </c>
      <c r="B1488" s="405" t="s">
        <v>277</v>
      </c>
      <c r="C1488" s="398"/>
    </row>
    <row r="1489" spans="1:3" x14ac:dyDescent="0.2">
      <c r="A1489" s="401">
        <v>1000</v>
      </c>
      <c r="B1489" s="408" t="s">
        <v>278</v>
      </c>
      <c r="C1489" s="398"/>
    </row>
    <row r="1490" spans="1:3" x14ac:dyDescent="0.2">
      <c r="A1490" s="403">
        <v>1001</v>
      </c>
      <c r="B1490" s="405" t="s">
        <v>279</v>
      </c>
      <c r="C1490" s="398"/>
    </row>
    <row r="1491" spans="1:3" x14ac:dyDescent="0.2">
      <c r="A1491" s="403">
        <v>1002</v>
      </c>
      <c r="B1491" s="405" t="s">
        <v>280</v>
      </c>
      <c r="C1491" s="398"/>
    </row>
    <row r="1492" spans="1:3" x14ac:dyDescent="0.2">
      <c r="A1492" s="403">
        <v>1003</v>
      </c>
      <c r="B1492" s="405" t="s">
        <v>281</v>
      </c>
      <c r="C1492" s="398"/>
    </row>
    <row r="1493" spans="1:3" x14ac:dyDescent="0.2">
      <c r="A1493" s="403">
        <v>1004</v>
      </c>
      <c r="B1493" s="404" t="s">
        <v>282</v>
      </c>
      <c r="C1493" s="398"/>
    </row>
    <row r="1494" spans="1:3" x14ac:dyDescent="0.2">
      <c r="A1494" s="403">
        <v>1005</v>
      </c>
      <c r="B1494" s="405" t="s">
        <v>283</v>
      </c>
      <c r="C1494" s="398"/>
    </row>
    <row r="1495" spans="1:3" x14ac:dyDescent="0.2">
      <c r="A1495" s="403">
        <v>1006</v>
      </c>
      <c r="B1495" s="405" t="s">
        <v>284</v>
      </c>
      <c r="C1495" s="398"/>
    </row>
    <row r="1496" spans="1:3" x14ac:dyDescent="0.2">
      <c r="A1496" s="401">
        <v>1100</v>
      </c>
      <c r="B1496" s="408" t="s">
        <v>285</v>
      </c>
      <c r="C1496" s="398"/>
    </row>
    <row r="1497" spans="1:3" x14ac:dyDescent="0.2">
      <c r="A1497" s="403">
        <v>1101</v>
      </c>
      <c r="B1497" s="405" t="s">
        <v>286</v>
      </c>
      <c r="C1497" s="398"/>
    </row>
    <row r="1498" spans="1:3" x14ac:dyDescent="0.2">
      <c r="A1498" s="403">
        <v>1102</v>
      </c>
      <c r="B1498" s="411" t="s">
        <v>287</v>
      </c>
      <c r="C1498" s="398"/>
    </row>
    <row r="1499" spans="1:3" x14ac:dyDescent="0.2">
      <c r="A1499" s="403">
        <v>1103</v>
      </c>
      <c r="B1499" s="405" t="s">
        <v>288</v>
      </c>
      <c r="C1499" s="398"/>
    </row>
    <row r="1500" spans="1:3" x14ac:dyDescent="0.2">
      <c r="A1500" s="403">
        <v>1104</v>
      </c>
      <c r="B1500" s="405" t="s">
        <v>289</v>
      </c>
      <c r="C1500" s="398"/>
    </row>
    <row r="1501" spans="1:3" x14ac:dyDescent="0.2">
      <c r="A1501" s="403">
        <v>1105</v>
      </c>
      <c r="B1501" s="405" t="s">
        <v>290</v>
      </c>
      <c r="C1501" s="398"/>
    </row>
    <row r="1502" spans="1:3" x14ac:dyDescent="0.2">
      <c r="A1502" s="401">
        <v>1200</v>
      </c>
      <c r="B1502" s="408" t="s">
        <v>291</v>
      </c>
    </row>
    <row r="1503" spans="1:3" x14ac:dyDescent="0.2">
      <c r="A1503" s="403">
        <v>1201</v>
      </c>
      <c r="B1503" s="405" t="s">
        <v>292</v>
      </c>
    </row>
    <row r="1504" spans="1:3" x14ac:dyDescent="0.2">
      <c r="A1504" s="403">
        <v>1202</v>
      </c>
      <c r="B1504" s="405" t="s">
        <v>293</v>
      </c>
    </row>
    <row r="1505" spans="1:2" x14ac:dyDescent="0.2">
      <c r="A1505" s="403">
        <v>1203</v>
      </c>
      <c r="B1505" s="405" t="s">
        <v>294</v>
      </c>
    </row>
    <row r="1506" spans="1:2" x14ac:dyDescent="0.2">
      <c r="A1506" s="403">
        <v>1204</v>
      </c>
      <c r="B1506" s="405" t="s">
        <v>295</v>
      </c>
    </row>
    <row r="1507" spans="1:2" x14ac:dyDescent="0.2">
      <c r="A1507" s="401">
        <v>1300</v>
      </c>
      <c r="B1507" s="408" t="s">
        <v>296</v>
      </c>
    </row>
    <row r="1508" spans="1:2" x14ac:dyDescent="0.2">
      <c r="A1508" s="403">
        <v>1301</v>
      </c>
      <c r="B1508" s="405" t="s">
        <v>297</v>
      </c>
    </row>
    <row r="1509" spans="1:2" x14ac:dyDescent="0.2">
      <c r="A1509" s="403">
        <v>1302</v>
      </c>
      <c r="B1509" s="405" t="s">
        <v>298</v>
      </c>
    </row>
    <row r="1510" spans="1:2" ht="25.5" x14ac:dyDescent="0.2">
      <c r="A1510" s="401">
        <v>1400</v>
      </c>
      <c r="B1510" s="408" t="s">
        <v>299</v>
      </c>
    </row>
    <row r="1511" spans="1:2" x14ac:dyDescent="0.2">
      <c r="A1511" s="403">
        <v>1401</v>
      </c>
      <c r="B1511" s="405" t="s">
        <v>300</v>
      </c>
    </row>
    <row r="1512" spans="1:2" x14ac:dyDescent="0.2">
      <c r="A1512" s="403">
        <v>1402</v>
      </c>
      <c r="B1512" s="405" t="s">
        <v>301</v>
      </c>
    </row>
    <row r="1513" spans="1:2" ht="25.5" x14ac:dyDescent="0.2">
      <c r="A1513" s="403">
        <v>1403</v>
      </c>
      <c r="B1513" s="405" t="s">
        <v>302</v>
      </c>
    </row>
  </sheetData>
  <printOptions gridLinesSet="0"/>
  <pageMargins left="0.75" right="0.75" top="1" bottom="1" header="0.5" footer="0.5"/>
  <pageSetup paperSize="9" orientation="portrait"/>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41"/>
  <sheetViews>
    <sheetView showGridLines="0" view="pageBreakPreview" topLeftCell="B25" zoomScale="115" zoomScaleSheetLayoutView="115" workbookViewId="0">
      <selection activeCell="E16" sqref="E16"/>
    </sheetView>
  </sheetViews>
  <sheetFormatPr defaultColWidth="9.140625" defaultRowHeight="12.75" x14ac:dyDescent="0.2"/>
  <cols>
    <col min="1" max="1" width="92.28515625" style="124" hidden="1" customWidth="1"/>
    <col min="2" max="2" width="55.85546875" style="124" customWidth="1"/>
    <col min="3" max="3" width="13.140625" style="124" customWidth="1"/>
    <col min="4" max="5" width="15.5703125" style="124" customWidth="1"/>
    <col min="6" max="6" width="16.5703125" style="124" customWidth="1"/>
    <col min="7" max="7" width="16.28515625" style="124" customWidth="1"/>
    <col min="8" max="8" width="21" style="124" customWidth="1"/>
    <col min="9" max="9" width="16.5703125" style="124" customWidth="1"/>
    <col min="10" max="16384" width="9.140625" style="124"/>
  </cols>
  <sheetData>
    <row r="1" spans="1:10" ht="15.75" customHeight="1" x14ac:dyDescent="0.25">
      <c r="B1" s="1084" t="s">
        <v>565</v>
      </c>
      <c r="C1" s="1084"/>
      <c r="D1" s="1084"/>
      <c r="E1" s="1084"/>
      <c r="F1" s="1084"/>
      <c r="G1" s="1084"/>
      <c r="H1" s="1084"/>
      <c r="I1" s="1084"/>
      <c r="J1" s="616"/>
    </row>
    <row r="2" spans="1:10" ht="15.75" customHeight="1" x14ac:dyDescent="0.25">
      <c r="B2" s="1084" t="s">
        <v>1</v>
      </c>
      <c r="C2" s="1084"/>
      <c r="D2" s="1084"/>
      <c r="E2" s="1084"/>
      <c r="F2" s="1084"/>
      <c r="G2" s="1084"/>
      <c r="H2" s="1084"/>
      <c r="I2" s="1084"/>
      <c r="J2" s="616"/>
    </row>
    <row r="3" spans="1:10" ht="15.75" customHeight="1" x14ac:dyDescent="0.25">
      <c r="B3" s="1084" t="s">
        <v>2</v>
      </c>
      <c r="C3" s="1084"/>
      <c r="D3" s="1084"/>
      <c r="E3" s="1084"/>
      <c r="F3" s="1084"/>
      <c r="G3" s="1084"/>
      <c r="H3" s="1084"/>
      <c r="I3" s="1084"/>
      <c r="J3" s="616"/>
    </row>
    <row r="4" spans="1:10" ht="15.75" customHeight="1" x14ac:dyDescent="0.25">
      <c r="B4" s="1084" t="s">
        <v>3329</v>
      </c>
      <c r="C4" s="1084"/>
      <c r="D4" s="1084"/>
      <c r="E4" s="1084"/>
      <c r="F4" s="1084"/>
      <c r="G4" s="1084"/>
      <c r="H4" s="1084"/>
      <c r="I4" s="1084"/>
      <c r="J4" s="616"/>
    </row>
    <row r="5" spans="1:10" ht="15.75" x14ac:dyDescent="0.25">
      <c r="B5" s="223"/>
      <c r="C5" s="618"/>
      <c r="D5" s="618"/>
      <c r="E5" s="618"/>
      <c r="F5" s="618"/>
      <c r="G5" s="618"/>
      <c r="H5" s="618"/>
      <c r="I5" s="618"/>
      <c r="J5" s="617"/>
    </row>
    <row r="6" spans="1:10" ht="37.5" customHeight="1" x14ac:dyDescent="0.25">
      <c r="B6" s="1085" t="s">
        <v>3144</v>
      </c>
      <c r="C6" s="1085"/>
      <c r="D6" s="1085"/>
      <c r="E6" s="1085"/>
      <c r="F6" s="1085"/>
      <c r="G6" s="1085"/>
      <c r="H6" s="1085"/>
      <c r="I6" s="1085"/>
    </row>
    <row r="7" spans="1:10" ht="16.5" thickBot="1" x14ac:dyDescent="0.3">
      <c r="A7" s="223"/>
      <c r="B7" s="224"/>
      <c r="C7" s="224"/>
      <c r="D7" s="224"/>
      <c r="E7" s="1011"/>
      <c r="F7" s="1011"/>
      <c r="G7" s="1011"/>
      <c r="H7" s="1011"/>
      <c r="I7" s="1011"/>
    </row>
    <row r="8" spans="1:10" ht="13.5" customHeight="1" thickBot="1" x14ac:dyDescent="0.25">
      <c r="A8" s="932" t="s">
        <v>901</v>
      </c>
      <c r="B8" s="1086" t="s">
        <v>902</v>
      </c>
      <c r="C8" s="1080" t="s">
        <v>903</v>
      </c>
      <c r="D8" s="1080" t="s">
        <v>2809</v>
      </c>
      <c r="E8" s="1082" t="s">
        <v>995</v>
      </c>
      <c r="F8" s="1080" t="s">
        <v>567</v>
      </c>
      <c r="G8" s="1080" t="s">
        <v>567</v>
      </c>
      <c r="H8" s="1082" t="s">
        <v>995</v>
      </c>
      <c r="I8" s="1080" t="s">
        <v>3092</v>
      </c>
    </row>
    <row r="9" spans="1:10" ht="23.25" customHeight="1" thickBot="1" x14ac:dyDescent="0.25">
      <c r="A9" s="932"/>
      <c r="B9" s="1087"/>
      <c r="C9" s="1088"/>
      <c r="D9" s="1081"/>
      <c r="E9" s="1083"/>
      <c r="F9" s="1081"/>
      <c r="G9" s="1081"/>
      <c r="H9" s="1083"/>
      <c r="I9" s="1081"/>
    </row>
    <row r="10" spans="1:10" s="207" customFormat="1" ht="48" thickBot="1" x14ac:dyDescent="0.25">
      <c r="A10" s="247" t="s">
        <v>905</v>
      </c>
      <c r="B10" s="248" t="str">
        <f>IF(C10&gt;0,VLOOKUP(C10,Программа!A$2:B$5100,2))</f>
        <v>Муниципальная программа  "Развитие культуры, туризма и молодежной политики в Тутаевском муниципальном районе"</v>
      </c>
      <c r="C10" s="249" t="s">
        <v>714</v>
      </c>
      <c r="D10" s="250">
        <f>SUMIFS(Пр.13!G$10:G$1305,Пр.13!$D$10:$D$1305,C10)</f>
        <v>114426254</v>
      </c>
      <c r="E10" s="251">
        <f>SUMIFS(Пр.13!H$10:H$1305,Пр.13!$D$10:$D$1305,C10)</f>
        <v>0</v>
      </c>
      <c r="F10" s="251">
        <f>SUMIFS(Пр.13!I$10:I$1305,Пр.13!$D$10:$D$1305,C10)</f>
        <v>114426254</v>
      </c>
      <c r="G10" s="251">
        <f>SUMIFS(Пр.13!J$10:J$1305,Пр.13!$D$10:$D$1305,C10)</f>
        <v>59426254</v>
      </c>
      <c r="H10" s="251">
        <f>SUMIFS(Пр.13!K$10:K$1305,Пр.13!$D$10:$D$1305,C10)</f>
        <v>0</v>
      </c>
      <c r="I10" s="251">
        <f>SUMIFS(Пр.13!L$10:L$1305,Пр.13!$D$10:$D$1305,C10)</f>
        <v>59426254</v>
      </c>
    </row>
    <row r="11" spans="1:10" ht="16.5" thickBot="1" x14ac:dyDescent="0.25">
      <c r="A11" s="252" t="s">
        <v>998</v>
      </c>
      <c r="B11" s="253" t="str">
        <f>IF(C11&gt;0,VLOOKUP(C11,Программа!A$2:B$5100,2))</f>
        <v>Ведомственная целевая программа «Молодежь»</v>
      </c>
      <c r="C11" s="254" t="s">
        <v>822</v>
      </c>
      <c r="D11" s="255">
        <f>SUMIFS(Пр.13!G$10:G$1305,Пр.13!$D$10:$D$1305,C11)</f>
        <v>6000000</v>
      </c>
      <c r="E11" s="256">
        <f>SUMIFS(Пр.13!H$10:H$1305,Пр.13!$D$10:$D$1305,C11)</f>
        <v>0</v>
      </c>
      <c r="F11" s="622">
        <f>SUMIFS(Пр.13!I$10:I$1305,Пр.13!$D$10:$D$1305,C11)</f>
        <v>6000000</v>
      </c>
      <c r="G11" s="622">
        <f>SUMIFS(Пр.13!J$10:J$1305,Пр.13!$D$10:$D$1305,C11)</f>
        <v>2000000</v>
      </c>
      <c r="H11" s="622">
        <f>SUMIFS(Пр.13!K$10:K$1305,Пр.13!$D$10:$D$1305,C11)</f>
        <v>0</v>
      </c>
      <c r="I11" s="622">
        <f>SUMIFS(Пр.13!L$10:L$1305,Пр.13!$D$10:$D$1305,C11)</f>
        <v>2000000</v>
      </c>
    </row>
    <row r="12" spans="1:10" ht="48" thickBot="1" x14ac:dyDescent="0.25">
      <c r="A12" s="252"/>
      <c r="B12" s="257" t="str">
        <f>IF(C12&gt;0,VLOOKUP(C12,Программа!A$2:B$5100,2))</f>
        <v>Обеспечение условий для выполнения муниципального задания на оказание услуг, выполнение работ в сфере молодежной политики</v>
      </c>
      <c r="C12" s="150" t="s">
        <v>824</v>
      </c>
      <c r="D12" s="258">
        <f>SUMIFS(Пр.13!G$10:G$1305,Пр.13!$D$10:$D$1305,C12)</f>
        <v>6000000</v>
      </c>
      <c r="E12" s="259">
        <f>SUMIFS(Пр.13!H$10:H$1305,Пр.13!$D$10:$D$1305,C12)</f>
        <v>0</v>
      </c>
      <c r="F12" s="622">
        <f>SUMIFS(Пр.13!I$10:I$1305,Пр.13!$D$10:$D$1305,C12)</f>
        <v>6000000</v>
      </c>
      <c r="G12" s="622">
        <f>SUMIFS(Пр.13!J$10:J$1305,Пр.13!$D$10:$D$1305,C12)</f>
        <v>2000000</v>
      </c>
      <c r="H12" s="622">
        <f>SUMIFS(Пр.13!K$10:K$1305,Пр.13!$D$10:$D$1305,C12)</f>
        <v>0</v>
      </c>
      <c r="I12" s="622">
        <f>SUMIFS(Пр.13!L$10:L$1305,Пр.13!$D$10:$D$1305,C12)</f>
        <v>2000000</v>
      </c>
    </row>
    <row r="13" spans="1:10" ht="32.25" hidden="1" thickBot="1" x14ac:dyDescent="0.25">
      <c r="A13" s="252"/>
      <c r="B13" s="257" t="str">
        <f>IF(C13&gt;0,VLOOKUP(C13,Программа!A$2:B$5100,2))</f>
        <v>Обеспечение качества и доступности услуг(работ) в сфере молодежной политики</v>
      </c>
      <c r="C13" s="150" t="s">
        <v>3047</v>
      </c>
      <c r="D13" s="258">
        <f>SUMIFS(Пр.13!G$10:G$1305,Пр.13!$D$10:$D$1305,C13)</f>
        <v>0</v>
      </c>
      <c r="E13" s="259">
        <f>SUMIFS(Пр.13!H$10:H$1305,Пр.13!$D$10:$D$1305,C13)</f>
        <v>0</v>
      </c>
      <c r="F13" s="622">
        <f>SUMIFS(Пр.13!I$10:I$1305,Пр.13!$D$10:$D$1305,C13)</f>
        <v>0</v>
      </c>
      <c r="G13" s="622">
        <f>SUMIFS(Пр.13!J$10:J$1305,Пр.13!$D$10:$D$1305,C13)</f>
        <v>0</v>
      </c>
      <c r="H13" s="622">
        <f>SUMIFS(Пр.13!K$10:K$1305,Пр.13!$D$10:$D$1305,C13)</f>
        <v>0</v>
      </c>
      <c r="I13" s="622">
        <f>SUMIFS(Пр.13!L$10:L$1305,Пр.13!$D$10:$D$1305,C13)</f>
        <v>0</v>
      </c>
    </row>
    <row r="14" spans="1:10" ht="63.75" hidden="1" thickBot="1" x14ac:dyDescent="0.25">
      <c r="A14" s="252"/>
      <c r="B14" s="260" t="str">
        <f>IF(C14&gt;0,VLOOKUP(C14,Программа!A$2:B$5100,2))</f>
        <v>Муниципальная целевая программа «Патриотическое воспитание граждан Российской Федерации, проживающих на территории Тутаевского муниципального района Ярославской области»</v>
      </c>
      <c r="C14" s="261" t="s">
        <v>716</v>
      </c>
      <c r="D14" s="262">
        <f>SUMIFS(Пр.13!G$10:G$1305,Пр.13!$D$10:$D$1305,C14)</f>
        <v>0</v>
      </c>
      <c r="E14" s="263">
        <f>SUMIFS(Пр.13!H$10:H$1305,Пр.13!$D$10:$D$1305,C14)</f>
        <v>0</v>
      </c>
      <c r="F14" s="622">
        <f>SUMIFS(Пр.13!I$10:I$1305,Пр.13!$D$10:$D$1305,C14)</f>
        <v>0</v>
      </c>
      <c r="G14" s="622">
        <f>SUMIFS(Пр.13!J$10:J$1305,Пр.13!$D$10:$D$1305,C14)</f>
        <v>0</v>
      </c>
      <c r="H14" s="622">
        <f>SUMIFS(Пр.13!K$10:K$1305,Пр.13!$D$10:$D$1305,C14)</f>
        <v>0</v>
      </c>
      <c r="I14" s="622">
        <f>SUMIFS(Пр.13!L$10:L$1305,Пр.13!$D$10:$D$1305,C14)</f>
        <v>0</v>
      </c>
    </row>
    <row r="15" spans="1:10" ht="63.75" hidden="1" thickBot="1" x14ac:dyDescent="0.25">
      <c r="A15" s="264" t="s">
        <v>81</v>
      </c>
      <c r="B15" s="257" t="str">
        <f>IF(C15&gt;0,VLOOKUP(C15,Программа!A$2:B$5100,2))</f>
        <v>Координирование деятельности, совершенствование организационного, методического и информационного функционирования системы патриотического воспитания</v>
      </c>
      <c r="C15" s="170" t="s">
        <v>718</v>
      </c>
      <c r="D15" s="258">
        <f>SUMIFS(Пр.13!G$10:G$1305,Пр.13!$D$10:$D$1305,C15)</f>
        <v>0</v>
      </c>
      <c r="E15" s="259">
        <f>SUMIFS(Пр.13!H$10:H$1305,Пр.13!$D$10:$D$1305,C15)</f>
        <v>0</v>
      </c>
      <c r="F15" s="622">
        <f>SUMIFS(Пр.13!I$10:I$1305,Пр.13!$D$10:$D$1305,C15)</f>
        <v>0</v>
      </c>
      <c r="G15" s="622">
        <f>SUMIFS(Пр.13!J$10:J$1305,Пр.13!$D$10:$D$1305,C15)</f>
        <v>0</v>
      </c>
      <c r="H15" s="622">
        <f>SUMIFS(Пр.13!K$10:K$1305,Пр.13!$D$10:$D$1305,C15)</f>
        <v>0</v>
      </c>
      <c r="I15" s="622">
        <f>SUMIFS(Пр.13!L$10:L$1305,Пр.13!$D$10:$D$1305,C15)</f>
        <v>0</v>
      </c>
    </row>
    <row r="16" spans="1:10" ht="48" thickBot="1" x14ac:dyDescent="0.25">
      <c r="A16" s="265" t="s">
        <v>908</v>
      </c>
      <c r="B16" s="260" t="str">
        <f>IF(C16&gt;0,VLOOKUP(C16,Программа!A$2:B$5100,2))</f>
        <v>Муниципальная целевая программа «Комплексные меры противодействия злоупотреблению наркотиками и их незаконному обороту»</v>
      </c>
      <c r="C16" s="261" t="s">
        <v>721</v>
      </c>
      <c r="D16" s="262">
        <f>SUMIFS(Пр.13!G$10:G$1305,Пр.13!$D$10:$D$1305,C16)</f>
        <v>151581</v>
      </c>
      <c r="E16" s="263">
        <f>SUMIFS(Пр.13!H$10:H$1305,Пр.13!$D$10:$D$1305,C16)</f>
        <v>0</v>
      </c>
      <c r="F16" s="622">
        <f>SUMIFS(Пр.13!I$10:I$1305,Пр.13!$D$10:$D$1305,C16)</f>
        <v>151581</v>
      </c>
      <c r="G16" s="622">
        <f>SUMIFS(Пр.13!J$10:J$1305,Пр.13!$D$10:$D$1305,C16)</f>
        <v>151581</v>
      </c>
      <c r="H16" s="622">
        <f>SUMIFS(Пр.13!K$10:K$1305,Пр.13!$D$10:$D$1305,C16)</f>
        <v>0</v>
      </c>
      <c r="I16" s="622">
        <f>SUMIFS(Пр.13!L$10:L$1305,Пр.13!$D$10:$D$1305,C16)</f>
        <v>151581</v>
      </c>
    </row>
    <row r="17" spans="1:9" ht="32.25" thickBot="1" x14ac:dyDescent="0.25">
      <c r="A17" s="265" t="s">
        <v>909</v>
      </c>
      <c r="B17" s="257" t="str">
        <f>IF(C17&gt;0,VLOOKUP(C17,Программа!A$2:B$5100,2))</f>
        <v>Развитие системы профилактики немедицинского потребления наркотиков</v>
      </c>
      <c r="C17" s="170" t="s">
        <v>723</v>
      </c>
      <c r="D17" s="258">
        <f>SUMIFS(Пр.13!G$10:G$1305,Пр.13!$D$10:$D$1305,C17)</f>
        <v>151581</v>
      </c>
      <c r="E17" s="259">
        <f>SUMIFS(Пр.13!H$10:H$1305,Пр.13!$D$10:$D$1305,C17)</f>
        <v>0</v>
      </c>
      <c r="F17" s="622">
        <f>SUMIFS(Пр.13!I$10:I$1305,Пр.13!$D$10:$D$1305,C17)</f>
        <v>151581</v>
      </c>
      <c r="G17" s="622">
        <f>SUMIFS(Пр.13!J$10:J$1305,Пр.13!$D$10:$D$1305,C17)</f>
        <v>151581</v>
      </c>
      <c r="H17" s="622">
        <f>SUMIFS(Пр.13!K$10:K$1305,Пр.13!$D$10:$D$1305,C17)</f>
        <v>0</v>
      </c>
      <c r="I17" s="622">
        <f>SUMIFS(Пр.13!L$10:L$1305,Пр.13!$D$10:$D$1305,C17)</f>
        <v>151581</v>
      </c>
    </row>
    <row r="18" spans="1:9" s="210" customFormat="1" ht="48" thickBot="1" x14ac:dyDescent="0.25">
      <c r="A18" s="266"/>
      <c r="B18" s="260" t="str">
        <f>IF(C18&gt;0,VLOOKUP(C18,Программа!A$2:B$5100,2))</f>
        <v>Ведомственная целевая программа «Сохранение и развитие культуры Тутаевского муниципального района»</v>
      </c>
      <c r="C18" s="261" t="s">
        <v>817</v>
      </c>
      <c r="D18" s="262">
        <f>SUMIFS(Пр.13!G$10:G$1305,Пр.13!$D$10:$D$1305,C18)</f>
        <v>108274673</v>
      </c>
      <c r="E18" s="263">
        <f>SUMIFS(Пр.13!H$10:H$1305,Пр.13!$D$10:$D$1305,C18)</f>
        <v>0</v>
      </c>
      <c r="F18" s="622">
        <f>SUMIFS(Пр.13!I$10:I$1305,Пр.13!$D$10:$D$1305,C18)</f>
        <v>108274673</v>
      </c>
      <c r="G18" s="622">
        <f>SUMIFS(Пр.13!J$10:J$1305,Пр.13!$D$10:$D$1305,C18)</f>
        <v>57274673</v>
      </c>
      <c r="H18" s="622">
        <f>SUMIFS(Пр.13!K$10:K$1305,Пр.13!$D$10:$D$1305,C18)</f>
        <v>0</v>
      </c>
      <c r="I18" s="622">
        <f>SUMIFS(Пр.13!L$10:L$1305,Пр.13!$D$10:$D$1305,C18)</f>
        <v>57274673</v>
      </c>
    </row>
    <row r="19" spans="1:9" ht="32.25" thickBot="1" x14ac:dyDescent="0.25">
      <c r="A19" s="265"/>
      <c r="B19" s="257" t="str">
        <f>IF(C19&gt;0,VLOOKUP(C19,Программа!A$2:B$5100,2))</f>
        <v>Реализация дополнительных образовательных программ в сфере культуры</v>
      </c>
      <c r="C19" s="170" t="s">
        <v>819</v>
      </c>
      <c r="D19" s="258">
        <f>SUMIFS(Пр.13!G$10:G$1305,Пр.13!$D$10:$D$1305,C19)</f>
        <v>22000000</v>
      </c>
      <c r="E19" s="259">
        <f>SUMIFS(Пр.13!H$10:H$1305,Пр.13!$D$10:$D$1305,C19)</f>
        <v>0</v>
      </c>
      <c r="F19" s="622">
        <f>SUMIFS(Пр.13!I$10:I$1305,Пр.13!$D$10:$D$1305,C19)</f>
        <v>22000000</v>
      </c>
      <c r="G19" s="622">
        <f>SUMIFS(Пр.13!J$10:J$1305,Пр.13!$D$10:$D$1305,C19)</f>
        <v>8000000</v>
      </c>
      <c r="H19" s="622">
        <f>SUMIFS(Пр.13!K$10:K$1305,Пр.13!$D$10:$D$1305,C19)</f>
        <v>0</v>
      </c>
      <c r="I19" s="622">
        <f>SUMIFS(Пр.13!L$10:L$1305,Пр.13!$D$10:$D$1305,C19)</f>
        <v>8000000</v>
      </c>
    </row>
    <row r="20" spans="1:9" ht="16.5" thickBot="1" x14ac:dyDescent="0.25">
      <c r="A20" s="265"/>
      <c r="B20" s="257" t="str">
        <f>IF(C20&gt;0,VLOOKUP(C20,Программа!A$2:B$5100,2))</f>
        <v>Содействие доступу граждан к культурным ценностям</v>
      </c>
      <c r="C20" s="170" t="s">
        <v>836</v>
      </c>
      <c r="D20" s="258">
        <f>SUMIFS(Пр.13!G$10:G$1305,Пр.13!$D$10:$D$1305,C20)</f>
        <v>45000000</v>
      </c>
      <c r="E20" s="259">
        <f>SUMIFS(Пр.13!H$10:H$1305,Пр.13!$D$10:$D$1305,C20)</f>
        <v>0</v>
      </c>
      <c r="F20" s="622">
        <f>SUMIFS(Пр.13!I$10:I$1305,Пр.13!$D$10:$D$1305,C20)</f>
        <v>45000000</v>
      </c>
      <c r="G20" s="622">
        <f>SUMIFS(Пр.13!J$10:J$1305,Пр.13!$D$10:$D$1305,C20)</f>
        <v>16000000</v>
      </c>
      <c r="H20" s="622">
        <f>SUMIFS(Пр.13!K$10:K$1305,Пр.13!$D$10:$D$1305,C20)</f>
        <v>0</v>
      </c>
      <c r="I20" s="622">
        <f>SUMIFS(Пр.13!L$10:L$1305,Пр.13!$D$10:$D$1305,C20)</f>
        <v>16000000</v>
      </c>
    </row>
    <row r="21" spans="1:9" ht="32.25" thickBot="1" x14ac:dyDescent="0.25">
      <c r="A21" s="264" t="s">
        <v>912</v>
      </c>
      <c r="B21" s="257" t="str">
        <f>IF(C21&gt;0,VLOOKUP(C21,Программа!A$2:B$5100,2))</f>
        <v>Поддержка доступа граждан к информационно-библиотечным ресурсам</v>
      </c>
      <c r="C21" s="170" t="s">
        <v>841</v>
      </c>
      <c r="D21" s="258">
        <f>SUMIFS(Пр.13!G$10:G$1305,Пр.13!$D$10:$D$1305,C21)</f>
        <v>13000000</v>
      </c>
      <c r="E21" s="259">
        <f>SUMIFS(Пр.13!H$10:H$1305,Пр.13!$D$10:$D$1305,C21)</f>
        <v>0</v>
      </c>
      <c r="F21" s="622">
        <f>SUMIFS(Пр.13!I$10:I$1305,Пр.13!$D$10:$D$1305,C21)</f>
        <v>13000000</v>
      </c>
      <c r="G21" s="622">
        <f>SUMIFS(Пр.13!J$10:J$1305,Пр.13!$D$10:$D$1305,C21)</f>
        <v>5000000</v>
      </c>
      <c r="H21" s="622">
        <f>SUMIFS(Пр.13!K$10:K$1305,Пр.13!$D$10:$D$1305,C21)</f>
        <v>0</v>
      </c>
      <c r="I21" s="622">
        <f>SUMIFS(Пр.13!L$10:L$1305,Пр.13!$D$10:$D$1305,C21)</f>
        <v>5000000</v>
      </c>
    </row>
    <row r="22" spans="1:9" ht="32.25" thickBot="1" x14ac:dyDescent="0.25">
      <c r="A22" s="265" t="s">
        <v>913</v>
      </c>
      <c r="B22" s="257" t="str">
        <f>IF(C22&gt;0,VLOOKUP(C22,Программа!A$2:B$5100,2))</f>
        <v>Обеспечение эффективности управления системой культуры</v>
      </c>
      <c r="C22" s="170" t="s">
        <v>844</v>
      </c>
      <c r="D22" s="258">
        <f>SUMIFS(Пр.13!G$10:G$1305,Пр.13!$D$10:$D$1305,C22)</f>
        <v>28274673</v>
      </c>
      <c r="E22" s="259">
        <f>SUMIFS(Пр.13!H$10:H$1305,Пр.13!$D$10:$D$1305,C22)</f>
        <v>0</v>
      </c>
      <c r="F22" s="622">
        <f>SUMIFS(Пр.13!I$10:I$1305,Пр.13!$D$10:$D$1305,C22)</f>
        <v>28274673</v>
      </c>
      <c r="G22" s="622">
        <f>SUMIFS(Пр.13!J$10:J$1305,Пр.13!$D$10:$D$1305,C22)</f>
        <v>28274673</v>
      </c>
      <c r="H22" s="622">
        <f>SUMIFS(Пр.13!K$10:K$1305,Пр.13!$D$10:$D$1305,C22)</f>
        <v>0</v>
      </c>
      <c r="I22" s="622">
        <f>SUMIFS(Пр.13!L$10:L$1305,Пр.13!$D$10:$D$1305,C22)</f>
        <v>28274673</v>
      </c>
    </row>
    <row r="23" spans="1:9" ht="48" hidden="1" thickBot="1" x14ac:dyDescent="0.25">
      <c r="A23" s="265" t="s">
        <v>999</v>
      </c>
      <c r="B23" s="260" t="str">
        <f>IF(C23&gt;0,VLOOKUP(C23,Программа!A$2:B$5100,2))</f>
        <v>Муниципальная целевая программа «Развитие въездного и внутреннего туризма на территории Тутаевского муниципального района»</v>
      </c>
      <c r="C23" s="261" t="s">
        <v>812</v>
      </c>
      <c r="D23" s="258">
        <f>SUMIFS(Пр.13!G$10:G$1305,Пр.13!$D$10:$D$1305,C23)</f>
        <v>0</v>
      </c>
      <c r="E23" s="259">
        <f>SUMIFS(Пр.13!H$10:H$1305,Пр.13!$D$10:$D$1305,C23)</f>
        <v>0</v>
      </c>
      <c r="F23" s="251">
        <f>SUMIFS(Пр.13!I$10:I$1305,Пр.13!$D$10:$D$1305,C23)</f>
        <v>0</v>
      </c>
      <c r="G23" s="251">
        <f>SUMIFS(Пр.13!J$10:J$1305,Пр.13!$D$10:$D$1305,C23)</f>
        <v>0</v>
      </c>
      <c r="H23" s="251">
        <f>SUMIFS(Пр.13!K$10:K$1305,Пр.13!$D$10:$D$1305,C23)</f>
        <v>0</v>
      </c>
      <c r="I23" s="251">
        <f>SUMIFS(Пр.13!L$10:L$1305,Пр.13!$D$10:$D$1305,C23)</f>
        <v>0</v>
      </c>
    </row>
    <row r="24" spans="1:9" ht="32.25" hidden="1" thickBot="1" x14ac:dyDescent="0.25">
      <c r="A24" s="264" t="s">
        <v>914</v>
      </c>
      <c r="B24" s="267" t="str">
        <f>IF(C24&gt;0,VLOOKUP(C24,Программа!A$2:B$5100,2))</f>
        <v>Создание благоприятных условий для развития туризма</v>
      </c>
      <c r="C24" s="268" t="s">
        <v>814</v>
      </c>
      <c r="D24" s="269">
        <f>SUMIFS(Пр.13!G$10:G$1305,Пр.13!$D$10:$D$1305,C24)</f>
        <v>0</v>
      </c>
      <c r="E24" s="270">
        <f>SUMIFS(Пр.13!H$10:H$1305,Пр.13!$D$10:$D$1305,C24)</f>
        <v>0</v>
      </c>
      <c r="F24" s="251">
        <f>SUMIFS(Пр.13!I$10:I$1305,Пр.13!$D$10:$D$1305,C24)</f>
        <v>0</v>
      </c>
      <c r="G24" s="251">
        <f>SUMIFS(Пр.13!J$10:J$1305,Пр.13!$D$10:$D$1305,C24)</f>
        <v>0</v>
      </c>
      <c r="H24" s="251">
        <f>SUMIFS(Пр.13!K$10:K$1305,Пр.13!$D$10:$D$1305,C24)</f>
        <v>0</v>
      </c>
      <c r="I24" s="251">
        <f>SUMIFS(Пр.13!L$10:L$1305,Пр.13!$D$10:$D$1305,C24)</f>
        <v>0</v>
      </c>
    </row>
    <row r="25" spans="1:9" ht="48" thickBot="1" x14ac:dyDescent="0.25">
      <c r="A25" s="265" t="s">
        <v>915</v>
      </c>
      <c r="B25" s="248" t="str">
        <f>IF(C25&gt;0,VLOOKUP(C25,Программа!A$2:B$5100,2))</f>
        <v>Муниципальная программа "Развитие образования, физической культуры и спорта в Тутаевском муниципальном районе"</v>
      </c>
      <c r="C25" s="249" t="s">
        <v>684</v>
      </c>
      <c r="D25" s="250">
        <f>SUMIFS(Пр.13!G$10:G$1305,Пр.13!$D$10:$D$1305,C25)</f>
        <v>912287316</v>
      </c>
      <c r="E25" s="251">
        <f>SUMIFS(Пр.13!H$10:H$1305,Пр.13!$D$10:$D$1305,C25)</f>
        <v>0</v>
      </c>
      <c r="F25" s="251">
        <f>SUMIFS(Пр.13!I$10:I$1305,Пр.13!$D$10:$D$1305,C25)</f>
        <v>912287316</v>
      </c>
      <c r="G25" s="251">
        <f>SUMIFS(Пр.13!J$10:J$1305,Пр.13!$D$10:$D$1305,C25)</f>
        <v>776269772</v>
      </c>
      <c r="H25" s="251">
        <f>SUMIFS(Пр.13!K$10:K$1305,Пр.13!$D$10:$D$1305,C25)</f>
        <v>0</v>
      </c>
      <c r="I25" s="251">
        <f>SUMIFS(Пр.13!L$10:L$1305,Пр.13!$D$10:$D$1305,C25)</f>
        <v>776269772</v>
      </c>
    </row>
    <row r="26" spans="1:9" ht="48" thickBot="1" x14ac:dyDescent="0.25">
      <c r="A26" s="264" t="s">
        <v>916</v>
      </c>
      <c r="B26" s="253" t="str">
        <f>IF(C26&gt;0,VLOOKUP(C26,Программа!A$2:B$5100,2))</f>
        <v xml:space="preserve">Ведомственная целевая программа департамента образования Администрации Тутаевского муниципального района </v>
      </c>
      <c r="C26" s="271" t="s">
        <v>686</v>
      </c>
      <c r="D26" s="255">
        <f>SUMIFS(Пр.13!G$10:G$1305,Пр.13!$D$10:$D$1305,C26)</f>
        <v>882287316</v>
      </c>
      <c r="E26" s="256">
        <f>SUMIFS(Пр.13!H$10:H$1305,Пр.13!$D$10:$D$1305,C26)</f>
        <v>0</v>
      </c>
      <c r="F26" s="622">
        <f>SUMIFS(Пр.13!I$10:I$1305,Пр.13!$D$10:$D$1305,C26)</f>
        <v>882287316</v>
      </c>
      <c r="G26" s="622">
        <f>SUMIFS(Пр.13!J$10:J$1305,Пр.13!$D$10:$D$1305,C26)</f>
        <v>762990931</v>
      </c>
      <c r="H26" s="622">
        <f>SUMIFS(Пр.13!K$10:K$1305,Пр.13!$D$10:$D$1305,C26)</f>
        <v>0</v>
      </c>
      <c r="I26" s="622">
        <f>SUMIFS(Пр.13!L$10:L$1305,Пр.13!$D$10:$D$1305,C26)</f>
        <v>762990931</v>
      </c>
    </row>
    <row r="27" spans="1:9" ht="48" thickBot="1" x14ac:dyDescent="0.25">
      <c r="A27" s="265" t="s">
        <v>917</v>
      </c>
      <c r="B27" s="257" t="str">
        <f>IF(C27&gt;0,VLOOKUP(C27,Программа!A$2:B$5100,2))</f>
        <v>Обеспечение качества и доступности образовательных услуг в сфере дошкольного образования</v>
      </c>
      <c r="C27" s="170" t="s">
        <v>687</v>
      </c>
      <c r="D27" s="258">
        <f>SUMIFS(Пр.13!G$10:G$1305,Пр.13!$D$10:$D$1305,C27)</f>
        <v>365941675</v>
      </c>
      <c r="E27" s="259">
        <f>SUMIFS(Пр.13!H$10:H$1305,Пр.13!$D$10:$D$1305,C27)</f>
        <v>0</v>
      </c>
      <c r="F27" s="622">
        <f>SUMIFS(Пр.13!I$10:I$1305,Пр.13!$D$10:$D$1305,C27)</f>
        <v>365941675</v>
      </c>
      <c r="G27" s="622">
        <f>SUMIFS(Пр.13!J$10:J$1305,Пр.13!$D$10:$D$1305,C27)</f>
        <v>311620410</v>
      </c>
      <c r="H27" s="622">
        <f>SUMIFS(Пр.13!K$10:K$1305,Пр.13!$D$10:$D$1305,C27)</f>
        <v>0</v>
      </c>
      <c r="I27" s="622">
        <f>SUMIFS(Пр.13!L$10:L$1305,Пр.13!$D$10:$D$1305,C27)</f>
        <v>311620410</v>
      </c>
    </row>
    <row r="28" spans="1:9" ht="32.25" thickBot="1" x14ac:dyDescent="0.25">
      <c r="A28" s="265"/>
      <c r="B28" s="257" t="str">
        <f>IF(C28&gt;0,VLOOKUP(C28,Программа!A$2:B$5100,2))</f>
        <v>Обеспечение качества и доступности образовательных услуг в сфере общего образования</v>
      </c>
      <c r="C28" s="170" t="s">
        <v>727</v>
      </c>
      <c r="D28" s="258">
        <f>SUMIFS(Пр.13!G$10:G$1305,Пр.13!$D$10:$D$1305,C28)</f>
        <v>388710089</v>
      </c>
      <c r="E28" s="259">
        <f>SUMIFS(Пр.13!H$10:H$1305,Пр.13!$D$10:$D$1305,C28)</f>
        <v>0</v>
      </c>
      <c r="F28" s="622">
        <f>SUMIFS(Пр.13!I$10:I$1305,Пр.13!$D$10:$D$1305,C28)</f>
        <v>388710089</v>
      </c>
      <c r="G28" s="622">
        <f>SUMIFS(Пр.13!J$10:J$1305,Пр.13!$D$10:$D$1305,C28)</f>
        <v>352733800</v>
      </c>
      <c r="H28" s="622">
        <f>SUMIFS(Пр.13!K$10:K$1305,Пр.13!$D$10:$D$1305,C28)</f>
        <v>0</v>
      </c>
      <c r="I28" s="622">
        <f>SUMIFS(Пр.13!L$10:L$1305,Пр.13!$D$10:$D$1305,C28)</f>
        <v>352733800</v>
      </c>
    </row>
    <row r="29" spans="1:9" ht="48" thickBot="1" x14ac:dyDescent="0.25">
      <c r="A29" s="265"/>
      <c r="B29" s="257" t="str">
        <f>IF(C29&gt;0,VLOOKUP(C29,Программа!A$2:B$5100,2))</f>
        <v>Обеспечение качества и доступности образовательных услуг в сфере дополнительного образования</v>
      </c>
      <c r="C29" s="170" t="s">
        <v>751</v>
      </c>
      <c r="D29" s="258">
        <f>SUMIFS(Пр.13!G$10:G$1305,Пр.13!$D$10:$D$1305,C29)</f>
        <v>37000000</v>
      </c>
      <c r="E29" s="259">
        <f>SUMIFS(Пр.13!H$10:H$1305,Пр.13!$D$10:$D$1305,C29)</f>
        <v>0</v>
      </c>
      <c r="F29" s="622">
        <f>SUMIFS(Пр.13!I$10:I$1305,Пр.13!$D$10:$D$1305,C29)</f>
        <v>37000000</v>
      </c>
      <c r="G29" s="622">
        <f>SUMIFS(Пр.13!J$10:J$1305,Пр.13!$D$10:$D$1305,C29)</f>
        <v>13000000</v>
      </c>
      <c r="H29" s="622">
        <f>SUMIFS(Пр.13!K$10:K$1305,Пр.13!$D$10:$D$1305,C29)</f>
        <v>0</v>
      </c>
      <c r="I29" s="622">
        <f>SUMIFS(Пр.13!L$10:L$1305,Пр.13!$D$10:$D$1305,C29)</f>
        <v>13000000</v>
      </c>
    </row>
    <row r="30" spans="1:9" ht="32.25" hidden="1" thickBot="1" x14ac:dyDescent="0.25">
      <c r="A30" s="264" t="s">
        <v>920</v>
      </c>
      <c r="B30" s="257" t="str">
        <f>IF(C30&gt;0,VLOOKUP(C30,Программа!A$2:B$5100,2))</f>
        <v>Повышение мотивации участников образовательного процесса</v>
      </c>
      <c r="C30" s="170" t="s">
        <v>729</v>
      </c>
      <c r="D30" s="258">
        <f>SUMIFS(Пр.13!G$10:G$1305,Пр.13!$D$10:$D$1305,C30)</f>
        <v>0</v>
      </c>
      <c r="E30" s="259">
        <f>SUMIFS(Пр.13!H$10:H$1305,Пр.13!$D$10:$D$1305,C30)</f>
        <v>0</v>
      </c>
      <c r="F30" s="622">
        <f>SUMIFS(Пр.13!I$10:I$1305,Пр.13!$D$10:$D$1305,C30)</f>
        <v>0</v>
      </c>
      <c r="G30" s="622">
        <f>SUMIFS(Пр.13!J$10:J$1305,Пр.13!$D$10:$D$1305,C30)</f>
        <v>0</v>
      </c>
      <c r="H30" s="622">
        <f>SUMIFS(Пр.13!K$10:K$1305,Пр.13!$D$10:$D$1305,C30)</f>
        <v>0</v>
      </c>
      <c r="I30" s="622">
        <f>SUMIFS(Пр.13!L$10:L$1305,Пр.13!$D$10:$D$1305,C30)</f>
        <v>0</v>
      </c>
    </row>
    <row r="31" spans="1:9" ht="63.75" thickBot="1" x14ac:dyDescent="0.25">
      <c r="A31" s="265" t="s">
        <v>921</v>
      </c>
      <c r="B31" s="257" t="str">
        <f>IF(C31&gt;0,VLOOKUP(C31,Программа!A$2:B$5100,2))</f>
        <v>Обеспечение доступности и качества услуг в сфере психолого и медико- социального сопровождения детей, методической и консультационной помощи педагогическим работникам</v>
      </c>
      <c r="C31" s="170" t="s">
        <v>706</v>
      </c>
      <c r="D31" s="258">
        <f>SUMIFS(Пр.13!G$10:G$1305,Пр.13!$D$10:$D$1305,C31)</f>
        <v>9000000</v>
      </c>
      <c r="E31" s="259">
        <f>SUMIFS(Пр.13!H$10:H$1305,Пр.13!$D$10:$D$1305,C31)</f>
        <v>0</v>
      </c>
      <c r="F31" s="622">
        <f>SUMIFS(Пр.13!I$10:I$1305,Пр.13!$D$10:$D$1305,C31)</f>
        <v>9000000</v>
      </c>
      <c r="G31" s="622">
        <f>SUMIFS(Пр.13!J$10:J$1305,Пр.13!$D$10:$D$1305,C31)</f>
        <v>4000000</v>
      </c>
      <c r="H31" s="622">
        <f>SUMIFS(Пр.13!K$10:K$1305,Пр.13!$D$10:$D$1305,C31)</f>
        <v>0</v>
      </c>
      <c r="I31" s="622">
        <f>SUMIFS(Пр.13!L$10:L$1305,Пр.13!$D$10:$D$1305,C31)</f>
        <v>4000000</v>
      </c>
    </row>
    <row r="32" spans="1:9" ht="48" thickBot="1" x14ac:dyDescent="0.25">
      <c r="A32" s="264" t="s">
        <v>922</v>
      </c>
      <c r="B32" s="257" t="str">
        <f>IF(C32&gt;0,VLOOKUP(C32,Программа!A$2:B$5100,2))</f>
        <v>Обеспечение качества реализации мер по социальной поддержке детей-сирот и детей, оставшихся без попечения родителей</v>
      </c>
      <c r="C32" s="170" t="s">
        <v>736</v>
      </c>
      <c r="D32" s="258">
        <f>SUMIFS(Пр.13!G$10:G$1305,Пр.13!$D$10:$D$1305,C32)</f>
        <v>28667617</v>
      </c>
      <c r="E32" s="259">
        <f>SUMIFS(Пр.13!H$10:H$1305,Пр.13!$D$10:$D$1305,C32)</f>
        <v>0</v>
      </c>
      <c r="F32" s="622">
        <f>SUMIFS(Пр.13!I$10:I$1305,Пр.13!$D$10:$D$1305,C32)</f>
        <v>28667617</v>
      </c>
      <c r="G32" s="622">
        <f>SUMIFS(Пр.13!J$10:J$1305,Пр.13!$D$10:$D$1305,C32)</f>
        <v>28668786</v>
      </c>
      <c r="H32" s="622">
        <f>SUMIFS(Пр.13!K$10:K$1305,Пр.13!$D$10:$D$1305,C32)</f>
        <v>0</v>
      </c>
      <c r="I32" s="622">
        <f>SUMIFS(Пр.13!L$10:L$1305,Пр.13!$D$10:$D$1305,C32)</f>
        <v>28668786</v>
      </c>
    </row>
    <row r="33" spans="1:9" ht="48" hidden="1" thickBot="1" x14ac:dyDescent="0.25">
      <c r="A33" s="265" t="s">
        <v>923</v>
      </c>
      <c r="B33" s="257" t="str">
        <f>IF(C33&gt;0,VLOOKUP(C33,Программа!A$2:B$5100,2))</f>
        <v>Муниципальная целевая программа "Духовно-нравственное воспитание и просвещение населения Тутаевского муниципального района"</v>
      </c>
      <c r="C33" s="261" t="s">
        <v>738</v>
      </c>
      <c r="D33" s="258">
        <f>SUMIFS(Пр.13!G$10:G$1305,Пр.13!$D$10:$D$1305,C33)</f>
        <v>0</v>
      </c>
      <c r="E33" s="259">
        <f>SUMIFS(Пр.13!H$10:H$1305,Пр.13!$D$10:$D$1305,C33)</f>
        <v>0</v>
      </c>
      <c r="F33" s="622">
        <f>SUMIFS(Пр.13!I$10:I$1305,Пр.13!$D$10:$D$1305,C33)</f>
        <v>0</v>
      </c>
      <c r="G33" s="622">
        <f>SUMIFS(Пр.13!J$10:J$1305,Пр.13!$D$10:$D$1305,C33)</f>
        <v>0</v>
      </c>
      <c r="H33" s="622">
        <f>SUMIFS(Пр.13!K$10:K$1305,Пр.13!$D$10:$D$1305,C33)</f>
        <v>0</v>
      </c>
      <c r="I33" s="622">
        <f>SUMIFS(Пр.13!L$10:L$1305,Пр.13!$D$10:$D$1305,C33)</f>
        <v>0</v>
      </c>
    </row>
    <row r="34" spans="1:9" ht="48" hidden="1" thickBot="1" x14ac:dyDescent="0.25">
      <c r="A34" s="265" t="s">
        <v>924</v>
      </c>
      <c r="B34" s="257" t="str">
        <f>IF(C34&gt;0,VLOOKUP(C34,Программа!A$2:B$5100,2))</f>
        <v>Реализация мер по созданию целостной системы духовно-нравственного воспитания и просвещения населения</v>
      </c>
      <c r="C34" s="170" t="s">
        <v>740</v>
      </c>
      <c r="D34" s="258">
        <f>SUMIFS(Пр.13!G$10:G$1305,Пр.13!$D$10:$D$1305,C34)</f>
        <v>0</v>
      </c>
      <c r="E34" s="259">
        <f>SUMIFS(Пр.13!H$10:H$1305,Пр.13!$D$10:$D$1305,C34)</f>
        <v>0</v>
      </c>
      <c r="F34" s="622">
        <f>SUMIFS(Пр.13!I$10:I$1305,Пр.13!$D$10:$D$1305,C34)</f>
        <v>0</v>
      </c>
      <c r="G34" s="622">
        <f>SUMIFS(Пр.13!J$10:J$1305,Пр.13!$D$10:$D$1305,C34)</f>
        <v>0</v>
      </c>
      <c r="H34" s="622">
        <f>SUMIFS(Пр.13!K$10:K$1305,Пр.13!$D$10:$D$1305,C34)</f>
        <v>0</v>
      </c>
      <c r="I34" s="622">
        <f>SUMIFS(Пр.13!L$10:L$1305,Пр.13!$D$10:$D$1305,C34)</f>
        <v>0</v>
      </c>
    </row>
    <row r="35" spans="1:9" ht="48" hidden="1" thickBot="1" x14ac:dyDescent="0.25">
      <c r="A35" s="264" t="s">
        <v>945</v>
      </c>
      <c r="B35" s="257" t="str">
        <f>IF(C35&gt;0,VLOOKUP(C35,Программа!A$2:B$5100,2))</f>
        <v>Муниципальная целевая программа "Развитие физической культуры и спорта в Тутаевском муниципальном районе"</v>
      </c>
      <c r="C35" s="261" t="s">
        <v>704</v>
      </c>
      <c r="D35" s="258">
        <f>SUMIFS(Пр.13!G$10:G$1305,Пр.13!$D$10:$D$1305,C35)</f>
        <v>30000000</v>
      </c>
      <c r="E35" s="259">
        <f>SUMIFS(Пр.13!H$10:H$1305,Пр.13!$D$10:$D$1305,C35)</f>
        <v>0</v>
      </c>
      <c r="F35" s="622">
        <f>SUMIFS(Пр.13!I$10:I$1305,Пр.13!$D$10:$D$1305,C35)</f>
        <v>30000000</v>
      </c>
      <c r="G35" s="622">
        <f>SUMIFS(Пр.13!J$10:J$1305,Пр.13!$D$10:$D$1305,C35)</f>
        <v>13278841</v>
      </c>
      <c r="H35" s="622">
        <f>SUMIFS(Пр.13!K$10:K$1305,Пр.13!$D$10:$D$1305,C35)</f>
        <v>0</v>
      </c>
      <c r="I35" s="622">
        <f>SUMIFS(Пр.13!L$10:L$1305,Пр.13!$D$10:$D$1305,C35)</f>
        <v>13278841</v>
      </c>
    </row>
    <row r="36" spans="1:9" ht="63.75" hidden="1" thickBot="1" x14ac:dyDescent="0.25">
      <c r="A36" s="265" t="s">
        <v>947</v>
      </c>
      <c r="B36" s="257" t="str">
        <f>IF(C36&gt;0,VLOOKUP(C36,Программа!A$2:B$5100,2))</f>
        <v>Организация и проведение физкультурно-оздоровительной и спортивно-массовой работы среди детей, обучающейся молодежи, населения и людей с ограниченными возможностями здоровья</v>
      </c>
      <c r="C36" s="170" t="s">
        <v>761</v>
      </c>
      <c r="D36" s="258">
        <f>SUMIFS(Пр.13!G$10:G$1305,Пр.13!$D$10:$D$1305,C36)</f>
        <v>30000000</v>
      </c>
      <c r="E36" s="259">
        <f>SUMIFS(Пр.13!H$10:H$1305,Пр.13!$D$10:$D$1305,C36)</f>
        <v>0</v>
      </c>
      <c r="F36" s="622">
        <f>SUMIFS(Пр.13!I$10:I$1305,Пр.13!$D$10:$D$1305,C36)</f>
        <v>30000000</v>
      </c>
      <c r="G36" s="622">
        <f>SUMIFS(Пр.13!J$10:J$1305,Пр.13!$D$10:$D$1305,C36)</f>
        <v>13278841</v>
      </c>
      <c r="H36" s="622">
        <f>SUMIFS(Пр.13!K$10:K$1305,Пр.13!$D$10:$D$1305,C36)</f>
        <v>0</v>
      </c>
      <c r="I36" s="622">
        <f>SUMIFS(Пр.13!L$10:L$1305,Пр.13!$D$10:$D$1305,C36)</f>
        <v>13278841</v>
      </c>
    </row>
    <row r="37" spans="1:9" ht="32.25" hidden="1" thickBot="1" x14ac:dyDescent="0.25">
      <c r="A37" s="264" t="s">
        <v>948</v>
      </c>
      <c r="B37" s="257" t="str">
        <f>IF(C37&gt;0,VLOOKUP(C37,Программа!A$2:B$5100,2))</f>
        <v>Строительство и реконструкция спортивных сооружений и укрепление материальной базы</v>
      </c>
      <c r="C37" s="268" t="s">
        <v>705</v>
      </c>
      <c r="D37" s="258">
        <f>SUMIFS(Пр.13!G$10:G$1305,Пр.13!$D$10:$D$1305,C37)</f>
        <v>0</v>
      </c>
      <c r="E37" s="259">
        <f>SUMIFS(Пр.13!H$10:H$1305,Пр.13!$D$10:$D$1305,C37)</f>
        <v>0</v>
      </c>
      <c r="F37" s="622">
        <f>SUMIFS(Пр.13!I$10:I$1305,Пр.13!$D$10:$D$1305,C37)</f>
        <v>0</v>
      </c>
      <c r="G37" s="622">
        <f>SUMIFS(Пр.13!J$10:J$1305,Пр.13!$D$10:$D$1305,C37)</f>
        <v>0</v>
      </c>
      <c r="H37" s="622">
        <f>SUMIFS(Пр.13!K$10:K$1305,Пр.13!$D$10:$D$1305,C37)</f>
        <v>0</v>
      </c>
      <c r="I37" s="622">
        <f>SUMIFS(Пр.13!L$10:L$1305,Пр.13!$D$10:$D$1305,C37)</f>
        <v>0</v>
      </c>
    </row>
    <row r="38" spans="1:9" ht="32.25" thickBot="1" x14ac:dyDescent="0.25">
      <c r="A38" s="264"/>
      <c r="B38" s="257" t="str">
        <f>IF(C38&gt;0,VLOOKUP(C38,Программа!A$2:B$5100,2))</f>
        <v>Обеспечение реализации мероприятий в рамках областных целевых программ</v>
      </c>
      <c r="C38" s="170" t="s">
        <v>2946</v>
      </c>
      <c r="D38" s="258">
        <f>SUMIFS(Пр.13!G$10:G$1305,Пр.13!$D$10:$D$1305,C38)</f>
        <v>5396850</v>
      </c>
      <c r="E38" s="259">
        <f>SUMIFS(Пр.13!H$10:H$1305,Пр.13!$D$10:$D$1305,C38)</f>
        <v>0</v>
      </c>
      <c r="F38" s="622">
        <f>SUMIFS(Пр.13!I$10:I$1305,Пр.13!$D$10:$D$1305,C38)</f>
        <v>5396850</v>
      </c>
      <c r="G38" s="622">
        <f>SUMIFS(Пр.13!J$10:J$1305,Пр.13!$D$10:$D$1305,C38)</f>
        <v>5396850</v>
      </c>
      <c r="H38" s="622">
        <f>SUMIFS(Пр.13!K$10:K$1305,Пр.13!$D$10:$D$1305,C38)</f>
        <v>0</v>
      </c>
      <c r="I38" s="622">
        <f>SUMIFS(Пр.13!L$10:L$1305,Пр.13!$D$10:$D$1305,C38)</f>
        <v>5396850</v>
      </c>
    </row>
    <row r="39" spans="1:9" ht="16.5" thickBot="1" x14ac:dyDescent="0.25">
      <c r="A39" s="264"/>
      <c r="B39" s="257" t="str">
        <f>IF(C39&gt;0,VLOOKUP(C39,Программа!A$2:B$5100,2))</f>
        <v>Обеспечение компенсационных выплат</v>
      </c>
      <c r="C39" s="170" t="s">
        <v>2952</v>
      </c>
      <c r="D39" s="258">
        <f>SUMIFS(Пр.13!G$10:G$1305,Пр.13!$D$10:$D$1305,C39)</f>
        <v>19121467</v>
      </c>
      <c r="E39" s="259">
        <f>SUMIFS(Пр.13!H$10:H$1305,Пр.13!$D$10:$D$1305,C39)</f>
        <v>0</v>
      </c>
      <c r="F39" s="622">
        <f>SUMIFS(Пр.13!I$10:I$1305,Пр.13!$D$10:$D$1305,C39)</f>
        <v>19121467</v>
      </c>
      <c r="G39" s="622">
        <f>SUMIFS(Пр.13!J$10:J$1305,Пр.13!$D$10:$D$1305,C39)</f>
        <v>19121467</v>
      </c>
      <c r="H39" s="622">
        <f>SUMIFS(Пр.13!K$10:K$1305,Пр.13!$D$10:$D$1305,C39)</f>
        <v>0</v>
      </c>
      <c r="I39" s="622">
        <f>SUMIFS(Пр.13!L$10:L$1305,Пр.13!$D$10:$D$1305,C39)</f>
        <v>19121467</v>
      </c>
    </row>
    <row r="40" spans="1:9" ht="32.25" thickBot="1" x14ac:dyDescent="0.25">
      <c r="A40" s="264"/>
      <c r="B40" s="257" t="str">
        <f>IF(C40&gt;0,VLOOKUP(C40,Программа!A$2:B$5100,2))</f>
        <v>Обеспечение эффективности управления системой образования</v>
      </c>
      <c r="C40" s="170" t="s">
        <v>2949</v>
      </c>
      <c r="D40" s="258">
        <f>SUMIFS(Пр.13!G$10:G$1305,Пр.13!$D$10:$D$1305,C40)</f>
        <v>28449618</v>
      </c>
      <c r="E40" s="259">
        <f>SUMIFS(Пр.13!H$10:H$1305,Пр.13!$D$10:$D$1305,C40)</f>
        <v>0</v>
      </c>
      <c r="F40" s="622">
        <f>SUMIFS(Пр.13!I$10:I$1305,Пр.13!$D$10:$D$1305,C40)</f>
        <v>28449618</v>
      </c>
      <c r="G40" s="622">
        <f>SUMIFS(Пр.13!J$10:J$1305,Пр.13!$D$10:$D$1305,C40)</f>
        <v>28449618</v>
      </c>
      <c r="H40" s="622">
        <f>SUMIFS(Пр.13!K$10:K$1305,Пр.13!$D$10:$D$1305,C40)</f>
        <v>0</v>
      </c>
      <c r="I40" s="622">
        <f>SUMIFS(Пр.13!L$10:L$1305,Пр.13!$D$10:$D$1305,C40)</f>
        <v>28449618</v>
      </c>
    </row>
    <row r="41" spans="1:9" s="210" customFormat="1" ht="48" thickBot="1" x14ac:dyDescent="0.25">
      <c r="A41" s="541"/>
      <c r="B41" s="260" t="str">
        <f>IF(C41&gt;0,VLOOKUP(C41,Программа!A$2:B$5100,2))</f>
        <v>Муниципальная целевая программа "Развитие физической культуры и спорта в Тутаевском муниципальном районе"</v>
      </c>
      <c r="C41" s="261" t="s">
        <v>704</v>
      </c>
      <c r="D41" s="262">
        <f>SUMIFS(Пр.13!G$10:G$1305,Пр.13!$D$10:$D$1305,C41)</f>
        <v>30000000</v>
      </c>
      <c r="E41" s="263">
        <f>SUMIFS(Пр.13!H$10:H$1305,Пр.13!$D$10:$D$1305,C41)</f>
        <v>0</v>
      </c>
      <c r="F41" s="622">
        <f>SUMIFS(Пр.13!I$10:I$1305,Пр.13!$D$10:$D$1305,C41)</f>
        <v>30000000</v>
      </c>
      <c r="G41" s="622">
        <f>SUMIFS(Пр.13!J$10:J$1305,Пр.13!$D$10:$D$1305,C41)</f>
        <v>13278841</v>
      </c>
      <c r="H41" s="622">
        <f>SUMIFS(Пр.13!K$10:K$1305,Пр.13!$D$10:$D$1305,C41)</f>
        <v>0</v>
      </c>
      <c r="I41" s="622">
        <f>SUMIFS(Пр.13!L$10:L$1305,Пр.13!$D$10:$D$1305,C41)</f>
        <v>13278841</v>
      </c>
    </row>
    <row r="42" spans="1:9" ht="63.75" thickBot="1" x14ac:dyDescent="0.25">
      <c r="A42" s="264"/>
      <c r="B42" s="257" t="str">
        <f>IF(C42&gt;0,VLOOKUP(C42,Программа!A$2:B$5100,2))</f>
        <v>Организация и проведение физкультурно-оздоровительной и спортивно-массовой работы среди детей, обучающейся молодежи, населения и людей с ограниченными возможностями здоровья</v>
      </c>
      <c r="C42" s="170" t="s">
        <v>761</v>
      </c>
      <c r="D42" s="258">
        <f>SUMIFS(Пр.13!G$10:G$1305,Пр.13!$D$10:$D$1305,C42)</f>
        <v>30000000</v>
      </c>
      <c r="E42" s="259">
        <f>SUMIFS(Пр.13!H$10:H$1305,Пр.13!$D$10:$D$1305,C42)</f>
        <v>0</v>
      </c>
      <c r="F42" s="622">
        <f>SUMIFS(Пр.13!I$10:I$1305,Пр.13!$D$10:$D$1305,C42)</f>
        <v>30000000</v>
      </c>
      <c r="G42" s="622">
        <f>SUMIFS(Пр.13!J$10:J$1305,Пр.13!$D$10:$D$1305,C42)</f>
        <v>13278841</v>
      </c>
      <c r="H42" s="622">
        <f>SUMIFS(Пр.13!K$10:K$1305,Пр.13!$D$10:$D$1305,C42)</f>
        <v>0</v>
      </c>
      <c r="I42" s="622">
        <f>SUMIFS(Пр.13!L$10:L$1305,Пр.13!$D$10:$D$1305,C42)</f>
        <v>13278841</v>
      </c>
    </row>
    <row r="43" spans="1:9" ht="16.5" hidden="1" thickBot="1" x14ac:dyDescent="0.25">
      <c r="A43" s="264"/>
      <c r="B43" s="257" t="str">
        <f>IF(C43&gt;0,VLOOKUP(C43,Программа!A$2:B$5100,2))</f>
        <v>Развитие сети плоскостных спортивных сооружений</v>
      </c>
      <c r="C43" s="170" t="s">
        <v>742</v>
      </c>
      <c r="D43" s="258">
        <f>SUMIFS(Пр.13!G$10:G$1305,Пр.13!$D$10:$D$1305,C43)</f>
        <v>0</v>
      </c>
      <c r="E43" s="259">
        <f>SUMIFS(Пр.13!H$10:H$1305,Пр.13!$D$10:$D$1305,C43)</f>
        <v>0</v>
      </c>
      <c r="F43" s="251">
        <f>SUMIFS(Пр.13!I$10:I$1305,Пр.13!$D$10:$D$1305,C43)</f>
        <v>0</v>
      </c>
      <c r="G43" s="251">
        <f>SUMIFS(Пр.13!J$10:J$1305,Пр.13!$D$10:$D$1305,C43)</f>
        <v>0</v>
      </c>
      <c r="H43" s="251">
        <f>SUMIFS(Пр.13!K$10:K$1305,Пр.13!$D$10:$D$1305,C43)</f>
        <v>0</v>
      </c>
      <c r="I43" s="251">
        <f>SUMIFS(Пр.13!L$10:L$1305,Пр.13!$D$10:$D$1305,C43)</f>
        <v>0</v>
      </c>
    </row>
    <row r="44" spans="1:9" ht="48" thickBot="1" x14ac:dyDescent="0.25">
      <c r="A44" s="265" t="s">
        <v>949</v>
      </c>
      <c r="B44" s="301" t="str">
        <f>IF(C44&gt;0,VLOOKUP(C44,Программа!A$2:B$5100,2))</f>
        <v>Муниципальная программа "Социальная поддержка населения Тутаевского муниципального района"</v>
      </c>
      <c r="C44" s="538" t="s">
        <v>693</v>
      </c>
      <c r="D44" s="539">
        <f>SUMIFS(Пр.13!G$10:G$1305,Пр.13!$D$10:$D$1305,C44)</f>
        <v>369877136</v>
      </c>
      <c r="E44" s="540">
        <f>SUMIFS(Пр.13!H$10:H$1305,Пр.13!$D$10:$D$1305,C44)</f>
        <v>0</v>
      </c>
      <c r="F44" s="251">
        <f>SUMIFS(Пр.13!I$10:I$1305,Пр.13!$D$10:$D$1305,C44)</f>
        <v>369877136</v>
      </c>
      <c r="G44" s="251">
        <f>SUMIFS(Пр.13!J$10:J$1305,Пр.13!$D$10:$D$1305,C44)</f>
        <v>371077136</v>
      </c>
      <c r="H44" s="251">
        <f>SUMIFS(Пр.13!K$10:K$1305,Пр.13!$D$10:$D$1305,C44)</f>
        <v>0</v>
      </c>
      <c r="I44" s="251">
        <f>SUMIFS(Пр.13!L$10:L$1305,Пр.13!$D$10:$D$1305,C44)</f>
        <v>371077136</v>
      </c>
    </row>
    <row r="45" spans="1:9" ht="48" thickBot="1" x14ac:dyDescent="0.25">
      <c r="A45" s="265"/>
      <c r="B45" s="253" t="str">
        <f>IF(C45&gt;0,VLOOKUP(C45,Программа!A$2:B$5100,2))</f>
        <v xml:space="preserve">Ведомственная целевая программа «Социальная поддержка населения Тутаевского муниципального района» </v>
      </c>
      <c r="C45" s="271" t="s">
        <v>766</v>
      </c>
      <c r="D45" s="255">
        <f>SUMIFS(Пр.13!G$10:G$1305,Пр.13!$D$10:$D$1305,C45)</f>
        <v>369877136</v>
      </c>
      <c r="E45" s="256">
        <f>SUMIFS(Пр.13!H$10:H$1305,Пр.13!$D$10:$D$1305,C45)</f>
        <v>0</v>
      </c>
      <c r="F45" s="622">
        <f>SUMIFS(Пр.13!I$10:I$1305,Пр.13!$D$10:$D$1305,C45)</f>
        <v>369877136</v>
      </c>
      <c r="G45" s="622">
        <f>SUMIFS(Пр.13!J$10:J$1305,Пр.13!$D$10:$D$1305,C45)</f>
        <v>371077136</v>
      </c>
      <c r="H45" s="622">
        <f>SUMIFS(Пр.13!K$10:K$1305,Пр.13!$D$10:$D$1305,C45)</f>
        <v>0</v>
      </c>
      <c r="I45" s="622">
        <f>SUMIFS(Пр.13!L$10:L$1305,Пр.13!$D$10:$D$1305,C45)</f>
        <v>371077136</v>
      </c>
    </row>
    <row r="46" spans="1:9" ht="32.25" thickBot="1" x14ac:dyDescent="0.25">
      <c r="A46" s="265"/>
      <c r="B46" s="257" t="str">
        <f>IF(C46&gt;0,VLOOKUP(C46,Программа!A$2:B$5100,2))</f>
        <v>Исполнение публичных обязательств по предоставлению выплат, пособий и компенсаций</v>
      </c>
      <c r="C46" s="170" t="s">
        <v>768</v>
      </c>
      <c r="D46" s="258">
        <f>SUMIFS(Пр.13!G$10:G$1305,Пр.13!$D$10:$D$1305,C46)</f>
        <v>300658225</v>
      </c>
      <c r="E46" s="259">
        <f>SUMIFS(Пр.13!H$10:H$1305,Пр.13!$D$10:$D$1305,C46)</f>
        <v>0</v>
      </c>
      <c r="F46" s="622">
        <f>SUMIFS(Пр.13!I$10:I$1305,Пр.13!$D$10:$D$1305,C46)</f>
        <v>300658225</v>
      </c>
      <c r="G46" s="622">
        <f>SUMIFS(Пр.13!J$10:J$1305,Пр.13!$D$10:$D$1305,C46)</f>
        <v>301858225</v>
      </c>
      <c r="H46" s="622">
        <f>SUMIFS(Пр.13!K$10:K$1305,Пр.13!$D$10:$D$1305,C46)</f>
        <v>0</v>
      </c>
      <c r="I46" s="622">
        <f>SUMIFS(Пр.13!L$10:L$1305,Пр.13!$D$10:$D$1305,C46)</f>
        <v>301858225</v>
      </c>
    </row>
    <row r="47" spans="1:9" ht="48" thickBot="1" x14ac:dyDescent="0.25">
      <c r="A47" s="265"/>
      <c r="B47" s="257" t="str">
        <f>IF(C47&gt;0,VLOOKUP(C47,Программа!A$2:B$5100,2))</f>
        <v>Предоставление социальных услуг населению Тутаевского муниципального района на основе соблюдения стандартов и нормативов</v>
      </c>
      <c r="C47" s="170" t="s">
        <v>771</v>
      </c>
      <c r="D47" s="258">
        <f>SUMIFS(Пр.13!G$10:G$1305,Пр.13!$D$10:$D$1305,C47)</f>
        <v>63968211</v>
      </c>
      <c r="E47" s="259">
        <f>SUMIFS(Пр.13!H$10:H$1305,Пр.13!$D$10:$D$1305,C47)</f>
        <v>0</v>
      </c>
      <c r="F47" s="622">
        <f>SUMIFS(Пр.13!I$10:I$1305,Пр.13!$D$10:$D$1305,C47)</f>
        <v>63968211</v>
      </c>
      <c r="G47" s="622">
        <f>SUMIFS(Пр.13!J$10:J$1305,Пр.13!$D$10:$D$1305,C47)</f>
        <v>63968211</v>
      </c>
      <c r="H47" s="622">
        <f>SUMIFS(Пр.13!K$10:K$1305,Пр.13!$D$10:$D$1305,C47)</f>
        <v>0</v>
      </c>
      <c r="I47" s="622">
        <f>SUMIFS(Пр.13!L$10:L$1305,Пр.13!$D$10:$D$1305,C47)</f>
        <v>63968211</v>
      </c>
    </row>
    <row r="48" spans="1:9" ht="48" thickBot="1" x14ac:dyDescent="0.25">
      <c r="A48" s="264" t="s">
        <v>73</v>
      </c>
      <c r="B48" s="257" t="str">
        <f>IF(C48&gt;0,VLOOKUP(C48,Программа!A$2:B$5100,2))</f>
        <v>Социальная защита семей с детьми, инвалидов, ветеранов, граждан и детей, оказавшихся в трудной жизненной ситуации</v>
      </c>
      <c r="C48" s="170" t="s">
        <v>786</v>
      </c>
      <c r="D48" s="258">
        <f>SUMIFS(Пр.13!G$10:G$1305,Пр.13!$D$10:$D$1305,C48)</f>
        <v>4925700</v>
      </c>
      <c r="E48" s="259">
        <f>SUMIFS(Пр.13!H$10:H$1305,Пр.13!$D$10:$D$1305,C48)</f>
        <v>0</v>
      </c>
      <c r="F48" s="622">
        <f>SUMIFS(Пр.13!I$10:I$1305,Пр.13!$D$10:$D$1305,C48)</f>
        <v>4925700</v>
      </c>
      <c r="G48" s="622">
        <f>SUMIFS(Пр.13!J$10:J$1305,Пр.13!$D$10:$D$1305,C48)</f>
        <v>4925700</v>
      </c>
      <c r="H48" s="622">
        <f>SUMIFS(Пр.13!K$10:K$1305,Пр.13!$D$10:$D$1305,C48)</f>
        <v>0</v>
      </c>
      <c r="I48" s="622">
        <f>SUMIFS(Пр.13!L$10:L$1305,Пр.13!$D$10:$D$1305,C48)</f>
        <v>4925700</v>
      </c>
    </row>
    <row r="49" spans="1:9" ht="32.25" thickBot="1" x14ac:dyDescent="0.25">
      <c r="A49" s="264"/>
      <c r="B49" s="257" t="str">
        <f>IF(C49&gt;0,VLOOKUP(C49,Программа!A$2:B$5100,2))</f>
        <v>Информационное обеспечение реализации мероприятий программы</v>
      </c>
      <c r="C49" s="170" t="s">
        <v>3201</v>
      </c>
      <c r="D49" s="258">
        <f>SUMIFS(Пр.13!G$10:G$1305,Пр.13!$D$10:$D$1305,C49)</f>
        <v>325000</v>
      </c>
      <c r="E49" s="259">
        <f>SUMIFS(Пр.13!H$10:H$1305,Пр.13!$D$10:$D$1305,C49)</f>
        <v>0</v>
      </c>
      <c r="F49" s="622">
        <f>SUMIFS(Пр.13!I$10:I$1305,Пр.13!$D$10:$D$1305,C49)</f>
        <v>325000</v>
      </c>
      <c r="G49" s="622">
        <f>SUMIFS(Пр.13!J$10:J$1305,Пр.13!$D$10:$D$1305,C49)</f>
        <v>325000</v>
      </c>
      <c r="H49" s="622">
        <f>SUMIFS(Пр.13!K$10:K$1305,Пр.13!$D$10:$D$1305,C49)</f>
        <v>0</v>
      </c>
      <c r="I49" s="622">
        <f>SUMIFS(Пр.13!L$10:L$1305,Пр.13!$D$10:$D$1305,C49)</f>
        <v>325000</v>
      </c>
    </row>
    <row r="50" spans="1:9" ht="48" hidden="1" thickBot="1" x14ac:dyDescent="0.25">
      <c r="A50" s="265" t="s">
        <v>955</v>
      </c>
      <c r="B50" s="260" t="str">
        <f>IF(C50&gt;0,VLOOKUP(C50,Программа!A$2:B$5100,2))</f>
        <v>Муниципальная целевая программа "Улучшение условий и охраны труда" по Тутаевскому муниципальному району</v>
      </c>
      <c r="C50" s="261" t="s">
        <v>695</v>
      </c>
      <c r="D50" s="262">
        <f>SUMIFS(Пр.13!G$10:G$1305,Пр.13!$D$10:$D$1305,C50)</f>
        <v>0</v>
      </c>
      <c r="E50" s="263">
        <f>SUMIFS(Пр.13!H$10:H$1305,Пр.13!$D$10:$D$1305,C50)</f>
        <v>0</v>
      </c>
      <c r="F50" s="251">
        <f>SUMIFS(Пр.13!I$10:I$1305,Пр.13!$D$10:$D$1305,C50)</f>
        <v>0</v>
      </c>
      <c r="G50" s="251">
        <f>SUMIFS(Пр.13!J$10:J$1305,Пр.13!$D$10:$D$1305,C50)</f>
        <v>0</v>
      </c>
      <c r="H50" s="251">
        <f>SUMIFS(Пр.13!K$10:K$1305,Пр.13!$D$10:$D$1305,C50)</f>
        <v>0</v>
      </c>
      <c r="I50" s="251">
        <f>SUMIFS(Пр.13!L$10:L$1305,Пр.13!$D$10:$D$1305,C50)</f>
        <v>0</v>
      </c>
    </row>
    <row r="51" spans="1:9" ht="48" hidden="1" thickBot="1" x14ac:dyDescent="0.25">
      <c r="A51" s="265"/>
      <c r="B51" s="267" t="str">
        <f>IF(C51&gt;0,VLOOKUP(C51,Программа!A$2:B$5100,2))</f>
        <v>Специальная оценка условий труда работающих в организациях расположенных на территории Тутаевского муниципального района</v>
      </c>
      <c r="C51" s="268" t="s">
        <v>696</v>
      </c>
      <c r="D51" s="269">
        <f>SUMIFS(Пр.13!G$10:G$1305,Пр.13!$D$10:$D$1305,C51)</f>
        <v>0</v>
      </c>
      <c r="E51" s="270">
        <f>SUMIFS(Пр.13!H$10:H$1305,Пр.13!$D$10:$D$1305,C51)</f>
        <v>0</v>
      </c>
      <c r="F51" s="251">
        <f>SUMIFS(Пр.13!I$10:I$1305,Пр.13!$D$10:$D$1305,C51)</f>
        <v>0</v>
      </c>
      <c r="G51" s="251">
        <f>SUMIFS(Пр.13!J$10:J$1305,Пр.13!$D$10:$D$1305,C51)</f>
        <v>0</v>
      </c>
      <c r="H51" s="251">
        <f>SUMIFS(Пр.13!K$10:K$1305,Пр.13!$D$10:$D$1305,C51)</f>
        <v>0</v>
      </c>
      <c r="I51" s="251">
        <f>SUMIFS(Пр.13!L$10:L$1305,Пр.13!$D$10:$D$1305,C51)</f>
        <v>0</v>
      </c>
    </row>
    <row r="52" spans="1:9" ht="16.5" hidden="1" thickBot="1" x14ac:dyDescent="0.25">
      <c r="A52" s="265"/>
      <c r="B52" s="248"/>
      <c r="C52" s="249" t="s">
        <v>831</v>
      </c>
      <c r="D52" s="250">
        <f>SUMIFS(Пр.13!G$10:G$1305,Пр.13!$D$10:$D$1305,C52)</f>
        <v>0</v>
      </c>
      <c r="E52" s="251">
        <f>SUMIFS(Пр.13!H$10:H$1305,Пр.13!$D$10:$D$1305,C52)</f>
        <v>0</v>
      </c>
      <c r="F52" s="251">
        <f>SUMIFS(Пр.13!I$10:I$1305,Пр.13!$D$10:$D$1305,C52)</f>
        <v>0</v>
      </c>
      <c r="G52" s="251">
        <f>SUMIFS(Пр.13!J$10:J$1305,Пр.13!$D$10:$D$1305,C52)</f>
        <v>0</v>
      </c>
      <c r="H52" s="251">
        <f>SUMIFS(Пр.13!K$10:K$1305,Пр.13!$D$10:$D$1305,C52)</f>
        <v>0</v>
      </c>
      <c r="I52" s="251">
        <f>SUMIFS(Пр.13!L$10:L$1305,Пр.13!$D$10:$D$1305,C52)</f>
        <v>0</v>
      </c>
    </row>
    <row r="53" spans="1:9" ht="63.75" hidden="1" thickBot="1" x14ac:dyDescent="0.25">
      <c r="A53" s="264" t="s">
        <v>44</v>
      </c>
      <c r="B53" s="272" t="str">
        <f>IF(C53&gt;0,VLOOKUP(C53,Программа!A$2:B$5100,2))</f>
        <v>Обеспечение доступности приоритетных объектов и услуг в сферах жизнедеятельности граждан с ограниченными возможностями с учетом их особых потребностей</v>
      </c>
      <c r="C53" s="273" t="s">
        <v>833</v>
      </c>
      <c r="D53" s="274">
        <f>SUMIFS(Пр.13!G$10:G$1305,Пр.13!$D$10:$D$1305,C53)</f>
        <v>0</v>
      </c>
      <c r="E53" s="275">
        <f>SUMIFS(Пр.13!H$10:H$1305,Пр.13!$D$10:$D$1305,C53)</f>
        <v>0</v>
      </c>
      <c r="F53" s="251">
        <f>SUMIFS(Пр.13!I$10:I$1305,Пр.13!$D$10:$D$1305,C53)</f>
        <v>0</v>
      </c>
      <c r="G53" s="251">
        <f>SUMIFS(Пр.13!J$10:J$1305,Пр.13!$D$10:$D$1305,C53)</f>
        <v>0</v>
      </c>
      <c r="H53" s="251">
        <f>SUMIFS(Пр.13!K$10:K$1305,Пр.13!$D$10:$D$1305,C53)</f>
        <v>0</v>
      </c>
      <c r="I53" s="251">
        <f>SUMIFS(Пр.13!L$10:L$1305,Пр.13!$D$10:$D$1305,C53)</f>
        <v>0</v>
      </c>
    </row>
    <row r="54" spans="1:9" ht="48" thickBot="1" x14ac:dyDescent="0.25">
      <c r="A54" s="265" t="s">
        <v>966</v>
      </c>
      <c r="B54" s="248" t="str">
        <f>IF(C54&gt;0,VLOOKUP(C54,Программа!A$2:B$5100,2))</f>
        <v>Муниципальная программа "Обеспечение качественными коммунальными услугами населения Тутаевского муниципального района"</v>
      </c>
      <c r="C54" s="249" t="s">
        <v>849</v>
      </c>
      <c r="D54" s="250">
        <f>SUMIFS(Пр.13!G$10:G$1305,Пр.13!$D$10:$D$1305,C54)</f>
        <v>3000000</v>
      </c>
      <c r="E54" s="251">
        <f>SUMIFS(Пр.13!H$10:H$1305,Пр.13!$D$10:$D$1305,C54)</f>
        <v>0</v>
      </c>
      <c r="F54" s="251">
        <f>SUMIFS(Пр.13!I$10:I$1305,Пр.13!$D$10:$D$1305,C54)</f>
        <v>3000000</v>
      </c>
      <c r="G54" s="251">
        <f>SUMIFS(Пр.13!J$10:J$1305,Пр.13!$D$10:$D$1305,C54)</f>
        <v>3000000</v>
      </c>
      <c r="H54" s="251">
        <f>SUMIFS(Пр.13!K$10:K$1305,Пр.13!$D$10:$D$1305,C54)</f>
        <v>0</v>
      </c>
      <c r="I54" s="251">
        <f>SUMIFS(Пр.13!L$10:L$1305,Пр.13!$D$10:$D$1305,C54)</f>
        <v>3000000</v>
      </c>
    </row>
    <row r="55" spans="1:9" ht="63.75" hidden="1" thickBot="1" x14ac:dyDescent="0.25">
      <c r="A55" s="264" t="s">
        <v>56</v>
      </c>
      <c r="B55" s="253" t="str">
        <f>IF(C55&gt;0,VLOOKUP(C55,Программа!A$2:B$5100,2))</f>
        <v>Муниципальная целевая программа "Обеспечение надежного теплоснабжения жилищного фонда и учреждений  бюджетной сферы" на территории Тутаевского муниципального района</v>
      </c>
      <c r="C55" s="271" t="s">
        <v>851</v>
      </c>
      <c r="D55" s="255">
        <f>SUMIFS(Пр.13!G$10:G$1305,Пр.13!$D$10:$D$1305,C55)</f>
        <v>0</v>
      </c>
      <c r="E55" s="256">
        <f>SUMIFS(Пр.13!H$10:H$1305,Пр.13!$D$10:$D$1305,C55)</f>
        <v>0</v>
      </c>
      <c r="F55" s="251">
        <f>SUMIFS(Пр.13!I$10:I$1305,Пр.13!$D$10:$D$1305,C55)</f>
        <v>0</v>
      </c>
      <c r="G55" s="251">
        <f>SUMIFS(Пр.13!J$10:J$1305,Пр.13!$D$10:$D$1305,C55)</f>
        <v>0</v>
      </c>
      <c r="H55" s="251">
        <f>SUMIFS(Пр.13!K$10:K$1305,Пр.13!$D$10:$D$1305,C55)</f>
        <v>0</v>
      </c>
      <c r="I55" s="251">
        <f>SUMIFS(Пр.13!L$10:L$1305,Пр.13!$D$10:$D$1305,C55)</f>
        <v>0</v>
      </c>
    </row>
    <row r="56" spans="1:9" ht="79.5" hidden="1" thickBot="1" x14ac:dyDescent="0.25">
      <c r="A56" s="264" t="s">
        <v>970</v>
      </c>
      <c r="B56" s="257" t="str">
        <f>IF(C56&gt;0,VLOOKUP(C56,Программа!A$2:B$5100,2))</f>
        <v>Создание финансовых механизмом, обеспечивающих надежную, качественную и бесперебойную работу  теплоснабжающих предприятий, созданных с участием Администрации Тутаевского мунимципального района</v>
      </c>
      <c r="C56" s="170" t="s">
        <v>878</v>
      </c>
      <c r="D56" s="258">
        <f>SUMIFS(Пр.13!G$10:G$1305,Пр.13!$D$10:$D$1305,C56)</f>
        <v>0</v>
      </c>
      <c r="E56" s="259">
        <f>SUMIFS(Пр.13!H$10:H$1305,Пр.13!$D$10:$D$1305,C56)</f>
        <v>0</v>
      </c>
      <c r="F56" s="251">
        <f>SUMIFS(Пр.13!I$10:I$1305,Пр.13!$D$10:$D$1305,C56)</f>
        <v>0</v>
      </c>
      <c r="G56" s="251">
        <f>SUMIFS(Пр.13!J$10:J$1305,Пр.13!$D$10:$D$1305,C56)</f>
        <v>0</v>
      </c>
      <c r="H56" s="251">
        <f>SUMIFS(Пр.13!K$10:K$1305,Пр.13!$D$10:$D$1305,C56)</f>
        <v>0</v>
      </c>
      <c r="I56" s="251">
        <f>SUMIFS(Пр.13!L$10:L$1305,Пр.13!$D$10:$D$1305,C56)</f>
        <v>0</v>
      </c>
    </row>
    <row r="57" spans="1:9" ht="48" hidden="1" thickBot="1" x14ac:dyDescent="0.25">
      <c r="A57" s="264" t="s">
        <v>61</v>
      </c>
      <c r="B57" s="257" t="str">
        <f>IF(C57&gt;0,VLOOKUP(C57,Программа!A$2:B$5100,2))</f>
        <v>Обеспечение надежного снабжения  твердым топливом  сельского населения, путем частичного возмещения расходов</v>
      </c>
      <c r="C57" s="170" t="s">
        <v>852</v>
      </c>
      <c r="D57" s="258">
        <f>SUMIFS(Пр.13!G$10:G$1305,Пр.13!$D$10:$D$1305,C57)</f>
        <v>0</v>
      </c>
      <c r="E57" s="259">
        <f>SUMIFS(Пр.13!H$10:H$1305,Пр.13!$D$10:$D$1305,C57)</f>
        <v>0</v>
      </c>
      <c r="F57" s="251">
        <f>SUMIFS(Пр.13!I$10:I$1305,Пр.13!$D$10:$D$1305,C57)</f>
        <v>0</v>
      </c>
      <c r="G57" s="251">
        <f>SUMIFS(Пр.13!J$10:J$1305,Пр.13!$D$10:$D$1305,C57)</f>
        <v>0</v>
      </c>
      <c r="H57" s="251">
        <f>SUMIFS(Пр.13!K$10:K$1305,Пр.13!$D$10:$D$1305,C57)</f>
        <v>0</v>
      </c>
      <c r="I57" s="251">
        <f>SUMIFS(Пр.13!L$10:L$1305,Пр.13!$D$10:$D$1305,C57)</f>
        <v>0</v>
      </c>
    </row>
    <row r="58" spans="1:9" ht="63.75" thickBot="1" x14ac:dyDescent="0.25">
      <c r="A58" s="265" t="s">
        <v>1000</v>
      </c>
      <c r="B58" s="260" t="str">
        <f>IF(C58&gt;0,VLOOKUP(C58,Программа!A$2:B$5100,2))</f>
        <v xml:space="preserve">Муниципальная целевая   программа «Комплексная программа модернизации и реформирования жилищно-коммунального хозяйства Тутаевского муниципального района» </v>
      </c>
      <c r="C58" s="261" t="s">
        <v>881</v>
      </c>
      <c r="D58" s="262">
        <f>SUMIFS(Пр.13!G$10:G$1305,Пр.13!$D$10:$D$1305,C58)</f>
        <v>3000000</v>
      </c>
      <c r="E58" s="263">
        <f>SUMIFS(Пр.13!H$10:H$1305,Пр.13!$D$10:$D$1305,C58)</f>
        <v>0</v>
      </c>
      <c r="F58" s="622">
        <f>SUMIFS(Пр.13!I$10:I$1305,Пр.13!$D$10:$D$1305,C58)</f>
        <v>3000000</v>
      </c>
      <c r="G58" s="622">
        <f>SUMIFS(Пр.13!J$10:J$1305,Пр.13!$D$10:$D$1305,C58)</f>
        <v>3000000</v>
      </c>
      <c r="H58" s="622">
        <f>SUMIFS(Пр.13!K$10:K$1305,Пр.13!$D$10:$D$1305,C58)</f>
        <v>0</v>
      </c>
      <c r="I58" s="622">
        <f>SUMIFS(Пр.13!L$10:L$1305,Пр.13!$D$10:$D$1305,C58)</f>
        <v>3000000</v>
      </c>
    </row>
    <row r="59" spans="1:9" ht="32.25" hidden="1" thickBot="1" x14ac:dyDescent="0.25">
      <c r="A59" s="264" t="s">
        <v>66</v>
      </c>
      <c r="B59" s="257" t="str">
        <f>IF(C59&gt;0,VLOOKUP(C59,Программа!A$2:B$5100,2))</f>
        <v>Повышение уровня газификации и модернизации объектов социальной сферы</v>
      </c>
      <c r="C59" s="170" t="s">
        <v>882</v>
      </c>
      <c r="D59" s="258">
        <f>SUMIFS(Пр.13!G$10:G$1305,Пр.13!$D$10:$D$1305,C59)</f>
        <v>0</v>
      </c>
      <c r="E59" s="259">
        <f>SUMIFS(Пр.13!H$10:H$1305,Пр.13!$D$10:$D$1305,C59)</f>
        <v>0</v>
      </c>
      <c r="F59" s="622">
        <f>SUMIFS(Пр.13!I$10:I$1305,Пр.13!$D$10:$D$1305,C59)</f>
        <v>0</v>
      </c>
      <c r="G59" s="622">
        <f>SUMIFS(Пр.13!J$10:J$1305,Пр.13!$D$10:$D$1305,C59)</f>
        <v>0</v>
      </c>
      <c r="H59" s="622">
        <f>SUMIFS(Пр.13!K$10:K$1305,Пр.13!$D$10:$D$1305,C59)</f>
        <v>0</v>
      </c>
      <c r="I59" s="622">
        <f>SUMIFS(Пр.13!L$10:L$1305,Пр.13!$D$10:$D$1305,C59)</f>
        <v>0</v>
      </c>
    </row>
    <row r="60" spans="1:9" ht="63.75" thickBot="1" x14ac:dyDescent="0.25">
      <c r="A60" s="265" t="s">
        <v>1001</v>
      </c>
      <c r="B60" s="257" t="str">
        <f>IF(C60&gt;0,VLOOKUP(C60,Программа!A$2:B$5100,2))</f>
        <v>Повышение уровня газификации жилищного фонда населенных пунктов, путем строительства  межпоселковых газопроводов и распределительных газовых сетей</v>
      </c>
      <c r="C60" s="170" t="s">
        <v>925</v>
      </c>
      <c r="D60" s="258">
        <f>SUMIFS(Пр.13!G$10:G$1305,Пр.13!$D$10:$D$1305,C60)</f>
        <v>3000000</v>
      </c>
      <c r="E60" s="259">
        <f>SUMIFS(Пр.13!H$10:H$1305,Пр.13!$D$10:$D$1305,C60)</f>
        <v>0</v>
      </c>
      <c r="F60" s="622">
        <f>SUMIFS(Пр.13!I$10:I$1305,Пр.13!$D$10:$D$1305,C60)</f>
        <v>3000000</v>
      </c>
      <c r="G60" s="622">
        <f>SUMIFS(Пр.13!J$10:J$1305,Пр.13!$D$10:$D$1305,C60)</f>
        <v>3000000</v>
      </c>
      <c r="H60" s="622">
        <f>SUMIFS(Пр.13!K$10:K$1305,Пр.13!$D$10:$D$1305,C60)</f>
        <v>0</v>
      </c>
      <c r="I60" s="622">
        <f>SUMIFS(Пр.13!L$10:L$1305,Пр.13!$D$10:$D$1305,C60)</f>
        <v>3000000</v>
      </c>
    </row>
    <row r="61" spans="1:9" ht="63.75" hidden="1" thickBot="1" x14ac:dyDescent="0.25">
      <c r="A61" s="264" t="s">
        <v>1003</v>
      </c>
      <c r="B61" s="260" t="str">
        <f>IF(C61&gt;0,VLOOKUP(C61,Программа!A$2:B$5100,2))</f>
        <v xml:space="preserve">Муниципальная целевая   программа «Развитие водоснабжения, водоотведения и очистки сточных вод» на территории Тутаевского муниципального района </v>
      </c>
      <c r="C61" s="261" t="s">
        <v>885</v>
      </c>
      <c r="D61" s="262">
        <f>SUMIFS(Пр.13!G$10:G$1305,Пр.13!$D$10:$D$1305,C61)</f>
        <v>0</v>
      </c>
      <c r="E61" s="263">
        <f>SUMIFS(Пр.13!H$10:H$1305,Пр.13!$D$10:$D$1305,C61)</f>
        <v>0</v>
      </c>
      <c r="F61" s="251">
        <f>SUMIFS(Пр.13!I$10:I$1305,Пр.13!$D$10:$D$1305,C61)</f>
        <v>0</v>
      </c>
      <c r="G61" s="251">
        <f>SUMIFS(Пр.13!J$10:J$1305,Пр.13!$D$10:$D$1305,C61)</f>
        <v>0</v>
      </c>
      <c r="H61" s="251">
        <f>SUMIFS(Пр.13!K$10:K$1305,Пр.13!$D$10:$D$1305,C61)</f>
        <v>0</v>
      </c>
      <c r="I61" s="251">
        <f>SUMIFS(Пр.13!L$10:L$1305,Пр.13!$D$10:$D$1305,C61)</f>
        <v>0</v>
      </c>
    </row>
    <row r="62" spans="1:9" ht="48" hidden="1" thickBot="1" x14ac:dyDescent="0.25">
      <c r="A62" s="265" t="s">
        <v>1004</v>
      </c>
      <c r="B62" s="257" t="str">
        <f>IF(C62&gt;0,VLOOKUP(C62,Программа!A$2:B$5100,2))</f>
        <v>Гарантированное обеспечение населения питьевой водой, очистки сточных вод, охраны источников питьевого водоснабжения от загрязнения</v>
      </c>
      <c r="C62" s="170" t="s">
        <v>886</v>
      </c>
      <c r="D62" s="258">
        <f>SUMIFS(Пр.13!G$10:G$1305,Пр.13!$D$10:$D$1305,C62)</f>
        <v>0</v>
      </c>
      <c r="E62" s="259">
        <f>SUMIFS(Пр.13!H$10:H$1305,Пр.13!$D$10:$D$1305,C62)</f>
        <v>0</v>
      </c>
      <c r="F62" s="251">
        <f>SUMIFS(Пр.13!I$10:I$1305,Пр.13!$D$10:$D$1305,C62)</f>
        <v>0</v>
      </c>
      <c r="G62" s="251">
        <f>SUMIFS(Пр.13!J$10:J$1305,Пр.13!$D$10:$D$1305,C62)</f>
        <v>0</v>
      </c>
      <c r="H62" s="251">
        <f>SUMIFS(Пр.13!K$10:K$1305,Пр.13!$D$10:$D$1305,C62)</f>
        <v>0</v>
      </c>
      <c r="I62" s="251">
        <f>SUMIFS(Пр.13!L$10:L$1305,Пр.13!$D$10:$D$1305,C62)</f>
        <v>0</v>
      </c>
    </row>
    <row r="63" spans="1:9" ht="48" hidden="1" thickBot="1" x14ac:dyDescent="0.25">
      <c r="A63" s="265"/>
      <c r="B63" s="257" t="str">
        <f>IF(C63&gt;0,VLOOKUP(C63,Программа!A$2:B$5100,2))</f>
        <v>Гарантированное обеспечение населения питьевой водой, очистки сточных вод, охраны источников питьевого водоснабжения от загрязнения</v>
      </c>
      <c r="C63" s="170" t="s">
        <v>926</v>
      </c>
      <c r="D63" s="258">
        <f>SUMIFS(Пр.13!G$10:G$1305,Пр.13!$D$10:$D$1305,C63)</f>
        <v>0</v>
      </c>
      <c r="E63" s="259">
        <f>SUMIFS(Пр.13!H$10:H$1305,Пр.13!$D$10:$D$1305,C63)</f>
        <v>0</v>
      </c>
      <c r="F63" s="251">
        <f>SUMIFS(Пр.13!I$10:I$1305,Пр.13!$D$10:$D$1305,C63)</f>
        <v>0</v>
      </c>
      <c r="G63" s="251">
        <f>SUMIFS(Пр.13!J$10:J$1305,Пр.13!$D$10:$D$1305,C63)</f>
        <v>0</v>
      </c>
      <c r="H63" s="251">
        <f>SUMIFS(Пр.13!K$10:K$1305,Пр.13!$D$10:$D$1305,C63)</f>
        <v>0</v>
      </c>
      <c r="I63" s="251">
        <f>SUMIFS(Пр.13!L$10:L$1305,Пр.13!$D$10:$D$1305,C63)</f>
        <v>0</v>
      </c>
    </row>
    <row r="64" spans="1:9" ht="63.75" hidden="1" thickBot="1" x14ac:dyDescent="0.25">
      <c r="B64" s="260" t="str">
        <f>IF(C64&gt;0,VLOOKUP(C64,Программа!A$2:B$5100,2))</f>
        <v>Муниципальная целевая программа "Подготовка объектов коммунального хозяйства Тутаевского муниципального района к работе в осенне-зимних условиях"</v>
      </c>
      <c r="C64" s="261" t="s">
        <v>888</v>
      </c>
      <c r="D64" s="262">
        <f>SUMIFS(Пр.13!G$10:G$1305,Пр.13!$D$10:$D$1305,C64)</f>
        <v>0</v>
      </c>
      <c r="E64" s="263">
        <f>SUMIFS(Пр.13!H$10:H$1305,Пр.13!$D$10:$D$1305,C64)</f>
        <v>0</v>
      </c>
      <c r="F64" s="251">
        <f>SUMIFS(Пр.13!I$10:I$1305,Пр.13!$D$10:$D$1305,C64)</f>
        <v>0</v>
      </c>
      <c r="G64" s="251">
        <f>SUMIFS(Пр.13!J$10:J$1305,Пр.13!$D$10:$D$1305,C64)</f>
        <v>0</v>
      </c>
      <c r="H64" s="251">
        <f>SUMIFS(Пр.13!K$10:K$1305,Пр.13!$D$10:$D$1305,C64)</f>
        <v>0</v>
      </c>
      <c r="I64" s="251">
        <f>SUMIFS(Пр.13!L$10:L$1305,Пр.13!$D$10:$D$1305,C64)</f>
        <v>0</v>
      </c>
    </row>
    <row r="65" spans="2:9" ht="32.25" hidden="1" thickBot="1" x14ac:dyDescent="0.25">
      <c r="B65" s="257" t="str">
        <f>IF(C65&gt;0,VLOOKUP(C65,Программа!A$2:B$5100,2))</f>
        <v>Проведение комплекса работ по ремонту, замене и реконструкции объектов теплоснабжения</v>
      </c>
      <c r="C65" s="170" t="s">
        <v>890</v>
      </c>
      <c r="D65" s="258">
        <f>SUMIFS(Пр.13!G$10:G$1305,Пр.13!$D$10:$D$1305,C65)</f>
        <v>0</v>
      </c>
      <c r="E65" s="259">
        <f>SUMIFS(Пр.13!H$10:H$1305,Пр.13!$D$10:$D$1305,C65)</f>
        <v>0</v>
      </c>
      <c r="F65" s="251">
        <f>SUMIFS(Пр.13!I$10:I$1305,Пр.13!$D$10:$D$1305,C65)</f>
        <v>0</v>
      </c>
      <c r="G65" s="251">
        <f>SUMIFS(Пр.13!J$10:J$1305,Пр.13!$D$10:$D$1305,C65)</f>
        <v>0</v>
      </c>
      <c r="H65" s="251">
        <f>SUMIFS(Пр.13!K$10:K$1305,Пр.13!$D$10:$D$1305,C65)</f>
        <v>0</v>
      </c>
      <c r="I65" s="251">
        <f>SUMIFS(Пр.13!L$10:L$1305,Пр.13!$D$10:$D$1305,C65)</f>
        <v>0</v>
      </c>
    </row>
    <row r="66" spans="2:9" ht="48" hidden="1" thickBot="1" x14ac:dyDescent="0.25">
      <c r="B66" s="257" t="str">
        <f>IF(C66&gt;0,VLOOKUP(C66,Программа!A$2:B$5100,2))</f>
        <v>Проведение комплекса работ по ремонту, замене и реконструкции объектов водоснабжения, водоотведения и очистки сточных вод</v>
      </c>
      <c r="C66" s="170" t="s">
        <v>893</v>
      </c>
      <c r="D66" s="258">
        <f>SUMIFS(Пр.13!G$10:G$1305,Пр.13!$D$10:$D$1305,C66)</f>
        <v>0</v>
      </c>
      <c r="E66" s="259">
        <f>SUMIFS(Пр.13!H$10:H$1305,Пр.13!$D$10:$D$1305,C66)</f>
        <v>0</v>
      </c>
      <c r="F66" s="251">
        <f>SUMIFS(Пр.13!I$10:I$1305,Пр.13!$D$10:$D$1305,C66)</f>
        <v>0</v>
      </c>
      <c r="G66" s="251">
        <f>SUMIFS(Пр.13!J$10:J$1305,Пр.13!$D$10:$D$1305,C66)</f>
        <v>0</v>
      </c>
      <c r="H66" s="251">
        <f>SUMIFS(Пр.13!K$10:K$1305,Пр.13!$D$10:$D$1305,C66)</f>
        <v>0</v>
      </c>
      <c r="I66" s="251">
        <f>SUMIFS(Пр.13!L$10:L$1305,Пр.13!$D$10:$D$1305,C66)</f>
        <v>0</v>
      </c>
    </row>
    <row r="67" spans="2:9" ht="32.25" hidden="1" thickBot="1" x14ac:dyDescent="0.25">
      <c r="B67" s="267" t="str">
        <f>IF(C67&gt;0,VLOOKUP(C67,Программа!A$2:B$5100,2))</f>
        <v>Проведение комплекса работ по ремонту, замене и реконструкции объектов газоснабжения</v>
      </c>
      <c r="C67" s="268" t="s">
        <v>895</v>
      </c>
      <c r="D67" s="269">
        <f>SUMIFS(Пр.13!G$10:G$1305,Пр.13!$D$10:$D$1305,C67)</f>
        <v>0</v>
      </c>
      <c r="E67" s="270">
        <f>SUMIFS(Пр.13!H$10:H$1305,Пр.13!$D$10:$D$1305,C67)</f>
        <v>0</v>
      </c>
      <c r="F67" s="251">
        <f>SUMIFS(Пр.13!I$10:I$1305,Пр.13!$D$10:$D$1305,C67)</f>
        <v>0</v>
      </c>
      <c r="G67" s="251">
        <f>SUMIFS(Пр.13!J$10:J$1305,Пр.13!$D$10:$D$1305,C67)</f>
        <v>0</v>
      </c>
      <c r="H67" s="251">
        <f>SUMIFS(Пр.13!K$10:K$1305,Пр.13!$D$10:$D$1305,C67)</f>
        <v>0</v>
      </c>
      <c r="I67" s="251">
        <f>SUMIFS(Пр.13!L$10:L$1305,Пр.13!$D$10:$D$1305,C67)</f>
        <v>0</v>
      </c>
    </row>
    <row r="68" spans="2:9" ht="63.75" hidden="1" thickBot="1" x14ac:dyDescent="0.25">
      <c r="B68" s="248" t="str">
        <f>IF(C68&gt;0,VLOOKUP(C68,Программа!A$2:B$5100,2))</f>
        <v>Муниципальная  программа "Об энергосбережении и повышении энергетической эффективности Тутаевского муниципального района"</v>
      </c>
      <c r="C68" s="249" t="s">
        <v>854</v>
      </c>
      <c r="D68" s="250">
        <f>SUMIFS(Пр.13!G$10:G$1305,Пр.13!$D$10:$D$1305,C68)</f>
        <v>0</v>
      </c>
      <c r="E68" s="251">
        <f>SUMIFS(Пр.13!H$10:H$1305,Пр.13!$D$10:$D$1305,C68)</f>
        <v>0</v>
      </c>
      <c r="F68" s="251">
        <f>SUMIFS(Пр.13!I$10:I$1305,Пр.13!$D$10:$D$1305,C68)</f>
        <v>0</v>
      </c>
      <c r="G68" s="251">
        <f>SUMIFS(Пр.13!J$10:J$1305,Пр.13!$D$10:$D$1305,C68)</f>
        <v>0</v>
      </c>
      <c r="H68" s="251">
        <f>SUMIFS(Пр.13!K$10:K$1305,Пр.13!$D$10:$D$1305,C68)</f>
        <v>0</v>
      </c>
      <c r="I68" s="251">
        <f>SUMIFS(Пр.13!L$10:L$1305,Пр.13!$D$10:$D$1305,C68)</f>
        <v>0</v>
      </c>
    </row>
    <row r="69" spans="2:9" ht="42.75" hidden="1" customHeight="1" thickBot="1" x14ac:dyDescent="0.25">
      <c r="B69" s="272" t="str">
        <f>IF(C69&gt;0,VLOOKUP(C69,Программа!A$2:B$5100,2))</f>
        <v>Обеспечение рационального использования топливно- энергетических ресурсов при их производстве, передаче и потреблении и создание условий повышения энергетической эффективности</v>
      </c>
      <c r="C69" s="273" t="s">
        <v>856</v>
      </c>
      <c r="D69" s="274">
        <f>SUMIFS(Пр.13!G$10:G$1305,Пр.13!$D$10:$D$1305,C69)</f>
        <v>0</v>
      </c>
      <c r="E69" s="275">
        <f>SUMIFS(Пр.13!H$10:H$1305,Пр.13!$D$10:$D$1305,C69)</f>
        <v>0</v>
      </c>
      <c r="F69" s="251">
        <f>SUMIFS(Пр.13!I$10:I$1305,Пр.13!$D$10:$D$1305,C69)</f>
        <v>0</v>
      </c>
      <c r="G69" s="251">
        <f>SUMIFS(Пр.13!J$10:J$1305,Пр.13!$D$10:$D$1305,C69)</f>
        <v>0</v>
      </c>
      <c r="H69" s="251">
        <f>SUMIFS(Пр.13!K$10:K$1305,Пр.13!$D$10:$D$1305,C69)</f>
        <v>0</v>
      </c>
      <c r="I69" s="251">
        <f>SUMIFS(Пр.13!L$10:L$1305,Пр.13!$D$10:$D$1305,C69)</f>
        <v>0</v>
      </c>
    </row>
    <row r="70" spans="2:9" ht="48" thickBot="1" x14ac:dyDescent="0.25">
      <c r="B70" s="248" t="str">
        <f>IF(C70&gt;0,VLOOKUP(C70,Программа!A$2:B$5100,2))</f>
        <v>Муниципальная программа "Развитие дорожного хозяйства и транспорта в Тутаевском муниципальном районе"</v>
      </c>
      <c r="C70" s="249" t="s">
        <v>867</v>
      </c>
      <c r="D70" s="250">
        <f>SUMIFS(Пр.13!G$10:G$1305,Пр.13!$D$10:$D$1305,C70)</f>
        <v>11835090</v>
      </c>
      <c r="E70" s="251">
        <f>SUMIFS(Пр.13!H$10:H$1305,Пр.13!$D$10:$D$1305,C70)</f>
        <v>0</v>
      </c>
      <c r="F70" s="251">
        <f>SUMIFS(Пр.13!I$10:I$1305,Пр.13!$D$10:$D$1305,C70)</f>
        <v>11835090</v>
      </c>
      <c r="G70" s="251">
        <f>SUMIFS(Пр.13!J$10:J$1305,Пр.13!$D$10:$D$1305,C70)</f>
        <v>24472240</v>
      </c>
      <c r="H70" s="251">
        <f>SUMIFS(Пр.13!K$10:K$1305,Пр.13!$D$10:$D$1305,C70)</f>
        <v>0</v>
      </c>
      <c r="I70" s="251">
        <f>SUMIFS(Пр.13!L$10:L$1305,Пр.13!$D$10:$D$1305,C70)</f>
        <v>24472240</v>
      </c>
    </row>
    <row r="71" spans="2:9" ht="48" thickBot="1" x14ac:dyDescent="0.25">
      <c r="B71" s="253" t="str">
        <f>IF(C71&gt;0,VLOOKUP(C71,Программа!A$2:B$5100,2))</f>
        <v>Муниципальная целевая программа «Повышение безопасности дорожного движения на территории Тутаевского муниципального района»</v>
      </c>
      <c r="C71" s="271" t="s">
        <v>869</v>
      </c>
      <c r="D71" s="255">
        <f>SUMIFS(Пр.13!G$10:G$1305,Пр.13!$D$10:$D$1305,C71)</f>
        <v>300000</v>
      </c>
      <c r="E71" s="256">
        <f>SUMIFS(Пр.13!H$10:H$1305,Пр.13!$D$10:$D$1305,C71)</f>
        <v>0</v>
      </c>
      <c r="F71" s="622">
        <f>SUMIFS(Пр.13!I$10:I$1305,Пр.13!$D$10:$D$1305,C71)</f>
        <v>300000</v>
      </c>
      <c r="G71" s="622">
        <f>SUMIFS(Пр.13!J$10:J$1305,Пр.13!$D$10:$D$1305,C71)</f>
        <v>300000</v>
      </c>
      <c r="H71" s="622">
        <f>SUMIFS(Пр.13!K$10:K$1305,Пр.13!$D$10:$D$1305,C71)</f>
        <v>0</v>
      </c>
      <c r="I71" s="622">
        <f>SUMIFS(Пр.13!L$10:L$1305,Пр.13!$D$10:$D$1305,C71)</f>
        <v>300000</v>
      </c>
    </row>
    <row r="72" spans="2:9" ht="32.25" thickBot="1" x14ac:dyDescent="0.25">
      <c r="B72" s="257" t="str">
        <f>IF(C72&gt;0,VLOOKUP(C72,Программа!A$2:B$5100,2))</f>
        <v>Повышение безопасности дорожного движения на автомобильных дорогах</v>
      </c>
      <c r="C72" s="170" t="s">
        <v>871</v>
      </c>
      <c r="D72" s="258">
        <f>SUMIFS(Пр.13!G$10:G$1305,Пр.13!$D$10:$D$1305,C72)</f>
        <v>300000</v>
      </c>
      <c r="E72" s="259">
        <f>SUMIFS(Пр.13!H$10:H$1305,Пр.13!$D$10:$D$1305,C72)</f>
        <v>0</v>
      </c>
      <c r="F72" s="622">
        <f>SUMIFS(Пр.13!I$10:I$1305,Пр.13!$D$10:$D$1305,C72)</f>
        <v>300000</v>
      </c>
      <c r="G72" s="622">
        <f>SUMIFS(Пр.13!J$10:J$1305,Пр.13!$D$10:$D$1305,C72)</f>
        <v>300000</v>
      </c>
      <c r="H72" s="622">
        <f>SUMIFS(Пр.13!K$10:K$1305,Пр.13!$D$10:$D$1305,C72)</f>
        <v>0</v>
      </c>
      <c r="I72" s="622">
        <f>SUMIFS(Пр.13!L$10:L$1305,Пр.13!$D$10:$D$1305,C72)</f>
        <v>300000</v>
      </c>
    </row>
    <row r="73" spans="2:9" ht="48" thickBot="1" x14ac:dyDescent="0.25">
      <c r="B73" s="260" t="str">
        <f>IF(C73&gt;0,VLOOKUP(C73,Программа!A$2:B$5100,2))</f>
        <v>Муниципальная целевая программа «Сохранность автомобильных дорог общего пользования Тутаевского муниципального района»</v>
      </c>
      <c r="C73" s="261" t="s">
        <v>874</v>
      </c>
      <c r="D73" s="262">
        <f>SUMIFS(Пр.13!G$10:G$1305,Пр.13!$D$10:$D$1305,C73)</f>
        <v>11535090</v>
      </c>
      <c r="E73" s="263">
        <f>SUMIFS(Пр.13!H$10:H$1305,Пр.13!$D$10:$D$1305,C73)</f>
        <v>0</v>
      </c>
      <c r="F73" s="622">
        <f>SUMIFS(Пр.13!I$10:I$1305,Пр.13!$D$10:$D$1305,C73)</f>
        <v>11535090</v>
      </c>
      <c r="G73" s="622">
        <f>SUMIFS(Пр.13!J$10:J$1305,Пр.13!$D$10:$D$1305,C73)</f>
        <v>24172240</v>
      </c>
      <c r="H73" s="622">
        <f>SUMIFS(Пр.13!K$10:K$1305,Пр.13!$D$10:$D$1305,C73)</f>
        <v>0</v>
      </c>
      <c r="I73" s="622">
        <f>SUMIFS(Пр.13!L$10:L$1305,Пр.13!$D$10:$D$1305,C73)</f>
        <v>24172240</v>
      </c>
    </row>
    <row r="74" spans="2:9" ht="32.25" thickBot="1" x14ac:dyDescent="0.25">
      <c r="B74" s="267" t="str">
        <f>IF(C74&gt;0,VLOOKUP(C74,Программа!A$2:B$5100,2))</f>
        <v>Приведение  в нормативное состояние автомобильных дорог общего пользования</v>
      </c>
      <c r="C74" s="268" t="s">
        <v>876</v>
      </c>
      <c r="D74" s="269">
        <f>SUMIFS(Пр.13!G$10:G$1305,Пр.13!$D$10:$D$1305,C74)</f>
        <v>11535090</v>
      </c>
      <c r="E74" s="270">
        <f>SUMIFS(Пр.13!H$10:H$1305,Пр.13!$D$10:$D$1305,C74)</f>
        <v>0</v>
      </c>
      <c r="F74" s="622">
        <f>SUMIFS(Пр.13!I$10:I$1305,Пр.13!$D$10:$D$1305,C74)</f>
        <v>11535090</v>
      </c>
      <c r="G74" s="622">
        <f>SUMIFS(Пр.13!J$10:J$1305,Пр.13!$D$10:$D$1305,C74)</f>
        <v>24172240</v>
      </c>
      <c r="H74" s="622">
        <f>SUMIFS(Пр.13!K$10:K$1305,Пр.13!$D$10:$D$1305,C74)</f>
        <v>0</v>
      </c>
      <c r="I74" s="622">
        <f>SUMIFS(Пр.13!L$10:L$1305,Пр.13!$D$10:$D$1305,C74)</f>
        <v>24172240</v>
      </c>
    </row>
    <row r="75" spans="2:9" ht="48" hidden="1" thickBot="1" x14ac:dyDescent="0.25">
      <c r="B75" s="248" t="str">
        <f>IF(C75&gt;0,VLOOKUP(C75,Программа!A$2:B$5100,2))</f>
        <v>Муниципальная программа "Стимулирование развития жилищного строительства в Тутаевском муниципальном  районе Ярославской области"</v>
      </c>
      <c r="C75" s="249" t="s">
        <v>928</v>
      </c>
      <c r="D75" s="250">
        <f>SUMIFS(Пр.13!G$10:G$1305,Пр.13!$D$10:$D$1305,C75)</f>
        <v>0</v>
      </c>
      <c r="E75" s="251">
        <f>SUMIFS(Пр.13!H$10:H$1305,Пр.13!$D$10:$D$1305,C75)</f>
        <v>0</v>
      </c>
      <c r="F75" s="251">
        <f>SUMIFS(Пр.13!I$10:I$1305,Пр.13!$D$10:$D$1305,C75)</f>
        <v>0</v>
      </c>
      <c r="G75" s="251">
        <f>SUMIFS(Пр.13!J$10:J$1305,Пр.13!$D$10:$D$1305,C75)</f>
        <v>0</v>
      </c>
      <c r="H75" s="251">
        <f>SUMIFS(Пр.13!K$10:K$1305,Пр.13!$D$10:$D$1305,C75)</f>
        <v>0</v>
      </c>
      <c r="I75" s="251">
        <f>SUMIFS(Пр.13!L$10:L$1305,Пр.13!$D$10:$D$1305,C75)</f>
        <v>0</v>
      </c>
    </row>
    <row r="76" spans="2:9" ht="79.5" hidden="1" thickBot="1" x14ac:dyDescent="0.25">
      <c r="B76" s="253" t="str">
        <f>IF(C76&gt;0,VLOOKUP(C76,Программа!A$2:B$5100,2))</f>
        <v>Муниципальная целевая программа "Поддержка граждан, проживающих на территории Тутаевского муниципального района Ярославской области в сфере ипотечного жилищного кредитования"</v>
      </c>
      <c r="C76" s="271" t="s">
        <v>930</v>
      </c>
      <c r="D76" s="255">
        <f>SUMIFS(Пр.13!G$10:G$1305,Пр.13!$D$10:$D$1305,C76)</f>
        <v>0</v>
      </c>
      <c r="E76" s="256">
        <f>SUMIFS(Пр.13!H$10:H$1305,Пр.13!$D$10:$D$1305,C76)</f>
        <v>0</v>
      </c>
      <c r="F76" s="251">
        <f>SUMIFS(Пр.13!I$10:I$1305,Пр.13!$D$10:$D$1305,C76)</f>
        <v>0</v>
      </c>
      <c r="G76" s="251">
        <f>SUMIFS(Пр.13!J$10:J$1305,Пр.13!$D$10:$D$1305,C76)</f>
        <v>0</v>
      </c>
      <c r="H76" s="251">
        <f>SUMIFS(Пр.13!K$10:K$1305,Пр.13!$D$10:$D$1305,C76)</f>
        <v>0</v>
      </c>
      <c r="I76" s="251">
        <f>SUMIFS(Пр.13!L$10:L$1305,Пр.13!$D$10:$D$1305,C76)</f>
        <v>0</v>
      </c>
    </row>
    <row r="77" spans="2:9" ht="79.5" hidden="1" thickBot="1" x14ac:dyDescent="0.25">
      <c r="B77" s="257" t="str">
        <f>IF(C77&gt;0,VLOOKUP(C77,Программа!A$2:B$5100,2))</f>
        <v>Обеспечение доступности жилья в соответствии с  уровнем платежеспособности спроса граждан, путем оказания поддержки гражданам, проживающим на территории Тутаевского муниципального района, в сфере ипотечного жилищного кредитования и займа</v>
      </c>
      <c r="C77" s="170" t="s">
        <v>932</v>
      </c>
      <c r="D77" s="258">
        <f>SUMIFS(Пр.13!G$10:G$1305,Пр.13!$D$10:$D$1305,C77)</f>
        <v>0</v>
      </c>
      <c r="E77" s="259">
        <f>SUMIFS(Пр.13!H$10:H$1305,Пр.13!$D$10:$D$1305,C77)</f>
        <v>0</v>
      </c>
      <c r="F77" s="251">
        <f>SUMIFS(Пр.13!I$10:I$1305,Пр.13!$D$10:$D$1305,C77)</f>
        <v>0</v>
      </c>
      <c r="G77" s="251">
        <f>SUMIFS(Пр.13!J$10:J$1305,Пр.13!$D$10:$D$1305,C77)</f>
        <v>0</v>
      </c>
      <c r="H77" s="251">
        <f>SUMIFS(Пр.13!K$10:K$1305,Пр.13!$D$10:$D$1305,C77)</f>
        <v>0</v>
      </c>
      <c r="I77" s="251">
        <f>SUMIFS(Пр.13!L$10:L$1305,Пр.13!$D$10:$D$1305,C77)</f>
        <v>0</v>
      </c>
    </row>
    <row r="78" spans="2:9" ht="48" hidden="1" thickBot="1" x14ac:dyDescent="0.25">
      <c r="B78" s="260" t="str">
        <f>IF(C78&gt;0,VLOOKUP(C78,Программа!A$2:B$5100,2))</f>
        <v>Муниципальная целевая программа "Переселение граждан из аварийного жилищного фонда в Тутаевском муниципальном районе"</v>
      </c>
      <c r="C78" s="261" t="s">
        <v>934</v>
      </c>
      <c r="D78" s="262">
        <f>SUMIFS(Пр.13!G$10:G$1305,Пр.13!$D$10:$D$1305,C78)</f>
        <v>0</v>
      </c>
      <c r="E78" s="263">
        <f>SUMIFS(Пр.13!H$10:H$1305,Пр.13!$D$10:$D$1305,C78)</f>
        <v>0</v>
      </c>
      <c r="F78" s="251">
        <f>SUMIFS(Пр.13!I$10:I$1305,Пр.13!$D$10:$D$1305,C78)</f>
        <v>0</v>
      </c>
      <c r="G78" s="251">
        <f>SUMIFS(Пр.13!J$10:J$1305,Пр.13!$D$10:$D$1305,C78)</f>
        <v>0</v>
      </c>
      <c r="H78" s="251">
        <f>SUMIFS(Пр.13!K$10:K$1305,Пр.13!$D$10:$D$1305,C78)</f>
        <v>0</v>
      </c>
      <c r="I78" s="251">
        <f>SUMIFS(Пр.13!L$10:L$1305,Пр.13!$D$10:$D$1305,C78)</f>
        <v>0</v>
      </c>
    </row>
    <row r="79" spans="2:9" ht="63.75" hidden="1" thickBot="1" x14ac:dyDescent="0.25">
      <c r="B79" s="257" t="str">
        <f>IF(C79&gt;0,VLOOKUP(C79,Программа!A$2:B$5100,2))</f>
        <v>Финансовое и организационное обеспечение переселения граждан из аварийных многоквартирных домов на территории Тутаевского муниципального района</v>
      </c>
      <c r="C79" s="170" t="s">
        <v>936</v>
      </c>
      <c r="D79" s="258">
        <f>SUMIFS(Пр.13!G$10:G$1305,Пр.13!$D$10:$D$1305,C79)</f>
        <v>0</v>
      </c>
      <c r="E79" s="259">
        <f>SUMIFS(Пр.13!H$10:H$1305,Пр.13!$D$10:$D$1305,C79)</f>
        <v>0</v>
      </c>
      <c r="F79" s="251">
        <f>SUMIFS(Пр.13!I$10:I$1305,Пр.13!$D$10:$D$1305,C79)</f>
        <v>0</v>
      </c>
      <c r="G79" s="251">
        <f>SUMIFS(Пр.13!J$10:J$1305,Пр.13!$D$10:$D$1305,C79)</f>
        <v>0</v>
      </c>
      <c r="H79" s="251">
        <f>SUMIFS(Пр.13!K$10:K$1305,Пр.13!$D$10:$D$1305,C79)</f>
        <v>0</v>
      </c>
      <c r="I79" s="251">
        <f>SUMIFS(Пр.13!L$10:L$1305,Пр.13!$D$10:$D$1305,C79)</f>
        <v>0</v>
      </c>
    </row>
    <row r="80" spans="2:9" ht="79.5" hidden="1" thickBot="1" x14ac:dyDescent="0.25">
      <c r="B80" s="260" t="str">
        <f>IF(C80&gt;0,VLOOKUP(C80,Программа!A$2:B$5100,2))</f>
        <v>Муниципальная целевая программа "Переселение граждан из  жилищного фонда, признанного непригодным для проживания, и (или) жилищного фонда с высоким уровнем износа на территории Тутаевского муниципального района"</v>
      </c>
      <c r="C80" s="261" t="s">
        <v>938</v>
      </c>
      <c r="D80" s="262">
        <f>SUMIFS(Пр.13!G$10:G$1305,Пр.13!$D$10:$D$1305,C80)</f>
        <v>0</v>
      </c>
      <c r="E80" s="263">
        <f>SUMIFS(Пр.13!H$10:H$1305,Пр.13!$D$10:$D$1305,C80)</f>
        <v>0</v>
      </c>
      <c r="F80" s="251">
        <f>SUMIFS(Пр.13!I$10:I$1305,Пр.13!$D$10:$D$1305,C80)</f>
        <v>0</v>
      </c>
      <c r="G80" s="251">
        <f>SUMIFS(Пр.13!J$10:J$1305,Пр.13!$D$10:$D$1305,C80)</f>
        <v>0</v>
      </c>
      <c r="H80" s="251">
        <f>SUMIFS(Пр.13!K$10:K$1305,Пр.13!$D$10:$D$1305,C80)</f>
        <v>0</v>
      </c>
      <c r="I80" s="251">
        <f>SUMIFS(Пр.13!L$10:L$1305,Пр.13!$D$10:$D$1305,C80)</f>
        <v>0</v>
      </c>
    </row>
    <row r="81" spans="2:9" ht="63.75" hidden="1" thickBot="1" x14ac:dyDescent="0.25">
      <c r="B81" s="257" t="str">
        <f>IF(C81&gt;0,VLOOKUP(C81,Программа!A$2:B$5100,2))</f>
        <v>Финансовое и организационное обеспечение переселения граждан из непригодного для проживания жилищного фонда с высоким уровнем износа</v>
      </c>
      <c r="C81" s="170" t="s">
        <v>940</v>
      </c>
      <c r="D81" s="258">
        <f>SUMIFS(Пр.13!G$10:G$1305,Пр.13!$D$10:$D$1305,C81)</f>
        <v>0</v>
      </c>
      <c r="E81" s="259">
        <f>SUMIFS(Пр.13!H$10:H$1305,Пр.13!$D$10:$D$1305,C81)</f>
        <v>0</v>
      </c>
      <c r="F81" s="251">
        <f>SUMIFS(Пр.13!I$10:I$1305,Пр.13!$D$10:$D$1305,C81)</f>
        <v>0</v>
      </c>
      <c r="G81" s="251">
        <f>SUMIFS(Пр.13!J$10:J$1305,Пр.13!$D$10:$D$1305,C81)</f>
        <v>0</v>
      </c>
      <c r="H81" s="251">
        <f>SUMIFS(Пр.13!K$10:K$1305,Пр.13!$D$10:$D$1305,C81)</f>
        <v>0</v>
      </c>
      <c r="I81" s="251">
        <f>SUMIFS(Пр.13!L$10:L$1305,Пр.13!$D$10:$D$1305,C81)</f>
        <v>0</v>
      </c>
    </row>
    <row r="82" spans="2:9" ht="48" hidden="1" thickBot="1" x14ac:dyDescent="0.25">
      <c r="B82" s="260" t="str">
        <f>IF(C82&gt;0,VLOOKUP(C82,Программа!A$2:B$5100,2))</f>
        <v>Муниципальная целевая программа "Предоставление молодым семьям социальных выплат на приобретение(строительство) жилья"</v>
      </c>
      <c r="C82" s="261" t="s">
        <v>942</v>
      </c>
      <c r="D82" s="262">
        <f>SUMIFS(Пр.13!G$10:G$1305,Пр.13!$D$10:$D$1305,C82)</f>
        <v>0</v>
      </c>
      <c r="E82" s="263">
        <f>SUMIFS(Пр.13!H$10:H$1305,Пр.13!$D$10:$D$1305,C82)</f>
        <v>0</v>
      </c>
      <c r="F82" s="251">
        <f>SUMIFS(Пр.13!I$10:I$1305,Пр.13!$D$10:$D$1305,C82)</f>
        <v>0</v>
      </c>
      <c r="G82" s="251">
        <f>SUMIFS(Пр.13!J$10:J$1305,Пр.13!$D$10:$D$1305,C82)</f>
        <v>0</v>
      </c>
      <c r="H82" s="251">
        <f>SUMIFS(Пр.13!K$10:K$1305,Пр.13!$D$10:$D$1305,C82)</f>
        <v>0</v>
      </c>
      <c r="I82" s="251">
        <f>SUMIFS(Пр.13!L$10:L$1305,Пр.13!$D$10:$D$1305,C82)</f>
        <v>0</v>
      </c>
    </row>
    <row r="83" spans="2:9" ht="32.25" hidden="1" thickBot="1" x14ac:dyDescent="0.25">
      <c r="B83" s="267" t="str">
        <f>IF(C83&gt;0,VLOOKUP(C83,Программа!A$2:B$5100,2))</f>
        <v>Создание условий для поддержки  молодых семей в приобретении (строительстве) жилья</v>
      </c>
      <c r="C83" s="268" t="s">
        <v>944</v>
      </c>
      <c r="D83" s="269">
        <f>SUMIFS(Пр.13!G$10:G$1305,Пр.13!$D$10:$D$1305,C83)</f>
        <v>0</v>
      </c>
      <c r="E83" s="270">
        <f>SUMIFS(Пр.13!H$10:H$1305,Пр.13!$D$10:$D$1305,C83)</f>
        <v>0</v>
      </c>
      <c r="F83" s="251">
        <f>SUMIFS(Пр.13!I$10:I$1305,Пр.13!$D$10:$D$1305,C83)</f>
        <v>0</v>
      </c>
      <c r="G83" s="251">
        <f>SUMIFS(Пр.13!J$10:J$1305,Пр.13!$D$10:$D$1305,C83)</f>
        <v>0</v>
      </c>
      <c r="H83" s="251">
        <f>SUMIFS(Пр.13!K$10:K$1305,Пр.13!$D$10:$D$1305,C83)</f>
        <v>0</v>
      </c>
      <c r="I83" s="251">
        <f>SUMIFS(Пр.13!L$10:L$1305,Пр.13!$D$10:$D$1305,C83)</f>
        <v>0</v>
      </c>
    </row>
    <row r="84" spans="2:9" ht="63.75" thickBot="1" x14ac:dyDescent="0.25">
      <c r="B84" s="248" t="str">
        <f>IF(C84&gt;0,VLOOKUP(C84,Программа!A$2:B$5100,2))</f>
        <v>Муниципальная программа "Экономическое развитие и инновационная экономика, развитие предпринимательства и сельского хозяйства в Тутаевском муниципальном районе"</v>
      </c>
      <c r="C84" s="249" t="s">
        <v>653</v>
      </c>
      <c r="D84" s="250">
        <f>SUMIFS(Пр.13!G$10:G$1305,Пр.13!$D$10:$D$1305,C84)</f>
        <v>5100</v>
      </c>
      <c r="E84" s="251">
        <f>SUMIFS(Пр.13!H$10:H$1305,Пр.13!$D$10:$D$1305,C84)</f>
        <v>0</v>
      </c>
      <c r="F84" s="251">
        <f>SUMIFS(Пр.13!I$10:I$1305,Пр.13!$D$10:$D$1305,C84)</f>
        <v>5100</v>
      </c>
      <c r="G84" s="251">
        <f>SUMIFS(Пр.13!J$10:J$1305,Пр.13!$D$10:$D$1305,C84)</f>
        <v>5100</v>
      </c>
      <c r="H84" s="251">
        <f>SUMIFS(Пр.13!K$10:K$1305,Пр.13!$D$10:$D$1305,C84)</f>
        <v>0</v>
      </c>
      <c r="I84" s="251">
        <f>SUMIFS(Пр.13!L$10:L$1305,Пр.13!$D$10:$D$1305,C84)</f>
        <v>5100</v>
      </c>
    </row>
    <row r="85" spans="2:9" ht="48" hidden="1" thickBot="1" x14ac:dyDescent="0.25">
      <c r="B85" s="253" t="str">
        <f>IF(C85&gt;0,VLOOKUP(C85,Программа!A$2:B$5100,2))</f>
        <v>Муниципальная целевая программа «Развитие субъектов малого и среднего предпринимательства Тутаевского муниципального района»</v>
      </c>
      <c r="C85" s="271" t="s">
        <v>664</v>
      </c>
      <c r="D85" s="255">
        <f>SUMIFS(Пр.13!G$10:G$1305,Пр.13!$D$10:$D$1305,C85)</f>
        <v>0</v>
      </c>
      <c r="E85" s="256">
        <f>SUMIFS(Пр.13!H$10:H$1305,Пр.13!$D$10:$D$1305,C85)</f>
        <v>0</v>
      </c>
      <c r="F85" s="251">
        <f>SUMIFS(Пр.13!I$10:I$1305,Пр.13!$D$10:$D$1305,C85)</f>
        <v>0</v>
      </c>
      <c r="G85" s="251">
        <f>SUMIFS(Пр.13!J$10:J$1305,Пр.13!$D$10:$D$1305,C85)</f>
        <v>0</v>
      </c>
      <c r="H85" s="251">
        <f>SUMIFS(Пр.13!K$10:K$1305,Пр.13!$D$10:$D$1305,C85)</f>
        <v>0</v>
      </c>
      <c r="I85" s="251">
        <f>SUMIFS(Пр.13!L$10:L$1305,Пр.13!$D$10:$D$1305,C85)</f>
        <v>0</v>
      </c>
    </row>
    <row r="86" spans="2:9" ht="63.75" hidden="1" thickBot="1" x14ac:dyDescent="0.25">
      <c r="B86" s="257" t="str">
        <f>IF(C86&gt;0,VLOOKUP(C86,Программа!A$2:B$5100,2))</f>
        <v>Популяризация роли предпринимательства, информационная, консультационная и организационная поддержка субъектов малого и среднего предпринимательства</v>
      </c>
      <c r="C86" s="170" t="s">
        <v>666</v>
      </c>
      <c r="D86" s="258">
        <f>SUMIFS(Пр.13!G$10:G$1305,Пр.13!$D$10:$D$1305,C86)</f>
        <v>0</v>
      </c>
      <c r="E86" s="259">
        <f>SUMIFS(Пр.13!H$10:H$1305,Пр.13!$D$10:$D$1305,C86)</f>
        <v>0</v>
      </c>
      <c r="F86" s="251">
        <f>SUMIFS(Пр.13!I$10:I$1305,Пр.13!$D$10:$D$1305,C86)</f>
        <v>0</v>
      </c>
      <c r="G86" s="251">
        <f>SUMIFS(Пр.13!J$10:J$1305,Пр.13!$D$10:$D$1305,C86)</f>
        <v>0</v>
      </c>
      <c r="H86" s="251">
        <f>SUMIFS(Пр.13!K$10:K$1305,Пр.13!$D$10:$D$1305,C86)</f>
        <v>0</v>
      </c>
      <c r="I86" s="251">
        <f>SUMIFS(Пр.13!L$10:L$1305,Пр.13!$D$10:$D$1305,C86)</f>
        <v>0</v>
      </c>
    </row>
    <row r="87" spans="2:9" ht="32.25" hidden="1" thickBot="1" x14ac:dyDescent="0.25">
      <c r="B87" s="257" t="str">
        <f>IF(C87&gt;0,VLOOKUP(C87,Программа!A$2:B$5100,2))</f>
        <v>Развитие системы финансовой поддержки субъектов малого и среднего предпринимательства</v>
      </c>
      <c r="C87" s="170" t="s">
        <v>668</v>
      </c>
      <c r="D87" s="258">
        <f>SUMIFS(Пр.13!G$10:G$1305,Пр.13!$D$10:$D$1305,C87)</f>
        <v>0</v>
      </c>
      <c r="E87" s="259">
        <f>SUMIFS(Пр.13!H$10:H$1305,Пр.13!$D$10:$D$1305,C87)</f>
        <v>0</v>
      </c>
      <c r="F87" s="251">
        <f>SUMIFS(Пр.13!I$10:I$1305,Пр.13!$D$10:$D$1305,C87)</f>
        <v>0</v>
      </c>
      <c r="G87" s="251">
        <f>SUMIFS(Пр.13!J$10:J$1305,Пр.13!$D$10:$D$1305,C87)</f>
        <v>0</v>
      </c>
      <c r="H87" s="251">
        <f>SUMIFS(Пр.13!K$10:K$1305,Пр.13!$D$10:$D$1305,C87)</f>
        <v>0</v>
      </c>
      <c r="I87" s="251">
        <f>SUMIFS(Пр.13!L$10:L$1305,Пр.13!$D$10:$D$1305,C87)</f>
        <v>0</v>
      </c>
    </row>
    <row r="88" spans="2:9" ht="48" hidden="1" thickBot="1" x14ac:dyDescent="0.25">
      <c r="B88" s="260" t="str">
        <f>IF(C88&gt;0,VLOOKUP(C88,Программа!A$2:B$5100,2))</f>
        <v>Муниципальная целевая программа "Развитие потребительского рынка Тутаевского муниципального района "</v>
      </c>
      <c r="C88" s="261" t="s">
        <v>670</v>
      </c>
      <c r="D88" s="262">
        <f>SUMIFS(Пр.13!G$10:G$1305,Пр.13!$D$10:$D$1305,C88)</f>
        <v>0</v>
      </c>
      <c r="E88" s="263">
        <f>SUMIFS(Пр.13!H$10:H$1305,Пр.13!$D$10:$D$1305,C88)</f>
        <v>0</v>
      </c>
      <c r="F88" s="251">
        <f>SUMIFS(Пр.13!I$10:I$1305,Пр.13!$D$10:$D$1305,C88)</f>
        <v>0</v>
      </c>
      <c r="G88" s="251">
        <f>SUMIFS(Пр.13!J$10:J$1305,Пр.13!$D$10:$D$1305,C88)</f>
        <v>0</v>
      </c>
      <c r="H88" s="251">
        <f>SUMIFS(Пр.13!K$10:K$1305,Пр.13!$D$10:$D$1305,C88)</f>
        <v>0</v>
      </c>
      <c r="I88" s="251">
        <f>SUMIFS(Пр.13!L$10:L$1305,Пр.13!$D$10:$D$1305,C88)</f>
        <v>0</v>
      </c>
    </row>
    <row r="89" spans="2:9" ht="48" hidden="1" thickBot="1" x14ac:dyDescent="0.25">
      <c r="B89" s="257" t="str">
        <f>IF(C89&gt;0,VLOOKUP(C89,Программа!A$2:B$5100,2))</f>
        <v>Обеспечение доступности товаров для сельского населения путем оказания государственной поддержки</v>
      </c>
      <c r="C89" s="170" t="s">
        <v>672</v>
      </c>
      <c r="D89" s="258">
        <f>SUMIFS(Пр.13!G$10:G$1305,Пр.13!$D$10:$D$1305,C89)</f>
        <v>0</v>
      </c>
      <c r="E89" s="259">
        <f>SUMIFS(Пр.13!H$10:H$1305,Пр.13!$D$10:$D$1305,C89)</f>
        <v>0</v>
      </c>
      <c r="F89" s="251">
        <f>SUMIFS(Пр.13!I$10:I$1305,Пр.13!$D$10:$D$1305,C89)</f>
        <v>0</v>
      </c>
      <c r="G89" s="251">
        <f>SUMIFS(Пр.13!J$10:J$1305,Пр.13!$D$10:$D$1305,C89)</f>
        <v>0</v>
      </c>
      <c r="H89" s="251">
        <f>SUMIFS(Пр.13!K$10:K$1305,Пр.13!$D$10:$D$1305,C89)</f>
        <v>0</v>
      </c>
      <c r="I89" s="251">
        <f>SUMIFS(Пр.13!L$10:L$1305,Пр.13!$D$10:$D$1305,C89)</f>
        <v>0</v>
      </c>
    </row>
    <row r="90" spans="2:9" ht="48" thickBot="1" x14ac:dyDescent="0.25">
      <c r="B90" s="260" t="str">
        <f>IF(C90&gt;0,VLOOKUP(C90,Программа!A$2:B$5100,2))</f>
        <v>Муниципальная целевая программа "Развитие агропромышленного комплекса и сельских территорий Тутаевского муниципального района"</v>
      </c>
      <c r="C90" s="261" t="s">
        <v>655</v>
      </c>
      <c r="D90" s="262">
        <f>SUMIFS(Пр.13!G$10:G$1305,Пр.13!$D$10:$D$1305,C90)</f>
        <v>5100</v>
      </c>
      <c r="E90" s="263">
        <f>SUMIFS(Пр.13!H$10:H$1305,Пр.13!$D$10:$D$1305,C90)</f>
        <v>0</v>
      </c>
      <c r="F90" s="622">
        <f>SUMIFS(Пр.13!I$10:I$1305,Пр.13!$D$10:$D$1305,C90)</f>
        <v>5100</v>
      </c>
      <c r="G90" s="622">
        <f>SUMIFS(Пр.13!J$10:J$1305,Пр.13!$D$10:$D$1305,C90)</f>
        <v>5100</v>
      </c>
      <c r="H90" s="622">
        <f>SUMIFS(Пр.13!K$10:K$1305,Пр.13!$D$10:$D$1305,C90)</f>
        <v>0</v>
      </c>
      <c r="I90" s="622">
        <f>SUMIFS(Пр.13!L$10:L$1305,Пр.13!$D$10:$D$1305,C90)</f>
        <v>5100</v>
      </c>
    </row>
    <row r="91" spans="2:9" ht="48" thickBot="1" x14ac:dyDescent="0.25">
      <c r="B91" s="257" t="str">
        <f>IF(C91&gt;0,VLOOKUP(C91,Программа!A$2:B$5100,2))</f>
        <v>Поддержка сельскохозяйственного производства в рамках субсидирования  (молоко, овцеводство) сельскохозяйственных товаропроизводителей</v>
      </c>
      <c r="C91" s="170" t="s">
        <v>657</v>
      </c>
      <c r="D91" s="258">
        <f>SUMIFS(Пр.13!G$10:G$1305,Пр.13!$D$10:$D$1305,C91)</f>
        <v>5100</v>
      </c>
      <c r="E91" s="259">
        <f>SUMIFS(Пр.13!H$10:H$1305,Пр.13!$D$10:$D$1305,C91)</f>
        <v>0</v>
      </c>
      <c r="F91" s="622">
        <f>SUMIFS(Пр.13!I$10:I$1305,Пр.13!$D$10:$D$1305,C91)</f>
        <v>5100</v>
      </c>
      <c r="G91" s="622">
        <f>SUMIFS(Пр.13!J$10:J$1305,Пр.13!$D$10:$D$1305,C91)</f>
        <v>5100</v>
      </c>
      <c r="H91" s="622">
        <f>SUMIFS(Пр.13!K$10:K$1305,Пр.13!$D$10:$D$1305,C91)</f>
        <v>0</v>
      </c>
      <c r="I91" s="622">
        <f>SUMIFS(Пр.13!L$10:L$1305,Пр.13!$D$10:$D$1305,C91)</f>
        <v>5100</v>
      </c>
    </row>
    <row r="92" spans="2:9" ht="32.25" hidden="1" thickBot="1" x14ac:dyDescent="0.25">
      <c r="B92" s="257" t="str">
        <f>IF(C92&gt;0,VLOOKUP(C92,Программа!A$2:B$5100,2))</f>
        <v xml:space="preserve">Кадровое обеспечение агропромышленного комплекса </v>
      </c>
      <c r="C92" s="170" t="s">
        <v>659</v>
      </c>
      <c r="D92" s="258">
        <f>SUMIFS(Пр.13!G$10:G$1305,Пр.13!$D$10:$D$1305,C92)</f>
        <v>0</v>
      </c>
      <c r="E92" s="259">
        <f>SUMIFS(Пр.13!H$10:H$1305,Пр.13!$D$10:$D$1305,C92)</f>
        <v>0</v>
      </c>
      <c r="F92" s="251">
        <f>SUMIFS(Пр.13!I$10:I$1305,Пр.13!$D$10:$D$1305,C92)</f>
        <v>0</v>
      </c>
      <c r="G92" s="251">
        <f>SUMIFS(Пр.13!J$10:J$1305,Пр.13!$D$10:$D$1305,C92)</f>
        <v>0</v>
      </c>
      <c r="H92" s="251">
        <f>SUMIFS(Пр.13!K$10:K$1305,Пр.13!$D$10:$D$1305,C92)</f>
        <v>0</v>
      </c>
      <c r="I92" s="251">
        <f>SUMIFS(Пр.13!L$10:L$1305,Пр.13!$D$10:$D$1305,C92)</f>
        <v>0</v>
      </c>
    </row>
    <row r="93" spans="2:9" ht="63.75" hidden="1" thickBot="1" x14ac:dyDescent="0.25">
      <c r="B93" s="267" t="str">
        <f>IF(C93&gt;0,VLOOKUP(C93,Программа!A$2:B$5100,2))</f>
        <v>Повышение стимула роста профессионального мастерства, привлечение овцеводов и туристов для популяризации бренда романовской овцы, поощрение передовиков сельскохозяйственного  производства</v>
      </c>
      <c r="C93" s="268" t="s">
        <v>662</v>
      </c>
      <c r="D93" s="269">
        <f>SUMIFS(Пр.13!G$10:G$1305,Пр.13!$D$10:$D$1305,C93)</f>
        <v>0</v>
      </c>
      <c r="E93" s="270">
        <f>SUMIFS(Пр.13!H$10:H$1305,Пр.13!$D$10:$D$1305,C93)</f>
        <v>0</v>
      </c>
      <c r="F93" s="251">
        <f>SUMIFS(Пр.13!I$10:I$1305,Пр.13!$D$10:$D$1305,C93)</f>
        <v>0</v>
      </c>
      <c r="G93" s="251">
        <f>SUMIFS(Пр.13!J$10:J$1305,Пр.13!$D$10:$D$1305,C93)</f>
        <v>0</v>
      </c>
      <c r="H93" s="251">
        <f>SUMIFS(Пр.13!K$10:K$1305,Пр.13!$D$10:$D$1305,C93)</f>
        <v>0</v>
      </c>
      <c r="I93" s="251">
        <f>SUMIFS(Пр.13!L$10:L$1305,Пр.13!$D$10:$D$1305,C93)</f>
        <v>0</v>
      </c>
    </row>
    <row r="94" spans="2:9" ht="48" hidden="1" thickBot="1" x14ac:dyDescent="0.25">
      <c r="B94" s="248" t="str">
        <f>IF(C94&gt;0,VLOOKUP(C94,Программа!A$2:B$5100,2))</f>
        <v>Муниципальная программа "Повышение эффективности управления муниципальными финансами"</v>
      </c>
      <c r="C94" s="249" t="s">
        <v>632</v>
      </c>
      <c r="D94" s="250">
        <f>SUMIFS(Пр.13!G$10:G$1305,Пр.13!$D$10:$D$1305,C94)</f>
        <v>0</v>
      </c>
      <c r="E94" s="251">
        <f>SUMIFS(Пр.13!H$10:H$1305,Пр.13!$D$10:$D$1305,C94)</f>
        <v>0</v>
      </c>
      <c r="F94" s="251">
        <f>SUMIFS(Пр.13!I$10:I$1305,Пр.13!$D$10:$D$1305,C94)</f>
        <v>0</v>
      </c>
      <c r="G94" s="251">
        <f>SUMIFS(Пр.13!J$10:J$1305,Пр.13!$D$10:$D$1305,C94)</f>
        <v>0</v>
      </c>
      <c r="H94" s="251">
        <f>SUMIFS(Пр.13!K$10:K$1305,Пр.13!$D$10:$D$1305,C94)</f>
        <v>0</v>
      </c>
      <c r="I94" s="251">
        <f>SUMIFS(Пр.13!L$10:L$1305,Пр.13!$D$10:$D$1305,C94)</f>
        <v>0</v>
      </c>
    </row>
    <row r="95" spans="2:9" s="210" customFormat="1" ht="16.5" hidden="1" thickBot="1" x14ac:dyDescent="0.25">
      <c r="B95" s="253" t="str">
        <f>IF(C95&gt;0,VLOOKUP(C95,Программа!A$2:B$5100,2))</f>
        <v>Совершенствование межбюджетных отношений</v>
      </c>
      <c r="C95" s="271" t="s">
        <v>807</v>
      </c>
      <c r="D95" s="255">
        <f>SUMIFS(Пр.13!G$10:G$1305,Пр.13!$D$10:$D$1305,C95)</f>
        <v>0</v>
      </c>
      <c r="E95" s="256">
        <f>SUMIFS(Пр.13!H$10:H$1305,Пр.13!$D$10:$D$1305,C95)</f>
        <v>0</v>
      </c>
      <c r="F95" s="251">
        <f>SUMIFS(Пр.13!I$10:I$1305,Пр.13!$D$10:$D$1305,C95)</f>
        <v>0</v>
      </c>
      <c r="G95" s="251">
        <f>SUMIFS(Пр.13!J$10:J$1305,Пр.13!$D$10:$D$1305,C95)</f>
        <v>0</v>
      </c>
      <c r="H95" s="251">
        <f>SUMIFS(Пр.13!K$10:K$1305,Пр.13!$D$10:$D$1305,C95)</f>
        <v>0</v>
      </c>
      <c r="I95" s="251">
        <f>SUMIFS(Пр.13!L$10:L$1305,Пр.13!$D$10:$D$1305,C95)</f>
        <v>0</v>
      </c>
    </row>
    <row r="96" spans="2:9" s="210" customFormat="1" ht="32.25" hidden="1" thickBot="1" x14ac:dyDescent="0.25">
      <c r="B96" s="260" t="str">
        <f>IF(C96&gt;0,VLOOKUP(C96,Программа!A$2:B$5100,2))</f>
        <v xml:space="preserve">Повышение эффективности управления муниципальным долгом </v>
      </c>
      <c r="C96" s="261" t="s">
        <v>803</v>
      </c>
      <c r="D96" s="262">
        <f>SUMIFS(Пр.13!G$10:G$1305,Пр.13!$D$10:$D$1305,C96)</f>
        <v>0</v>
      </c>
      <c r="E96" s="263">
        <f>SUMIFS(Пр.13!H$10:H$1305,Пр.13!$D$10:$D$1305,C96)</f>
        <v>0</v>
      </c>
      <c r="F96" s="251">
        <f>SUMIFS(Пр.13!I$10:I$1305,Пр.13!$D$10:$D$1305,C96)</f>
        <v>0</v>
      </c>
      <c r="G96" s="251">
        <f>SUMIFS(Пр.13!J$10:J$1305,Пр.13!$D$10:$D$1305,C96)</f>
        <v>0</v>
      </c>
      <c r="H96" s="251">
        <f>SUMIFS(Пр.13!K$10:K$1305,Пр.13!$D$10:$D$1305,C96)</f>
        <v>0</v>
      </c>
      <c r="I96" s="251">
        <f>SUMIFS(Пр.13!L$10:L$1305,Пр.13!$D$10:$D$1305,C96)</f>
        <v>0</v>
      </c>
    </row>
    <row r="97" spans="2:9" ht="62.25" hidden="1" customHeight="1" thickBot="1" x14ac:dyDescent="0.25">
      <c r="B97" s="260" t="str">
        <f>IF(C97&gt;0,VLOOKUP(C97,Программа!A$2:B$5100,2))</f>
        <v>Ведомственная целевая программа департамента финансов администрации Тутаевского муниципального района</v>
      </c>
      <c r="C97" s="261" t="s">
        <v>795</v>
      </c>
      <c r="D97" s="262">
        <f>SUMIFS(Пр.13!G$10:G$1305,Пр.13!$D$10:$D$1305,C97)</f>
        <v>0</v>
      </c>
      <c r="E97" s="263">
        <f>SUMIFS(Пр.13!H$10:H$1305,Пр.13!$D$10:$D$1305,C97)</f>
        <v>0</v>
      </c>
      <c r="F97" s="251">
        <f>SUMIFS(Пр.13!I$10:I$1305,Пр.13!$D$10:$D$1305,C97)</f>
        <v>0</v>
      </c>
      <c r="G97" s="251">
        <f>SUMIFS(Пр.13!J$10:J$1305,Пр.13!$D$10:$D$1305,C97)</f>
        <v>0</v>
      </c>
      <c r="H97" s="251">
        <f>SUMIFS(Пр.13!K$10:K$1305,Пр.13!$D$10:$D$1305,C97)</f>
        <v>0</v>
      </c>
      <c r="I97" s="251">
        <f>SUMIFS(Пр.13!L$10:L$1305,Пр.13!$D$10:$D$1305,C97)</f>
        <v>0</v>
      </c>
    </row>
    <row r="98" spans="2:9" ht="16.5" hidden="1" thickBot="1" x14ac:dyDescent="0.25">
      <c r="B98" s="257" t="str">
        <f>IF(C98&gt;0,VLOOKUP(C98,Программа!A$2:B$5100,2))</f>
        <v>Обеспечение деятельности финансового органа</v>
      </c>
      <c r="C98" s="170" t="s">
        <v>797</v>
      </c>
      <c r="D98" s="258">
        <f>SUMIFS(Пр.13!G$10:G$1305,Пр.13!$D$10:$D$1305,C98)</f>
        <v>0</v>
      </c>
      <c r="E98" s="259">
        <f>SUMIFS(Пр.13!H$10:H$1305,Пр.13!$D$10:$D$1305,C98)</f>
        <v>0</v>
      </c>
      <c r="F98" s="251">
        <f>SUMIFS(Пр.13!I$10:I$1305,Пр.13!$D$10:$D$1305,C98)</f>
        <v>0</v>
      </c>
      <c r="G98" s="251">
        <f>SUMIFS(Пр.13!J$10:J$1305,Пр.13!$D$10:$D$1305,C98)</f>
        <v>0</v>
      </c>
      <c r="H98" s="251">
        <f>SUMIFS(Пр.13!K$10:K$1305,Пр.13!$D$10:$D$1305,C98)</f>
        <v>0</v>
      </c>
      <c r="I98" s="251">
        <f>SUMIFS(Пр.13!L$10:L$1305,Пр.13!$D$10:$D$1305,C98)</f>
        <v>0</v>
      </c>
    </row>
    <row r="99" spans="2:9" ht="16.5" hidden="1" thickBot="1" x14ac:dyDescent="0.25">
      <c r="B99" s="260" t="str">
        <f>IF(C99&gt;0,VLOOKUP(C99,Программа!A$2:B$5100,2))</f>
        <v>Обеспечение деятельности финансового органа</v>
      </c>
      <c r="C99" s="261" t="s">
        <v>633</v>
      </c>
      <c r="D99" s="262">
        <f>SUMIFS(Пр.13!G$10:G$1305,Пр.13!$D$10:$D$1305,C99)</f>
        <v>0</v>
      </c>
      <c r="E99" s="263">
        <f>SUMIFS(Пр.13!H$10:H$1305,Пр.13!$D$10:$D$1305,C99)</f>
        <v>0</v>
      </c>
      <c r="F99" s="251">
        <f>SUMIFS(Пр.13!I$10:I$1305,Пр.13!$D$10:$D$1305,C99)</f>
        <v>0</v>
      </c>
      <c r="G99" s="251">
        <f>SUMIFS(Пр.13!J$10:J$1305,Пр.13!$D$10:$D$1305,C99)</f>
        <v>0</v>
      </c>
      <c r="H99" s="251">
        <f>SUMIFS(Пр.13!K$10:K$1305,Пр.13!$D$10:$D$1305,C99)</f>
        <v>0</v>
      </c>
      <c r="I99" s="251">
        <f>SUMIFS(Пр.13!L$10:L$1305,Пр.13!$D$10:$D$1305,C99)</f>
        <v>0</v>
      </c>
    </row>
    <row r="100" spans="2:9" ht="16.5" hidden="1" thickBot="1" x14ac:dyDescent="0.25">
      <c r="B100" s="267" t="str">
        <f>IF(C100&gt;0,VLOOKUP(C100,Программа!A$2:B$5100,2))</f>
        <v>Обеспечение деятельности финансового органа</v>
      </c>
      <c r="C100" s="268" t="s">
        <v>634</v>
      </c>
      <c r="D100" s="269">
        <f>SUMIFS(Пр.13!G$10:G$1305,Пр.13!$D$10:$D$1305,C100)</f>
        <v>0</v>
      </c>
      <c r="E100" s="270">
        <f>SUMIFS(Пр.13!H$10:H$1305,Пр.13!$D$10:$D$1305,C100)</f>
        <v>0</v>
      </c>
      <c r="F100" s="251">
        <f>SUMIFS(Пр.13!I$10:I$1305,Пр.13!$D$10:$D$1305,C100)</f>
        <v>0</v>
      </c>
      <c r="G100" s="251">
        <f>SUMIFS(Пр.13!J$10:J$1305,Пр.13!$D$10:$D$1305,C100)</f>
        <v>0</v>
      </c>
      <c r="H100" s="251">
        <f>SUMIFS(Пр.13!K$10:K$1305,Пр.13!$D$10:$D$1305,C100)</f>
        <v>0</v>
      </c>
      <c r="I100" s="251">
        <f>SUMIFS(Пр.13!L$10:L$1305,Пр.13!$D$10:$D$1305,C100)</f>
        <v>0</v>
      </c>
    </row>
    <row r="101" spans="2:9" ht="79.5" hidden="1" thickBot="1" x14ac:dyDescent="0.25">
      <c r="B101" s="248" t="str">
        <f>IF(C101&gt;0,VLOOKUP(C101,Программа!A$2:B$5100,2))</f>
        <v>Муниципальная программа "Развитие муниципальной службы и повышение квалификации руководителей муниципальных учреждений в  Тутаевском муниципальном районе"</v>
      </c>
      <c r="C101" s="249" t="s">
        <v>636</v>
      </c>
      <c r="D101" s="250">
        <f>SUMIFS(Пр.13!G$10:G$1305,Пр.13!$D$10:$D$1305,C101)</f>
        <v>0</v>
      </c>
      <c r="E101" s="251">
        <f>SUMIFS(Пр.13!H$10:H$1305,Пр.13!$D$10:$D$1305,C101)</f>
        <v>0</v>
      </c>
      <c r="F101" s="251">
        <f>SUMIFS(Пр.13!I$10:I$1305,Пр.13!$D$10:$D$1305,C101)</f>
        <v>0</v>
      </c>
      <c r="G101" s="251">
        <f>SUMIFS(Пр.13!J$10:J$1305,Пр.13!$D$10:$D$1305,C101)</f>
        <v>0</v>
      </c>
      <c r="H101" s="251">
        <f>SUMIFS(Пр.13!K$10:K$1305,Пр.13!$D$10:$D$1305,C101)</f>
        <v>0</v>
      </c>
      <c r="I101" s="251">
        <f>SUMIFS(Пр.13!L$10:L$1305,Пр.13!$D$10:$D$1305,C101)</f>
        <v>0</v>
      </c>
    </row>
    <row r="102" spans="2:9" ht="48" hidden="1" thickBot="1" x14ac:dyDescent="0.25">
      <c r="B102" s="272" t="str">
        <f>IF(C102&gt;0,VLOOKUP(C102,Программа!A$2:B$5100,2))</f>
        <v xml:space="preserve">Профессиональное развитие  муниципальных служащих и повышение квалификации руководителей муниципальных учреждений </v>
      </c>
      <c r="C102" s="273" t="s">
        <v>637</v>
      </c>
      <c r="D102" s="274">
        <f>SUMIFS(Пр.13!G$10:G$1305,Пр.13!$D$10:$D$1305,C102)</f>
        <v>0</v>
      </c>
      <c r="E102" s="275">
        <f>SUMIFS(Пр.13!H$10:H$1305,Пр.13!$D$10:$D$1305,C102)</f>
        <v>0</v>
      </c>
      <c r="F102" s="251">
        <f>SUMIFS(Пр.13!I$10:I$1305,Пр.13!$D$10:$D$1305,C102)</f>
        <v>0</v>
      </c>
      <c r="G102" s="251">
        <f>SUMIFS(Пр.13!J$10:J$1305,Пр.13!$D$10:$D$1305,C102)</f>
        <v>0</v>
      </c>
      <c r="H102" s="251">
        <f>SUMIFS(Пр.13!K$10:K$1305,Пр.13!$D$10:$D$1305,C102)</f>
        <v>0</v>
      </c>
      <c r="I102" s="251">
        <f>SUMIFS(Пр.13!L$10:L$1305,Пр.13!$D$10:$D$1305,C102)</f>
        <v>0</v>
      </c>
    </row>
    <row r="103" spans="2:9" ht="48" thickBot="1" x14ac:dyDescent="0.25">
      <c r="B103" s="248" t="str">
        <f>IF(C103&gt;0,VLOOKUP(C103,Программа!A$2:B$5100,2))</f>
        <v>Муниципальная программа "Информатизация управленческой деятельности Администрации Тутаевского муниципального района"</v>
      </c>
      <c r="C103" s="249" t="s">
        <v>640</v>
      </c>
      <c r="D103" s="250">
        <f>SUMIFS(Пр.13!G$10:G$1305,Пр.13!$D$10:$D$1305,C103)</f>
        <v>1661800</v>
      </c>
      <c r="E103" s="251">
        <f>SUMIFS(Пр.13!H$10:H$1305,Пр.13!$D$10:$D$1305,C103)</f>
        <v>0</v>
      </c>
      <c r="F103" s="251">
        <f>SUMIFS(Пр.13!I$10:I$1305,Пр.13!$D$10:$D$1305,C103)</f>
        <v>1661800</v>
      </c>
      <c r="G103" s="251">
        <f>SUMIFS(Пр.13!J$10:J$1305,Пр.13!$D$10:$D$1305,C103)</f>
        <v>1461800</v>
      </c>
      <c r="H103" s="251">
        <f>SUMIFS(Пр.13!K$10:K$1305,Пр.13!$D$10:$D$1305,C103)</f>
        <v>0</v>
      </c>
      <c r="I103" s="251">
        <f>SUMIFS(Пр.13!L$10:L$1305,Пр.13!$D$10:$D$1305,C103)</f>
        <v>1461800</v>
      </c>
    </row>
    <row r="104" spans="2:9" ht="32.25" thickBot="1" x14ac:dyDescent="0.25">
      <c r="B104" s="276" t="str">
        <f>IF(C104&gt;0,VLOOKUP(C104,Программа!A$2:B$5100,2))</f>
        <v>Бесперебойное функционирование информационных систем</v>
      </c>
      <c r="C104" s="277" t="s">
        <v>677</v>
      </c>
      <c r="D104" s="278">
        <f>SUMIFS(Пр.13!G$10:G$1305,Пр.13!$D$10:$D$1305,C104)</f>
        <v>1661800</v>
      </c>
      <c r="E104" s="279">
        <f>SUMIFS(Пр.13!H$10:H$1305,Пр.13!$D$10:$D$1305,C104)</f>
        <v>0</v>
      </c>
      <c r="F104" s="622">
        <f>SUMIFS(Пр.13!I$10:I$1305,Пр.13!$D$10:$D$1305,C104)</f>
        <v>1661800</v>
      </c>
      <c r="G104" s="622">
        <f>SUMIFS(Пр.13!J$10:J$1305,Пр.13!$D$10:$D$1305,C104)</f>
        <v>1461800</v>
      </c>
      <c r="H104" s="622">
        <f>SUMIFS(Пр.13!K$10:K$1305,Пр.13!$D$10:$D$1305,C104)</f>
        <v>0</v>
      </c>
      <c r="I104" s="622">
        <f>SUMIFS(Пр.13!L$10:L$1305,Пр.13!$D$10:$D$1305,C104)</f>
        <v>1461800</v>
      </c>
    </row>
    <row r="105" spans="2:9" ht="48" hidden="1" thickBot="1" x14ac:dyDescent="0.25">
      <c r="B105" s="267" t="str">
        <f>IF(C105&gt;0,VLOOKUP(C105,Программа!A$2:B$5100,2))</f>
        <v>Закупка компьютерного оборудования  и оргтехники для бесперебойного обеспечения деятельности органов местного самоуправления</v>
      </c>
      <c r="C105" s="268" t="s">
        <v>642</v>
      </c>
      <c r="D105" s="269">
        <f>SUMIFS(Пр.13!G$10:G$1305,Пр.13!$D$10:$D$1305,C105)</f>
        <v>0</v>
      </c>
      <c r="E105" s="270">
        <f>SUMIFS(Пр.13!H$10:H$1305,Пр.13!$D$10:$D$1305,C105)</f>
        <v>0</v>
      </c>
      <c r="F105" s="251">
        <f>SUMIFS(Пр.13!I$10:I$1305,Пр.13!$D$10:$D$1305,C105)</f>
        <v>0</v>
      </c>
      <c r="G105" s="251">
        <f>SUMIFS(Пр.13!J$10:J$1305,Пр.13!$D$10:$D$1305,C105)</f>
        <v>0</v>
      </c>
      <c r="H105" s="251">
        <f>SUMIFS(Пр.13!K$10:K$1305,Пр.13!$D$10:$D$1305,C105)</f>
        <v>0</v>
      </c>
      <c r="I105" s="251">
        <f>SUMIFS(Пр.13!L$10:L$1305,Пр.13!$D$10:$D$1305,C105)</f>
        <v>0</v>
      </c>
    </row>
    <row r="106" spans="2:9" ht="66.75" hidden="1" customHeight="1" thickBot="1" x14ac:dyDescent="0.25">
      <c r="B106" s="248" t="str">
        <f>IF(C106&gt;0,VLOOKUP(C106,Программа!A$2:B$5100,2))</f>
        <v>Муниципальная программа "Поддержки гражданских инициатив, социально ориентированных некоммерческих организаций и территориального общественного самоуправления Тутаевского муниципального района"</v>
      </c>
      <c r="C106" s="249" t="s">
        <v>644</v>
      </c>
      <c r="D106" s="250">
        <f>SUMIFS(Пр.13!G$10:G$1305,Пр.13!$D$10:$D$1305,C106)</f>
        <v>0</v>
      </c>
      <c r="E106" s="251">
        <f>SUMIFS(Пр.13!H$10:H$1305,Пр.13!$D$10:$D$1305,C106)</f>
        <v>0</v>
      </c>
      <c r="F106" s="251">
        <f>SUMIFS(Пр.13!I$10:I$1305,Пр.13!$D$10:$D$1305,C106)</f>
        <v>0</v>
      </c>
      <c r="G106" s="251">
        <f>SUMIFS(Пр.13!J$10:J$1305,Пр.13!$D$10:$D$1305,C106)</f>
        <v>0</v>
      </c>
      <c r="H106" s="251">
        <f>SUMIFS(Пр.13!K$10:K$1305,Пр.13!$D$10:$D$1305,C106)</f>
        <v>0</v>
      </c>
      <c r="I106" s="251">
        <f>SUMIFS(Пр.13!L$10:L$1305,Пр.13!$D$10:$D$1305,C106)</f>
        <v>0</v>
      </c>
    </row>
    <row r="107" spans="2:9" ht="63.75" hidden="1" thickBot="1" x14ac:dyDescent="0.25">
      <c r="B107" s="276" t="str">
        <f>IF(C107&gt;0,VLOOKUP(C107,Программа!A$2:B$5100,2))</f>
        <v xml:space="preserve">Стимулирование и поддержка реализации социально-значимых проектов и программ, реализуемых гражданскими активистами, СОНКО ИТОС, реализуемых на территории ТМР </v>
      </c>
      <c r="C107" s="277" t="s">
        <v>645</v>
      </c>
      <c r="D107" s="278">
        <f>SUMIFS(Пр.13!G$10:G$1305,Пр.13!$D$10:$D$1305,C107)</f>
        <v>0</v>
      </c>
      <c r="E107" s="279">
        <f>SUMIFS(Пр.13!H$10:H$1305,Пр.13!$D$10:$D$1305,C107)</f>
        <v>0</v>
      </c>
      <c r="F107" s="251">
        <f>SUMIFS(Пр.13!I$10:I$1305,Пр.13!$D$10:$D$1305,C107)</f>
        <v>0</v>
      </c>
      <c r="G107" s="251">
        <f>SUMIFS(Пр.13!J$10:J$1305,Пр.13!$D$10:$D$1305,C107)</f>
        <v>0</v>
      </c>
      <c r="H107" s="251">
        <f>SUMIFS(Пр.13!K$10:K$1305,Пр.13!$D$10:$D$1305,C107)</f>
        <v>0</v>
      </c>
      <c r="I107" s="251">
        <f>SUMIFS(Пр.13!L$10:L$1305,Пр.13!$D$10:$D$1305,C107)</f>
        <v>0</v>
      </c>
    </row>
    <row r="108" spans="2:9" ht="48" hidden="1" thickBot="1" x14ac:dyDescent="0.25">
      <c r="B108" s="267" t="str">
        <f>IF(C108&gt;0,VLOOKUP(C108,Программа!A$2:B$5100,2))</f>
        <v>Развитие взаимодействия органов местного самоуправления Тутаевского муниципального района, СОНКО и ТОС</v>
      </c>
      <c r="C108" s="268" t="s">
        <v>946</v>
      </c>
      <c r="D108" s="269">
        <f>SUMIFS(Пр.13!G$10:G$1305,Пр.13!$D$10:$D$1305,C108)</f>
        <v>0</v>
      </c>
      <c r="E108" s="270">
        <f>SUMIFS(Пр.13!H$10:H$1305,Пр.13!$D$10:$D$1305,C108)</f>
        <v>0</v>
      </c>
      <c r="F108" s="251">
        <f>SUMIFS(Пр.13!I$10:I$1305,Пр.13!$D$10:$D$1305,C108)</f>
        <v>0</v>
      </c>
      <c r="G108" s="251">
        <f>SUMIFS(Пр.13!J$10:J$1305,Пр.13!$D$10:$D$1305,C108)</f>
        <v>0</v>
      </c>
      <c r="H108" s="251">
        <f>SUMIFS(Пр.13!K$10:K$1305,Пр.13!$D$10:$D$1305,C108)</f>
        <v>0</v>
      </c>
      <c r="I108" s="251">
        <f>SUMIFS(Пр.13!L$10:L$1305,Пр.13!$D$10:$D$1305,C108)</f>
        <v>0</v>
      </c>
    </row>
    <row r="109" spans="2:9" ht="63.75" hidden="1" thickBot="1" x14ac:dyDescent="0.25">
      <c r="B109" s="248" t="str">
        <f>IF(C109&gt;0,VLOOKUP(C109,Программа!A$2:B$5100,2))</f>
        <v>Муниципальная программа "Профилактика правонарушений и усиление борьбы с преступностью в Тутаевском муниципальном районе"</v>
      </c>
      <c r="C109" s="249" t="s">
        <v>746</v>
      </c>
      <c r="D109" s="250">
        <f>SUMIFS(Пр.13!G$10:G$1305,Пр.13!$D$10:$D$1305,C109)</f>
        <v>0</v>
      </c>
      <c r="E109" s="251">
        <f>SUMIFS(Пр.13!H$10:H$1305,Пр.13!$D$10:$D$1305,C109)</f>
        <v>0</v>
      </c>
      <c r="F109" s="251">
        <f>SUMIFS(Пр.13!I$10:I$1305,Пр.13!$D$10:$D$1305,C109)</f>
        <v>0</v>
      </c>
      <c r="G109" s="251">
        <f>SUMIFS(Пр.13!J$10:J$1305,Пр.13!$D$10:$D$1305,C109)</f>
        <v>0</v>
      </c>
      <c r="H109" s="251">
        <f>SUMIFS(Пр.13!K$10:K$1305,Пр.13!$D$10:$D$1305,C109)</f>
        <v>0</v>
      </c>
      <c r="I109" s="251">
        <f>SUMIFS(Пр.13!L$10:L$1305,Пр.13!$D$10:$D$1305,C109)</f>
        <v>0</v>
      </c>
    </row>
    <row r="110" spans="2:9" ht="32.25" hidden="1" thickBot="1" x14ac:dyDescent="0.25">
      <c r="B110" s="272" t="str">
        <f>IF(C110&gt;0,VLOOKUP(C110,Программа!A$2:B$5100,2))</f>
        <v>Реализация мероприятий по профилактике правонарушений</v>
      </c>
      <c r="C110" s="273" t="s">
        <v>748</v>
      </c>
      <c r="D110" s="274">
        <f>SUMIFS(Пр.13!G$10:G$1305,Пр.13!$D$10:$D$1305,C110)</f>
        <v>0</v>
      </c>
      <c r="E110" s="275">
        <f>SUMIFS(Пр.13!H$10:H$1305,Пр.13!$D$10:$D$1305,C110)</f>
        <v>0</v>
      </c>
      <c r="F110" s="251">
        <f>SUMIFS(Пр.13!I$10:I$1305,Пр.13!$D$10:$D$1305,C110)</f>
        <v>0</v>
      </c>
      <c r="G110" s="251">
        <f>SUMIFS(Пр.13!J$10:J$1305,Пр.13!$D$10:$D$1305,C110)</f>
        <v>0</v>
      </c>
      <c r="H110" s="251">
        <f>SUMIFS(Пр.13!K$10:K$1305,Пр.13!$D$10:$D$1305,C110)</f>
        <v>0</v>
      </c>
      <c r="I110" s="251">
        <f>SUMIFS(Пр.13!L$10:L$1305,Пр.13!$D$10:$D$1305,C110)</f>
        <v>0</v>
      </c>
    </row>
    <row r="111" spans="2:9" ht="45.75" customHeight="1" thickBot="1" x14ac:dyDescent="0.25">
      <c r="B111" s="248" t="str">
        <f>IF(C111&gt;0,VLOOKUP(C111,Программа!A$2:B$5100,2))</f>
        <v>Муниципальная программа  "Организация перевозок автомобильным и речным транспортом на территории Тутаевского муниципального района"</v>
      </c>
      <c r="C111" s="249" t="s">
        <v>859</v>
      </c>
      <c r="D111" s="250">
        <f>SUMIFS(Пр.13!G$10:G$1305,Пр.13!$D$10:$D$1305,C111)</f>
        <v>10674000</v>
      </c>
      <c r="E111" s="251">
        <f>SUMIFS(Пр.13!H$10:H$1305,Пр.13!$D$10:$D$1305,C111)</f>
        <v>0</v>
      </c>
      <c r="F111" s="251">
        <f>SUMIFS(Пр.13!I$10:I$1305,Пр.13!$D$10:$D$1305,C111)</f>
        <v>10674000</v>
      </c>
      <c r="G111" s="251">
        <f>SUMIFS(Пр.13!J$10:J$1305,Пр.13!$D$10:$D$1305,C111)</f>
        <v>674000</v>
      </c>
      <c r="H111" s="251">
        <f>SUMIFS(Пр.13!K$10:K$1305,Пр.13!$D$10:$D$1305,C111)</f>
        <v>0</v>
      </c>
      <c r="I111" s="251">
        <f>SUMIFS(Пр.13!L$10:L$1305,Пр.13!$D$10:$D$1305,C111)</f>
        <v>674000</v>
      </c>
    </row>
    <row r="112" spans="2:9" ht="63.75" thickBot="1" x14ac:dyDescent="0.25">
      <c r="B112" s="276" t="str">
        <f>IF(C112&gt;0,VLOOKUP(C112,Программа!A$2:B$5100,2))</f>
        <v>Предоставление социальных услуг лицам, находящимся под диспансерным наблюдением в связи с туберкулезом, и больных туберкулезом  при проезде в транспорте общего пользования</v>
      </c>
      <c r="C112" s="277" t="s">
        <v>861</v>
      </c>
      <c r="D112" s="278">
        <f>SUMIFS(Пр.13!G$10:G$1305,Пр.13!$D$10:$D$1305,C112)</f>
        <v>15000</v>
      </c>
      <c r="E112" s="279">
        <f>SUMIFS(Пр.13!H$10:H$1305,Пр.13!$D$10:$D$1305,C112)</f>
        <v>0</v>
      </c>
      <c r="F112" s="622">
        <f>SUMIFS(Пр.13!I$10:I$1305,Пр.13!$D$10:$D$1305,C112)</f>
        <v>15000</v>
      </c>
      <c r="G112" s="622">
        <f>SUMIFS(Пр.13!J$10:J$1305,Пр.13!$D$10:$D$1305,C112)</f>
        <v>15000</v>
      </c>
      <c r="H112" s="622">
        <f>SUMIFS(Пр.13!K$10:K$1305,Пр.13!$D$10:$D$1305,C112)</f>
        <v>0</v>
      </c>
      <c r="I112" s="622">
        <f>SUMIFS(Пр.13!L$10:L$1305,Пр.13!$D$10:$D$1305,C112)</f>
        <v>15000</v>
      </c>
    </row>
    <row r="113" spans="2:9" ht="63.75" thickBot="1" x14ac:dyDescent="0.25">
      <c r="B113" s="257" t="str">
        <f>IF(C113&gt;0,VLOOKUP(C113,Программа!A$2:B$5100,2))</f>
        <v>Предоставление социальных услуг детям из многодетных семей, обучающихся в общеобразовательных организациях  при проезде в транспорте общего пользования</v>
      </c>
      <c r="C113" s="170" t="s">
        <v>863</v>
      </c>
      <c r="D113" s="258">
        <f>SUMIFS(Пр.13!G$10:G$1305,Пр.13!$D$10:$D$1305,C113)</f>
        <v>659000</v>
      </c>
      <c r="E113" s="259">
        <f>SUMIFS(Пр.13!H$10:H$1305,Пр.13!$D$10:$D$1305,C113)</f>
        <v>0</v>
      </c>
      <c r="F113" s="622">
        <f>SUMIFS(Пр.13!I$10:I$1305,Пр.13!$D$10:$D$1305,C113)</f>
        <v>659000</v>
      </c>
      <c r="G113" s="622">
        <f>SUMIFS(Пр.13!J$10:J$1305,Пр.13!$D$10:$D$1305,C113)</f>
        <v>659000</v>
      </c>
      <c r="H113" s="622">
        <f>SUMIFS(Пр.13!K$10:K$1305,Пр.13!$D$10:$D$1305,C113)</f>
        <v>0</v>
      </c>
      <c r="I113" s="622">
        <f>SUMIFS(Пр.13!L$10:L$1305,Пр.13!$D$10:$D$1305,C113)</f>
        <v>659000</v>
      </c>
    </row>
    <row r="114" spans="2:9" ht="48" thickBot="1" x14ac:dyDescent="0.3">
      <c r="B114" s="267" t="str">
        <f>IF(C114&gt;0,VLOOKUP(C114,Программа!A$2:B$5100,2))</f>
        <v>Организация предоставления транспортных услуг по перевозке пассажиров автомобильным транспортом, транспортом общего пользования</v>
      </c>
      <c r="C114" s="280" t="s">
        <v>865</v>
      </c>
      <c r="D114" s="558">
        <f>SUMIFS(Пр.13!G$10:G$1305,Пр.13!$D$10:$D$1305,C114)</f>
        <v>10000000</v>
      </c>
      <c r="E114" s="559">
        <f>SUMIFS(Пр.13!H$10:H$1305,Пр.13!$D$10:$D$1305,C114)</f>
        <v>0</v>
      </c>
      <c r="F114" s="622">
        <f>SUMIFS(Пр.13!I$10:I$1305,Пр.13!$D$10:$D$1305,C114)</f>
        <v>10000000</v>
      </c>
      <c r="G114" s="622">
        <f>SUMIFS(Пр.13!J$10:J$1305,Пр.13!$D$10:$D$1305,C114)</f>
        <v>0</v>
      </c>
      <c r="H114" s="622">
        <f>SUMIFS(Пр.13!K$10:K$1305,Пр.13!$D$10:$D$1305,C114)</f>
        <v>0</v>
      </c>
      <c r="I114" s="622">
        <f>SUMIFS(Пр.13!L$10:L$1305,Пр.13!$D$10:$D$1305,C114)</f>
        <v>0</v>
      </c>
    </row>
    <row r="115" spans="2:9" ht="32.25" hidden="1" thickBot="1" x14ac:dyDescent="0.3">
      <c r="B115" s="248" t="str">
        <f>IF(C115&gt;0,VLOOKUP(C115,Программа!A$2:B$5100,2))</f>
        <v>Муниципальная программа  "Развитие жилищного хозяйства Тутаевского муниципального района"</v>
      </c>
      <c r="C115" s="283" t="s">
        <v>954</v>
      </c>
      <c r="D115" s="284">
        <f>SUMIFS(Пр.13!G$10:G$1305,Пр.13!$D$10:$D$1305,C115)</f>
        <v>0</v>
      </c>
      <c r="E115" s="285">
        <f>SUMIFS(Пр.13!H$10:H$1305,Пр.13!$D$10:$D$1305,C115)</f>
        <v>0</v>
      </c>
      <c r="F115" s="251">
        <f>SUMIFS(Пр.13!I$10:I$1305,Пр.13!$D$10:$D$1305,C115)</f>
        <v>0</v>
      </c>
      <c r="G115" s="251">
        <f>SUMIFS(Пр.13!J$10:J$1305,Пр.13!$D$10:$D$1305,C115)</f>
        <v>0</v>
      </c>
      <c r="H115" s="251">
        <f>SUMIFS(Пр.13!K$10:K$1305,Пр.13!$D$10:$D$1305,C115)</f>
        <v>0</v>
      </c>
      <c r="I115" s="251">
        <f>SUMIFS(Пр.13!L$10:L$1305,Пр.13!$D$10:$D$1305,C115)</f>
        <v>0</v>
      </c>
    </row>
    <row r="116" spans="2:9" ht="63.75" hidden="1" thickBot="1" x14ac:dyDescent="0.3">
      <c r="B116" s="253" t="str">
        <f>IF(C116&gt;0,VLOOKUP(C116,Программа!A$2:B$5100,2))</f>
        <v>Муниципальная целевая программа "Развитие  лифтового хозяйства на территории городского поселения Тутаев Тутаевского муниципального района"</v>
      </c>
      <c r="C116" s="286" t="s">
        <v>957</v>
      </c>
      <c r="D116" s="287">
        <f>SUMIFS(Пр.13!G$10:G$1305,Пр.13!$D$10:$D$1305,C116)</f>
        <v>0</v>
      </c>
      <c r="E116" s="288">
        <f>SUMIFS(Пр.13!H$10:H$1305,Пр.13!$D$10:$D$1305,C116)</f>
        <v>0</v>
      </c>
      <c r="F116" s="251">
        <f>SUMIFS(Пр.13!I$10:I$1305,Пр.13!$D$10:$D$1305,C116)</f>
        <v>0</v>
      </c>
      <c r="G116" s="251">
        <f>SUMIFS(Пр.13!J$10:J$1305,Пр.13!$D$10:$D$1305,C116)</f>
        <v>0</v>
      </c>
      <c r="H116" s="251">
        <f>SUMIFS(Пр.13!K$10:K$1305,Пр.13!$D$10:$D$1305,C116)</f>
        <v>0</v>
      </c>
      <c r="I116" s="251">
        <f>SUMIFS(Пр.13!L$10:L$1305,Пр.13!$D$10:$D$1305,C116)</f>
        <v>0</v>
      </c>
    </row>
    <row r="117" spans="2:9" ht="32.25" hidden="1" thickBot="1" x14ac:dyDescent="0.3">
      <c r="B117" s="257" t="str">
        <f>IF(C117&gt;0,VLOOKUP(C117,Программа!A$2:B$5100,2))</f>
        <v>Обеспечение мероприятий по восстановлению лифтового хозяйства многоквартирных домов</v>
      </c>
      <c r="C117" s="289" t="s">
        <v>960</v>
      </c>
      <c r="D117" s="290">
        <f>SUMIFS(Пр.13!G$10:G$1305,Пр.13!$D$10:$D$1305,C117)</f>
        <v>0</v>
      </c>
      <c r="E117" s="291">
        <f>SUMIFS(Пр.13!H$10:H$1305,Пр.13!$D$10:$D$1305,C117)</f>
        <v>0</v>
      </c>
      <c r="F117" s="251">
        <f>SUMIFS(Пр.13!I$10:I$1305,Пр.13!$D$10:$D$1305,C117)</f>
        <v>0</v>
      </c>
      <c r="G117" s="251">
        <f>SUMIFS(Пр.13!J$10:J$1305,Пр.13!$D$10:$D$1305,C117)</f>
        <v>0</v>
      </c>
      <c r="H117" s="251">
        <f>SUMIFS(Пр.13!K$10:K$1305,Пр.13!$D$10:$D$1305,C117)</f>
        <v>0</v>
      </c>
      <c r="I117" s="251">
        <f>SUMIFS(Пр.13!L$10:L$1305,Пр.13!$D$10:$D$1305,C117)</f>
        <v>0</v>
      </c>
    </row>
    <row r="118" spans="2:9" ht="48" hidden="1" thickBot="1" x14ac:dyDescent="0.3">
      <c r="B118" s="260" t="str">
        <f>IF(C118&gt;0,VLOOKUP(C118,Программа!A$2:B$5100,2))</f>
        <v>Муниципальная целевая программа "Ремонт и содержание муниципального жилищного фонда   Тутаевского муниципального района"</v>
      </c>
      <c r="C118" s="292" t="s">
        <v>963</v>
      </c>
      <c r="D118" s="293">
        <f>SUMIFS(Пр.13!G$10:G$1305,Пр.13!$D$10:$D$1305,C118)</f>
        <v>0</v>
      </c>
      <c r="E118" s="294">
        <f>SUMIFS(Пр.13!H$10:H$1305,Пр.13!$D$10:$D$1305,C118)</f>
        <v>0</v>
      </c>
      <c r="F118" s="251">
        <f>SUMIFS(Пр.13!I$10:I$1305,Пр.13!$D$10:$D$1305,C118)</f>
        <v>0</v>
      </c>
      <c r="G118" s="251">
        <f>SUMIFS(Пр.13!J$10:J$1305,Пр.13!$D$10:$D$1305,C118)</f>
        <v>0</v>
      </c>
      <c r="H118" s="251">
        <f>SUMIFS(Пр.13!K$10:K$1305,Пр.13!$D$10:$D$1305,C118)</f>
        <v>0</v>
      </c>
      <c r="I118" s="251">
        <f>SUMIFS(Пр.13!L$10:L$1305,Пр.13!$D$10:$D$1305,C118)</f>
        <v>0</v>
      </c>
    </row>
    <row r="119" spans="2:9" ht="32.25" hidden="1" thickBot="1" x14ac:dyDescent="0.3">
      <c r="B119" s="257" t="str">
        <f>IF(C119&gt;0,VLOOKUP(C119,Программа!A$2:B$5100,2))</f>
        <v>Обеспечение мероприятий по замене приборов учета в муниципальном жилищном фонде</v>
      </c>
      <c r="C119" s="289" t="s">
        <v>965</v>
      </c>
      <c r="D119" s="290">
        <f>SUMIFS(Пр.13!G$10:G$1305,Пр.13!$D$10:$D$1305,C119)</f>
        <v>0</v>
      </c>
      <c r="E119" s="291">
        <f>SUMIFS(Пр.13!H$10:H$1305,Пр.13!$D$10:$D$1305,C119)</f>
        <v>0</v>
      </c>
      <c r="F119" s="251">
        <f>SUMIFS(Пр.13!I$10:I$1305,Пр.13!$D$10:$D$1305,C119)</f>
        <v>0</v>
      </c>
      <c r="G119" s="251">
        <f>SUMIFS(Пр.13!J$10:J$1305,Пр.13!$D$10:$D$1305,C119)</f>
        <v>0</v>
      </c>
      <c r="H119" s="251">
        <f>SUMIFS(Пр.13!K$10:K$1305,Пр.13!$D$10:$D$1305,C119)</f>
        <v>0</v>
      </c>
      <c r="I119" s="251">
        <f>SUMIFS(Пр.13!L$10:L$1305,Пр.13!$D$10:$D$1305,C119)</f>
        <v>0</v>
      </c>
    </row>
    <row r="120" spans="2:9" ht="32.25" hidden="1" thickBot="1" x14ac:dyDescent="0.3">
      <c r="B120" s="257" t="str">
        <f>IF(C120&gt;0,VLOOKUP(C120,Программа!A$2:B$5100,2))</f>
        <v>Обеспечение мероприятий по ремонту общедомового имущества</v>
      </c>
      <c r="C120" s="289" t="s">
        <v>968</v>
      </c>
      <c r="D120" s="290">
        <f>SUMIFS(Пр.13!G$10:G$1305,Пр.13!$D$10:$D$1305,C120)</f>
        <v>0</v>
      </c>
      <c r="E120" s="291">
        <f>SUMIFS(Пр.13!H$10:H$1305,Пр.13!$D$10:$D$1305,C120)</f>
        <v>0</v>
      </c>
      <c r="F120" s="251">
        <f>SUMIFS(Пр.13!I$10:I$1305,Пр.13!$D$10:$D$1305,C120)</f>
        <v>0</v>
      </c>
      <c r="G120" s="251">
        <f>SUMIFS(Пр.13!J$10:J$1305,Пр.13!$D$10:$D$1305,C120)</f>
        <v>0</v>
      </c>
      <c r="H120" s="251">
        <f>SUMIFS(Пр.13!K$10:K$1305,Пр.13!$D$10:$D$1305,C120)</f>
        <v>0</v>
      </c>
      <c r="I120" s="251">
        <f>SUMIFS(Пр.13!L$10:L$1305,Пр.13!$D$10:$D$1305,C120)</f>
        <v>0</v>
      </c>
    </row>
    <row r="121" spans="2:9" ht="32.25" hidden="1" thickBot="1" x14ac:dyDescent="0.3">
      <c r="B121" s="267" t="str">
        <f>IF(C121&gt;0,VLOOKUP(C121,Программа!A$2:B$5100,2))</f>
        <v>Обеспечение мероприятий по ремонту муниципальных квартир</v>
      </c>
      <c r="C121" s="295" t="s">
        <v>969</v>
      </c>
      <c r="D121" s="281">
        <f>SUMIFS(Пр.13!G$10:G$1305,Пр.13!$D$10:$D$1305,C121)</f>
        <v>0</v>
      </c>
      <c r="E121" s="282">
        <f>SUMIFS(Пр.13!H$10:H$1305,Пр.13!$D$10:$D$1305,C121)</f>
        <v>0</v>
      </c>
      <c r="F121" s="251">
        <f>SUMIFS(Пр.13!I$10:I$1305,Пр.13!$D$10:$D$1305,C121)</f>
        <v>0</v>
      </c>
      <c r="G121" s="251">
        <f>SUMIFS(Пр.13!J$10:J$1305,Пр.13!$D$10:$D$1305,C121)</f>
        <v>0</v>
      </c>
      <c r="H121" s="251">
        <f>SUMIFS(Пр.13!K$10:K$1305,Пр.13!$D$10:$D$1305,C121)</f>
        <v>0</v>
      </c>
      <c r="I121" s="251">
        <f>SUMIFS(Пр.13!L$10:L$1305,Пр.13!$D$10:$D$1305,C121)</f>
        <v>0</v>
      </c>
    </row>
    <row r="122" spans="2:9" ht="48" hidden="1" thickBot="1" x14ac:dyDescent="0.3">
      <c r="B122" s="248" t="str">
        <f>IF(C122&gt;0,VLOOKUP(C122,Программа!A$2:B$5100,2))</f>
        <v>Муниципальная программа "Благоустройство  и санитарно-эпидемиологическая безопасность  Тутаевского муниципального района</v>
      </c>
      <c r="C122" s="283" t="s">
        <v>972</v>
      </c>
      <c r="D122" s="284">
        <f>SUMIFS(Пр.13!G$10:G$1305,Пр.13!$D$10:$D$1305,C122)</f>
        <v>0</v>
      </c>
      <c r="E122" s="285">
        <f>SUMIFS(Пр.13!H$10:H$1305,Пр.13!$D$10:$D$1305,C122)</f>
        <v>0</v>
      </c>
      <c r="F122" s="251">
        <f>SUMIFS(Пр.13!I$10:I$1305,Пр.13!$D$10:$D$1305,C122)</f>
        <v>0</v>
      </c>
      <c r="G122" s="251">
        <f>SUMIFS(Пр.13!J$10:J$1305,Пр.13!$D$10:$D$1305,C122)</f>
        <v>0</v>
      </c>
      <c r="H122" s="251">
        <f>SUMIFS(Пр.13!K$10:K$1305,Пр.13!$D$10:$D$1305,C122)</f>
        <v>0</v>
      </c>
      <c r="I122" s="251">
        <f>SUMIFS(Пр.13!L$10:L$1305,Пр.13!$D$10:$D$1305,C122)</f>
        <v>0</v>
      </c>
    </row>
    <row r="123" spans="2:9" ht="48" hidden="1" thickBot="1" x14ac:dyDescent="0.3">
      <c r="B123" s="253" t="str">
        <f>IF(C123&gt;0,VLOOKUP(C123,Программа!A$2:B$5100,2))</f>
        <v>Муниципальная целевая программа "Организация и развитие ритуальных услуг и мест захоронения в Тутаевском муниципальном районе"</v>
      </c>
      <c r="C123" s="286" t="s">
        <v>974</v>
      </c>
      <c r="D123" s="287">
        <f>SUMIFS(Пр.13!G$10:G$1305,Пр.13!$D$10:$D$1305,C123)</f>
        <v>0</v>
      </c>
      <c r="E123" s="288">
        <f>SUMIFS(Пр.13!H$10:H$1305,Пр.13!$D$10:$D$1305,C123)</f>
        <v>0</v>
      </c>
      <c r="F123" s="251">
        <f>SUMIFS(Пр.13!I$10:I$1305,Пр.13!$D$10:$D$1305,C123)</f>
        <v>0</v>
      </c>
      <c r="G123" s="251">
        <f>SUMIFS(Пр.13!J$10:J$1305,Пр.13!$D$10:$D$1305,C123)</f>
        <v>0</v>
      </c>
      <c r="H123" s="251">
        <f>SUMIFS(Пр.13!K$10:K$1305,Пр.13!$D$10:$D$1305,C123)</f>
        <v>0</v>
      </c>
      <c r="I123" s="251">
        <f>SUMIFS(Пр.13!L$10:L$1305,Пр.13!$D$10:$D$1305,C123)</f>
        <v>0</v>
      </c>
    </row>
    <row r="124" spans="2:9" ht="32.25" hidden="1" thickBot="1" x14ac:dyDescent="0.3">
      <c r="B124" s="257" t="str">
        <f>IF(C124&gt;0,VLOOKUP(C124,Программа!A$2:B$5100,2))</f>
        <v>Обеспечение комплекса работ по повышению уровня благоустройства мест погребений</v>
      </c>
      <c r="C124" s="289" t="s">
        <v>976</v>
      </c>
      <c r="D124" s="290">
        <f>SUMIFS(Пр.13!G$10:G$1305,Пр.13!$D$10:$D$1305,C124)</f>
        <v>0</v>
      </c>
      <c r="E124" s="291">
        <f>SUMIFS(Пр.13!H$10:H$1305,Пр.13!$D$10:$D$1305,C124)</f>
        <v>0</v>
      </c>
      <c r="F124" s="251">
        <f>SUMIFS(Пр.13!I$10:I$1305,Пр.13!$D$10:$D$1305,C124)</f>
        <v>0</v>
      </c>
      <c r="G124" s="251">
        <f>SUMIFS(Пр.13!J$10:J$1305,Пр.13!$D$10:$D$1305,C124)</f>
        <v>0</v>
      </c>
      <c r="H124" s="251">
        <f>SUMIFS(Пр.13!K$10:K$1305,Пр.13!$D$10:$D$1305,C124)</f>
        <v>0</v>
      </c>
      <c r="I124" s="251">
        <f>SUMIFS(Пр.13!L$10:L$1305,Пр.13!$D$10:$D$1305,C124)</f>
        <v>0</v>
      </c>
    </row>
    <row r="125" spans="2:9" ht="48" hidden="1" thickBot="1" x14ac:dyDescent="0.3">
      <c r="B125" s="260" t="str">
        <f>IF(C125&gt;0,VLOOKUP(C125,Программа!A$2:B$5100,2))</f>
        <v>Муниципальная целевая программа "Благоустройство и озеленение территории  в Тутаевского муниципального  района"</v>
      </c>
      <c r="C125" s="292" t="s">
        <v>978</v>
      </c>
      <c r="D125" s="293">
        <f>SUMIFS(Пр.13!G$10:G$1305,Пр.13!$D$10:$D$1305,C125)</f>
        <v>0</v>
      </c>
      <c r="E125" s="294">
        <f>SUMIFS(Пр.13!H$10:H$1305,Пр.13!$D$10:$D$1305,C125)</f>
        <v>0</v>
      </c>
      <c r="F125" s="251">
        <f>SUMIFS(Пр.13!I$10:I$1305,Пр.13!$D$10:$D$1305,C125)</f>
        <v>0</v>
      </c>
      <c r="G125" s="251">
        <f>SUMIFS(Пр.13!J$10:J$1305,Пр.13!$D$10:$D$1305,C125)</f>
        <v>0</v>
      </c>
      <c r="H125" s="251">
        <f>SUMIFS(Пр.13!K$10:K$1305,Пр.13!$D$10:$D$1305,C125)</f>
        <v>0</v>
      </c>
      <c r="I125" s="251">
        <f>SUMIFS(Пр.13!L$10:L$1305,Пр.13!$D$10:$D$1305,C125)</f>
        <v>0</v>
      </c>
    </row>
    <row r="126" spans="2:9" ht="48" hidden="1" thickBot="1" x14ac:dyDescent="0.3">
      <c r="B126" s="257" t="str">
        <f>IF(C126&gt;0,VLOOKUP(C126,Программа!A$2:B$5100,2))</f>
        <v>Улучшение уровня внешнего благоустройства и санитарного  состояния территорий Тутаевского муниципального района</v>
      </c>
      <c r="C126" s="289" t="s">
        <v>980</v>
      </c>
      <c r="D126" s="290">
        <f>SUMIFS(Пр.13!G$10:G$1305,Пр.13!$D$10:$D$1305,C126)</f>
        <v>0</v>
      </c>
      <c r="E126" s="291">
        <f>SUMIFS(Пр.13!H$10:H$1305,Пр.13!$D$10:$D$1305,C126)</f>
        <v>0</v>
      </c>
      <c r="F126" s="251">
        <f>SUMIFS(Пр.13!I$10:I$1305,Пр.13!$D$10:$D$1305,C126)</f>
        <v>0</v>
      </c>
      <c r="G126" s="251">
        <f>SUMIFS(Пр.13!J$10:J$1305,Пр.13!$D$10:$D$1305,C126)</f>
        <v>0</v>
      </c>
      <c r="H126" s="251">
        <f>SUMIFS(Пр.13!K$10:K$1305,Пр.13!$D$10:$D$1305,C126)</f>
        <v>0</v>
      </c>
      <c r="I126" s="251">
        <f>SUMIFS(Пр.13!L$10:L$1305,Пр.13!$D$10:$D$1305,C126)</f>
        <v>0</v>
      </c>
    </row>
    <row r="127" spans="2:9" ht="32.25" hidden="1" thickBot="1" x14ac:dyDescent="0.3">
      <c r="B127" s="257" t="str">
        <f>IF(C127&gt;0,VLOOKUP(C127,Программа!A$2:B$5100,2))</f>
        <v xml:space="preserve">Обеспечение мероприятий по совершенствованию  эстетического  состояния территорий </v>
      </c>
      <c r="C127" s="289" t="s">
        <v>982</v>
      </c>
      <c r="D127" s="290">
        <f>SUMIFS(Пр.13!G$10:G$1305,Пр.13!$D$10:$D$1305,C127)</f>
        <v>0</v>
      </c>
      <c r="E127" s="291">
        <f>SUMIFS(Пр.13!H$10:H$1305,Пр.13!$D$10:$D$1305,C127)</f>
        <v>0</v>
      </c>
      <c r="F127" s="251">
        <f>SUMIFS(Пр.13!I$10:I$1305,Пр.13!$D$10:$D$1305,C127)</f>
        <v>0</v>
      </c>
      <c r="G127" s="251">
        <f>SUMIFS(Пр.13!J$10:J$1305,Пр.13!$D$10:$D$1305,C127)</f>
        <v>0</v>
      </c>
      <c r="H127" s="251">
        <f>SUMIFS(Пр.13!K$10:K$1305,Пр.13!$D$10:$D$1305,C127)</f>
        <v>0</v>
      </c>
      <c r="I127" s="251">
        <f>SUMIFS(Пр.13!L$10:L$1305,Пр.13!$D$10:$D$1305,C127)</f>
        <v>0</v>
      </c>
    </row>
    <row r="128" spans="2:9" ht="32.25" hidden="1" thickBot="1" x14ac:dyDescent="0.3">
      <c r="B128" s="267" t="str">
        <f>IF(C128&gt;0,VLOOKUP(C128,Программа!A$2:B$5100,2))</f>
        <v>Обеспечение мероприятий по благоустройству мест массового отдыха населения</v>
      </c>
      <c r="C128" s="295" t="s">
        <v>984</v>
      </c>
      <c r="D128" s="281">
        <f>SUMIFS(Пр.13!G$10:G$1305,Пр.13!$D$10:$D$1305,C128)</f>
        <v>0</v>
      </c>
      <c r="E128" s="282">
        <f>SUMIFS(Пр.13!H$10:H$1305,Пр.13!$D$10:$D$1305,C128)</f>
        <v>0</v>
      </c>
      <c r="F128" s="251">
        <f>SUMIFS(Пр.13!I$10:I$1305,Пр.13!$D$10:$D$1305,C128)</f>
        <v>0</v>
      </c>
      <c r="G128" s="251">
        <f>SUMIFS(Пр.13!J$10:J$1305,Пр.13!$D$10:$D$1305,C128)</f>
        <v>0</v>
      </c>
      <c r="H128" s="251">
        <f>SUMIFS(Пр.13!K$10:K$1305,Пр.13!$D$10:$D$1305,C128)</f>
        <v>0</v>
      </c>
      <c r="I128" s="251">
        <f>SUMIFS(Пр.13!L$10:L$1305,Пр.13!$D$10:$D$1305,C128)</f>
        <v>0</v>
      </c>
    </row>
    <row r="129" spans="2:9" ht="48" hidden="1" thickBot="1" x14ac:dyDescent="0.3">
      <c r="B129" s="248" t="str">
        <f>IF(C129&gt;0,VLOOKUP(C129,Программа!A$2:B$5100,2))</f>
        <v>Муниципальная программа "Обеспечение населения Тутаевского муниципального района банными услугами"</v>
      </c>
      <c r="C129" s="296" t="s">
        <v>986</v>
      </c>
      <c r="D129" s="284">
        <f>SUMIFS(Пр.13!G$10:G$1305,Пр.13!$D$10:$D$1305,C129)</f>
        <v>0</v>
      </c>
      <c r="E129" s="285">
        <f>SUMIFS(Пр.13!H$10:H$1305,Пр.13!$D$10:$D$1305,C129)</f>
        <v>0</v>
      </c>
      <c r="F129" s="251">
        <f>SUMIFS(Пр.13!I$10:I$1305,Пр.13!$D$10:$D$1305,C129)</f>
        <v>0</v>
      </c>
      <c r="G129" s="251">
        <f>SUMIFS(Пр.13!J$10:J$1305,Пр.13!$D$10:$D$1305,C129)</f>
        <v>0</v>
      </c>
      <c r="H129" s="251">
        <f>SUMIFS(Пр.13!K$10:K$1305,Пр.13!$D$10:$D$1305,C129)</f>
        <v>0</v>
      </c>
      <c r="I129" s="251">
        <f>SUMIFS(Пр.13!L$10:L$1305,Пр.13!$D$10:$D$1305,C129)</f>
        <v>0</v>
      </c>
    </row>
    <row r="130" spans="2:9" ht="32.25" hidden="1" thickBot="1" x14ac:dyDescent="0.3">
      <c r="B130" s="272" t="str">
        <f>IF(C130&gt;0,VLOOKUP(C130,Программа!A$2:B$5100,2))</f>
        <v>Обеспечение населения Тутаевского муниципального района банными услугами</v>
      </c>
      <c r="C130" s="297" t="s">
        <v>988</v>
      </c>
      <c r="D130" s="298">
        <f>SUMIFS(Пр.13!G$10:G$1305,Пр.13!$D$10:$D$1305,C130)</f>
        <v>0</v>
      </c>
      <c r="E130" s="299">
        <f>SUMIFS(Пр.13!H$10:H$1305,Пр.13!$D$10:$D$1305,C130)</f>
        <v>0</v>
      </c>
      <c r="F130" s="251">
        <f>SUMIFS(Пр.13!I$10:I$1305,Пр.13!$D$10:$D$1305,C130)</f>
        <v>0</v>
      </c>
      <c r="G130" s="251">
        <f>SUMIFS(Пр.13!J$10:J$1305,Пр.13!$D$10:$D$1305,C130)</f>
        <v>0</v>
      </c>
      <c r="H130" s="251">
        <f>SUMIFS(Пр.13!K$10:K$1305,Пр.13!$D$10:$D$1305,C130)</f>
        <v>0</v>
      </c>
      <c r="I130" s="251">
        <f>SUMIFS(Пр.13!L$10:L$1305,Пр.13!$D$10:$D$1305,C130)</f>
        <v>0</v>
      </c>
    </row>
    <row r="131" spans="2:9" s="207" customFormat="1" ht="48" hidden="1" thickBot="1" x14ac:dyDescent="0.25">
      <c r="B131" s="248" t="str">
        <f>IF(C131&gt;0,VLOOKUP(C131,Программа!A$2:B$5100,2))</f>
        <v>Муниципальная программа "Охрана окружающей среды и рациональное природопользование в Тутаевском муниципальном районе"</v>
      </c>
      <c r="C131" s="528" t="s">
        <v>2911</v>
      </c>
      <c r="D131" s="284">
        <f>SUMIFS(Пр.13!G$10:G$1305,Пр.13!$D$10:$D$1305,C131)</f>
        <v>0</v>
      </c>
      <c r="E131" s="285">
        <f>SUMIFS(Пр.13!H$10:H$1305,Пр.13!$D$10:$D$1305,C131)</f>
        <v>0</v>
      </c>
      <c r="F131" s="251">
        <f>SUMIFS(Пр.13!I$10:I$1305,Пр.13!$D$10:$D$1305,C131)</f>
        <v>0</v>
      </c>
      <c r="G131" s="251">
        <f>SUMIFS(Пр.13!J$10:J$1305,Пр.13!$D$10:$D$1305,C131)</f>
        <v>0</v>
      </c>
      <c r="H131" s="251">
        <f>SUMIFS(Пр.13!K$10:K$1305,Пр.13!$D$10:$D$1305,C131)</f>
        <v>0</v>
      </c>
      <c r="I131" s="251">
        <f>SUMIFS(Пр.13!L$10:L$1305,Пр.13!$D$10:$D$1305,C131)</f>
        <v>0</v>
      </c>
    </row>
    <row r="132" spans="2:9" ht="32.25" hidden="1" thickBot="1" x14ac:dyDescent="0.25">
      <c r="B132" s="529" t="str">
        <f>IF(C132&gt;0,VLOOKUP(C132,Программа!A$2:B$5100,2))</f>
        <v>Развитие водохозяйственного комплекса Тутаевского муниципального района</v>
      </c>
      <c r="C132" s="530" t="s">
        <v>2912</v>
      </c>
      <c r="D132" s="298">
        <f>SUMIFS(Пр.13!G$10:G$1305,Пр.13!$D$10:$D$1305,C132)</f>
        <v>0</v>
      </c>
      <c r="E132" s="298">
        <f>SUMIFS(Пр.13!H$10:H$1305,Пр.13!$D$10:$D$1305,D132)</f>
        <v>0</v>
      </c>
      <c r="F132" s="251">
        <f>SUMIFS(Пр.13!I$10:I$1305,Пр.13!$D$10:$D$1305,C132)</f>
        <v>0</v>
      </c>
      <c r="G132" s="251">
        <f>SUMIFS(Пр.13!J$10:J$1305,Пр.13!$D$10:$D$1305,C132)</f>
        <v>0</v>
      </c>
      <c r="H132" s="251">
        <f>SUMIFS(Пр.13!K$10:K$1305,Пр.13!$D$10:$D$1305,C132)</f>
        <v>0</v>
      </c>
      <c r="I132" s="251">
        <f>SUMIFS(Пр.13!L$10:L$1305,Пр.13!$D$10:$D$1305,C132)</f>
        <v>0</v>
      </c>
    </row>
    <row r="133" spans="2:9" s="207" customFormat="1" ht="48" hidden="1" thickBot="1" x14ac:dyDescent="0.25">
      <c r="B133" s="248" t="str">
        <f>IF(C133&gt;0,VLOOKUP(C133,Программа!A$2:B$5100,2))</f>
        <v>Муниципальная программа "Обеспечение муниципальных закупок в Тутаевском муниципальном районе"</v>
      </c>
      <c r="C133" s="528" t="s">
        <v>2927</v>
      </c>
      <c r="D133" s="284">
        <f>SUMIFS(Пр.13!G$10:G$1305,Пр.13!$D$10:$D$1305,C133)</f>
        <v>0</v>
      </c>
      <c r="E133" s="285">
        <f>SUMIFS(Пр.13!H$10:H$1305,Пр.13!$D$10:$D$1305,C133)</f>
        <v>0</v>
      </c>
      <c r="F133" s="251">
        <f>SUMIFS(Пр.13!I$10:I$1305,Пр.13!$D$10:$D$1305,C133)</f>
        <v>0</v>
      </c>
      <c r="G133" s="251">
        <f>SUMIFS(Пр.13!J$10:J$1305,Пр.13!$D$10:$D$1305,C133)</f>
        <v>0</v>
      </c>
      <c r="H133" s="251">
        <f>SUMIFS(Пр.13!K$10:K$1305,Пр.13!$D$10:$D$1305,C133)</f>
        <v>0</v>
      </c>
      <c r="I133" s="251">
        <f>SUMIFS(Пр.13!L$10:L$1305,Пр.13!$D$10:$D$1305,C133)</f>
        <v>0</v>
      </c>
    </row>
    <row r="134" spans="2:9" ht="48" hidden="1" thickBot="1" x14ac:dyDescent="0.25">
      <c r="B134" s="525" t="str">
        <f>IF(C134&gt;0,VLOOKUP(C134,Программа!A$2:B$5100,2))</f>
        <v>Организация системы подготовки, планирования, информационного сопровождения и осуществления муниципальных закупок</v>
      </c>
      <c r="C134" s="527" t="s">
        <v>2929</v>
      </c>
      <c r="D134" s="298">
        <f>SUMIFS(Пр.13!G$10:G$1305,Пр.13!$D$10:$D$1305,C134)</f>
        <v>0</v>
      </c>
      <c r="E134" s="259">
        <f>SUMIFS(Пр.13!H$10:H$1305,Пр.13!$D$10:$D$1305,C134)</f>
        <v>0</v>
      </c>
      <c r="F134" s="251">
        <f>SUMIFS(Пр.13!I$10:I$1305,Пр.13!$D$10:$D$1305,C134)</f>
        <v>0</v>
      </c>
      <c r="G134" s="251">
        <f>SUMIFS(Пр.13!J$10:J$1305,Пр.13!$D$10:$D$1305,C134)</f>
        <v>0</v>
      </c>
      <c r="H134" s="251">
        <f>SUMIFS(Пр.13!K$10:K$1305,Пр.13!$D$10:$D$1305,C134)</f>
        <v>0</v>
      </c>
      <c r="I134" s="251">
        <f>SUMIFS(Пр.13!L$10:L$1305,Пр.13!$D$10:$D$1305,C134)</f>
        <v>0</v>
      </c>
    </row>
    <row r="135" spans="2:9" ht="79.5" hidden="1" thickBot="1" x14ac:dyDescent="0.25">
      <c r="B135" s="524" t="str">
        <f>IF(C135&gt;0,VLOOKUP(C135,Программа!A$2:B$5100,2))</f>
        <v>Повышение профессионального уровня специалистов, занятых в цикле размещения муниципальных закупок и совершенствование профессионализма специалистов в сфере закупок и стимулирование повышения их квалификации</v>
      </c>
      <c r="C135" s="220" t="s">
        <v>2931</v>
      </c>
      <c r="D135" s="532">
        <f>SUMIFS(Пр.13!G$10:G$1305,Пр.13!$D$10:$D$1305,C135)</f>
        <v>0</v>
      </c>
      <c r="E135" s="259">
        <f>SUMIFS(Пр.13!H$10:H$1305,Пр.13!$D$10:$D$1305,C135)</f>
        <v>0</v>
      </c>
      <c r="F135" s="251">
        <f>SUMIFS(Пр.13!I$10:I$1305,Пр.13!$D$10:$D$1305,C135)</f>
        <v>0</v>
      </c>
      <c r="G135" s="251">
        <f>SUMIFS(Пр.13!J$10:J$1305,Пр.13!$D$10:$D$1305,C135)</f>
        <v>0</v>
      </c>
      <c r="H135" s="251">
        <f>SUMIFS(Пр.13!K$10:K$1305,Пр.13!$D$10:$D$1305,C135)</f>
        <v>0</v>
      </c>
      <c r="I135" s="251">
        <f>SUMIFS(Пр.13!L$10:L$1305,Пр.13!$D$10:$D$1305,C135)</f>
        <v>0</v>
      </c>
    </row>
    <row r="136" spans="2:9" s="207" customFormat="1" ht="48" hidden="1" thickBot="1" x14ac:dyDescent="0.25">
      <c r="B136" s="248" t="str">
        <f>IF(C136&gt;0,VLOOKUP(C136,Программа!A$2:B$5100,2))</f>
        <v>Ведомственная целевая программа департамента финансов администрации Тутаевского муниципального района</v>
      </c>
      <c r="C136" s="526" t="s">
        <v>2933</v>
      </c>
      <c r="D136" s="284">
        <f>SUMIFS(Пр.13!G$10:G$1305,Пр.13!$D$10:$D$1305,C136)</f>
        <v>0</v>
      </c>
      <c r="E136" s="285">
        <f>SUMIFS(Пр.13!H$10:H$1305,Пр.13!$D$10:$D$1305,C136)</f>
        <v>0</v>
      </c>
      <c r="F136" s="251">
        <f>SUMIFS(Пр.13!I$10:I$1305,Пр.13!$D$10:$D$1305,C136)</f>
        <v>0</v>
      </c>
      <c r="G136" s="251">
        <f>SUMIFS(Пр.13!J$10:J$1305,Пр.13!$D$10:$D$1305,C136)</f>
        <v>0</v>
      </c>
      <c r="H136" s="251">
        <f>SUMIFS(Пр.13!K$10:K$1305,Пр.13!$D$10:$D$1305,C136)</f>
        <v>0</v>
      </c>
      <c r="I136" s="251">
        <f>SUMIFS(Пр.13!L$10:L$1305,Пр.13!$D$10:$D$1305,C136)</f>
        <v>0</v>
      </c>
    </row>
    <row r="137" spans="2:9" ht="32.25" hidden="1" thickBot="1" x14ac:dyDescent="0.25">
      <c r="B137" s="529" t="str">
        <f>IF(C137&gt;0,VLOOKUP(C137,Программа!A$2:B$5100,2))</f>
        <v>Обеспечение условий для исполнения функций финансового органа</v>
      </c>
      <c r="C137" s="531" t="s">
        <v>2934</v>
      </c>
      <c r="D137" s="298">
        <f>SUMIFS(Пр.13!G$10:G$1305,Пр.13!$D$10:$D$1305,C137)</f>
        <v>0</v>
      </c>
      <c r="E137" s="259">
        <f>SUMIFS(Пр.13!H$10:H$1305,Пр.13!$D$10:$D$1305,C137)</f>
        <v>0</v>
      </c>
      <c r="F137" s="622">
        <f>SUMIFS(Пр.13!I$10:I$1305,Пр.13!$D$10:$D$1305,C137)</f>
        <v>0</v>
      </c>
      <c r="G137" s="622">
        <f>SUMIFS(Пр.13!J$10:J$1305,Пр.13!$D$10:$D$1305,C137)</f>
        <v>0</v>
      </c>
      <c r="H137" s="622">
        <f>SUMIFS(Пр.13!K$10:K$1305,Пр.13!$D$10:$D$1305,C137)</f>
        <v>0</v>
      </c>
      <c r="I137" s="622">
        <f>SUMIFS(Пр.13!L$10:L$1305,Пр.13!$D$10:$D$1305,C137)</f>
        <v>0</v>
      </c>
    </row>
    <row r="138" spans="2:9" s="207" customFormat="1" ht="16.5" thickBot="1" x14ac:dyDescent="0.25">
      <c r="B138" s="248" t="s">
        <v>177</v>
      </c>
      <c r="C138" s="300"/>
      <c r="D138" s="284">
        <f t="shared" ref="D138:I138" si="0">D129+D122+D115+D111+D109+D106+D103+D101+D94+D84+D75+D70+D68+D54+D52+D44+D25+D10+D131+D133+D136</f>
        <v>1423766696</v>
      </c>
      <c r="E138" s="284">
        <f t="shared" si="0"/>
        <v>0</v>
      </c>
      <c r="F138" s="284">
        <f t="shared" si="0"/>
        <v>1423766696</v>
      </c>
      <c r="G138" s="284">
        <f t="shared" si="0"/>
        <v>1236386302</v>
      </c>
      <c r="H138" s="284">
        <f t="shared" si="0"/>
        <v>0</v>
      </c>
      <c r="I138" s="284">
        <f t="shared" si="0"/>
        <v>1236386302</v>
      </c>
    </row>
    <row r="139" spans="2:9" ht="16.5" thickBot="1" x14ac:dyDescent="0.25">
      <c r="B139" s="248" t="str">
        <f>IF(C139&gt;0,VLOOKUP(C139,Программа!A$2:B$5100,2))</f>
        <v>Непрограммные расходы бюджета</v>
      </c>
      <c r="C139" s="300" t="s">
        <v>624</v>
      </c>
      <c r="D139" s="284">
        <f>SUMIFS(Пр.13!G$10:G$1305,Пр.13!$D$10:$D$1305,C139)</f>
        <v>104504462</v>
      </c>
      <c r="E139" s="285">
        <f>SUMIFS(Пр.13!H$10:H$1305,Пр.13!$D$10:$D$1305,C139)</f>
        <v>0</v>
      </c>
      <c r="F139" s="251">
        <f>SUMIFS(Пр.13!I$10:I$1305,Пр.13!$D$10:$D$1305,C139)</f>
        <v>104504462</v>
      </c>
      <c r="G139" s="251">
        <f>SUMIFS(Пр.13!J$10:J$1305,Пр.13!$D$10:$D$1305,C139)</f>
        <v>90365217</v>
      </c>
      <c r="H139" s="251">
        <f>SUMIFS(Пр.13!K$10:K$1305,Пр.13!$D$10:$D$1305,C139)</f>
        <v>0</v>
      </c>
      <c r="I139" s="251">
        <f>SUMIFS(Пр.13!L$10:L$1305,Пр.13!$D$10:$D$1305,C139)</f>
        <v>90365217</v>
      </c>
    </row>
    <row r="140" spans="2:9" ht="16.5" thickBot="1" x14ac:dyDescent="0.25">
      <c r="B140" s="248" t="str">
        <f>IF(C140&gt;0,VLOOKUP(C140,Программа!A$2:B$5100,2))</f>
        <v>Межбюджетные трансферты  поселениям района</v>
      </c>
      <c r="C140" s="300" t="s">
        <v>799</v>
      </c>
      <c r="D140" s="284">
        <f>SUMIFS(Пр.13!G$10:G$1305,Пр.13!$D$10:$D$1305,C140)</f>
        <v>9280678</v>
      </c>
      <c r="E140" s="285">
        <f>SUMIFS(Пр.13!H$10:H$1305,Пр.13!$D$10:$D$1305,C140)</f>
        <v>0</v>
      </c>
      <c r="F140" s="251">
        <f>SUMIFS(Пр.13!I$10:I$1305,Пр.13!$D$10:$D$1305,C140)</f>
        <v>9280678</v>
      </c>
      <c r="G140" s="251">
        <f>SUMIFS(Пр.13!J$10:J$1305,Пр.13!$D$10:$D$1305,C140)</f>
        <v>774994</v>
      </c>
      <c r="H140" s="251">
        <f>SUMIFS(Пр.13!K$10:K$1305,Пр.13!$D$10:$D$1305,C140)</f>
        <v>0</v>
      </c>
      <c r="I140" s="251">
        <f>SUMIFS(Пр.13!L$10:L$1305,Пр.13!$D$10:$D$1305,C140)</f>
        <v>774994</v>
      </c>
    </row>
    <row r="141" spans="2:9" ht="16.5" thickBot="1" x14ac:dyDescent="0.3">
      <c r="B141" s="301" t="s">
        <v>991</v>
      </c>
      <c r="C141" s="302"/>
      <c r="D141" s="303">
        <f t="shared" ref="D141:I141" si="1">D138+D139+D140</f>
        <v>1537551836</v>
      </c>
      <c r="E141" s="303">
        <f t="shared" si="1"/>
        <v>0</v>
      </c>
      <c r="F141" s="303">
        <f t="shared" si="1"/>
        <v>1537551836</v>
      </c>
      <c r="G141" s="303">
        <f t="shared" si="1"/>
        <v>1327526513</v>
      </c>
      <c r="H141" s="303">
        <f t="shared" si="1"/>
        <v>0</v>
      </c>
      <c r="I141" s="303">
        <f t="shared" si="1"/>
        <v>1327526513</v>
      </c>
    </row>
  </sheetData>
  <mergeCells count="15">
    <mergeCell ref="D8:D9"/>
    <mergeCell ref="E8:E9"/>
    <mergeCell ref="A8:A9"/>
    <mergeCell ref="B8:B9"/>
    <mergeCell ref="C8:C9"/>
    <mergeCell ref="B1:I1"/>
    <mergeCell ref="B2:I2"/>
    <mergeCell ref="B3:I3"/>
    <mergeCell ref="B4:I4"/>
    <mergeCell ref="B6:I6"/>
    <mergeCell ref="F8:F9"/>
    <mergeCell ref="G8:G9"/>
    <mergeCell ref="H8:H9"/>
    <mergeCell ref="I8:I9"/>
    <mergeCell ref="E7:I7"/>
  </mergeCells>
  <printOptions gridLinesSet="0"/>
  <pageMargins left="0.70866141732283472" right="0.70866141732283472" top="0.74803149606299213" bottom="0.74803149606299213" header="0.51181102362204722" footer="0.51181102362204722"/>
  <pageSetup paperSize="9" scale="52" fitToHeight="0" orientation="portrait" r:id="rId1"/>
  <headerFooter>
    <oddFooter>&amp;C&amp;P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26"/>
  <sheetViews>
    <sheetView showGridLines="0" view="pageBreakPreview" zoomScaleSheetLayoutView="100" workbookViewId="0">
      <selection activeCell="A4" sqref="A4:E4"/>
    </sheetView>
  </sheetViews>
  <sheetFormatPr defaultRowHeight="12.75" x14ac:dyDescent="0.2"/>
  <cols>
    <col min="1" max="1" width="28.5703125" customWidth="1"/>
    <col min="2" max="2" width="41.140625" customWidth="1"/>
    <col min="3" max="3" width="16.5703125" hidden="1" customWidth="1"/>
    <col min="4" max="4" width="14.85546875" customWidth="1"/>
    <col min="5" max="5" width="17" hidden="1" customWidth="1"/>
    <col min="6" max="6" width="43.42578125" customWidth="1"/>
  </cols>
  <sheetData>
    <row r="1" spans="1:5" ht="15.75" x14ac:dyDescent="0.25">
      <c r="A1" s="890" t="s">
        <v>189</v>
      </c>
      <c r="B1" s="890"/>
      <c r="C1" s="890"/>
      <c r="D1" s="890"/>
      <c r="E1" s="890"/>
    </row>
    <row r="2" spans="1:5" ht="15.75" x14ac:dyDescent="0.25">
      <c r="A2" s="890" t="s">
        <v>1</v>
      </c>
      <c r="B2" s="890"/>
      <c r="C2" s="890"/>
      <c r="D2" s="890"/>
      <c r="E2" s="890"/>
    </row>
    <row r="3" spans="1:5" ht="15.75" x14ac:dyDescent="0.25">
      <c r="A3" s="890" t="s">
        <v>2</v>
      </c>
      <c r="B3" s="890"/>
      <c r="C3" s="890"/>
      <c r="D3" s="890"/>
      <c r="E3" s="890"/>
    </row>
    <row r="4" spans="1:5" ht="15.75" x14ac:dyDescent="0.25">
      <c r="A4" s="890" t="s">
        <v>3501</v>
      </c>
      <c r="B4" s="890"/>
      <c r="C4" s="890"/>
      <c r="D4" s="890"/>
      <c r="E4" s="890"/>
    </row>
    <row r="6" spans="1:5" ht="15.75" x14ac:dyDescent="0.25">
      <c r="A6" s="70"/>
      <c r="B6" s="1"/>
    </row>
    <row r="7" spans="1:5" ht="33" customHeight="1" x14ac:dyDescent="0.2">
      <c r="A7" s="891" t="s">
        <v>3464</v>
      </c>
      <c r="B7" s="891"/>
      <c r="C7" s="891"/>
      <c r="D7" s="891"/>
      <c r="E7" s="891"/>
    </row>
    <row r="8" spans="1:5" ht="19.5" thickBot="1" x14ac:dyDescent="0.25">
      <c r="A8" s="8"/>
      <c r="B8" s="1"/>
    </row>
    <row r="9" spans="1:5" ht="32.25" thickBot="1" x14ac:dyDescent="0.25">
      <c r="A9" s="54" t="s">
        <v>190</v>
      </c>
      <c r="B9" s="54" t="s">
        <v>191</v>
      </c>
      <c r="C9" s="54" t="s">
        <v>192</v>
      </c>
      <c r="D9" s="54" t="s">
        <v>192</v>
      </c>
      <c r="E9" s="54" t="s">
        <v>3480</v>
      </c>
    </row>
    <row r="10" spans="1:5" ht="32.25" hidden="1" thickBot="1" x14ac:dyDescent="0.25">
      <c r="A10" s="72" t="s">
        <v>307</v>
      </c>
      <c r="B10" s="57" t="s">
        <v>308</v>
      </c>
      <c r="C10" s="73">
        <f>C11+C13</f>
        <v>14279000</v>
      </c>
      <c r="D10" s="73">
        <f>D11+D13</f>
        <v>0</v>
      </c>
      <c r="E10" s="73">
        <f>SUM(C10:D10)</f>
        <v>14279000</v>
      </c>
    </row>
    <row r="11" spans="1:5" ht="48" hidden="1" thickBot="1" x14ac:dyDescent="0.25">
      <c r="A11" s="74" t="s">
        <v>309</v>
      </c>
      <c r="B11" s="60" t="s">
        <v>310</v>
      </c>
      <c r="C11" s="75">
        <f>C12</f>
        <v>14279000</v>
      </c>
      <c r="D11" s="75">
        <f>D12</f>
        <v>0</v>
      </c>
      <c r="E11" s="75">
        <f>SUM(C11:D11)</f>
        <v>14279000</v>
      </c>
    </row>
    <row r="12" spans="1:5" ht="63.75" hidden="1" thickBot="1" x14ac:dyDescent="0.25">
      <c r="A12" s="74" t="s">
        <v>311</v>
      </c>
      <c r="B12" s="60" t="s">
        <v>312</v>
      </c>
      <c r="C12" s="75">
        <v>14279000</v>
      </c>
      <c r="D12" s="75"/>
      <c r="E12" s="861">
        <f t="shared" ref="E12:E25" si="0">SUM(C12:D12)</f>
        <v>14279000</v>
      </c>
    </row>
    <row r="13" spans="1:5" ht="48" hidden="1" thickBot="1" x14ac:dyDescent="0.25">
      <c r="A13" s="74" t="s">
        <v>313</v>
      </c>
      <c r="B13" s="60" t="s">
        <v>314</v>
      </c>
      <c r="C13" s="75">
        <f>C14</f>
        <v>0</v>
      </c>
      <c r="D13" s="75">
        <f>D14</f>
        <v>0</v>
      </c>
      <c r="E13" s="75">
        <f t="shared" si="0"/>
        <v>0</v>
      </c>
    </row>
    <row r="14" spans="1:5" ht="63.75" hidden="1" thickBot="1" x14ac:dyDescent="0.25">
      <c r="A14" s="74" t="s">
        <v>315</v>
      </c>
      <c r="B14" s="60" t="s">
        <v>316</v>
      </c>
      <c r="C14" s="75">
        <v>0</v>
      </c>
      <c r="D14" s="75"/>
      <c r="E14" s="75">
        <f t="shared" si="0"/>
        <v>0</v>
      </c>
    </row>
    <row r="15" spans="1:5" ht="48" thickBot="1" x14ac:dyDescent="0.25">
      <c r="A15" s="72" t="s">
        <v>317</v>
      </c>
      <c r="B15" s="57" t="s">
        <v>318</v>
      </c>
      <c r="C15" s="73">
        <f>-C18+C16</f>
        <v>-14279000</v>
      </c>
      <c r="D15" s="73">
        <f>-D18+D16</f>
        <v>-14279000</v>
      </c>
      <c r="E15" s="73">
        <f t="shared" si="0"/>
        <v>-28558000</v>
      </c>
    </row>
    <row r="16" spans="1:5" ht="79.5" hidden="1" thickBot="1" x14ac:dyDescent="0.25">
      <c r="A16" s="76" t="s">
        <v>319</v>
      </c>
      <c r="B16" s="60" t="s">
        <v>320</v>
      </c>
      <c r="C16" s="75">
        <f>C17</f>
        <v>0</v>
      </c>
      <c r="D16" s="75">
        <f>D17</f>
        <v>0</v>
      </c>
      <c r="E16" s="75">
        <f t="shared" si="0"/>
        <v>0</v>
      </c>
    </row>
    <row r="17" spans="1:5" ht="79.5" hidden="1" thickBot="1" x14ac:dyDescent="0.25">
      <c r="A17" s="76" t="s">
        <v>321</v>
      </c>
      <c r="B17" s="60" t="s">
        <v>322</v>
      </c>
      <c r="C17" s="75">
        <v>0</v>
      </c>
      <c r="D17" s="75"/>
      <c r="E17" s="75">
        <f t="shared" si="0"/>
        <v>0</v>
      </c>
    </row>
    <row r="18" spans="1:5" ht="79.5" thickBot="1" x14ac:dyDescent="0.25">
      <c r="A18" s="74" t="s">
        <v>323</v>
      </c>
      <c r="B18" s="60" t="s">
        <v>324</v>
      </c>
      <c r="C18" s="75">
        <f>C19</f>
        <v>14279000</v>
      </c>
      <c r="D18" s="75">
        <f>D19</f>
        <v>14279000</v>
      </c>
      <c r="E18" s="75">
        <f t="shared" si="0"/>
        <v>28558000</v>
      </c>
    </row>
    <row r="19" spans="1:5" ht="79.5" thickBot="1" x14ac:dyDescent="0.25">
      <c r="A19" s="74" t="s">
        <v>325</v>
      </c>
      <c r="B19" s="60" t="s">
        <v>326</v>
      </c>
      <c r="C19" s="75">
        <f>14279000</f>
        <v>14279000</v>
      </c>
      <c r="D19" s="75">
        <v>14279000</v>
      </c>
      <c r="E19" s="861">
        <f t="shared" si="0"/>
        <v>28558000</v>
      </c>
    </row>
    <row r="20" spans="1:5" ht="32.25" thickBot="1" x14ac:dyDescent="0.25">
      <c r="A20" s="72" t="s">
        <v>327</v>
      </c>
      <c r="B20" s="57" t="s">
        <v>328</v>
      </c>
      <c r="C20" s="73">
        <f>+C22-C21</f>
        <v>58875999.970000267</v>
      </c>
      <c r="D20" s="73">
        <f>+D22-D21</f>
        <v>55147841</v>
      </c>
      <c r="E20" s="73">
        <f>+E22-E21</f>
        <v>114023840.97000027</v>
      </c>
    </row>
    <row r="21" spans="1:5" ht="48" thickBot="1" x14ac:dyDescent="0.25">
      <c r="A21" s="74" t="s">
        <v>329</v>
      </c>
      <c r="B21" s="60" t="s">
        <v>330</v>
      </c>
      <c r="C21" s="75">
        <f>(Пр1!J169+C12+C25)</f>
        <v>2222560687.8699999</v>
      </c>
      <c r="D21" s="75">
        <v>2208136517</v>
      </c>
      <c r="E21" s="861">
        <f t="shared" si="0"/>
        <v>4430697204.8699999</v>
      </c>
    </row>
    <row r="22" spans="1:5" ht="48" thickBot="1" x14ac:dyDescent="0.25">
      <c r="A22" s="74" t="s">
        <v>331</v>
      </c>
      <c r="B22" s="60" t="s">
        <v>332</v>
      </c>
      <c r="C22" s="75">
        <f>Пр_3!C121+C19</f>
        <v>2281436687.8400002</v>
      </c>
      <c r="D22" s="75">
        <v>2263284358</v>
      </c>
      <c r="E22" s="861">
        <f>SUM(C22:D22)</f>
        <v>4544721045.8400002</v>
      </c>
    </row>
    <row r="23" spans="1:5" ht="48" hidden="1" thickBot="1" x14ac:dyDescent="0.25">
      <c r="A23" s="72" t="s">
        <v>333</v>
      </c>
      <c r="B23" s="57" t="s">
        <v>334</v>
      </c>
      <c r="C23" s="73">
        <f>C24</f>
        <v>0</v>
      </c>
      <c r="D23" s="73">
        <f>D24</f>
        <v>0</v>
      </c>
      <c r="E23" s="75">
        <f t="shared" si="0"/>
        <v>0</v>
      </c>
    </row>
    <row r="24" spans="1:5" ht="48" hidden="1" thickBot="1" x14ac:dyDescent="0.25">
      <c r="A24" s="74" t="s">
        <v>335</v>
      </c>
      <c r="B24" s="60" t="s">
        <v>336</v>
      </c>
      <c r="C24" s="75">
        <f>C25</f>
        <v>0</v>
      </c>
      <c r="D24" s="75">
        <f>D25</f>
        <v>0</v>
      </c>
      <c r="E24" s="75">
        <f t="shared" si="0"/>
        <v>0</v>
      </c>
    </row>
    <row r="25" spans="1:5" ht="63.75" hidden="1" thickBot="1" x14ac:dyDescent="0.25">
      <c r="A25" s="74" t="s">
        <v>337</v>
      </c>
      <c r="B25" s="60" t="s">
        <v>338</v>
      </c>
      <c r="C25" s="75"/>
      <c r="D25" s="75"/>
      <c r="E25" s="75">
        <f t="shared" si="0"/>
        <v>0</v>
      </c>
    </row>
    <row r="26" spans="1:5" ht="16.5" thickBot="1" x14ac:dyDescent="0.25">
      <c r="A26" s="903" t="s">
        <v>339</v>
      </c>
      <c r="B26" s="903"/>
      <c r="C26" s="77">
        <f>C20+C10+C23+C15</f>
        <v>58875999.970000267</v>
      </c>
      <c r="D26" s="77">
        <f>D20+D10+D23+D15</f>
        <v>40868841</v>
      </c>
      <c r="E26" s="73">
        <f>SUM(C26:D26)</f>
        <v>99744840.970000267</v>
      </c>
    </row>
  </sheetData>
  <mergeCells count="6">
    <mergeCell ref="A26:B26"/>
    <mergeCell ref="A1:E1"/>
    <mergeCell ref="A2:E2"/>
    <mergeCell ref="A3:E3"/>
    <mergeCell ref="A4:E4"/>
    <mergeCell ref="A7:E7"/>
  </mergeCells>
  <printOptions gridLinesSet="0"/>
  <pageMargins left="0.70866141732283472" right="0.70866141732283472" top="0.74803149606299213" bottom="0.74803149606299213" header="0.51181102362204722" footer="0.51181102362204722"/>
  <pageSetup paperSize="9" fitToHeight="2" orientation="portrait" r:id="rId1"/>
  <headerFooter>
    <oddFooter>&amp;C&amp;P</oddFooter>
  </headerFooter>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16"/>
  <sheetViews>
    <sheetView showGridLines="0" view="pageBreakPreview" zoomScale="115" zoomScaleSheetLayoutView="115" workbookViewId="0">
      <selection activeCell="B22" sqref="B22"/>
    </sheetView>
  </sheetViews>
  <sheetFormatPr defaultColWidth="9.140625" defaultRowHeight="12.75" x14ac:dyDescent="0.2"/>
  <cols>
    <col min="1" max="1" width="50.42578125" style="122" customWidth="1"/>
    <col min="2" max="2" width="18" style="122" customWidth="1"/>
    <col min="3" max="3" width="14.85546875" style="122" customWidth="1"/>
    <col min="4" max="4" width="0.28515625" style="122" customWidth="1"/>
    <col min="5" max="16384" width="9.140625" style="122"/>
  </cols>
  <sheetData>
    <row r="1" spans="1:4" ht="15.75" x14ac:dyDescent="0.25">
      <c r="A1" s="890" t="s">
        <v>1014</v>
      </c>
      <c r="B1" s="890"/>
      <c r="C1" s="890"/>
      <c r="D1" s="890"/>
    </row>
    <row r="2" spans="1:4" ht="15.75" x14ac:dyDescent="0.25">
      <c r="A2" s="890" t="s">
        <v>1</v>
      </c>
      <c r="B2" s="890"/>
      <c r="C2" s="890"/>
      <c r="D2" s="890"/>
    </row>
    <row r="3" spans="1:4" ht="15.75" x14ac:dyDescent="0.25">
      <c r="A3" s="890" t="s">
        <v>2</v>
      </c>
      <c r="B3" s="890"/>
      <c r="C3" s="890"/>
      <c r="D3" s="890"/>
    </row>
    <row r="4" spans="1:4" ht="15.75" x14ac:dyDescent="0.25">
      <c r="A4" s="890" t="s">
        <v>3089</v>
      </c>
      <c r="B4" s="890"/>
      <c r="C4" s="890"/>
      <c r="D4" s="890"/>
    </row>
    <row r="5" spans="1:4" ht="15.75" x14ac:dyDescent="0.25">
      <c r="A5" s="5"/>
      <c r="B5" s="5"/>
      <c r="C5" s="5"/>
      <c r="D5" s="32"/>
    </row>
    <row r="6" spans="1:4" ht="15.75" x14ac:dyDescent="0.25">
      <c r="A6" s="32"/>
      <c r="B6" s="32"/>
      <c r="C6" s="32"/>
      <c r="D6" s="32"/>
    </row>
    <row r="7" spans="1:4" ht="36.75" customHeight="1" x14ac:dyDescent="0.2">
      <c r="A7" s="891" t="s">
        <v>3088</v>
      </c>
      <c r="B7" s="891"/>
      <c r="C7" s="891"/>
      <c r="D7" s="891"/>
    </row>
    <row r="8" spans="1:4" ht="15.75" x14ac:dyDescent="0.2">
      <c r="A8" s="6"/>
      <c r="B8" s="6"/>
      <c r="C8" s="6"/>
      <c r="D8" s="6"/>
    </row>
    <row r="9" spans="1:4" ht="41.25" customHeight="1" x14ac:dyDescent="0.2">
      <c r="A9" s="1018" t="s">
        <v>1008</v>
      </c>
      <c r="B9" s="1018"/>
      <c r="C9" s="1018"/>
      <c r="D9" s="891"/>
    </row>
    <row r="10" spans="1:4" ht="94.5" x14ac:dyDescent="0.2">
      <c r="A10" s="9" t="s">
        <v>1009</v>
      </c>
      <c r="B10" s="9" t="s">
        <v>1010</v>
      </c>
      <c r="C10" s="9" t="s">
        <v>1011</v>
      </c>
      <c r="D10" s="228"/>
    </row>
    <row r="11" spans="1:4" ht="15.75" x14ac:dyDescent="0.2">
      <c r="A11" s="392" t="s">
        <v>1034</v>
      </c>
      <c r="B11" s="393">
        <v>21894000</v>
      </c>
      <c r="C11" s="394">
        <v>0</v>
      </c>
      <c r="D11" s="228"/>
    </row>
    <row r="12" spans="1:4" ht="15.75" x14ac:dyDescent="0.25">
      <c r="A12" s="229" t="s">
        <v>1012</v>
      </c>
      <c r="B12" s="230">
        <v>3487250</v>
      </c>
      <c r="C12" s="231">
        <v>46250</v>
      </c>
      <c r="D12" s="232"/>
    </row>
    <row r="13" spans="1:4" ht="15.75" x14ac:dyDescent="0.25">
      <c r="A13" s="229" t="s">
        <v>1037</v>
      </c>
      <c r="B13" s="230">
        <v>12440000</v>
      </c>
      <c r="C13" s="231">
        <v>150000</v>
      </c>
      <c r="D13" s="232"/>
    </row>
    <row r="14" spans="1:4" ht="15.75" x14ac:dyDescent="0.25">
      <c r="A14" s="229" t="s">
        <v>1013</v>
      </c>
      <c r="B14" s="230">
        <v>3881750</v>
      </c>
      <c r="C14" s="231">
        <v>103750</v>
      </c>
      <c r="D14" s="232"/>
    </row>
    <row r="15" spans="1:4" ht="15.75" x14ac:dyDescent="0.25">
      <c r="A15" s="233" t="s">
        <v>177</v>
      </c>
      <c r="B15" s="234">
        <f>SUM(B11:B14)</f>
        <v>41703000</v>
      </c>
      <c r="C15" s="234">
        <f>SUM(C11:C14)</f>
        <v>300000</v>
      </c>
      <c r="D15" s="235"/>
    </row>
    <row r="16" spans="1:4" ht="15.75" x14ac:dyDescent="0.25">
      <c r="A16" s="32"/>
      <c r="B16" s="32"/>
      <c r="C16" s="32"/>
      <c r="D16" s="32"/>
    </row>
  </sheetData>
  <mergeCells count="6">
    <mergeCell ref="A9:D9"/>
    <mergeCell ref="A1:D1"/>
    <mergeCell ref="A2:D2"/>
    <mergeCell ref="A3:D3"/>
    <mergeCell ref="A4:D4"/>
    <mergeCell ref="A7:D7"/>
  </mergeCells>
  <printOptions gridLinesSet="0"/>
  <pageMargins left="0.70866141732283472" right="0.70866141732283472" top="0.74803149606299213" bottom="0.74803149606299213" header="0.51181102362204722" footer="0.51181102362204722"/>
  <pageSetup paperSize="9" orientation="portrait" r:id="rId1"/>
  <headerFooter>
    <oddFooter>&amp;C&amp;P</oddFooter>
  </headerFooter>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7"/>
  <sheetViews>
    <sheetView view="pageBreakPreview" zoomScale="115" zoomScaleSheetLayoutView="115" workbookViewId="0">
      <selection activeCell="A4" sqref="A4:D4"/>
    </sheetView>
  </sheetViews>
  <sheetFormatPr defaultColWidth="9.140625" defaultRowHeight="12.75" x14ac:dyDescent="0.2"/>
  <cols>
    <col min="1" max="1" width="50.42578125" style="741" customWidth="1"/>
    <col min="2" max="2" width="18" style="741" customWidth="1"/>
    <col min="3" max="3" width="14.85546875" style="741" customWidth="1"/>
    <col min="4" max="4" width="0.28515625" style="741" customWidth="1"/>
    <col min="5" max="16384" width="9.140625" style="741"/>
  </cols>
  <sheetData>
    <row r="1" spans="1:4" ht="15.75" x14ac:dyDescent="0.25">
      <c r="A1" s="1091" t="s">
        <v>351</v>
      </c>
      <c r="B1" s="1091"/>
      <c r="C1" s="1091"/>
      <c r="D1" s="1091"/>
    </row>
    <row r="2" spans="1:4" ht="15.75" x14ac:dyDescent="0.25">
      <c r="A2" s="1091" t="s">
        <v>1</v>
      </c>
      <c r="B2" s="1091"/>
      <c r="C2" s="1091"/>
      <c r="D2" s="1091"/>
    </row>
    <row r="3" spans="1:4" ht="15.75" x14ac:dyDescent="0.25">
      <c r="A3" s="1091" t="s">
        <v>2</v>
      </c>
      <c r="B3" s="1091"/>
      <c r="C3" s="1091"/>
      <c r="D3" s="1091"/>
    </row>
    <row r="4" spans="1:4" ht="15.75" x14ac:dyDescent="0.25">
      <c r="A4" s="1091" t="s">
        <v>3501</v>
      </c>
      <c r="B4" s="1091"/>
      <c r="C4" s="1091"/>
      <c r="D4" s="1091"/>
    </row>
    <row r="5" spans="1:4" ht="15.75" x14ac:dyDescent="0.25">
      <c r="A5" s="742"/>
      <c r="B5" s="742"/>
      <c r="C5" s="742"/>
      <c r="D5" s="743"/>
    </row>
    <row r="6" spans="1:4" ht="15.75" x14ac:dyDescent="0.25">
      <c r="A6" s="743"/>
      <c r="B6" s="743"/>
      <c r="C6" s="743"/>
      <c r="D6" s="743"/>
    </row>
    <row r="7" spans="1:4" ht="36.75" customHeight="1" x14ac:dyDescent="0.2">
      <c r="A7" s="1090" t="s">
        <v>3473</v>
      </c>
      <c r="B7" s="1090"/>
      <c r="C7" s="1090"/>
      <c r="D7" s="1090"/>
    </row>
    <row r="8" spans="1:4" ht="15.75" x14ac:dyDescent="0.2">
      <c r="A8" s="744"/>
      <c r="B8" s="744"/>
      <c r="C8" s="744"/>
      <c r="D8" s="744"/>
    </row>
    <row r="9" spans="1:4" ht="41.25" customHeight="1" x14ac:dyDescent="0.2">
      <c r="A9" s="1089" t="s">
        <v>1008</v>
      </c>
      <c r="B9" s="1089"/>
      <c r="C9" s="1089"/>
      <c r="D9" s="1090"/>
    </row>
    <row r="10" spans="1:4" ht="94.5" x14ac:dyDescent="0.2">
      <c r="A10" s="745" t="s">
        <v>1009</v>
      </c>
      <c r="B10" s="745" t="s">
        <v>3480</v>
      </c>
      <c r="C10" s="745" t="s">
        <v>1011</v>
      </c>
      <c r="D10" s="746"/>
    </row>
    <row r="11" spans="1:4" ht="15.75" x14ac:dyDescent="0.2">
      <c r="A11" s="747" t="s">
        <v>1034</v>
      </c>
      <c r="B11" s="875">
        <v>21894000</v>
      </c>
      <c r="C11" s="876">
        <v>0</v>
      </c>
      <c r="D11" s="746"/>
    </row>
    <row r="12" spans="1:4" ht="15.75" x14ac:dyDescent="0.25">
      <c r="A12" s="748" t="s">
        <v>1012</v>
      </c>
      <c r="B12" s="874">
        <v>3487250</v>
      </c>
      <c r="C12" s="873">
        <v>46250</v>
      </c>
      <c r="D12" s="749"/>
    </row>
    <row r="13" spans="1:4" ht="15.75" x14ac:dyDescent="0.25">
      <c r="A13" s="748" t="s">
        <v>1037</v>
      </c>
      <c r="B13" s="874">
        <v>12440000</v>
      </c>
      <c r="C13" s="873">
        <v>150000</v>
      </c>
      <c r="D13" s="749"/>
    </row>
    <row r="14" spans="1:4" ht="15.75" x14ac:dyDescent="0.25">
      <c r="A14" s="748" t="s">
        <v>1013</v>
      </c>
      <c r="B14" s="874">
        <v>3881750</v>
      </c>
      <c r="C14" s="873">
        <v>103750</v>
      </c>
      <c r="D14" s="749"/>
    </row>
    <row r="15" spans="1:4" ht="15.75" x14ac:dyDescent="0.25">
      <c r="A15" s="750" t="s">
        <v>177</v>
      </c>
      <c r="B15" s="751">
        <f>SUM(B11:B14)</f>
        <v>41703000</v>
      </c>
      <c r="C15" s="751">
        <f>SUM(C11:C14)</f>
        <v>300000</v>
      </c>
      <c r="D15" s="752"/>
    </row>
    <row r="16" spans="1:4" ht="15.75" x14ac:dyDescent="0.25">
      <c r="A16" s="743"/>
      <c r="B16" s="743"/>
      <c r="C16" s="743"/>
      <c r="D16" s="743"/>
    </row>
    <row r="17" spans="1:4" ht="69" customHeight="1" x14ac:dyDescent="0.2">
      <c r="A17" s="1089" t="s">
        <v>3446</v>
      </c>
      <c r="B17" s="1089"/>
      <c r="C17" s="1089"/>
      <c r="D17" s="1090"/>
    </row>
    <row r="18" spans="1:4" ht="15.75" x14ac:dyDescent="0.2">
      <c r="A18" s="745" t="s">
        <v>1009</v>
      </c>
      <c r="B18" s="1097" t="s">
        <v>3480</v>
      </c>
      <c r="C18" s="1093"/>
      <c r="D18" s="746"/>
    </row>
    <row r="19" spans="1:4" ht="15.75" x14ac:dyDescent="0.25">
      <c r="A19" s="747" t="s">
        <v>1034</v>
      </c>
      <c r="B19" s="1095">
        <v>4021102</v>
      </c>
      <c r="C19" s="1096"/>
      <c r="D19" s="746"/>
    </row>
    <row r="20" spans="1:4" ht="15.75" x14ac:dyDescent="0.25">
      <c r="A20" s="748" t="s">
        <v>1012</v>
      </c>
      <c r="B20" s="1095">
        <v>150000</v>
      </c>
      <c r="C20" s="1096"/>
      <c r="D20" s="749"/>
    </row>
    <row r="21" spans="1:4" ht="15.75" x14ac:dyDescent="0.25">
      <c r="A21" s="748" t="s">
        <v>1047</v>
      </c>
      <c r="B21" s="1095">
        <v>150000</v>
      </c>
      <c r="C21" s="1096"/>
      <c r="D21" s="749"/>
    </row>
    <row r="22" spans="1:4" ht="15.75" x14ac:dyDescent="0.25">
      <c r="A22" s="748" t="s">
        <v>1037</v>
      </c>
      <c r="B22" s="1095">
        <v>99990</v>
      </c>
      <c r="C22" s="1096"/>
      <c r="D22" s="749"/>
    </row>
    <row r="23" spans="1:4" ht="15.75" x14ac:dyDescent="0.25">
      <c r="A23" s="748" t="s">
        <v>1013</v>
      </c>
      <c r="B23" s="1095">
        <v>99906</v>
      </c>
      <c r="C23" s="1096"/>
      <c r="D23" s="749"/>
    </row>
    <row r="24" spans="1:4" ht="15.75" x14ac:dyDescent="0.25">
      <c r="A24" s="750" t="s">
        <v>177</v>
      </c>
      <c r="B24" s="1094">
        <f>SUM(B19:C23)</f>
        <v>4520998</v>
      </c>
      <c r="C24" s="1093"/>
      <c r="D24" s="752"/>
    </row>
    <row r="25" spans="1:4" ht="12.75" hidden="1" customHeight="1" x14ac:dyDescent="0.2">
      <c r="A25" s="753"/>
      <c r="B25" s="753"/>
      <c r="C25" s="753"/>
    </row>
    <row r="26" spans="1:4" ht="12.75" hidden="1" customHeight="1" x14ac:dyDescent="0.2">
      <c r="A26" s="753"/>
      <c r="B26" s="753"/>
      <c r="C26" s="753"/>
    </row>
    <row r="27" spans="1:4" ht="15.75" x14ac:dyDescent="0.25">
      <c r="A27" s="754" t="s">
        <v>991</v>
      </c>
      <c r="B27" s="1092">
        <f>B15+B24</f>
        <v>46223998</v>
      </c>
      <c r="C27" s="1093"/>
    </row>
  </sheetData>
  <mergeCells count="15">
    <mergeCell ref="B27:C27"/>
    <mergeCell ref="B24:C24"/>
    <mergeCell ref="B21:C21"/>
    <mergeCell ref="A17:D17"/>
    <mergeCell ref="B18:C18"/>
    <mergeCell ref="B19:C19"/>
    <mergeCell ref="B20:C20"/>
    <mergeCell ref="B22:C22"/>
    <mergeCell ref="B23:C23"/>
    <mergeCell ref="A9:D9"/>
    <mergeCell ref="A1:D1"/>
    <mergeCell ref="A2:D2"/>
    <mergeCell ref="A3:D3"/>
    <mergeCell ref="A4:D4"/>
    <mergeCell ref="A7:D7"/>
  </mergeCells>
  <pageMargins left="0.7" right="0.7" top="0.75" bottom="0.75" header="0.3" footer="0.3"/>
  <pageSetup paperSize="9" orientation="portrait"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55"/>
  <sheetViews>
    <sheetView view="pageBreakPreview" zoomScale="145" zoomScaleSheetLayoutView="145" workbookViewId="0">
      <selection activeCell="B4" sqref="B4:E4"/>
    </sheetView>
  </sheetViews>
  <sheetFormatPr defaultColWidth="9.140625" defaultRowHeight="12.75" x14ac:dyDescent="0.2"/>
  <cols>
    <col min="1" max="1" width="4.140625" style="380" customWidth="1"/>
    <col min="2" max="2" width="41.140625" style="380" customWidth="1"/>
    <col min="3" max="3" width="12.85546875" style="380" hidden="1" customWidth="1"/>
    <col min="4" max="4" width="11.28515625" style="380" hidden="1" customWidth="1"/>
    <col min="5" max="5" width="22.28515625" style="380" customWidth="1"/>
    <col min="6" max="16384" width="9.140625" style="380"/>
  </cols>
  <sheetData>
    <row r="1" spans="1:5" x14ac:dyDescent="0.2">
      <c r="B1" s="1100" t="s">
        <v>565</v>
      </c>
      <c r="C1" s="1100"/>
      <c r="D1" s="1100"/>
      <c r="E1" s="1100"/>
    </row>
    <row r="2" spans="1:5" x14ac:dyDescent="0.2">
      <c r="B2" s="1100" t="s">
        <v>1</v>
      </c>
      <c r="C2" s="1100"/>
      <c r="D2" s="1100"/>
      <c r="E2" s="1100"/>
    </row>
    <row r="3" spans="1:5" x14ac:dyDescent="0.2">
      <c r="B3" s="1100" t="s">
        <v>2</v>
      </c>
      <c r="C3" s="1100"/>
      <c r="D3" s="1100"/>
      <c r="E3" s="1100"/>
    </row>
    <row r="4" spans="1:5" x14ac:dyDescent="0.2">
      <c r="B4" s="1100" t="s">
        <v>3501</v>
      </c>
      <c r="C4" s="1100"/>
      <c r="D4" s="1100"/>
      <c r="E4" s="1100"/>
    </row>
    <row r="5" spans="1:5" x14ac:dyDescent="0.2">
      <c r="B5" s="399"/>
      <c r="C5" s="399"/>
    </row>
    <row r="6" spans="1:5" ht="33.75" customHeight="1" x14ac:dyDescent="0.2">
      <c r="A6" s="1101" t="s">
        <v>3474</v>
      </c>
      <c r="B6" s="1101"/>
      <c r="C6" s="1101"/>
      <c r="D6" s="1101"/>
      <c r="E6" s="1101"/>
    </row>
    <row r="7" spans="1:5" ht="13.5" thickBot="1" x14ac:dyDescent="0.25">
      <c r="A7" s="1102" t="s">
        <v>3188</v>
      </c>
      <c r="B7" s="1102"/>
      <c r="C7" s="1102"/>
      <c r="D7" s="1102"/>
      <c r="E7" s="1102"/>
    </row>
    <row r="8" spans="1:5" x14ac:dyDescent="0.2">
      <c r="A8" s="1103" t="s">
        <v>1009</v>
      </c>
      <c r="B8" s="1104"/>
      <c r="C8" s="791" t="s">
        <v>192</v>
      </c>
      <c r="D8" s="791" t="s">
        <v>995</v>
      </c>
      <c r="E8" s="864" t="s">
        <v>3480</v>
      </c>
    </row>
    <row r="9" spans="1:5" x14ac:dyDescent="0.2">
      <c r="A9" s="1105" t="s">
        <v>1012</v>
      </c>
      <c r="B9" s="1106"/>
      <c r="C9" s="792">
        <v>696500</v>
      </c>
      <c r="D9" s="792"/>
      <c r="E9" s="877">
        <f>C9+D9</f>
        <v>696500</v>
      </c>
    </row>
    <row r="10" spans="1:5" x14ac:dyDescent="0.2">
      <c r="A10" s="1105" t="s">
        <v>1036</v>
      </c>
      <c r="B10" s="1106"/>
      <c r="C10" s="792">
        <v>1246185</v>
      </c>
      <c r="D10" s="792"/>
      <c r="E10" s="877">
        <f>C10+D10</f>
        <v>1246185</v>
      </c>
    </row>
    <row r="11" spans="1:5" x14ac:dyDescent="0.2">
      <c r="A11" s="1105" t="s">
        <v>1037</v>
      </c>
      <c r="B11" s="1106"/>
      <c r="C11" s="792">
        <v>1017526</v>
      </c>
      <c r="D11" s="792"/>
      <c r="E11" s="877">
        <f>C11+D11</f>
        <v>1017526</v>
      </c>
    </row>
    <row r="12" spans="1:5" x14ac:dyDescent="0.2">
      <c r="A12" s="1107" t="s">
        <v>1013</v>
      </c>
      <c r="B12" s="1108"/>
      <c r="C12" s="792">
        <v>2350000</v>
      </c>
      <c r="D12" s="792">
        <v>-1000000</v>
      </c>
      <c r="E12" s="877">
        <f>C12+D12</f>
        <v>1350000</v>
      </c>
    </row>
    <row r="13" spans="1:5" x14ac:dyDescent="0.2">
      <c r="A13" s="1098" t="s">
        <v>1034</v>
      </c>
      <c r="B13" s="1099"/>
      <c r="C13" s="793">
        <v>17239463</v>
      </c>
      <c r="D13" s="793">
        <v>1000000</v>
      </c>
      <c r="E13" s="877">
        <v>18160907</v>
      </c>
    </row>
    <row r="14" spans="1:5" ht="13.5" thickBot="1" x14ac:dyDescent="0.25">
      <c r="A14" s="1109" t="s">
        <v>177</v>
      </c>
      <c r="B14" s="1110"/>
      <c r="C14" s="794">
        <v>22549674</v>
      </c>
      <c r="D14" s="794">
        <f>D9+D10+D11+D12+D13</f>
        <v>0</v>
      </c>
      <c r="E14" s="794">
        <f>E9+E10+E11+E12+E13</f>
        <v>22471118</v>
      </c>
    </row>
    <row r="16" spans="1:5" ht="27" customHeight="1" thickBot="1" x14ac:dyDescent="0.25">
      <c r="A16" s="1111" t="s">
        <v>3189</v>
      </c>
      <c r="B16" s="1111"/>
      <c r="C16" s="1111"/>
      <c r="D16" s="1111"/>
      <c r="E16" s="1111"/>
    </row>
    <row r="17" spans="1:5" x14ac:dyDescent="0.2">
      <c r="A17" s="1103" t="s">
        <v>1009</v>
      </c>
      <c r="B17" s="1104"/>
      <c r="C17" s="791" t="s">
        <v>192</v>
      </c>
      <c r="D17" s="791" t="s">
        <v>192</v>
      </c>
      <c r="E17" s="864" t="s">
        <v>3480</v>
      </c>
    </row>
    <row r="18" spans="1:5" x14ac:dyDescent="0.2">
      <c r="A18" s="1098" t="s">
        <v>1013</v>
      </c>
      <c r="B18" s="1099"/>
      <c r="C18" s="793">
        <v>59000</v>
      </c>
      <c r="D18" s="793"/>
      <c r="E18" s="878">
        <v>59000</v>
      </c>
    </row>
    <row r="19" spans="1:5" ht="13.5" thickBot="1" x14ac:dyDescent="0.25">
      <c r="A19" s="1109" t="s">
        <v>177</v>
      </c>
      <c r="B19" s="1110"/>
      <c r="C19" s="794">
        <f>C18</f>
        <v>59000</v>
      </c>
      <c r="D19" s="794">
        <f>D18</f>
        <v>0</v>
      </c>
      <c r="E19" s="794">
        <f>E18</f>
        <v>59000</v>
      </c>
    </row>
    <row r="20" spans="1:5" x14ac:dyDescent="0.2">
      <c r="A20" s="795"/>
      <c r="B20" s="795"/>
      <c r="C20" s="796"/>
      <c r="D20" s="796"/>
      <c r="E20" s="796"/>
    </row>
    <row r="21" spans="1:5" ht="28.5" customHeight="1" x14ac:dyDescent="0.2">
      <c r="A21" s="1111" t="s">
        <v>3305</v>
      </c>
      <c r="B21" s="1111"/>
      <c r="C21" s="1111"/>
      <c r="D21" s="1111"/>
      <c r="E21" s="1111"/>
    </row>
    <row r="22" spans="1:5" x14ac:dyDescent="0.2">
      <c r="A22" s="1112" t="s">
        <v>1009</v>
      </c>
      <c r="B22" s="1112"/>
      <c r="C22" s="797" t="s">
        <v>192</v>
      </c>
      <c r="D22" s="797" t="s">
        <v>192</v>
      </c>
      <c r="E22" s="865" t="s">
        <v>3480</v>
      </c>
    </row>
    <row r="23" spans="1:5" x14ac:dyDescent="0.2">
      <c r="A23" s="1099" t="s">
        <v>1034</v>
      </c>
      <c r="B23" s="1099"/>
      <c r="C23" s="793">
        <v>62210987</v>
      </c>
      <c r="D23" s="793"/>
      <c r="E23" s="878">
        <v>61653041</v>
      </c>
    </row>
    <row r="24" spans="1:5" x14ac:dyDescent="0.2">
      <c r="A24" s="1113" t="s">
        <v>177</v>
      </c>
      <c r="B24" s="1113"/>
      <c r="C24" s="798">
        <f>C23</f>
        <v>62210987</v>
      </c>
      <c r="D24" s="798">
        <f>D23</f>
        <v>0</v>
      </c>
      <c r="E24" s="798">
        <f>E23</f>
        <v>61653041</v>
      </c>
    </row>
    <row r="25" spans="1:5" ht="30" customHeight="1" thickBot="1" x14ac:dyDescent="0.25">
      <c r="A25" s="1111" t="s">
        <v>3334</v>
      </c>
      <c r="B25" s="1111"/>
      <c r="C25" s="1111"/>
      <c r="D25" s="1111"/>
      <c r="E25" s="1111"/>
    </row>
    <row r="26" spans="1:5" x14ac:dyDescent="0.2">
      <c r="A26" s="1103" t="s">
        <v>1009</v>
      </c>
      <c r="B26" s="1104"/>
      <c r="C26" s="791" t="s">
        <v>192</v>
      </c>
      <c r="D26" s="791" t="s">
        <v>192</v>
      </c>
      <c r="E26" s="799" t="s">
        <v>3480</v>
      </c>
    </row>
    <row r="27" spans="1:5" x14ac:dyDescent="0.2">
      <c r="A27" s="1098" t="s">
        <v>1034</v>
      </c>
      <c r="B27" s="1099"/>
      <c r="C27" s="800">
        <v>6546083.3799999999</v>
      </c>
      <c r="D27" s="793"/>
      <c r="E27" s="879">
        <f>C27+D27</f>
        <v>6546083.3799999999</v>
      </c>
    </row>
    <row r="28" spans="1:5" ht="13.5" thickBot="1" x14ac:dyDescent="0.25">
      <c r="A28" s="1109" t="s">
        <v>177</v>
      </c>
      <c r="B28" s="1110"/>
      <c r="C28" s="794">
        <f>C27</f>
        <v>6546083.3799999999</v>
      </c>
      <c r="D28" s="794">
        <f>D27</f>
        <v>0</v>
      </c>
      <c r="E28" s="801">
        <f>E27</f>
        <v>6546083.3799999999</v>
      </c>
    </row>
    <row r="29" spans="1:5" x14ac:dyDescent="0.2">
      <c r="A29" s="795"/>
      <c r="B29" s="795"/>
      <c r="C29" s="796"/>
      <c r="D29" s="796"/>
      <c r="E29" s="796"/>
    </row>
    <row r="30" spans="1:5" ht="21" customHeight="1" thickBot="1" x14ac:dyDescent="0.25">
      <c r="A30" s="1111" t="s">
        <v>3375</v>
      </c>
      <c r="B30" s="1111"/>
      <c r="C30" s="1111"/>
      <c r="D30" s="1111"/>
      <c r="E30" s="1111"/>
    </row>
    <row r="31" spans="1:5" x14ac:dyDescent="0.2">
      <c r="A31" s="1103" t="s">
        <v>1009</v>
      </c>
      <c r="B31" s="1104"/>
      <c r="C31" s="791" t="s">
        <v>192</v>
      </c>
      <c r="D31" s="791" t="s">
        <v>192</v>
      </c>
      <c r="E31" s="799" t="s">
        <v>3480</v>
      </c>
    </row>
    <row r="32" spans="1:5" x14ac:dyDescent="0.2">
      <c r="A32" s="1098" t="s">
        <v>1034</v>
      </c>
      <c r="B32" s="1099"/>
      <c r="C32" s="800">
        <v>1509822</v>
      </c>
      <c r="D32" s="793"/>
      <c r="E32" s="879">
        <f>C32+D32</f>
        <v>1509822</v>
      </c>
    </row>
    <row r="33" spans="1:5" ht="13.5" thickBot="1" x14ac:dyDescent="0.25">
      <c r="A33" s="1109" t="s">
        <v>177</v>
      </c>
      <c r="B33" s="1110"/>
      <c r="C33" s="794">
        <f>C32</f>
        <v>1509822</v>
      </c>
      <c r="D33" s="794">
        <f>D32</f>
        <v>0</v>
      </c>
      <c r="E33" s="801">
        <f>E32</f>
        <v>1509822</v>
      </c>
    </row>
    <row r="34" spans="1:5" x14ac:dyDescent="0.2">
      <c r="A34" s="795"/>
      <c r="B34" s="795"/>
      <c r="C34" s="796"/>
      <c r="D34" s="796"/>
      <c r="E34" s="796"/>
    </row>
    <row r="35" spans="1:5" ht="36.75" customHeight="1" x14ac:dyDescent="0.2">
      <c r="A35" s="1114" t="s">
        <v>3461</v>
      </c>
      <c r="B35" s="1114"/>
      <c r="C35" s="1114"/>
      <c r="D35" s="1114"/>
      <c r="E35" s="1114"/>
    </row>
    <row r="36" spans="1:5" x14ac:dyDescent="0.2">
      <c r="A36" s="1115" t="s">
        <v>1009</v>
      </c>
      <c r="B36" s="1116"/>
      <c r="C36" s="847" t="s">
        <v>192</v>
      </c>
      <c r="D36" s="847" t="s">
        <v>192</v>
      </c>
      <c r="E36" s="848" t="s">
        <v>3480</v>
      </c>
    </row>
    <row r="37" spans="1:5" x14ac:dyDescent="0.2">
      <c r="A37" s="1105" t="s">
        <v>1037</v>
      </c>
      <c r="B37" s="1106"/>
      <c r="C37" s="800">
        <v>5302790</v>
      </c>
      <c r="D37" s="793"/>
      <c r="E37" s="879">
        <f>C37+D37</f>
        <v>5302790</v>
      </c>
    </row>
    <row r="38" spans="1:5" ht="13.5" thickBot="1" x14ac:dyDescent="0.25">
      <c r="A38" s="1109" t="s">
        <v>177</v>
      </c>
      <c r="B38" s="1110"/>
      <c r="C38" s="794">
        <f>C37</f>
        <v>5302790</v>
      </c>
      <c r="D38" s="794">
        <f>D37</f>
        <v>0</v>
      </c>
      <c r="E38" s="880">
        <f>E37</f>
        <v>5302790</v>
      </c>
    </row>
    <row r="39" spans="1:5" ht="6" customHeight="1" x14ac:dyDescent="0.2">
      <c r="A39" s="795"/>
      <c r="B39" s="795"/>
      <c r="C39" s="796"/>
      <c r="D39" s="796"/>
      <c r="E39" s="796"/>
    </row>
    <row r="40" spans="1:5" ht="38.25" customHeight="1" thickBot="1" x14ac:dyDescent="0.25">
      <c r="A40" s="1111" t="s">
        <v>3410</v>
      </c>
      <c r="B40" s="1111"/>
      <c r="C40" s="1111"/>
      <c r="D40" s="1111"/>
      <c r="E40" s="1111"/>
    </row>
    <row r="41" spans="1:5" x14ac:dyDescent="0.2">
      <c r="A41" s="1103" t="s">
        <v>1009</v>
      </c>
      <c r="B41" s="1104"/>
      <c r="C41" s="791" t="s">
        <v>192</v>
      </c>
      <c r="D41" s="791" t="s">
        <v>192</v>
      </c>
      <c r="E41" s="799" t="s">
        <v>3480</v>
      </c>
    </row>
    <row r="42" spans="1:5" x14ac:dyDescent="0.2">
      <c r="A42" s="1098" t="s">
        <v>1034</v>
      </c>
      <c r="B42" s="1099"/>
      <c r="C42" s="800">
        <v>10000000</v>
      </c>
      <c r="D42" s="793"/>
      <c r="E42" s="879">
        <v>8866741</v>
      </c>
    </row>
    <row r="43" spans="1:5" ht="13.5" thickBot="1" x14ac:dyDescent="0.25">
      <c r="A43" s="1109" t="s">
        <v>177</v>
      </c>
      <c r="B43" s="1110"/>
      <c r="C43" s="794">
        <f>C42</f>
        <v>10000000</v>
      </c>
      <c r="D43" s="794">
        <f>D42</f>
        <v>0</v>
      </c>
      <c r="E43" s="801">
        <f>E42</f>
        <v>8866741</v>
      </c>
    </row>
    <row r="44" spans="1:5" ht="7.5" customHeight="1" x14ac:dyDescent="0.2">
      <c r="A44" s="1117"/>
      <c r="B44" s="1117"/>
      <c r="C44" s="1117"/>
      <c r="D44" s="1117"/>
      <c r="E44" s="1117"/>
    </row>
    <row r="45" spans="1:5" ht="28.5" customHeight="1" thickBot="1" x14ac:dyDescent="0.25">
      <c r="A45" s="1111" t="s">
        <v>3431</v>
      </c>
      <c r="B45" s="1111"/>
      <c r="C45" s="1111"/>
      <c r="D45" s="1111"/>
      <c r="E45" s="1111"/>
    </row>
    <row r="46" spans="1:5" x14ac:dyDescent="0.2">
      <c r="A46" s="1103" t="s">
        <v>1009</v>
      </c>
      <c r="B46" s="1104"/>
      <c r="C46" s="791" t="s">
        <v>192</v>
      </c>
      <c r="D46" s="791" t="s">
        <v>192</v>
      </c>
      <c r="E46" s="799" t="s">
        <v>3480</v>
      </c>
    </row>
    <row r="47" spans="1:5" x14ac:dyDescent="0.2">
      <c r="A47" s="1098" t="s">
        <v>1034</v>
      </c>
      <c r="B47" s="1099"/>
      <c r="C47" s="800">
        <v>637976</v>
      </c>
      <c r="D47" s="793"/>
      <c r="E47" s="879">
        <v>605673</v>
      </c>
    </row>
    <row r="48" spans="1:5" x14ac:dyDescent="0.2">
      <c r="A48" s="1105" t="s">
        <v>1037</v>
      </c>
      <c r="B48" s="1106"/>
      <c r="C48" s="800">
        <v>612957</v>
      </c>
      <c r="D48" s="793"/>
      <c r="E48" s="879">
        <v>581922</v>
      </c>
    </row>
    <row r="49" spans="1:5" ht="13.5" thickBot="1" x14ac:dyDescent="0.25">
      <c r="A49" s="1109" t="s">
        <v>177</v>
      </c>
      <c r="B49" s="1110"/>
      <c r="C49" s="794">
        <f>C48+C47</f>
        <v>1250933</v>
      </c>
      <c r="D49" s="794">
        <f>D48</f>
        <v>0</v>
      </c>
      <c r="E49" s="801">
        <f>SUM(E47:E48)</f>
        <v>1187595</v>
      </c>
    </row>
    <row r="50" spans="1:5" ht="42.75" customHeight="1" thickBot="1" x14ac:dyDescent="0.25">
      <c r="A50" s="1111" t="s">
        <v>3432</v>
      </c>
      <c r="B50" s="1111"/>
      <c r="C50" s="1111"/>
      <c r="D50" s="1111"/>
      <c r="E50" s="1111"/>
    </row>
    <row r="51" spans="1:5" x14ac:dyDescent="0.2">
      <c r="A51" s="1103" t="s">
        <v>1009</v>
      </c>
      <c r="B51" s="1104"/>
      <c r="C51" s="791" t="s">
        <v>192</v>
      </c>
      <c r="D51" s="791" t="s">
        <v>192</v>
      </c>
      <c r="E51" s="799" t="s">
        <v>3480</v>
      </c>
    </row>
    <row r="52" spans="1:5" x14ac:dyDescent="0.2">
      <c r="A52" s="1098" t="s">
        <v>1034</v>
      </c>
      <c r="B52" s="1099"/>
      <c r="C52" s="800">
        <v>200000</v>
      </c>
      <c r="D52" s="793">
        <v>-114577</v>
      </c>
      <c r="E52" s="879">
        <f>C52+D52</f>
        <v>85423</v>
      </c>
    </row>
    <row r="53" spans="1:5" ht="13.5" thickBot="1" x14ac:dyDescent="0.25">
      <c r="A53" s="1109" t="s">
        <v>177</v>
      </c>
      <c r="B53" s="1110"/>
      <c r="C53" s="794">
        <f>C52</f>
        <v>200000</v>
      </c>
      <c r="D53" s="794">
        <f>D52</f>
        <v>-114577</v>
      </c>
      <c r="E53" s="801">
        <f>E52</f>
        <v>85423</v>
      </c>
    </row>
    <row r="55" spans="1:5" x14ac:dyDescent="0.2">
      <c r="A55" s="1118" t="s">
        <v>991</v>
      </c>
      <c r="B55" s="1119"/>
      <c r="C55" s="802"/>
      <c r="D55" s="803">
        <f>D14+D19+D24+D28+D33+D38+D43+D49+D53</f>
        <v>-114577</v>
      </c>
      <c r="E55" s="803">
        <f>E14+E19+E24+E28+E33+E38+E43+E49+E53</f>
        <v>107681613.38</v>
      </c>
    </row>
  </sheetData>
  <mergeCells count="48">
    <mergeCell ref="A55:B55"/>
    <mergeCell ref="A49:B49"/>
    <mergeCell ref="A47:B47"/>
    <mergeCell ref="A50:E50"/>
    <mergeCell ref="A51:B51"/>
    <mergeCell ref="A52:B52"/>
    <mergeCell ref="A53:B53"/>
    <mergeCell ref="A43:B43"/>
    <mergeCell ref="A44:E44"/>
    <mergeCell ref="A45:E45"/>
    <mergeCell ref="A46:B46"/>
    <mergeCell ref="A48:B48"/>
    <mergeCell ref="A42:B42"/>
    <mergeCell ref="A28:B28"/>
    <mergeCell ref="A30:E30"/>
    <mergeCell ref="A31:B31"/>
    <mergeCell ref="A32:B32"/>
    <mergeCell ref="A33:B33"/>
    <mergeCell ref="A35:E35"/>
    <mergeCell ref="A36:B36"/>
    <mergeCell ref="A37:B37"/>
    <mergeCell ref="A38:B38"/>
    <mergeCell ref="A40:E40"/>
    <mergeCell ref="A41:B41"/>
    <mergeCell ref="A27:B27"/>
    <mergeCell ref="A14:B14"/>
    <mergeCell ref="A16:E16"/>
    <mergeCell ref="A17:B17"/>
    <mergeCell ref="A18:B18"/>
    <mergeCell ref="A19:B19"/>
    <mergeCell ref="A21:E21"/>
    <mergeCell ref="A22:B22"/>
    <mergeCell ref="A23:B23"/>
    <mergeCell ref="A24:B24"/>
    <mergeCell ref="A25:E25"/>
    <mergeCell ref="A26:B26"/>
    <mergeCell ref="A13:B13"/>
    <mergeCell ref="B1:E1"/>
    <mergeCell ref="B2:E2"/>
    <mergeCell ref="B3:E3"/>
    <mergeCell ref="B4:E4"/>
    <mergeCell ref="A6:E6"/>
    <mergeCell ref="A7:E7"/>
    <mergeCell ref="A8:B8"/>
    <mergeCell ref="A9:B9"/>
    <mergeCell ref="A10:B10"/>
    <mergeCell ref="A11:B11"/>
    <mergeCell ref="A12:B12"/>
  </mergeCells>
  <pageMargins left="0.70866141732283472" right="0.70866141732283472" top="0.74803149606299213" bottom="0.74803149606299213" header="0.31496062992125984" footer="0.31496062992125984"/>
  <pageSetup paperSize="9" fitToHeight="3" orientation="portrait"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17"/>
  <sheetViews>
    <sheetView showGridLines="0" view="pageBreakPreview" zoomScale="115" zoomScaleSheetLayoutView="115" workbookViewId="0">
      <selection activeCell="A4" sqref="A4:D4"/>
    </sheetView>
  </sheetViews>
  <sheetFormatPr defaultColWidth="9.140625" defaultRowHeight="12.75" x14ac:dyDescent="0.2"/>
  <cols>
    <col min="1" max="1" width="64" style="122" customWidth="1"/>
    <col min="2" max="3" width="0" style="122" hidden="1" customWidth="1"/>
    <col min="4" max="4" width="18" style="122" customWidth="1"/>
    <col min="5" max="16384" width="9.140625" style="122"/>
  </cols>
  <sheetData>
    <row r="1" spans="1:4" ht="15.75" x14ac:dyDescent="0.25">
      <c r="A1" s="894" t="s">
        <v>379</v>
      </c>
      <c r="B1" s="894"/>
      <c r="C1" s="894"/>
      <c r="D1" s="894"/>
    </row>
    <row r="2" spans="1:4" ht="15.75" x14ac:dyDescent="0.25">
      <c r="A2" s="894" t="s">
        <v>1</v>
      </c>
      <c r="B2" s="894"/>
      <c r="C2" s="894"/>
      <c r="D2" s="894"/>
    </row>
    <row r="3" spans="1:4" ht="15.75" x14ac:dyDescent="0.25">
      <c r="A3" s="894" t="s">
        <v>2</v>
      </c>
      <c r="B3" s="894"/>
      <c r="C3" s="894"/>
      <c r="D3" s="894"/>
    </row>
    <row r="4" spans="1:4" ht="15.75" x14ac:dyDescent="0.25">
      <c r="A4" s="894" t="s">
        <v>3501</v>
      </c>
      <c r="B4" s="894"/>
      <c r="C4" s="894"/>
      <c r="D4" s="894"/>
    </row>
    <row r="5" spans="1:4" x14ac:dyDescent="0.2">
      <c r="A5" s="501"/>
      <c r="B5" s="501"/>
      <c r="C5" s="501"/>
      <c r="D5" s="502"/>
    </row>
    <row r="6" spans="1:4" x14ac:dyDescent="0.2">
      <c r="A6" s="502"/>
      <c r="B6" s="502"/>
      <c r="C6" s="502"/>
      <c r="D6" s="502"/>
    </row>
    <row r="7" spans="1:4" ht="34.5" customHeight="1" x14ac:dyDescent="0.2">
      <c r="A7" s="896" t="s">
        <v>3475</v>
      </c>
      <c r="B7" s="896"/>
      <c r="C7" s="896"/>
      <c r="D7" s="896"/>
    </row>
    <row r="8" spans="1:4" ht="18.75" x14ac:dyDescent="0.2">
      <c r="A8" s="503"/>
      <c r="B8" s="503"/>
      <c r="C8" s="503"/>
      <c r="D8" s="502"/>
    </row>
    <row r="9" spans="1:4" ht="41.25" customHeight="1" x14ac:dyDescent="0.2">
      <c r="A9" s="896" t="s">
        <v>1043</v>
      </c>
      <c r="B9" s="896"/>
      <c r="C9" s="896"/>
      <c r="D9" s="896"/>
    </row>
    <row r="10" spans="1:4" ht="18.75" x14ac:dyDescent="0.2">
      <c r="A10" s="504"/>
      <c r="B10" s="504"/>
      <c r="C10" s="504"/>
      <c r="D10" s="502"/>
    </row>
    <row r="11" spans="1:4" ht="18.75" x14ac:dyDescent="0.2">
      <c r="A11" s="504"/>
      <c r="B11" s="504"/>
      <c r="C11" s="504"/>
      <c r="D11" s="502"/>
    </row>
    <row r="12" spans="1:4" ht="47.25" x14ac:dyDescent="0.2">
      <c r="A12" s="505" t="s">
        <v>1009</v>
      </c>
      <c r="B12" s="506" t="s">
        <v>2810</v>
      </c>
      <c r="C12" s="506" t="s">
        <v>1045</v>
      </c>
      <c r="D12" s="862" t="s">
        <v>3491</v>
      </c>
    </row>
    <row r="13" spans="1:4" ht="15.75" x14ac:dyDescent="0.25">
      <c r="A13" s="507" t="s">
        <v>1012</v>
      </c>
      <c r="B13" s="508">
        <v>57000</v>
      </c>
      <c r="C13" s="508"/>
      <c r="D13" s="881">
        <v>77860</v>
      </c>
    </row>
    <row r="14" spans="1:4" ht="15.75" x14ac:dyDescent="0.25">
      <c r="A14" s="507" t="s">
        <v>1047</v>
      </c>
      <c r="B14" s="508">
        <v>57000</v>
      </c>
      <c r="C14" s="508"/>
      <c r="D14" s="881">
        <v>77860</v>
      </c>
    </row>
    <row r="15" spans="1:4" ht="15.75" x14ac:dyDescent="0.25">
      <c r="A15" s="507" t="s">
        <v>1037</v>
      </c>
      <c r="B15" s="508">
        <v>374000</v>
      </c>
      <c r="C15" s="508"/>
      <c r="D15" s="881">
        <v>389318</v>
      </c>
    </row>
    <row r="16" spans="1:4" ht="15.75" x14ac:dyDescent="0.25">
      <c r="A16" s="507" t="s">
        <v>1013</v>
      </c>
      <c r="B16" s="508">
        <v>187000</v>
      </c>
      <c r="C16" s="508"/>
      <c r="D16" s="881">
        <v>194659</v>
      </c>
    </row>
    <row r="17" spans="1:4" ht="15.75" x14ac:dyDescent="0.25">
      <c r="A17" s="509" t="s">
        <v>177</v>
      </c>
      <c r="B17" s="510">
        <f>SUM(B13:B16)</f>
        <v>675000</v>
      </c>
      <c r="C17" s="510">
        <f>SUM(C13:C16)</f>
        <v>0</v>
      </c>
      <c r="D17" s="511">
        <f>SUM(D13:D16)</f>
        <v>739697</v>
      </c>
    </row>
  </sheetData>
  <mergeCells count="6">
    <mergeCell ref="A9:D9"/>
    <mergeCell ref="A1:D1"/>
    <mergeCell ref="A2:D2"/>
    <mergeCell ref="A3:D3"/>
    <mergeCell ref="A4:D4"/>
    <mergeCell ref="A7:D7"/>
  </mergeCells>
  <printOptions gridLinesSet="0"/>
  <pageMargins left="0.70866141732283472" right="0.70866141732283472" top="0.74803149606299213" bottom="0.74803149606299213" header="0.51181102362204722" footer="0.51181102362204722"/>
  <pageSetup paperSize="9" orientation="portrait" r:id="rId1"/>
  <headerFooter>
    <oddFooter>&amp;C&amp;P</oddFooter>
  </headerFooter>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5"/>
  <sheetViews>
    <sheetView view="pageBreakPreview" zoomScale="130" zoomScaleSheetLayoutView="130" workbookViewId="0">
      <selection activeCell="A4" sqref="A4:F4"/>
    </sheetView>
  </sheetViews>
  <sheetFormatPr defaultColWidth="9.140625" defaultRowHeight="12.75" x14ac:dyDescent="0.2"/>
  <cols>
    <col min="1" max="1" width="58.42578125" style="764" customWidth="1"/>
    <col min="2" max="2" width="12.140625" style="764" hidden="1" customWidth="1"/>
    <col min="3" max="3" width="12.7109375" style="764" hidden="1" customWidth="1"/>
    <col min="4" max="4" width="15.7109375" style="764" hidden="1" customWidth="1"/>
    <col min="5" max="5" width="12.7109375" style="764" hidden="1" customWidth="1"/>
    <col min="6" max="6" width="27.42578125" style="764" customWidth="1"/>
    <col min="7" max="16384" width="9.140625" style="764"/>
  </cols>
  <sheetData>
    <row r="1" spans="1:6" x14ac:dyDescent="0.2">
      <c r="A1" s="1121" t="s">
        <v>544</v>
      </c>
      <c r="B1" s="1121"/>
      <c r="C1" s="1121"/>
      <c r="D1" s="1121"/>
      <c r="E1" s="1121"/>
      <c r="F1" s="1121"/>
    </row>
    <row r="2" spans="1:6" x14ac:dyDescent="0.2">
      <c r="A2" s="1121" t="s">
        <v>1</v>
      </c>
      <c r="B2" s="1121"/>
      <c r="C2" s="1121"/>
      <c r="D2" s="1121"/>
      <c r="E2" s="1121"/>
      <c r="F2" s="1121"/>
    </row>
    <row r="3" spans="1:6" x14ac:dyDescent="0.2">
      <c r="A3" s="1121" t="s">
        <v>2</v>
      </c>
      <c r="B3" s="1121"/>
      <c r="C3" s="1121"/>
      <c r="D3" s="1121"/>
      <c r="E3" s="1121"/>
      <c r="F3" s="1121"/>
    </row>
    <row r="4" spans="1:6" x14ac:dyDescent="0.2">
      <c r="A4" s="1121" t="s">
        <v>3501</v>
      </c>
      <c r="B4" s="1121"/>
      <c r="C4" s="1121"/>
      <c r="D4" s="1121"/>
      <c r="E4" s="1121"/>
      <c r="F4" s="1121"/>
    </row>
    <row r="5" spans="1:6" x14ac:dyDescent="0.2">
      <c r="A5" s="399"/>
      <c r="B5" s="399"/>
      <c r="C5" s="399"/>
      <c r="D5" s="380"/>
      <c r="E5" s="765"/>
      <c r="F5" s="765"/>
    </row>
    <row r="6" spans="1:6" x14ac:dyDescent="0.2">
      <c r="A6" s="380"/>
      <c r="B6" s="380"/>
      <c r="C6" s="380"/>
      <c r="D6" s="380"/>
      <c r="E6" s="765"/>
      <c r="F6" s="765"/>
    </row>
    <row r="7" spans="1:6" ht="27" customHeight="1" x14ac:dyDescent="0.2">
      <c r="A7" s="1120" t="s">
        <v>3476</v>
      </c>
      <c r="B7" s="1120"/>
      <c r="C7" s="1120"/>
      <c r="D7" s="1120"/>
      <c r="E7" s="1120"/>
      <c r="F7" s="1120"/>
    </row>
    <row r="8" spans="1:6" x14ac:dyDescent="0.2">
      <c r="A8" s="778"/>
      <c r="B8" s="778"/>
      <c r="C8" s="778"/>
      <c r="D8" s="380"/>
      <c r="E8" s="765"/>
      <c r="F8" s="765"/>
    </row>
    <row r="9" spans="1:6" ht="24" customHeight="1" thickBot="1" x14ac:dyDescent="0.25">
      <c r="A9" s="1120" t="s">
        <v>2921</v>
      </c>
      <c r="B9" s="1120"/>
      <c r="C9" s="1120"/>
      <c r="D9" s="1120"/>
      <c r="E9" s="1120"/>
      <c r="F9" s="1120"/>
    </row>
    <row r="10" spans="1:6" ht="26.25" thickBot="1" x14ac:dyDescent="0.25">
      <c r="A10" s="779" t="s">
        <v>1009</v>
      </c>
      <c r="B10" s="780" t="s">
        <v>3428</v>
      </c>
      <c r="C10" s="780" t="s">
        <v>1045</v>
      </c>
      <c r="D10" s="780" t="s">
        <v>2809</v>
      </c>
      <c r="E10" s="766" t="s">
        <v>995</v>
      </c>
      <c r="F10" s="781" t="s">
        <v>3492</v>
      </c>
    </row>
    <row r="11" spans="1:6" x14ac:dyDescent="0.2">
      <c r="A11" s="783" t="s">
        <v>1012</v>
      </c>
      <c r="B11" s="770"/>
      <c r="C11" s="771"/>
      <c r="D11" s="770">
        <v>300000</v>
      </c>
      <c r="E11" s="772"/>
      <c r="F11" s="882">
        <v>268428</v>
      </c>
    </row>
    <row r="12" spans="1:6" x14ac:dyDescent="0.2">
      <c r="A12" s="783" t="s">
        <v>1047</v>
      </c>
      <c r="B12" s="770">
        <v>174182</v>
      </c>
      <c r="C12" s="771"/>
      <c r="D12" s="770">
        <v>200000</v>
      </c>
      <c r="E12" s="772"/>
      <c r="F12" s="882">
        <f>SUM(D12:E12)</f>
        <v>200000</v>
      </c>
    </row>
    <row r="13" spans="1:6" ht="13.5" thickBot="1" x14ac:dyDescent="0.25">
      <c r="A13" s="784" t="s">
        <v>1013</v>
      </c>
      <c r="B13" s="773"/>
      <c r="C13" s="774"/>
      <c r="D13" s="773">
        <v>700000</v>
      </c>
      <c r="E13" s="775"/>
      <c r="F13" s="883">
        <v>699683</v>
      </c>
    </row>
    <row r="14" spans="1:6" ht="13.5" thickBot="1" x14ac:dyDescent="0.25">
      <c r="A14" s="785" t="s">
        <v>177</v>
      </c>
      <c r="B14" s="776">
        <v>703682</v>
      </c>
      <c r="C14" s="776">
        <f>SUM(C12:C12)</f>
        <v>0</v>
      </c>
      <c r="D14" s="776">
        <f>SUM(D11:D13)</f>
        <v>1200000</v>
      </c>
      <c r="E14" s="777">
        <f>SUM(E11:E13)</f>
        <v>0</v>
      </c>
      <c r="F14" s="786">
        <f>SUM(F11:F13)</f>
        <v>1168111</v>
      </c>
    </row>
    <row r="15" spans="1:6" x14ac:dyDescent="0.2">
      <c r="A15" s="765"/>
      <c r="B15" s="765"/>
      <c r="C15" s="765"/>
      <c r="D15" s="765"/>
      <c r="E15" s="765"/>
      <c r="F15" s="765"/>
    </row>
    <row r="16" spans="1:6" ht="45.75" customHeight="1" x14ac:dyDescent="0.2">
      <c r="A16" s="1120" t="s">
        <v>3429</v>
      </c>
      <c r="B16" s="1120"/>
      <c r="C16" s="1120"/>
      <c r="D16" s="1120"/>
      <c r="E16" s="1120"/>
      <c r="F16" s="1120"/>
    </row>
    <row r="17" spans="1:6" ht="13.5" thickBot="1" x14ac:dyDescent="0.25">
      <c r="A17" s="787"/>
      <c r="B17" s="787"/>
      <c r="C17" s="787"/>
      <c r="D17" s="380"/>
      <c r="E17" s="765"/>
      <c r="F17" s="765"/>
    </row>
    <row r="18" spans="1:6" ht="26.25" thickBot="1" x14ac:dyDescent="0.25">
      <c r="A18" s="779" t="s">
        <v>1009</v>
      </c>
      <c r="B18" s="780" t="s">
        <v>3428</v>
      </c>
      <c r="C18" s="780" t="s">
        <v>1045</v>
      </c>
      <c r="D18" s="780" t="s">
        <v>2809</v>
      </c>
      <c r="E18" s="766" t="s">
        <v>995</v>
      </c>
      <c r="F18" s="781" t="s">
        <v>3493</v>
      </c>
    </row>
    <row r="19" spans="1:6" x14ac:dyDescent="0.2">
      <c r="A19" s="782" t="s">
        <v>1012</v>
      </c>
      <c r="B19" s="767"/>
      <c r="C19" s="768"/>
      <c r="D19" s="767">
        <v>500000</v>
      </c>
      <c r="E19" s="769"/>
      <c r="F19" s="884">
        <v>500000</v>
      </c>
    </row>
    <row r="20" spans="1:6" x14ac:dyDescent="0.2">
      <c r="A20" s="784" t="s">
        <v>1013</v>
      </c>
      <c r="B20" s="770"/>
      <c r="C20" s="771"/>
      <c r="D20" s="770">
        <v>700000</v>
      </c>
      <c r="E20" s="772"/>
      <c r="F20" s="882">
        <v>700000</v>
      </c>
    </row>
    <row r="21" spans="1:6" x14ac:dyDescent="0.2">
      <c r="A21" s="783" t="s">
        <v>1047</v>
      </c>
      <c r="B21" s="770">
        <v>174182</v>
      </c>
      <c r="C21" s="771"/>
      <c r="D21" s="770">
        <v>1309830</v>
      </c>
      <c r="E21" s="772"/>
      <c r="F21" s="882">
        <v>1309830</v>
      </c>
    </row>
    <row r="22" spans="1:6" ht="13.5" thickBot="1" x14ac:dyDescent="0.25">
      <c r="A22" s="784" t="s">
        <v>3430</v>
      </c>
      <c r="B22" s="773"/>
      <c r="C22" s="774"/>
      <c r="D22" s="773">
        <v>4490170.33</v>
      </c>
      <c r="E22" s="775">
        <v>-43553</v>
      </c>
      <c r="F22" s="883">
        <f>D22+E22</f>
        <v>4446617.33</v>
      </c>
    </row>
    <row r="23" spans="1:6" ht="13.5" thickBot="1" x14ac:dyDescent="0.25">
      <c r="A23" s="785" t="s">
        <v>177</v>
      </c>
      <c r="B23" s="776">
        <v>703682</v>
      </c>
      <c r="C23" s="776">
        <f>SUM(C21:C21)</f>
        <v>0</v>
      </c>
      <c r="D23" s="776">
        <f>SUM(D19:D22)</f>
        <v>7000000.3300000001</v>
      </c>
      <c r="E23" s="777">
        <f>SUM(E19:E22)</f>
        <v>-43553</v>
      </c>
      <c r="F23" s="786">
        <f>SUM(F19:F22)</f>
        <v>6956447.3300000001</v>
      </c>
    </row>
    <row r="24" spans="1:6" x14ac:dyDescent="0.2">
      <c r="A24" s="849"/>
      <c r="B24" s="850"/>
      <c r="C24" s="850"/>
      <c r="D24" s="850"/>
      <c r="E24" s="851"/>
      <c r="F24" s="852"/>
    </row>
    <row r="25" spans="1:6" x14ac:dyDescent="0.2">
      <c r="A25" s="788" t="s">
        <v>991</v>
      </c>
      <c r="B25" s="789"/>
      <c r="C25" s="789"/>
      <c r="D25" s="789"/>
      <c r="E25" s="789"/>
      <c r="F25" s="790">
        <f>F14+F23</f>
        <v>8124558.3300000001</v>
      </c>
    </row>
  </sheetData>
  <mergeCells count="7">
    <mergeCell ref="A16:F16"/>
    <mergeCell ref="A1:F1"/>
    <mergeCell ref="A2:F2"/>
    <mergeCell ref="A3:F3"/>
    <mergeCell ref="A4:F4"/>
    <mergeCell ref="A7:F7"/>
    <mergeCell ref="A9:F9"/>
  </mergeCells>
  <pageMargins left="0.7" right="0.7" top="0.75" bottom="0.75" header="0.3" footer="0.3"/>
  <pageSetup paperSize="9" orientation="portrait"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0"/>
  <sheetViews>
    <sheetView view="pageBreakPreview" zoomScale="115" zoomScaleSheetLayoutView="115" workbookViewId="0">
      <selection activeCell="D21" sqref="D21"/>
    </sheetView>
  </sheetViews>
  <sheetFormatPr defaultColWidth="9.140625" defaultRowHeight="12.75" x14ac:dyDescent="0.2"/>
  <cols>
    <col min="1" max="1" width="34.140625" style="492" customWidth="1"/>
    <col min="2" max="2" width="14.5703125" style="492" customWidth="1"/>
    <col min="3" max="3" width="12.7109375" style="492" customWidth="1"/>
    <col min="4" max="4" width="19.5703125" style="492" customWidth="1"/>
    <col min="5" max="16384" width="9.140625" style="492"/>
  </cols>
  <sheetData>
    <row r="1" spans="1:4" ht="15.75" x14ac:dyDescent="0.25">
      <c r="A1" s="894" t="s">
        <v>614</v>
      </c>
      <c r="B1" s="894"/>
      <c r="C1" s="894"/>
      <c r="D1" s="894"/>
    </row>
    <row r="2" spans="1:4" ht="15.75" x14ac:dyDescent="0.25">
      <c r="A2" s="894" t="s">
        <v>1</v>
      </c>
      <c r="B2" s="894"/>
      <c r="C2" s="894"/>
      <c r="D2" s="894"/>
    </row>
    <row r="3" spans="1:4" ht="15.75" x14ac:dyDescent="0.25">
      <c r="A3" s="894" t="s">
        <v>2</v>
      </c>
      <c r="B3" s="894"/>
      <c r="C3" s="894"/>
      <c r="D3" s="894"/>
    </row>
    <row r="4" spans="1:4" ht="15.75" x14ac:dyDescent="0.25">
      <c r="A4" s="894" t="s">
        <v>3329</v>
      </c>
      <c r="B4" s="894"/>
      <c r="C4" s="894"/>
      <c r="D4" s="894"/>
    </row>
    <row r="5" spans="1:4" x14ac:dyDescent="0.2">
      <c r="A5" s="756"/>
      <c r="B5" s="756"/>
      <c r="C5" s="756"/>
      <c r="D5" s="755"/>
    </row>
    <row r="6" spans="1:4" x14ac:dyDescent="0.2">
      <c r="A6" s="755"/>
      <c r="B6" s="755"/>
      <c r="C6" s="755"/>
      <c r="D6" s="755"/>
    </row>
    <row r="7" spans="1:4" ht="45" customHeight="1" x14ac:dyDescent="0.2">
      <c r="A7" s="1079" t="s">
        <v>3451</v>
      </c>
      <c r="B7" s="1079"/>
      <c r="C7" s="1079"/>
      <c r="D7" s="1079"/>
    </row>
    <row r="8" spans="1:4" ht="18.75" x14ac:dyDescent="0.2">
      <c r="A8" s="512"/>
      <c r="B8" s="512"/>
      <c r="C8" s="512"/>
      <c r="D8" s="755"/>
    </row>
    <row r="9" spans="1:4" ht="48" customHeight="1" x14ac:dyDescent="0.2">
      <c r="A9" s="1079" t="s">
        <v>3452</v>
      </c>
      <c r="B9" s="1079"/>
      <c r="C9" s="1079"/>
      <c r="D9" s="1079"/>
    </row>
    <row r="10" spans="1:4" ht="0.75" customHeight="1" x14ac:dyDescent="0.2">
      <c r="A10" s="513"/>
      <c r="B10" s="513"/>
      <c r="C10" s="513"/>
      <c r="D10" s="755"/>
    </row>
    <row r="11" spans="1:4" ht="19.5" thickBot="1" x14ac:dyDescent="0.25">
      <c r="A11" s="513"/>
      <c r="B11" s="513"/>
      <c r="C11" s="513"/>
      <c r="D11" s="755"/>
    </row>
    <row r="12" spans="1:4" ht="31.5" x14ac:dyDescent="0.2">
      <c r="A12" s="757" t="s">
        <v>1009</v>
      </c>
      <c r="B12" s="758" t="s">
        <v>3428</v>
      </c>
      <c r="C12" s="758" t="s">
        <v>1045</v>
      </c>
      <c r="D12" s="759" t="s">
        <v>3456</v>
      </c>
    </row>
    <row r="13" spans="1:4" ht="31.5" hidden="1" x14ac:dyDescent="0.25">
      <c r="A13" s="514" t="s">
        <v>1012</v>
      </c>
      <c r="B13" s="760"/>
      <c r="C13" s="735"/>
      <c r="D13" s="760">
        <f>B13+C13</f>
        <v>0</v>
      </c>
    </row>
    <row r="14" spans="1:4" ht="31.5" x14ac:dyDescent="0.25">
      <c r="A14" s="515" t="s">
        <v>1012</v>
      </c>
      <c r="B14" s="760">
        <v>1473688</v>
      </c>
      <c r="C14" s="735">
        <v>-1473688</v>
      </c>
      <c r="D14" s="760">
        <f>SUM(B14:C14)</f>
        <v>0</v>
      </c>
    </row>
    <row r="15" spans="1:4" ht="22.5" customHeight="1" x14ac:dyDescent="0.25">
      <c r="A15" s="514" t="s">
        <v>1047</v>
      </c>
      <c r="B15" s="760">
        <v>1182669</v>
      </c>
      <c r="C15" s="735">
        <v>-1182669</v>
      </c>
      <c r="D15" s="760">
        <f>SUM(B15:C15)</f>
        <v>0</v>
      </c>
    </row>
    <row r="16" spans="1:4" ht="27" customHeight="1" x14ac:dyDescent="0.25">
      <c r="A16" s="515" t="s">
        <v>1037</v>
      </c>
      <c r="B16" s="761">
        <v>843643</v>
      </c>
      <c r="C16" s="736">
        <v>-843643</v>
      </c>
      <c r="D16" s="760">
        <f>SUM(B16:C16)</f>
        <v>0</v>
      </c>
    </row>
    <row r="17" spans="1:4" ht="31.5" x14ac:dyDescent="0.25">
      <c r="A17" s="514" t="s">
        <v>1013</v>
      </c>
      <c r="B17" s="761">
        <v>5000000</v>
      </c>
      <c r="C17" s="736"/>
      <c r="D17" s="760">
        <f>SUM(B17:C17)</f>
        <v>5000000</v>
      </c>
    </row>
    <row r="18" spans="1:4" ht="20.25" customHeight="1" thickBot="1" x14ac:dyDescent="0.3">
      <c r="A18" s="762" t="s">
        <v>177</v>
      </c>
      <c r="B18" s="763">
        <f>SUM(B13:B17)</f>
        <v>8500000</v>
      </c>
      <c r="C18" s="763">
        <f>SUM(C13:C17)</f>
        <v>-3500000</v>
      </c>
      <c r="D18" s="763">
        <f>SUM(D13:D17)</f>
        <v>5000000</v>
      </c>
    </row>
    <row r="30" spans="1:4" ht="75" customHeight="1" x14ac:dyDescent="0.2"/>
  </sheetData>
  <mergeCells count="6">
    <mergeCell ref="A9:D9"/>
    <mergeCell ref="A1:D1"/>
    <mergeCell ref="A2:D2"/>
    <mergeCell ref="A3:D3"/>
    <mergeCell ref="A4:D4"/>
    <mergeCell ref="A7:D7"/>
  </mergeCells>
  <pageMargins left="0.7" right="0.7" top="0.75" bottom="0.75" header="0.3" footer="0.3"/>
  <pageSetup paperSize="9" orientation="portrait"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80"/>
  <sheetViews>
    <sheetView topLeftCell="A338" workbookViewId="0">
      <selection activeCell="B358" sqref="B358"/>
    </sheetView>
  </sheetViews>
  <sheetFormatPr defaultColWidth="9.140625" defaultRowHeight="12.75" x14ac:dyDescent="0.2"/>
  <cols>
    <col min="1" max="1" width="21.42578125" style="124" customWidth="1"/>
    <col min="2" max="2" width="123.7109375" style="124" customWidth="1"/>
    <col min="3" max="16384" width="9.140625" style="124"/>
  </cols>
  <sheetData>
    <row r="1" spans="1:2" x14ac:dyDescent="0.2">
      <c r="A1" s="412" t="s">
        <v>2813</v>
      </c>
      <c r="B1" s="412" t="s">
        <v>2814</v>
      </c>
    </row>
    <row r="2" spans="1:2" ht="31.5" x14ac:dyDescent="0.25">
      <c r="A2" s="413" t="s">
        <v>2815</v>
      </c>
      <c r="B2" s="116" t="s">
        <v>2816</v>
      </c>
    </row>
    <row r="3" spans="1:2" ht="31.5" x14ac:dyDescent="0.25">
      <c r="A3" s="413" t="s">
        <v>2817</v>
      </c>
      <c r="B3" s="116" t="s">
        <v>2818</v>
      </c>
    </row>
    <row r="4" spans="1:2" ht="15.75" x14ac:dyDescent="0.25">
      <c r="A4" s="414">
        <v>10010</v>
      </c>
      <c r="B4" s="116" t="s">
        <v>883</v>
      </c>
    </row>
    <row r="5" spans="1:2" ht="15.75" x14ac:dyDescent="0.25">
      <c r="A5" s="414">
        <v>10020</v>
      </c>
      <c r="B5" s="116" t="s">
        <v>2819</v>
      </c>
    </row>
    <row r="6" spans="1:2" ht="15.75" x14ac:dyDescent="0.25">
      <c r="A6" s="414">
        <v>10030</v>
      </c>
      <c r="B6" s="116" t="s">
        <v>2937</v>
      </c>
    </row>
    <row r="7" spans="1:2" ht="15.75" x14ac:dyDescent="0.25">
      <c r="A7" s="414">
        <v>10040</v>
      </c>
      <c r="B7" s="116" t="s">
        <v>891</v>
      </c>
    </row>
    <row r="8" spans="1:2" ht="15.75" x14ac:dyDescent="0.25">
      <c r="A8" s="414">
        <v>10050</v>
      </c>
      <c r="B8" s="116"/>
    </row>
    <row r="9" spans="1:2" ht="15.75" x14ac:dyDescent="0.25">
      <c r="A9" s="414">
        <v>10060</v>
      </c>
      <c r="B9" s="116" t="s">
        <v>2820</v>
      </c>
    </row>
    <row r="10" spans="1:2" ht="15.75" x14ac:dyDescent="0.25">
      <c r="A10" s="414">
        <v>10070</v>
      </c>
      <c r="B10" s="488" t="s">
        <v>3266</v>
      </c>
    </row>
    <row r="11" spans="1:2" ht="15.75" x14ac:dyDescent="0.25">
      <c r="A11" s="414">
        <v>10080</v>
      </c>
      <c r="B11" s="116" t="s">
        <v>3427</v>
      </c>
    </row>
    <row r="12" spans="1:2" ht="31.5" x14ac:dyDescent="0.25">
      <c r="A12" s="414">
        <v>10090</v>
      </c>
      <c r="B12" s="116" t="s">
        <v>2821</v>
      </c>
    </row>
    <row r="13" spans="1:2" ht="15.75" x14ac:dyDescent="0.25">
      <c r="A13" s="414">
        <v>10100</v>
      </c>
      <c r="B13" s="416" t="s">
        <v>2941</v>
      </c>
    </row>
    <row r="14" spans="1:2" ht="15.75" x14ac:dyDescent="0.25">
      <c r="A14" s="414">
        <v>10110</v>
      </c>
      <c r="B14" s="116" t="s">
        <v>2942</v>
      </c>
    </row>
    <row r="15" spans="1:2" ht="15.75" x14ac:dyDescent="0.25">
      <c r="A15" s="414">
        <v>10200</v>
      </c>
      <c r="B15" s="416" t="s">
        <v>872</v>
      </c>
    </row>
    <row r="16" spans="1:2" ht="31.5" x14ac:dyDescent="0.25">
      <c r="A16" s="414">
        <v>10210</v>
      </c>
      <c r="B16" s="116" t="s">
        <v>2822</v>
      </c>
    </row>
    <row r="17" spans="1:2" ht="15.75" x14ac:dyDescent="0.25">
      <c r="A17" s="414">
        <v>10220</v>
      </c>
      <c r="B17" s="116" t="s">
        <v>2823</v>
      </c>
    </row>
    <row r="18" spans="1:2" ht="15.75" x14ac:dyDescent="0.25">
      <c r="A18" s="414">
        <v>10230</v>
      </c>
      <c r="B18" s="415"/>
    </row>
    <row r="19" spans="1:2" ht="15.75" x14ac:dyDescent="0.25">
      <c r="A19" s="414">
        <v>10240</v>
      </c>
      <c r="B19" s="116" t="s">
        <v>2824</v>
      </c>
    </row>
    <row r="20" spans="1:2" ht="15.75" x14ac:dyDescent="0.25">
      <c r="A20" s="414">
        <v>10300</v>
      </c>
      <c r="B20" s="116" t="s">
        <v>2936</v>
      </c>
    </row>
    <row r="21" spans="1:2" ht="15.75" x14ac:dyDescent="0.25">
      <c r="A21" s="414">
        <v>10360</v>
      </c>
      <c r="B21" s="116" t="s">
        <v>2825</v>
      </c>
    </row>
    <row r="22" spans="1:2" ht="15.75" x14ac:dyDescent="0.25">
      <c r="A22" s="414">
        <v>10370</v>
      </c>
      <c r="B22" s="116" t="s">
        <v>681</v>
      </c>
    </row>
    <row r="23" spans="1:2" ht="15.75" x14ac:dyDescent="0.25">
      <c r="A23" s="414">
        <v>10400</v>
      </c>
      <c r="B23" s="116" t="s">
        <v>857</v>
      </c>
    </row>
    <row r="24" spans="1:2" ht="31.5" x14ac:dyDescent="0.25">
      <c r="A24" s="414">
        <v>10470</v>
      </c>
      <c r="B24" s="116" t="s">
        <v>733</v>
      </c>
    </row>
    <row r="25" spans="1:2" ht="15.75" x14ac:dyDescent="0.25">
      <c r="A25" s="414">
        <v>10500</v>
      </c>
      <c r="B25" s="116" t="s">
        <v>2826</v>
      </c>
    </row>
    <row r="26" spans="1:2" ht="15.75" x14ac:dyDescent="0.25">
      <c r="A26" s="414">
        <v>10510</v>
      </c>
      <c r="B26" s="116" t="s">
        <v>680</v>
      </c>
    </row>
    <row r="27" spans="1:2" ht="15.75" x14ac:dyDescent="0.25">
      <c r="A27" s="414">
        <v>10530</v>
      </c>
      <c r="B27" s="116" t="s">
        <v>3309</v>
      </c>
    </row>
    <row r="28" spans="1:2" ht="15.75" x14ac:dyDescent="0.25">
      <c r="A28" s="414">
        <v>10600</v>
      </c>
      <c r="B28" s="116" t="s">
        <v>3145</v>
      </c>
    </row>
    <row r="29" spans="1:2" ht="15.75" x14ac:dyDescent="0.25">
      <c r="A29" s="414">
        <v>10700</v>
      </c>
      <c r="B29" s="116" t="s">
        <v>3196</v>
      </c>
    </row>
    <row r="30" spans="1:2" ht="15.75" x14ac:dyDescent="0.25">
      <c r="A30" s="414">
        <v>10701</v>
      </c>
      <c r="B30" s="116" t="s">
        <v>3197</v>
      </c>
    </row>
    <row r="31" spans="1:2" ht="31.5" x14ac:dyDescent="0.25">
      <c r="A31" s="414">
        <v>10702</v>
      </c>
      <c r="B31" s="116" t="s">
        <v>3198</v>
      </c>
    </row>
    <row r="32" spans="1:2" ht="15.75" x14ac:dyDescent="0.25">
      <c r="A32" s="414">
        <v>10703</v>
      </c>
      <c r="B32" s="116" t="s">
        <v>3205</v>
      </c>
    </row>
    <row r="33" spans="1:2" ht="15.75" x14ac:dyDescent="0.25">
      <c r="A33" s="414">
        <v>10704</v>
      </c>
      <c r="B33" s="116" t="s">
        <v>3256</v>
      </c>
    </row>
    <row r="34" spans="1:2" ht="17.45" customHeight="1" x14ac:dyDescent="0.25">
      <c r="A34" s="414">
        <v>10710</v>
      </c>
      <c r="B34" s="116" t="s">
        <v>2827</v>
      </c>
    </row>
    <row r="35" spans="1:2" ht="15.75" x14ac:dyDescent="0.25">
      <c r="A35" s="414">
        <v>10800</v>
      </c>
      <c r="B35" s="116" t="s">
        <v>808</v>
      </c>
    </row>
    <row r="36" spans="1:2" ht="15.75" x14ac:dyDescent="0.25">
      <c r="A36" s="414">
        <v>10880</v>
      </c>
      <c r="B36" s="116" t="s">
        <v>879</v>
      </c>
    </row>
    <row r="37" spans="1:2" ht="15.75" x14ac:dyDescent="0.25">
      <c r="A37" s="414">
        <v>10900</v>
      </c>
      <c r="B37" s="116" t="s">
        <v>815</v>
      </c>
    </row>
    <row r="38" spans="1:2" ht="15.75" x14ac:dyDescent="0.25">
      <c r="A38" s="414">
        <v>11000</v>
      </c>
      <c r="B38" s="116" t="s">
        <v>707</v>
      </c>
    </row>
    <row r="39" spans="1:2" ht="31.5" x14ac:dyDescent="0.25">
      <c r="A39" s="414">
        <v>11430</v>
      </c>
      <c r="B39" s="116" t="s">
        <v>724</v>
      </c>
    </row>
    <row r="40" spans="1:2" ht="15.75" x14ac:dyDescent="0.25">
      <c r="A40" s="414">
        <v>11690</v>
      </c>
      <c r="B40" s="116" t="s">
        <v>838</v>
      </c>
    </row>
    <row r="41" spans="1:2" ht="15.75" x14ac:dyDescent="0.25">
      <c r="A41" s="414">
        <v>12010</v>
      </c>
      <c r="B41" s="116" t="s">
        <v>626</v>
      </c>
    </row>
    <row r="42" spans="1:2" ht="15.75" x14ac:dyDescent="0.25">
      <c r="A42" s="414">
        <v>12020</v>
      </c>
      <c r="B42" s="116" t="s">
        <v>625</v>
      </c>
    </row>
    <row r="43" spans="1:2" ht="15.75" x14ac:dyDescent="0.25">
      <c r="A43" s="414">
        <v>12030</v>
      </c>
      <c r="B43" s="116" t="s">
        <v>897</v>
      </c>
    </row>
    <row r="44" spans="1:2" ht="15.75" x14ac:dyDescent="0.25">
      <c r="A44" s="414">
        <v>12040</v>
      </c>
      <c r="B44" s="116" t="s">
        <v>2935</v>
      </c>
    </row>
    <row r="45" spans="1:2" ht="15.75" x14ac:dyDescent="0.25">
      <c r="A45" s="414">
        <v>12080</v>
      </c>
      <c r="B45" s="116" t="s">
        <v>646</v>
      </c>
    </row>
    <row r="46" spans="1:2" ht="15.75" x14ac:dyDescent="0.25">
      <c r="A46" s="414">
        <v>12090</v>
      </c>
      <c r="B46" s="116" t="s">
        <v>678</v>
      </c>
    </row>
    <row r="47" spans="1:2" ht="15.75" x14ac:dyDescent="0.25">
      <c r="A47" s="414">
        <v>12100</v>
      </c>
      <c r="B47" s="116" t="s">
        <v>647</v>
      </c>
    </row>
    <row r="48" spans="1:2" ht="15.75" x14ac:dyDescent="0.25">
      <c r="A48" s="414">
        <v>12130</v>
      </c>
      <c r="B48" s="415" t="s">
        <v>675</v>
      </c>
    </row>
    <row r="49" spans="1:2" ht="15.75" x14ac:dyDescent="0.25">
      <c r="A49" s="414">
        <v>12200</v>
      </c>
      <c r="B49" s="116" t="s">
        <v>638</v>
      </c>
    </row>
    <row r="50" spans="1:2" ht="15.75" x14ac:dyDescent="0.25">
      <c r="A50" s="414">
        <v>12210</v>
      </c>
      <c r="B50" s="116" t="s">
        <v>643</v>
      </c>
    </row>
    <row r="51" spans="1:2" ht="15.75" x14ac:dyDescent="0.25">
      <c r="A51" s="414">
        <v>12220</v>
      </c>
      <c r="B51" s="116" t="s">
        <v>635</v>
      </c>
    </row>
    <row r="52" spans="1:2" ht="15.75" x14ac:dyDescent="0.25">
      <c r="A52" s="414">
        <v>12240</v>
      </c>
      <c r="B52" s="116" t="s">
        <v>3086</v>
      </c>
    </row>
    <row r="53" spans="1:2" ht="31.5" x14ac:dyDescent="0.25">
      <c r="A53" s="414">
        <v>12241</v>
      </c>
      <c r="B53" s="619" t="s">
        <v>3083</v>
      </c>
    </row>
    <row r="54" spans="1:2" ht="15.75" x14ac:dyDescent="0.25">
      <c r="A54" s="414">
        <v>12250</v>
      </c>
      <c r="B54" s="415" t="s">
        <v>749</v>
      </c>
    </row>
    <row r="55" spans="1:2" ht="15.75" x14ac:dyDescent="0.25">
      <c r="A55" s="414">
        <v>12260</v>
      </c>
      <c r="B55" s="415" t="s">
        <v>2828</v>
      </c>
    </row>
    <row r="56" spans="1:2" ht="15.75" x14ac:dyDescent="0.25">
      <c r="A56" s="414">
        <v>12270</v>
      </c>
      <c r="B56" s="488" t="s">
        <v>3165</v>
      </c>
    </row>
    <row r="57" spans="1:2" ht="15.75" x14ac:dyDescent="0.25">
      <c r="A57" s="414">
        <v>12310</v>
      </c>
      <c r="B57" s="415" t="s">
        <v>1334</v>
      </c>
    </row>
    <row r="58" spans="1:2" ht="15.75" x14ac:dyDescent="0.25">
      <c r="A58" s="414">
        <v>12320</v>
      </c>
      <c r="B58" s="415" t="s">
        <v>1335</v>
      </c>
    </row>
    <row r="59" spans="1:2" ht="15.75" x14ac:dyDescent="0.25">
      <c r="A59" s="414">
        <v>12600</v>
      </c>
      <c r="B59" s="415" t="s">
        <v>3164</v>
      </c>
    </row>
    <row r="60" spans="1:2" ht="15.75" x14ac:dyDescent="0.25">
      <c r="A60" s="414">
        <v>12700</v>
      </c>
      <c r="B60" s="116" t="s">
        <v>730</v>
      </c>
    </row>
    <row r="61" spans="1:2" ht="15.75" x14ac:dyDescent="0.25">
      <c r="A61" s="414">
        <v>12710</v>
      </c>
      <c r="B61" s="116" t="s">
        <v>731</v>
      </c>
    </row>
    <row r="62" spans="1:2" ht="15.75" x14ac:dyDescent="0.25">
      <c r="A62" s="414">
        <v>12750</v>
      </c>
      <c r="B62" s="116" t="s">
        <v>846</v>
      </c>
    </row>
    <row r="63" spans="1:2" ht="15.75" x14ac:dyDescent="0.25">
      <c r="A63" s="414">
        <v>12800</v>
      </c>
      <c r="B63" s="116" t="s">
        <v>804</v>
      </c>
    </row>
    <row r="64" spans="1:2" ht="31.5" x14ac:dyDescent="0.25">
      <c r="A64" s="414">
        <v>12880</v>
      </c>
      <c r="B64" s="419" t="s">
        <v>673</v>
      </c>
    </row>
    <row r="65" spans="1:2" ht="15.75" x14ac:dyDescent="0.25">
      <c r="A65" s="414">
        <v>12900</v>
      </c>
      <c r="B65" s="116" t="s">
        <v>630</v>
      </c>
    </row>
    <row r="66" spans="1:2" ht="15.75" x14ac:dyDescent="0.25">
      <c r="A66" s="414">
        <v>13010</v>
      </c>
      <c r="B66" s="116" t="s">
        <v>688</v>
      </c>
    </row>
    <row r="67" spans="1:2" ht="15.75" x14ac:dyDescent="0.25">
      <c r="A67" s="414">
        <v>13050</v>
      </c>
      <c r="B67" s="415" t="s">
        <v>2829</v>
      </c>
    </row>
    <row r="68" spans="1:2" ht="15.75" x14ac:dyDescent="0.25">
      <c r="A68" s="414">
        <v>13110</v>
      </c>
      <c r="B68" s="116" t="s">
        <v>699</v>
      </c>
    </row>
    <row r="69" spans="1:2" ht="15.75" x14ac:dyDescent="0.25">
      <c r="A69" s="414">
        <v>13140</v>
      </c>
      <c r="B69" s="116" t="s">
        <v>3190</v>
      </c>
    </row>
    <row r="70" spans="1:2" ht="15.75" x14ac:dyDescent="0.25">
      <c r="A70" s="414">
        <v>13210</v>
      </c>
      <c r="B70" s="116" t="s">
        <v>700</v>
      </c>
    </row>
    <row r="71" spans="1:2" ht="15.75" x14ac:dyDescent="0.25">
      <c r="A71" s="414">
        <v>13310</v>
      </c>
      <c r="B71" s="116" t="s">
        <v>728</v>
      </c>
    </row>
    <row r="72" spans="1:2" ht="15.75" x14ac:dyDescent="0.25">
      <c r="A72" s="414">
        <v>13320</v>
      </c>
      <c r="B72" s="116" t="s">
        <v>732</v>
      </c>
    </row>
    <row r="73" spans="1:2" ht="15.75" x14ac:dyDescent="0.25">
      <c r="A73" s="414">
        <v>13330</v>
      </c>
      <c r="B73" s="415" t="s">
        <v>2830</v>
      </c>
    </row>
    <row r="74" spans="1:2" ht="15.75" x14ac:dyDescent="0.25">
      <c r="A74" s="414">
        <v>13340</v>
      </c>
      <c r="B74" s="415"/>
    </row>
    <row r="75" spans="1:2" ht="15.75" x14ac:dyDescent="0.25">
      <c r="A75" s="414">
        <v>13380</v>
      </c>
      <c r="B75" s="116" t="s">
        <v>2831</v>
      </c>
    </row>
    <row r="76" spans="1:2" ht="31.5" x14ac:dyDescent="0.25">
      <c r="A76" s="414">
        <v>13390</v>
      </c>
      <c r="B76" s="415" t="s">
        <v>2832</v>
      </c>
    </row>
    <row r="77" spans="1:2" ht="15.75" x14ac:dyDescent="0.25">
      <c r="A77" s="414">
        <v>13400</v>
      </c>
      <c r="B77" s="415"/>
    </row>
    <row r="78" spans="1:2" ht="15.75" x14ac:dyDescent="0.25">
      <c r="A78" s="414">
        <v>13510</v>
      </c>
      <c r="B78" s="415" t="s">
        <v>2833</v>
      </c>
    </row>
    <row r="79" spans="1:2" ht="15.75" x14ac:dyDescent="0.25">
      <c r="A79" s="414">
        <v>13710</v>
      </c>
      <c r="B79" s="415" t="s">
        <v>750</v>
      </c>
    </row>
    <row r="80" spans="1:2" ht="15.75" x14ac:dyDescent="0.25">
      <c r="A80" s="414">
        <v>13750</v>
      </c>
      <c r="B80" s="415" t="s">
        <v>752</v>
      </c>
    </row>
    <row r="81" spans="1:2" ht="15.75" x14ac:dyDescent="0.25">
      <c r="A81" s="414">
        <v>13810</v>
      </c>
      <c r="B81" s="116" t="s">
        <v>741</v>
      </c>
    </row>
    <row r="82" spans="1:2" ht="31.5" x14ac:dyDescent="0.25">
      <c r="A82" s="414">
        <v>13820</v>
      </c>
      <c r="B82" s="116" t="s">
        <v>829</v>
      </c>
    </row>
    <row r="83" spans="1:2" ht="15.75" x14ac:dyDescent="0.25">
      <c r="A83" s="414">
        <v>14010</v>
      </c>
      <c r="B83" s="116" t="s">
        <v>760</v>
      </c>
    </row>
    <row r="84" spans="1:2" ht="15.75" x14ac:dyDescent="0.25">
      <c r="A84" s="414">
        <v>14020</v>
      </c>
      <c r="B84" s="116" t="s">
        <v>2956</v>
      </c>
    </row>
    <row r="85" spans="1:2" ht="15.75" x14ac:dyDescent="0.25">
      <c r="A85" s="414">
        <v>14100</v>
      </c>
      <c r="B85" s="116" t="s">
        <v>2834</v>
      </c>
    </row>
    <row r="86" spans="1:2" ht="15.75" x14ac:dyDescent="0.25">
      <c r="A86" s="414">
        <v>14510</v>
      </c>
      <c r="B86" s="116" t="s">
        <v>825</v>
      </c>
    </row>
    <row r="87" spans="1:2" ht="15.75" x14ac:dyDescent="0.25">
      <c r="A87" s="414">
        <v>14530</v>
      </c>
      <c r="B87" s="116" t="s">
        <v>826</v>
      </c>
    </row>
    <row r="88" spans="1:2" ht="15.75" x14ac:dyDescent="0.25">
      <c r="A88" s="414">
        <v>14550</v>
      </c>
      <c r="B88" s="415"/>
    </row>
    <row r="89" spans="1:2" ht="15.75" x14ac:dyDescent="0.25">
      <c r="A89" s="414">
        <v>14560</v>
      </c>
      <c r="B89" s="116" t="s">
        <v>719</v>
      </c>
    </row>
    <row r="90" spans="1:2" ht="15.75" x14ac:dyDescent="0.25">
      <c r="A90" s="414">
        <v>14570</v>
      </c>
      <c r="B90" s="415" t="s">
        <v>2835</v>
      </c>
    </row>
    <row r="91" spans="1:2" ht="15.75" x14ac:dyDescent="0.25">
      <c r="A91" s="414">
        <v>14580</v>
      </c>
      <c r="B91" s="415"/>
    </row>
    <row r="92" spans="1:2" ht="15.75" x14ac:dyDescent="0.25">
      <c r="A92" s="414">
        <v>14880</v>
      </c>
      <c r="B92" s="415" t="s">
        <v>2958</v>
      </c>
    </row>
    <row r="93" spans="1:2" ht="15.75" x14ac:dyDescent="0.25">
      <c r="A93" s="414">
        <v>15010</v>
      </c>
      <c r="B93" s="415" t="s">
        <v>837</v>
      </c>
    </row>
    <row r="94" spans="1:2" ht="15.75" x14ac:dyDescent="0.25">
      <c r="A94" s="414">
        <v>15030</v>
      </c>
      <c r="B94" s="415" t="s">
        <v>2836</v>
      </c>
    </row>
    <row r="95" spans="1:2" ht="15.75" x14ac:dyDescent="0.25">
      <c r="A95" s="414">
        <v>15110</v>
      </c>
      <c r="B95" s="116" t="s">
        <v>842</v>
      </c>
    </row>
    <row r="96" spans="1:2" ht="15.75" x14ac:dyDescent="0.25">
      <c r="A96" s="414">
        <v>15130</v>
      </c>
      <c r="B96" s="116" t="s">
        <v>2837</v>
      </c>
    </row>
    <row r="97" spans="1:2" ht="15.75" x14ac:dyDescent="0.25">
      <c r="A97" s="414">
        <v>15210</v>
      </c>
      <c r="B97" s="116" t="s">
        <v>845</v>
      </c>
    </row>
    <row r="98" spans="1:2" ht="15.75" x14ac:dyDescent="0.25">
      <c r="A98" s="414">
        <v>15220</v>
      </c>
      <c r="B98" s="116" t="s">
        <v>820</v>
      </c>
    </row>
    <row r="99" spans="1:2" ht="15.75" x14ac:dyDescent="0.25">
      <c r="A99" s="414">
        <v>15250</v>
      </c>
      <c r="B99" s="415"/>
    </row>
    <row r="100" spans="1:2" ht="15.75" x14ac:dyDescent="0.25">
      <c r="A100" s="414">
        <v>15260</v>
      </c>
      <c r="B100" s="488" t="s">
        <v>3426</v>
      </c>
    </row>
    <row r="101" spans="1:2" ht="15.75" x14ac:dyDescent="0.25">
      <c r="A101" s="414">
        <v>15800</v>
      </c>
      <c r="B101" s="488" t="s">
        <v>3193</v>
      </c>
    </row>
    <row r="102" spans="1:2" ht="15.75" x14ac:dyDescent="0.25">
      <c r="A102" s="414">
        <v>16010</v>
      </c>
      <c r="B102" s="116" t="s">
        <v>769</v>
      </c>
    </row>
    <row r="103" spans="1:2" ht="15.75" x14ac:dyDescent="0.25">
      <c r="A103" s="413">
        <v>16050</v>
      </c>
      <c r="B103" s="696" t="s">
        <v>3355</v>
      </c>
    </row>
    <row r="104" spans="1:2" ht="15.75" x14ac:dyDescent="0.25">
      <c r="A104" s="414">
        <v>16110</v>
      </c>
      <c r="B104" s="415"/>
    </row>
    <row r="105" spans="1:2" ht="15.75" x14ac:dyDescent="0.25">
      <c r="A105" s="414">
        <v>16150</v>
      </c>
      <c r="B105" s="116" t="s">
        <v>697</v>
      </c>
    </row>
    <row r="106" spans="1:2" ht="15.75" x14ac:dyDescent="0.25">
      <c r="A106" s="414">
        <v>16151</v>
      </c>
      <c r="B106" s="116" t="s">
        <v>3411</v>
      </c>
    </row>
    <row r="107" spans="1:2" ht="31.5" x14ac:dyDescent="0.25">
      <c r="A107" s="414">
        <v>16160</v>
      </c>
      <c r="B107" s="116" t="s">
        <v>3440</v>
      </c>
    </row>
    <row r="108" spans="1:2" ht="15.75" x14ac:dyDescent="0.25">
      <c r="A108" s="414">
        <v>16210</v>
      </c>
      <c r="B108" s="116" t="s">
        <v>787</v>
      </c>
    </row>
    <row r="109" spans="1:2" ht="15.75" x14ac:dyDescent="0.25">
      <c r="A109" s="414">
        <v>16220</v>
      </c>
      <c r="B109" s="116" t="s">
        <v>788</v>
      </c>
    </row>
    <row r="110" spans="1:2" ht="21" customHeight="1" x14ac:dyDescent="0.25">
      <c r="A110" s="414">
        <v>16250</v>
      </c>
      <c r="B110" s="116" t="s">
        <v>834</v>
      </c>
    </row>
    <row r="111" spans="1:2" ht="21" customHeight="1" x14ac:dyDescent="0.25">
      <c r="A111" s="414">
        <v>21236</v>
      </c>
      <c r="B111" s="116" t="s">
        <v>3417</v>
      </c>
    </row>
    <row r="112" spans="1:2" ht="21" customHeight="1" x14ac:dyDescent="0.25">
      <c r="A112" s="414">
        <v>22446</v>
      </c>
      <c r="B112" s="116" t="s">
        <v>2841</v>
      </c>
    </row>
    <row r="113" spans="1:2" ht="35.25" customHeight="1" x14ac:dyDescent="0.25">
      <c r="A113" s="414">
        <v>23906</v>
      </c>
      <c r="B113" s="116" t="s">
        <v>3450</v>
      </c>
    </row>
    <row r="114" spans="1:2" ht="35.25" customHeight="1" x14ac:dyDescent="0.25">
      <c r="A114" s="414">
        <v>25356</v>
      </c>
      <c r="B114" s="116" t="s">
        <v>3419</v>
      </c>
    </row>
    <row r="115" spans="1:2" ht="35.25" customHeight="1" x14ac:dyDescent="0.25">
      <c r="A115" s="414">
        <v>25626</v>
      </c>
      <c r="B115" s="116" t="s">
        <v>3301</v>
      </c>
    </row>
    <row r="116" spans="1:2" ht="18.75" customHeight="1" x14ac:dyDescent="0.25">
      <c r="A116" s="414">
        <v>29016</v>
      </c>
      <c r="B116" s="417" t="s">
        <v>628</v>
      </c>
    </row>
    <row r="117" spans="1:2" ht="31.5" x14ac:dyDescent="0.25">
      <c r="A117" s="414">
        <v>29026</v>
      </c>
      <c r="B117" s="116" t="s">
        <v>679</v>
      </c>
    </row>
    <row r="118" spans="1:2" ht="31.5" x14ac:dyDescent="0.25">
      <c r="A118" s="414">
        <v>29036</v>
      </c>
      <c r="B118" s="116" t="s">
        <v>2838</v>
      </c>
    </row>
    <row r="119" spans="1:2" ht="15.75" x14ac:dyDescent="0.25">
      <c r="A119" s="414">
        <v>29046</v>
      </c>
      <c r="B119" s="733" t="s">
        <v>3178</v>
      </c>
    </row>
    <row r="120" spans="1:2" ht="15.75" x14ac:dyDescent="0.25">
      <c r="A120" s="414">
        <v>29056</v>
      </c>
      <c r="B120" s="733" t="s">
        <v>2839</v>
      </c>
    </row>
    <row r="121" spans="1:2" ht="15.75" x14ac:dyDescent="0.25">
      <c r="A121" s="414">
        <v>29066</v>
      </c>
      <c r="B121" s="733" t="s">
        <v>3179</v>
      </c>
    </row>
    <row r="122" spans="1:2" ht="15.75" x14ac:dyDescent="0.25">
      <c r="A122" s="414">
        <v>29076</v>
      </c>
      <c r="B122" s="16" t="s">
        <v>2840</v>
      </c>
    </row>
    <row r="123" spans="1:2" ht="23.25" customHeight="1" x14ac:dyDescent="0.25">
      <c r="A123" s="414">
        <v>29086</v>
      </c>
      <c r="B123" s="16" t="s">
        <v>2841</v>
      </c>
    </row>
    <row r="124" spans="1:2" ht="15.75" x14ac:dyDescent="0.25">
      <c r="A124" s="414">
        <v>29096</v>
      </c>
      <c r="B124" s="16" t="s">
        <v>2842</v>
      </c>
    </row>
    <row r="125" spans="1:2" ht="15.75" x14ac:dyDescent="0.25">
      <c r="A125" s="414">
        <v>29106</v>
      </c>
      <c r="B125" s="732" t="s">
        <v>2843</v>
      </c>
    </row>
    <row r="126" spans="1:2" ht="31.5" x14ac:dyDescent="0.25">
      <c r="A126" s="414">
        <v>29116</v>
      </c>
      <c r="B126" s="116" t="s">
        <v>2844</v>
      </c>
    </row>
    <row r="127" spans="1:2" ht="31.5" x14ac:dyDescent="0.25">
      <c r="A127" s="414">
        <v>29126</v>
      </c>
      <c r="B127" s="16" t="s">
        <v>2845</v>
      </c>
    </row>
    <row r="128" spans="1:2" ht="31.5" x14ac:dyDescent="0.25">
      <c r="A128" s="414">
        <v>29136</v>
      </c>
      <c r="B128" s="16" t="s">
        <v>2846</v>
      </c>
    </row>
    <row r="129" spans="1:2" ht="15.75" x14ac:dyDescent="0.25">
      <c r="A129" s="414">
        <v>29146</v>
      </c>
      <c r="B129" s="16" t="s">
        <v>2847</v>
      </c>
    </row>
    <row r="130" spans="1:2" ht="15.75" x14ac:dyDescent="0.25">
      <c r="A130" s="414">
        <v>29156</v>
      </c>
      <c r="B130" s="106" t="s">
        <v>2848</v>
      </c>
    </row>
    <row r="131" spans="1:2" ht="15.75" x14ac:dyDescent="0.25">
      <c r="A131" s="414">
        <v>29166</v>
      </c>
      <c r="B131" s="16" t="s">
        <v>2849</v>
      </c>
    </row>
    <row r="132" spans="1:2" ht="15.75" x14ac:dyDescent="0.25">
      <c r="A132" s="414">
        <v>29176</v>
      </c>
      <c r="B132" s="16" t="s">
        <v>3445</v>
      </c>
    </row>
    <row r="133" spans="1:2" ht="31.5" x14ac:dyDescent="0.25">
      <c r="A133" s="414">
        <v>29186</v>
      </c>
      <c r="B133" s="16" t="s">
        <v>2850</v>
      </c>
    </row>
    <row r="134" spans="1:2" ht="15.75" x14ac:dyDescent="0.25">
      <c r="A134" s="414">
        <v>29196</v>
      </c>
      <c r="B134" s="16" t="s">
        <v>2851</v>
      </c>
    </row>
    <row r="135" spans="1:2" ht="15.75" x14ac:dyDescent="0.25">
      <c r="A135" s="414">
        <v>29206</v>
      </c>
      <c r="B135" s="16" t="s">
        <v>2940</v>
      </c>
    </row>
    <row r="136" spans="1:2" ht="19.5" customHeight="1" x14ac:dyDescent="0.25">
      <c r="A136" s="414">
        <v>29216</v>
      </c>
      <c r="B136" s="16" t="s">
        <v>2852</v>
      </c>
    </row>
    <row r="137" spans="1:2" ht="15.75" x14ac:dyDescent="0.25">
      <c r="A137" s="414">
        <v>29226</v>
      </c>
      <c r="B137" s="16" t="s">
        <v>2853</v>
      </c>
    </row>
    <row r="138" spans="1:2" ht="15.75" x14ac:dyDescent="0.25">
      <c r="A138" s="414">
        <v>29236</v>
      </c>
      <c r="B138" s="16" t="s">
        <v>2854</v>
      </c>
    </row>
    <row r="139" spans="1:2" ht="15.75" x14ac:dyDescent="0.25">
      <c r="A139" s="414">
        <v>29246</v>
      </c>
      <c r="B139" s="16" t="s">
        <v>2855</v>
      </c>
    </row>
    <row r="140" spans="1:2" ht="15.75" x14ac:dyDescent="0.25">
      <c r="A140" s="414">
        <v>29256</v>
      </c>
      <c r="B140" s="16" t="s">
        <v>3180</v>
      </c>
    </row>
    <row r="141" spans="1:2" ht="15.75" x14ac:dyDescent="0.25">
      <c r="A141" s="414">
        <v>29266</v>
      </c>
      <c r="B141" s="16" t="s">
        <v>3181</v>
      </c>
    </row>
    <row r="142" spans="1:2" ht="31.5" x14ac:dyDescent="0.25">
      <c r="A142" s="414">
        <v>29276</v>
      </c>
      <c r="B142" s="16" t="s">
        <v>2856</v>
      </c>
    </row>
    <row r="143" spans="1:2" ht="15.75" x14ac:dyDescent="0.25">
      <c r="A143" s="414">
        <v>29286</v>
      </c>
      <c r="B143" s="418" t="s">
        <v>2857</v>
      </c>
    </row>
    <row r="144" spans="1:2" ht="30" customHeight="1" x14ac:dyDescent="0.25">
      <c r="A144" s="414">
        <v>29296</v>
      </c>
      <c r="B144" s="418" t="s">
        <v>2858</v>
      </c>
    </row>
    <row r="145" spans="1:2" ht="15.75" x14ac:dyDescent="0.25">
      <c r="A145" s="414">
        <v>29306</v>
      </c>
      <c r="B145" s="732" t="s">
        <v>2859</v>
      </c>
    </row>
    <row r="146" spans="1:2" ht="15.75" x14ac:dyDescent="0.25">
      <c r="A146" s="414">
        <v>29316</v>
      </c>
      <c r="B146" s="16" t="s">
        <v>2860</v>
      </c>
    </row>
    <row r="147" spans="1:2" ht="15.75" x14ac:dyDescent="0.25">
      <c r="A147" s="414">
        <v>29326</v>
      </c>
      <c r="B147" s="16" t="s">
        <v>2861</v>
      </c>
    </row>
    <row r="148" spans="1:2" ht="15.75" x14ac:dyDescent="0.25">
      <c r="A148" s="414">
        <v>29336</v>
      </c>
      <c r="B148" s="733" t="s">
        <v>2862</v>
      </c>
    </row>
    <row r="149" spans="1:2" ht="15.75" x14ac:dyDescent="0.25">
      <c r="A149" s="414">
        <v>29346</v>
      </c>
      <c r="B149" s="16" t="s">
        <v>2863</v>
      </c>
    </row>
    <row r="150" spans="1:2" ht="15.75" x14ac:dyDescent="0.25">
      <c r="A150" s="414">
        <v>29356</v>
      </c>
      <c r="B150" s="733"/>
    </row>
    <row r="151" spans="1:2" ht="15.75" x14ac:dyDescent="0.25">
      <c r="A151" s="414">
        <v>29366</v>
      </c>
      <c r="B151" s="16" t="s">
        <v>2864</v>
      </c>
    </row>
    <row r="152" spans="1:2" ht="15.75" x14ac:dyDescent="0.25">
      <c r="A152" s="414">
        <v>29376</v>
      </c>
      <c r="B152" s="116" t="s">
        <v>2865</v>
      </c>
    </row>
    <row r="153" spans="1:2" ht="15.75" x14ac:dyDescent="0.25">
      <c r="A153" s="414">
        <v>29386</v>
      </c>
      <c r="B153" s="733" t="s">
        <v>2866</v>
      </c>
    </row>
    <row r="154" spans="1:2" ht="31.5" x14ac:dyDescent="0.25">
      <c r="A154" s="414">
        <v>29396</v>
      </c>
      <c r="B154" s="116" t="s">
        <v>2867</v>
      </c>
    </row>
    <row r="155" spans="1:2" ht="31.5" x14ac:dyDescent="0.25">
      <c r="A155" s="414">
        <v>29406</v>
      </c>
      <c r="B155" s="418" t="s">
        <v>2868</v>
      </c>
    </row>
    <row r="156" spans="1:2" ht="44.25" customHeight="1" x14ac:dyDescent="0.25">
      <c r="A156" s="414">
        <v>29416</v>
      </c>
      <c r="B156" s="116" t="s">
        <v>2869</v>
      </c>
    </row>
    <row r="157" spans="1:2" ht="15.75" x14ac:dyDescent="0.25">
      <c r="A157" s="414">
        <v>29426</v>
      </c>
      <c r="B157" s="733" t="s">
        <v>2870</v>
      </c>
    </row>
    <row r="158" spans="1:2" ht="15.75" x14ac:dyDescent="0.25">
      <c r="A158" s="414">
        <v>29436</v>
      </c>
      <c r="B158" s="116" t="s">
        <v>2871</v>
      </c>
    </row>
    <row r="159" spans="1:2" ht="31.5" x14ac:dyDescent="0.25">
      <c r="A159" s="414">
        <v>29446</v>
      </c>
      <c r="B159" s="116" t="s">
        <v>2872</v>
      </c>
    </row>
    <row r="160" spans="1:2" ht="15.75" x14ac:dyDescent="0.25">
      <c r="A160" s="414">
        <v>29456</v>
      </c>
      <c r="B160" s="417"/>
    </row>
    <row r="161" spans="1:2" ht="15.75" x14ac:dyDescent="0.25">
      <c r="A161" s="414">
        <v>29466</v>
      </c>
      <c r="B161" s="417" t="s">
        <v>2873</v>
      </c>
    </row>
    <row r="162" spans="1:2" ht="15.75" x14ac:dyDescent="0.25">
      <c r="A162" s="414">
        <v>29476</v>
      </c>
      <c r="B162" s="733" t="s">
        <v>3182</v>
      </c>
    </row>
    <row r="163" spans="1:2" ht="15.75" x14ac:dyDescent="0.25">
      <c r="A163" s="414">
        <v>29486</v>
      </c>
      <c r="B163" s="733" t="s">
        <v>2874</v>
      </c>
    </row>
    <row r="164" spans="1:2" ht="15.75" x14ac:dyDescent="0.25">
      <c r="A164" s="414">
        <v>29496</v>
      </c>
      <c r="B164" s="732" t="s">
        <v>2875</v>
      </c>
    </row>
    <row r="165" spans="1:2" ht="15.75" x14ac:dyDescent="0.25">
      <c r="A165" s="414">
        <v>29506</v>
      </c>
      <c r="B165" s="418" t="s">
        <v>2876</v>
      </c>
    </row>
    <row r="166" spans="1:2" ht="15.75" x14ac:dyDescent="0.25">
      <c r="A166" s="414">
        <v>29516</v>
      </c>
      <c r="B166" s="418" t="s">
        <v>3123</v>
      </c>
    </row>
    <row r="167" spans="1:2" ht="15.75" x14ac:dyDescent="0.25">
      <c r="A167" s="414">
        <v>29526</v>
      </c>
      <c r="B167" s="418" t="s">
        <v>3252</v>
      </c>
    </row>
    <row r="168" spans="1:2" ht="15.75" x14ac:dyDescent="0.25">
      <c r="A168" s="414">
        <v>29536</v>
      </c>
      <c r="B168" s="418" t="s">
        <v>3335</v>
      </c>
    </row>
    <row r="169" spans="1:2" ht="31.5" x14ac:dyDescent="0.25">
      <c r="A169" s="414">
        <v>29556</v>
      </c>
      <c r="B169" s="418" t="s">
        <v>3453</v>
      </c>
    </row>
    <row r="170" spans="1:2" ht="15.75" x14ac:dyDescent="0.25">
      <c r="A170" s="414">
        <v>29566</v>
      </c>
      <c r="B170" s="418" t="s">
        <v>3122</v>
      </c>
    </row>
    <row r="171" spans="1:2" ht="31.5" x14ac:dyDescent="0.25">
      <c r="A171" s="414">
        <v>29576</v>
      </c>
      <c r="B171" s="116" t="s">
        <v>3271</v>
      </c>
    </row>
    <row r="172" spans="1:2" ht="31.5" x14ac:dyDescent="0.25">
      <c r="A172" s="414">
        <v>29586</v>
      </c>
      <c r="B172" s="418" t="s">
        <v>3270</v>
      </c>
    </row>
    <row r="173" spans="1:2" ht="15.75" x14ac:dyDescent="0.25">
      <c r="A173" s="414">
        <v>29596</v>
      </c>
      <c r="B173" s="732" t="s">
        <v>3278</v>
      </c>
    </row>
    <row r="174" spans="1:2" ht="15.75" x14ac:dyDescent="0.25">
      <c r="A174" s="414">
        <v>29606</v>
      </c>
      <c r="B174" s="116" t="s">
        <v>3275</v>
      </c>
    </row>
    <row r="175" spans="1:2" ht="15.75" x14ac:dyDescent="0.25">
      <c r="A175" s="414">
        <v>29616</v>
      </c>
      <c r="B175" s="732" t="s">
        <v>3279</v>
      </c>
    </row>
    <row r="176" spans="1:2" ht="15.75" x14ac:dyDescent="0.25">
      <c r="A176" s="414">
        <v>29626</v>
      </c>
      <c r="B176" s="116" t="s">
        <v>3273</v>
      </c>
    </row>
    <row r="177" spans="1:2" ht="15.75" x14ac:dyDescent="0.25">
      <c r="A177" s="414">
        <v>29636</v>
      </c>
      <c r="B177" s="732" t="s">
        <v>3277</v>
      </c>
    </row>
    <row r="178" spans="1:2" ht="15.75" x14ac:dyDescent="0.25">
      <c r="A178" s="414">
        <v>29646</v>
      </c>
      <c r="B178" s="418" t="s">
        <v>3276</v>
      </c>
    </row>
    <row r="179" spans="1:2" ht="15.75" x14ac:dyDescent="0.25">
      <c r="A179" s="414">
        <v>29656</v>
      </c>
      <c r="B179" s="417" t="s">
        <v>3423</v>
      </c>
    </row>
    <row r="180" spans="1:2" ht="15.75" x14ac:dyDescent="0.25">
      <c r="A180" s="414">
        <v>29666</v>
      </c>
      <c r="B180" s="417" t="s">
        <v>3280</v>
      </c>
    </row>
    <row r="181" spans="1:2" ht="31.5" x14ac:dyDescent="0.25">
      <c r="A181" s="414">
        <v>29676</v>
      </c>
      <c r="B181" s="116" t="s">
        <v>3274</v>
      </c>
    </row>
    <row r="182" spans="1:2" ht="15.75" x14ac:dyDescent="0.25">
      <c r="A182" s="414">
        <v>29686</v>
      </c>
      <c r="B182" s="116" t="s">
        <v>3272</v>
      </c>
    </row>
    <row r="183" spans="1:2" ht="15.75" x14ac:dyDescent="0.25">
      <c r="A183" s="414">
        <v>29696</v>
      </c>
      <c r="B183" s="116" t="s">
        <v>3269</v>
      </c>
    </row>
    <row r="184" spans="1:2" ht="15.75" x14ac:dyDescent="0.25">
      <c r="A184" s="414">
        <v>29706</v>
      </c>
      <c r="B184" s="116" t="s">
        <v>3268</v>
      </c>
    </row>
    <row r="185" spans="1:2" ht="15.75" x14ac:dyDescent="0.25">
      <c r="A185" s="414">
        <v>29716</v>
      </c>
      <c r="B185" s="116" t="s">
        <v>3364</v>
      </c>
    </row>
    <row r="186" spans="1:2" ht="31.5" x14ac:dyDescent="0.25">
      <c r="A186" s="414">
        <v>29726</v>
      </c>
      <c r="B186" s="418" t="s">
        <v>3363</v>
      </c>
    </row>
    <row r="187" spans="1:2" ht="15.75" x14ac:dyDescent="0.25">
      <c r="A187" s="414">
        <v>29736</v>
      </c>
      <c r="B187" s="418"/>
    </row>
    <row r="188" spans="1:2" ht="15.75" x14ac:dyDescent="0.25">
      <c r="A188" s="414">
        <v>29746</v>
      </c>
      <c r="B188" s="418"/>
    </row>
    <row r="189" spans="1:2" ht="15.75" x14ac:dyDescent="0.25">
      <c r="A189" s="414">
        <v>29756</v>
      </c>
      <c r="B189" s="417" t="s">
        <v>3424</v>
      </c>
    </row>
    <row r="190" spans="1:2" ht="15.75" x14ac:dyDescent="0.25">
      <c r="A190" s="414"/>
      <c r="B190" s="734"/>
    </row>
    <row r="191" spans="1:2" ht="15.75" x14ac:dyDescent="0.25">
      <c r="A191" s="414"/>
      <c r="B191" s="418"/>
    </row>
    <row r="192" spans="1:2" ht="15.75" x14ac:dyDescent="0.25">
      <c r="A192" s="414"/>
      <c r="B192" s="418"/>
    </row>
    <row r="193" spans="1:2" ht="15.75" x14ac:dyDescent="0.25">
      <c r="A193" s="414"/>
      <c r="B193" s="418"/>
    </row>
    <row r="194" spans="1:2" ht="15.75" x14ac:dyDescent="0.25">
      <c r="A194" s="414"/>
      <c r="B194" s="418"/>
    </row>
    <row r="195" spans="1:2" ht="15.75" x14ac:dyDescent="0.25">
      <c r="A195" s="414">
        <v>50130</v>
      </c>
      <c r="B195" s="415" t="s">
        <v>1397</v>
      </c>
    </row>
    <row r="196" spans="1:2" ht="47.25" x14ac:dyDescent="0.25">
      <c r="A196" s="414">
        <v>50650</v>
      </c>
      <c r="B196" s="415" t="s">
        <v>709</v>
      </c>
    </row>
    <row r="197" spans="1:2" ht="31.5" x14ac:dyDescent="0.25">
      <c r="A197" s="414">
        <v>50840</v>
      </c>
      <c r="B197" s="415" t="s">
        <v>789</v>
      </c>
    </row>
    <row r="198" spans="1:2" ht="15.75" x14ac:dyDescent="0.25">
      <c r="A198" s="414">
        <v>51180</v>
      </c>
      <c r="B198" s="116" t="s">
        <v>800</v>
      </c>
    </row>
    <row r="199" spans="1:2" ht="31.5" x14ac:dyDescent="0.25">
      <c r="A199" s="414">
        <v>51190</v>
      </c>
      <c r="B199" s="415" t="s">
        <v>2877</v>
      </c>
    </row>
    <row r="200" spans="1:2" ht="31.5" x14ac:dyDescent="0.25">
      <c r="A200" s="414">
        <v>51200</v>
      </c>
      <c r="B200" s="116" t="s">
        <v>629</v>
      </c>
    </row>
    <row r="201" spans="1:2" ht="15.75" x14ac:dyDescent="0.25">
      <c r="A201" s="414">
        <v>51370</v>
      </c>
      <c r="B201" s="116" t="s">
        <v>773</v>
      </c>
    </row>
    <row r="202" spans="1:2" ht="15.75" x14ac:dyDescent="0.25">
      <c r="A202" s="414">
        <v>51440</v>
      </c>
      <c r="B202" s="415" t="s">
        <v>2878</v>
      </c>
    </row>
    <row r="203" spans="1:2" ht="31.5" x14ac:dyDescent="0.25">
      <c r="A203" s="414">
        <v>52200</v>
      </c>
      <c r="B203" s="116" t="s">
        <v>774</v>
      </c>
    </row>
    <row r="204" spans="1:2" ht="31.5" x14ac:dyDescent="0.25">
      <c r="A204" s="414">
        <v>52400</v>
      </c>
      <c r="B204" s="116" t="s">
        <v>775</v>
      </c>
    </row>
    <row r="205" spans="1:2" ht="15.75" x14ac:dyDescent="0.25">
      <c r="A205" s="414">
        <v>52500</v>
      </c>
      <c r="B205" s="116" t="s">
        <v>776</v>
      </c>
    </row>
    <row r="206" spans="1:2" ht="31.5" x14ac:dyDescent="0.25">
      <c r="A206" s="414">
        <v>52600</v>
      </c>
      <c r="B206" s="415" t="s">
        <v>755</v>
      </c>
    </row>
    <row r="207" spans="1:2" ht="47.25" x14ac:dyDescent="0.25">
      <c r="A207" s="414">
        <v>52700</v>
      </c>
      <c r="B207" s="415" t="s">
        <v>790</v>
      </c>
    </row>
    <row r="208" spans="1:2" ht="47.25" x14ac:dyDescent="0.25">
      <c r="A208" s="414">
        <v>53800</v>
      </c>
      <c r="B208" s="415" t="s">
        <v>2879</v>
      </c>
    </row>
    <row r="209" spans="1:2" ht="31.5" x14ac:dyDescent="0.25">
      <c r="A209" s="414">
        <v>53810</v>
      </c>
      <c r="B209" s="116" t="s">
        <v>777</v>
      </c>
    </row>
    <row r="210" spans="1:2" ht="31.5" x14ac:dyDescent="0.25">
      <c r="A210" s="414">
        <v>53850</v>
      </c>
      <c r="B210" s="116" t="s">
        <v>778</v>
      </c>
    </row>
    <row r="211" spans="1:2" ht="15.75" x14ac:dyDescent="0.25">
      <c r="A211" s="414">
        <v>53910</v>
      </c>
      <c r="B211" s="116" t="s">
        <v>648</v>
      </c>
    </row>
    <row r="212" spans="1:2" ht="31.5" x14ac:dyDescent="0.25">
      <c r="A212" s="414">
        <v>54620</v>
      </c>
      <c r="B212" s="116" t="s">
        <v>2920</v>
      </c>
    </row>
    <row r="213" spans="1:2" ht="31.5" x14ac:dyDescent="0.25">
      <c r="A213" s="414">
        <v>55730</v>
      </c>
      <c r="B213" s="116" t="s">
        <v>3326</v>
      </c>
    </row>
    <row r="214" spans="1:2" ht="15.75" x14ac:dyDescent="0.25">
      <c r="A214" s="414">
        <v>59300</v>
      </c>
      <c r="B214" s="116" t="s">
        <v>649</v>
      </c>
    </row>
    <row r="215" spans="1:2" ht="31.5" x14ac:dyDescent="0.25">
      <c r="A215" s="414">
        <v>70430</v>
      </c>
      <c r="B215" s="415" t="s">
        <v>756</v>
      </c>
    </row>
    <row r="216" spans="1:2" ht="31.5" x14ac:dyDescent="0.25">
      <c r="A216" s="414">
        <v>70460</v>
      </c>
      <c r="B216" s="415" t="s">
        <v>757</v>
      </c>
    </row>
    <row r="217" spans="1:2" ht="31.5" x14ac:dyDescent="0.25">
      <c r="A217" s="414">
        <v>70470</v>
      </c>
      <c r="B217" s="415" t="s">
        <v>733</v>
      </c>
    </row>
    <row r="218" spans="1:2" ht="15.75" x14ac:dyDescent="0.25">
      <c r="A218" s="414">
        <v>70480</v>
      </c>
      <c r="B218" s="415" t="s">
        <v>2880</v>
      </c>
    </row>
    <row r="219" spans="1:2" ht="15.75" x14ac:dyDescent="0.25">
      <c r="A219" s="414">
        <v>70500</v>
      </c>
      <c r="B219" s="415" t="s">
        <v>758</v>
      </c>
    </row>
    <row r="220" spans="1:2" ht="31.5" x14ac:dyDescent="0.25">
      <c r="A220" s="414">
        <v>70510</v>
      </c>
      <c r="B220" s="415" t="s">
        <v>690</v>
      </c>
    </row>
    <row r="221" spans="1:2" ht="15.75" x14ac:dyDescent="0.25">
      <c r="A221" s="414">
        <v>70520</v>
      </c>
      <c r="B221" s="415" t="s">
        <v>701</v>
      </c>
    </row>
    <row r="222" spans="1:2" ht="31.5" x14ac:dyDescent="0.25">
      <c r="A222" s="414">
        <v>70530</v>
      </c>
      <c r="B222" s="415" t="s">
        <v>702</v>
      </c>
    </row>
    <row r="223" spans="1:2" ht="15.75" x14ac:dyDescent="0.25">
      <c r="A223" s="414">
        <v>70550</v>
      </c>
      <c r="B223" s="415" t="s">
        <v>737</v>
      </c>
    </row>
    <row r="224" spans="1:2" ht="31.5" x14ac:dyDescent="0.25">
      <c r="A224" s="414">
        <v>70560</v>
      </c>
      <c r="B224" s="415" t="s">
        <v>2881</v>
      </c>
    </row>
    <row r="225" spans="1:2" ht="31.5" x14ac:dyDescent="0.25">
      <c r="A225" s="414">
        <v>70570</v>
      </c>
      <c r="B225" s="415" t="s">
        <v>2882</v>
      </c>
    </row>
    <row r="226" spans="1:2" ht="31.5" x14ac:dyDescent="0.25">
      <c r="A226" s="414">
        <v>70650</v>
      </c>
      <c r="B226" s="116" t="s">
        <v>827</v>
      </c>
    </row>
    <row r="227" spans="1:2" ht="31.5" x14ac:dyDescent="0.25">
      <c r="A227" s="414">
        <v>70660</v>
      </c>
      <c r="B227" s="415" t="s">
        <v>2883</v>
      </c>
    </row>
    <row r="228" spans="1:2" ht="15.75" x14ac:dyDescent="0.25">
      <c r="A228" s="414">
        <v>70670</v>
      </c>
      <c r="B228" s="415" t="s">
        <v>2884</v>
      </c>
    </row>
    <row r="229" spans="1:2" ht="31.5" x14ac:dyDescent="0.25">
      <c r="A229" s="414">
        <v>70740</v>
      </c>
      <c r="B229" s="116" t="s">
        <v>779</v>
      </c>
    </row>
    <row r="230" spans="1:2" ht="31.5" x14ac:dyDescent="0.25">
      <c r="A230" s="414">
        <v>70750</v>
      </c>
      <c r="B230" s="116" t="s">
        <v>780</v>
      </c>
    </row>
    <row r="231" spans="1:2" ht="31.5" x14ac:dyDescent="0.25">
      <c r="A231" s="414">
        <v>70830</v>
      </c>
      <c r="B231" s="415" t="s">
        <v>791</v>
      </c>
    </row>
    <row r="232" spans="1:2" ht="31.5" x14ac:dyDescent="0.25">
      <c r="A232" s="414">
        <v>70840</v>
      </c>
      <c r="B232" s="116" t="s">
        <v>781</v>
      </c>
    </row>
    <row r="233" spans="1:2" ht="47.25" x14ac:dyDescent="0.25">
      <c r="A233" s="414">
        <v>70850</v>
      </c>
      <c r="B233" s="116" t="s">
        <v>772</v>
      </c>
    </row>
    <row r="234" spans="1:2" ht="15.75" x14ac:dyDescent="0.25">
      <c r="A234" s="414">
        <v>70860</v>
      </c>
      <c r="B234" s="116" t="s">
        <v>782</v>
      </c>
    </row>
    <row r="235" spans="1:2" ht="31.5" x14ac:dyDescent="0.25">
      <c r="A235" s="414">
        <v>70870</v>
      </c>
      <c r="B235" s="415" t="s">
        <v>792</v>
      </c>
    </row>
    <row r="236" spans="1:2" ht="15.75" x14ac:dyDescent="0.25">
      <c r="A236" s="414">
        <v>70890</v>
      </c>
      <c r="B236" s="116" t="s">
        <v>783</v>
      </c>
    </row>
    <row r="237" spans="1:2" ht="15.75" x14ac:dyDescent="0.25">
      <c r="A237" s="414">
        <v>70920</v>
      </c>
      <c r="B237" s="415" t="s">
        <v>2835</v>
      </c>
    </row>
    <row r="238" spans="1:2" ht="31.5" x14ac:dyDescent="0.25">
      <c r="A238" s="414">
        <v>70930</v>
      </c>
      <c r="B238" s="415" t="s">
        <v>2885</v>
      </c>
    </row>
    <row r="239" spans="1:2" ht="31.5" x14ac:dyDescent="0.25">
      <c r="A239" s="414">
        <v>70970</v>
      </c>
      <c r="B239" s="415" t="s">
        <v>759</v>
      </c>
    </row>
    <row r="240" spans="1:2" ht="15.75" x14ac:dyDescent="0.25">
      <c r="A240" s="414">
        <v>70990</v>
      </c>
      <c r="B240" s="415" t="s">
        <v>2886</v>
      </c>
    </row>
    <row r="241" spans="1:2" ht="31.5" x14ac:dyDescent="0.25">
      <c r="A241" s="414">
        <v>71000</v>
      </c>
      <c r="B241" s="488" t="s">
        <v>710</v>
      </c>
    </row>
    <row r="242" spans="1:2" ht="15.75" x14ac:dyDescent="0.25">
      <c r="A242" s="414">
        <v>71010</v>
      </c>
      <c r="B242" s="415" t="s">
        <v>2887</v>
      </c>
    </row>
    <row r="243" spans="1:2" ht="31.5" x14ac:dyDescent="0.25">
      <c r="A243" s="414">
        <v>71060</v>
      </c>
      <c r="B243" s="488" t="s">
        <v>711</v>
      </c>
    </row>
    <row r="244" spans="1:2" ht="31.5" x14ac:dyDescent="0.25">
      <c r="A244" s="414">
        <v>71160</v>
      </c>
      <c r="B244" s="415" t="s">
        <v>2888</v>
      </c>
    </row>
    <row r="245" spans="1:2" ht="31.5" x14ac:dyDescent="0.25">
      <c r="A245" s="414">
        <v>71170</v>
      </c>
      <c r="B245" s="415" t="s">
        <v>2889</v>
      </c>
    </row>
    <row r="246" spans="1:2" ht="31.5" x14ac:dyDescent="0.25">
      <c r="A246" s="414">
        <v>71180</v>
      </c>
      <c r="B246" s="415" t="s">
        <v>2890</v>
      </c>
    </row>
    <row r="247" spans="1:2" ht="31.5" x14ac:dyDescent="0.25">
      <c r="A247" s="414">
        <v>71190</v>
      </c>
      <c r="B247" s="415" t="s">
        <v>2891</v>
      </c>
    </row>
    <row r="248" spans="1:2" ht="31.5" x14ac:dyDescent="0.25">
      <c r="A248" s="414">
        <v>71230</v>
      </c>
      <c r="B248" s="488" t="s">
        <v>2892</v>
      </c>
    </row>
    <row r="249" spans="1:2" ht="31.5" x14ac:dyDescent="0.25">
      <c r="A249" s="414">
        <v>71236</v>
      </c>
      <c r="B249" s="488" t="s">
        <v>3418</v>
      </c>
    </row>
    <row r="250" spans="1:2" ht="31.5" x14ac:dyDescent="0.25">
      <c r="A250" s="414">
        <v>71430</v>
      </c>
      <c r="B250" s="415" t="s">
        <v>726</v>
      </c>
    </row>
    <row r="251" spans="1:2" ht="15.75" x14ac:dyDescent="0.25">
      <c r="A251" s="414">
        <v>71450</v>
      </c>
      <c r="B251" s="488" t="s">
        <v>2893</v>
      </c>
    </row>
    <row r="252" spans="1:2" ht="15.75" x14ac:dyDescent="0.25">
      <c r="A252" s="414">
        <v>71690</v>
      </c>
      <c r="B252" s="116" t="s">
        <v>838</v>
      </c>
    </row>
    <row r="253" spans="1:2" ht="15.75" x14ac:dyDescent="0.25">
      <c r="A253" s="414">
        <v>71700</v>
      </c>
      <c r="B253" s="415" t="s">
        <v>2894</v>
      </c>
    </row>
    <row r="254" spans="1:2" ht="31.5" x14ac:dyDescent="0.25">
      <c r="A254" s="414">
        <v>71750</v>
      </c>
      <c r="B254" s="488" t="s">
        <v>103</v>
      </c>
    </row>
    <row r="255" spans="1:2" ht="15.75" x14ac:dyDescent="0.25">
      <c r="A255" s="414">
        <v>71756</v>
      </c>
      <c r="B255" s="488" t="s">
        <v>3412</v>
      </c>
    </row>
    <row r="256" spans="1:2" ht="31.5" x14ac:dyDescent="0.25">
      <c r="A256" s="414">
        <v>71860</v>
      </c>
      <c r="B256" s="116" t="s">
        <v>2895</v>
      </c>
    </row>
    <row r="257" spans="1:2" ht="15.75" x14ac:dyDescent="0.25">
      <c r="A257" s="414">
        <v>72010</v>
      </c>
      <c r="B257" s="116" t="s">
        <v>2896</v>
      </c>
    </row>
    <row r="258" spans="1:2" ht="31.5" x14ac:dyDescent="0.25">
      <c r="A258" s="414">
        <v>72040</v>
      </c>
      <c r="B258" s="415" t="s">
        <v>2897</v>
      </c>
    </row>
    <row r="259" spans="1:2" ht="15.75" x14ac:dyDescent="0.25">
      <c r="A259" s="414">
        <v>72150</v>
      </c>
      <c r="B259" s="116" t="s">
        <v>2898</v>
      </c>
    </row>
    <row r="260" spans="1:2" ht="31.5" x14ac:dyDescent="0.25">
      <c r="A260" s="414">
        <v>72170</v>
      </c>
      <c r="B260" s="116" t="s">
        <v>2899</v>
      </c>
    </row>
    <row r="261" spans="1:2" ht="15.75" x14ac:dyDescent="0.25">
      <c r="A261" s="414">
        <v>72280</v>
      </c>
      <c r="B261" s="415" t="s">
        <v>2900</v>
      </c>
    </row>
    <row r="262" spans="1:2" ht="15.75" x14ac:dyDescent="0.25">
      <c r="A262" s="414">
        <v>72290</v>
      </c>
      <c r="B262" s="415" t="s">
        <v>2901</v>
      </c>
    </row>
    <row r="263" spans="1:2" ht="15.75" x14ac:dyDescent="0.25">
      <c r="A263" s="413">
        <v>72440</v>
      </c>
      <c r="B263" s="679" t="s">
        <v>877</v>
      </c>
    </row>
    <row r="264" spans="1:2" ht="31.5" x14ac:dyDescent="0.25">
      <c r="A264" s="414">
        <v>72470</v>
      </c>
      <c r="B264" s="116" t="s">
        <v>2902</v>
      </c>
    </row>
    <row r="265" spans="1:2" ht="31.5" x14ac:dyDescent="0.25">
      <c r="A265" s="414">
        <v>72550</v>
      </c>
      <c r="B265" s="116" t="s">
        <v>2938</v>
      </c>
    </row>
    <row r="266" spans="1:2" ht="31.5" x14ac:dyDescent="0.25">
      <c r="A266" s="414">
        <v>72560</v>
      </c>
      <c r="B266" s="116" t="s">
        <v>2939</v>
      </c>
    </row>
    <row r="267" spans="1:2" ht="31.5" x14ac:dyDescent="0.25">
      <c r="A267" s="414">
        <v>72610</v>
      </c>
      <c r="B267" s="415" t="s">
        <v>2903</v>
      </c>
    </row>
    <row r="268" spans="1:2" ht="47.25" x14ac:dyDescent="0.25">
      <c r="A268" s="414">
        <v>72880</v>
      </c>
      <c r="B268" s="415" t="s">
        <v>3416</v>
      </c>
    </row>
    <row r="269" spans="1:2" ht="15.75" x14ac:dyDescent="0.25">
      <c r="A269" s="414">
        <v>72940</v>
      </c>
      <c r="B269" s="415" t="s">
        <v>2904</v>
      </c>
    </row>
    <row r="270" spans="1:2" ht="15.75" x14ac:dyDescent="0.25">
      <c r="A270" s="414">
        <v>72970</v>
      </c>
      <c r="B270" s="116" t="s">
        <v>809</v>
      </c>
    </row>
    <row r="271" spans="1:2" ht="31.5" x14ac:dyDescent="0.25">
      <c r="A271" s="414">
        <v>73000</v>
      </c>
      <c r="B271" s="415" t="s">
        <v>2905</v>
      </c>
    </row>
    <row r="272" spans="1:2" ht="15.75" x14ac:dyDescent="0.25">
      <c r="A272" s="414">
        <v>73040</v>
      </c>
      <c r="B272" s="116" t="s">
        <v>784</v>
      </c>
    </row>
    <row r="273" spans="1:2" ht="31.5" x14ac:dyDescent="0.25">
      <c r="A273" s="414">
        <v>73110</v>
      </c>
      <c r="B273" s="415" t="s">
        <v>691</v>
      </c>
    </row>
    <row r="274" spans="1:2" ht="15.75" x14ac:dyDescent="0.25">
      <c r="A274" s="414">
        <v>73140</v>
      </c>
      <c r="B274" s="415" t="s">
        <v>3190</v>
      </c>
    </row>
    <row r="275" spans="1:2" ht="15.75" x14ac:dyDescent="0.25">
      <c r="A275" s="414">
        <v>73230</v>
      </c>
      <c r="B275" s="415" t="s">
        <v>2906</v>
      </c>
    </row>
    <row r="276" spans="1:2" ht="15.75" x14ac:dyDescent="0.25">
      <c r="A276" s="414">
        <v>73260</v>
      </c>
      <c r="B276" s="488" t="s">
        <v>3328</v>
      </c>
    </row>
    <row r="277" spans="1:2" ht="15.75" x14ac:dyDescent="0.25">
      <c r="A277" s="414">
        <v>73266</v>
      </c>
      <c r="B277" s="488" t="s">
        <v>3425</v>
      </c>
    </row>
    <row r="278" spans="1:2" ht="15.75" x14ac:dyDescent="0.25">
      <c r="A278" s="414">
        <v>73280</v>
      </c>
      <c r="B278" s="415" t="s">
        <v>638</v>
      </c>
    </row>
    <row r="279" spans="1:2" ht="31.5" x14ac:dyDescent="0.25">
      <c r="A279" s="414">
        <v>73900</v>
      </c>
      <c r="B279" s="488" t="s">
        <v>3421</v>
      </c>
    </row>
    <row r="280" spans="1:2" ht="15.75" x14ac:dyDescent="0.25">
      <c r="A280" s="414">
        <v>73906</v>
      </c>
      <c r="B280" s="488" t="s">
        <v>3420</v>
      </c>
    </row>
    <row r="281" spans="1:2" ht="15.75" x14ac:dyDescent="0.25">
      <c r="A281" s="414">
        <v>74390</v>
      </c>
      <c r="B281" s="116" t="s">
        <v>712</v>
      </c>
    </row>
    <row r="282" spans="1:2" ht="15.75" x14ac:dyDescent="0.25">
      <c r="A282" s="414">
        <v>74420</v>
      </c>
      <c r="B282" s="116" t="s">
        <v>134</v>
      </c>
    </row>
    <row r="283" spans="1:2" ht="31.5" x14ac:dyDescent="0.25">
      <c r="A283" s="414">
        <v>74450</v>
      </c>
      <c r="B283" s="116" t="s">
        <v>135</v>
      </c>
    </row>
    <row r="284" spans="1:2" ht="15.75" x14ac:dyDescent="0.25">
      <c r="A284" s="414">
        <v>74770</v>
      </c>
      <c r="B284" s="116" t="s">
        <v>2907</v>
      </c>
    </row>
    <row r="285" spans="1:2" ht="31.5" x14ac:dyDescent="0.25">
      <c r="A285" s="414">
        <v>74790</v>
      </c>
      <c r="B285" s="116" t="s">
        <v>97</v>
      </c>
    </row>
    <row r="286" spans="1:2" ht="15.75" x14ac:dyDescent="0.25">
      <c r="A286" s="414">
        <v>74880</v>
      </c>
      <c r="B286" s="116" t="s">
        <v>2958</v>
      </c>
    </row>
    <row r="287" spans="1:2" ht="15.75" x14ac:dyDescent="0.25">
      <c r="A287" s="414">
        <v>75160</v>
      </c>
      <c r="B287" s="116" t="s">
        <v>131</v>
      </c>
    </row>
    <row r="288" spans="1:2" ht="15.75" x14ac:dyDescent="0.25">
      <c r="A288" s="414">
        <v>75260</v>
      </c>
      <c r="B288" s="116" t="s">
        <v>3413</v>
      </c>
    </row>
    <row r="289" spans="1:2" ht="15.75" x14ac:dyDescent="0.25">
      <c r="A289" s="414">
        <v>75350</v>
      </c>
      <c r="B289" s="116" t="s">
        <v>3408</v>
      </c>
    </row>
    <row r="290" spans="1:2" ht="31.5" x14ac:dyDescent="0.25">
      <c r="A290" s="414">
        <v>75356</v>
      </c>
      <c r="B290" s="116" t="s">
        <v>3422</v>
      </c>
    </row>
    <row r="291" spans="1:2" ht="31.5" x14ac:dyDescent="0.25">
      <c r="A291" s="414">
        <v>75480</v>
      </c>
      <c r="B291" s="116" t="s">
        <v>3200</v>
      </c>
    </row>
    <row r="292" spans="1:2" ht="31.5" x14ac:dyDescent="0.25">
      <c r="A292" s="414">
        <v>75490</v>
      </c>
      <c r="B292" s="116" t="s">
        <v>3187</v>
      </c>
    </row>
    <row r="293" spans="1:2" ht="15.75" x14ac:dyDescent="0.25">
      <c r="A293" s="414">
        <v>75550</v>
      </c>
      <c r="B293" s="116" t="s">
        <v>3414</v>
      </c>
    </row>
    <row r="294" spans="1:2" ht="15.75" x14ac:dyDescent="0.25">
      <c r="A294" s="414">
        <v>75556</v>
      </c>
      <c r="B294" s="116" t="s">
        <v>3333</v>
      </c>
    </row>
    <row r="295" spans="1:2" ht="15.75" x14ac:dyDescent="0.25">
      <c r="A295" s="414">
        <v>75620</v>
      </c>
      <c r="B295" s="116" t="s">
        <v>3415</v>
      </c>
    </row>
    <row r="296" spans="1:2" ht="15.75" x14ac:dyDescent="0.25">
      <c r="A296" s="414">
        <v>75626</v>
      </c>
      <c r="B296" s="116" t="s">
        <v>3301</v>
      </c>
    </row>
    <row r="297" spans="1:2" ht="15.75" x14ac:dyDescent="0.25">
      <c r="A297" s="414">
        <v>75800</v>
      </c>
      <c r="B297" s="116" t="s">
        <v>3193</v>
      </c>
    </row>
    <row r="298" spans="1:2" ht="31.5" x14ac:dyDescent="0.25">
      <c r="A298" s="414">
        <v>75870</v>
      </c>
      <c r="B298" s="116" t="s">
        <v>3356</v>
      </c>
    </row>
    <row r="299" spans="1:2" ht="15.75" x14ac:dyDescent="0.25">
      <c r="A299" s="414">
        <v>75876</v>
      </c>
      <c r="B299" s="116" t="s">
        <v>3459</v>
      </c>
    </row>
    <row r="300" spans="1:2" ht="31.5" x14ac:dyDescent="0.25">
      <c r="A300" s="414">
        <v>75870</v>
      </c>
      <c r="B300" s="116" t="s">
        <v>3356</v>
      </c>
    </row>
    <row r="301" spans="1:2" ht="15.75" x14ac:dyDescent="0.25">
      <c r="A301" s="414">
        <v>76150</v>
      </c>
      <c r="B301" s="116" t="s">
        <v>3411</v>
      </c>
    </row>
    <row r="302" spans="1:2" ht="31.5" x14ac:dyDescent="0.25">
      <c r="A302" s="414">
        <v>76160</v>
      </c>
      <c r="B302" s="116" t="s">
        <v>3440</v>
      </c>
    </row>
    <row r="303" spans="1:2" ht="15.75" x14ac:dyDescent="0.25">
      <c r="A303" s="414">
        <v>80120</v>
      </c>
      <c r="B303" s="415" t="s">
        <v>2908</v>
      </c>
    </row>
    <row r="304" spans="1:2" ht="31.5" x14ac:dyDescent="0.25">
      <c r="A304" s="414">
        <v>80190</v>
      </c>
      <c r="B304" s="415" t="s">
        <v>650</v>
      </c>
    </row>
    <row r="305" spans="1:2" ht="31.5" x14ac:dyDescent="0.25">
      <c r="A305" s="414">
        <v>80200</v>
      </c>
      <c r="B305" s="415" t="s">
        <v>651</v>
      </c>
    </row>
    <row r="306" spans="1:2" ht="31.5" x14ac:dyDescent="0.25">
      <c r="A306" s="414">
        <v>90050</v>
      </c>
      <c r="B306" s="488" t="s">
        <v>3367</v>
      </c>
    </row>
    <row r="307" spans="1:2" ht="15.75" x14ac:dyDescent="0.25">
      <c r="A307" s="414" t="s">
        <v>2917</v>
      </c>
      <c r="B307" s="656" t="s">
        <v>2918</v>
      </c>
    </row>
    <row r="308" spans="1:2" ht="15.75" x14ac:dyDescent="0.25">
      <c r="A308" s="414" t="s">
        <v>3253</v>
      </c>
      <c r="B308" s="656" t="s">
        <v>3254</v>
      </c>
    </row>
    <row r="309" spans="1:2" ht="15.75" x14ac:dyDescent="0.25">
      <c r="A309" s="414" t="s">
        <v>3371</v>
      </c>
      <c r="B309" s="656" t="s">
        <v>3372</v>
      </c>
    </row>
    <row r="310" spans="1:2" ht="15.75" x14ac:dyDescent="0.25">
      <c r="A310" s="414" t="s">
        <v>3454</v>
      </c>
      <c r="B310" s="656" t="s">
        <v>3455</v>
      </c>
    </row>
    <row r="311" spans="1:2" ht="31.5" x14ac:dyDescent="0.25">
      <c r="A311" s="414" t="s">
        <v>3295</v>
      </c>
      <c r="B311" s="656" t="s">
        <v>3296</v>
      </c>
    </row>
    <row r="312" spans="1:2" ht="15.75" x14ac:dyDescent="0.25">
      <c r="A312" s="414" t="s">
        <v>3267</v>
      </c>
      <c r="B312" s="656" t="s">
        <v>3368</v>
      </c>
    </row>
    <row r="313" spans="1:2" ht="31.5" x14ac:dyDescent="0.25">
      <c r="A313" s="414" t="s">
        <v>3369</v>
      </c>
      <c r="B313" s="656" t="s">
        <v>3370</v>
      </c>
    </row>
    <row r="314" spans="1:2" ht="15.75" x14ac:dyDescent="0.25">
      <c r="A314" s="414" t="s">
        <v>2916</v>
      </c>
      <c r="B314" s="656" t="s">
        <v>2919</v>
      </c>
    </row>
    <row r="315" spans="1:2" ht="31.5" x14ac:dyDescent="0.25">
      <c r="A315" s="414" t="s">
        <v>3287</v>
      </c>
      <c r="B315" s="488" t="s">
        <v>650</v>
      </c>
    </row>
    <row r="316" spans="1:2" ht="31.5" x14ac:dyDescent="0.25">
      <c r="A316" s="414" t="s">
        <v>3288</v>
      </c>
      <c r="B316" s="488" t="s">
        <v>651</v>
      </c>
    </row>
    <row r="317" spans="1:2" ht="31.5" x14ac:dyDescent="0.25">
      <c r="A317" s="414" t="s">
        <v>3322</v>
      </c>
      <c r="B317" s="488" t="s">
        <v>756</v>
      </c>
    </row>
    <row r="318" spans="1:2" ht="31.5" x14ac:dyDescent="0.25">
      <c r="A318" s="414" t="s">
        <v>3320</v>
      </c>
      <c r="B318" s="488" t="s">
        <v>757</v>
      </c>
    </row>
    <row r="319" spans="1:2" ht="15.75" x14ac:dyDescent="0.25">
      <c r="A319" s="414" t="s">
        <v>3321</v>
      </c>
      <c r="B319" s="488" t="s">
        <v>758</v>
      </c>
    </row>
    <row r="320" spans="1:2" ht="31.5" x14ac:dyDescent="0.25">
      <c r="A320" s="414" t="s">
        <v>3310</v>
      </c>
      <c r="B320" s="488" t="s">
        <v>690</v>
      </c>
    </row>
    <row r="321" spans="1:2" ht="15.75" x14ac:dyDescent="0.25">
      <c r="A321" s="414" t="s">
        <v>3311</v>
      </c>
      <c r="B321" s="488" t="s">
        <v>701</v>
      </c>
    </row>
    <row r="322" spans="1:2" ht="31.5" x14ac:dyDescent="0.25">
      <c r="A322" s="414" t="s">
        <v>3313</v>
      </c>
      <c r="B322" s="488" t="s">
        <v>702</v>
      </c>
    </row>
    <row r="323" spans="1:2" ht="15.75" x14ac:dyDescent="0.25">
      <c r="A323" s="414" t="s">
        <v>3318</v>
      </c>
      <c r="B323" s="488" t="s">
        <v>737</v>
      </c>
    </row>
    <row r="324" spans="1:2" ht="31.5" x14ac:dyDescent="0.25">
      <c r="A324" s="414" t="s">
        <v>3327</v>
      </c>
      <c r="B324" s="488" t="s">
        <v>827</v>
      </c>
    </row>
    <row r="325" spans="1:2" ht="31.5" x14ac:dyDescent="0.25">
      <c r="A325" s="414" t="s">
        <v>3257</v>
      </c>
      <c r="B325" s="488" t="s">
        <v>779</v>
      </c>
    </row>
    <row r="326" spans="1:2" ht="31.5" x14ac:dyDescent="0.25">
      <c r="A326" s="414" t="s">
        <v>3258</v>
      </c>
      <c r="B326" s="488" t="s">
        <v>780</v>
      </c>
    </row>
    <row r="327" spans="1:2" ht="31.5" x14ac:dyDescent="0.25">
      <c r="A327" s="414" t="s">
        <v>2910</v>
      </c>
      <c r="B327" s="488" t="s">
        <v>791</v>
      </c>
    </row>
    <row r="328" spans="1:2" ht="31.5" x14ac:dyDescent="0.25">
      <c r="A328" s="414" t="s">
        <v>3259</v>
      </c>
      <c r="B328" s="488" t="s">
        <v>781</v>
      </c>
    </row>
    <row r="329" spans="1:2" ht="47.25" x14ac:dyDescent="0.25">
      <c r="A329" s="414" t="s">
        <v>3323</v>
      </c>
      <c r="B329" s="488" t="s">
        <v>772</v>
      </c>
    </row>
    <row r="330" spans="1:2" ht="17.45" customHeight="1" x14ac:dyDescent="0.25">
      <c r="A330" s="414" t="s">
        <v>3260</v>
      </c>
      <c r="B330" s="488" t="s">
        <v>782</v>
      </c>
    </row>
    <row r="331" spans="1:2" ht="17.45" customHeight="1" x14ac:dyDescent="0.25">
      <c r="A331" s="414" t="s">
        <v>3325</v>
      </c>
      <c r="B331" s="488" t="s">
        <v>792</v>
      </c>
    </row>
    <row r="332" spans="1:2" ht="17.45" customHeight="1" x14ac:dyDescent="0.25">
      <c r="A332" s="414" t="s">
        <v>3262</v>
      </c>
      <c r="B332" s="488" t="s">
        <v>783</v>
      </c>
    </row>
    <row r="333" spans="1:2" ht="32.25" customHeight="1" x14ac:dyDescent="0.25">
      <c r="A333" s="414" t="s">
        <v>3441</v>
      </c>
      <c r="B333" s="488" t="s">
        <v>3442</v>
      </c>
    </row>
    <row r="334" spans="1:2" ht="17.45" customHeight="1" x14ac:dyDescent="0.25">
      <c r="A334" s="414" t="s">
        <v>3314</v>
      </c>
      <c r="B334" s="488" t="s">
        <v>707</v>
      </c>
    </row>
    <row r="335" spans="1:2" ht="31.5" customHeight="1" x14ac:dyDescent="0.25">
      <c r="A335" s="414" t="s">
        <v>3315</v>
      </c>
      <c r="B335" s="488" t="s">
        <v>711</v>
      </c>
    </row>
    <row r="336" spans="1:2" ht="31.5" customHeight="1" x14ac:dyDescent="0.25">
      <c r="A336" s="414" t="s">
        <v>3317</v>
      </c>
      <c r="B336" s="488" t="s">
        <v>726</v>
      </c>
    </row>
    <row r="337" spans="1:2" ht="17.45" customHeight="1" x14ac:dyDescent="0.25">
      <c r="A337" s="414" t="s">
        <v>3289</v>
      </c>
      <c r="B337" s="488" t="s">
        <v>2893</v>
      </c>
    </row>
    <row r="338" spans="1:2" ht="17.45" customHeight="1" x14ac:dyDescent="0.25">
      <c r="A338" s="414" t="s">
        <v>3409</v>
      </c>
      <c r="B338" s="488" t="s">
        <v>838</v>
      </c>
    </row>
    <row r="339" spans="1:2" ht="17.45" customHeight="1" x14ac:dyDescent="0.25">
      <c r="A339" s="414" t="s">
        <v>3373</v>
      </c>
      <c r="B339" s="488" t="s">
        <v>3374</v>
      </c>
    </row>
    <row r="340" spans="1:2" ht="17.45" customHeight="1" x14ac:dyDescent="0.25">
      <c r="A340" s="414" t="s">
        <v>3302</v>
      </c>
      <c r="B340" s="488" t="s">
        <v>3303</v>
      </c>
    </row>
    <row r="341" spans="1:2" ht="17.45" customHeight="1" x14ac:dyDescent="0.25">
      <c r="A341" s="414" t="s">
        <v>3297</v>
      </c>
      <c r="B341" s="488" t="s">
        <v>3298</v>
      </c>
    </row>
    <row r="342" spans="1:2" ht="36.75" customHeight="1" x14ac:dyDescent="0.25">
      <c r="A342" s="414" t="s">
        <v>3330</v>
      </c>
      <c r="B342" s="488" t="s">
        <v>2938</v>
      </c>
    </row>
    <row r="343" spans="1:2" ht="36.75" customHeight="1" x14ac:dyDescent="0.25">
      <c r="A343" s="414" t="s">
        <v>3331</v>
      </c>
      <c r="B343" s="488" t="s">
        <v>2939</v>
      </c>
    </row>
    <row r="344" spans="1:2" ht="49.15" customHeight="1" x14ac:dyDescent="0.25">
      <c r="A344" s="414" t="s">
        <v>3365</v>
      </c>
      <c r="B344" s="488" t="s">
        <v>3366</v>
      </c>
    </row>
    <row r="345" spans="1:2" ht="15.75" x14ac:dyDescent="0.25">
      <c r="A345" s="414" t="s">
        <v>3261</v>
      </c>
      <c r="B345" s="488" t="s">
        <v>784</v>
      </c>
    </row>
    <row r="346" spans="1:2" ht="31.5" x14ac:dyDescent="0.25">
      <c r="A346" s="414" t="s">
        <v>3312</v>
      </c>
      <c r="B346" s="488" t="s">
        <v>691</v>
      </c>
    </row>
    <row r="347" spans="1:2" ht="15.75" x14ac:dyDescent="0.25">
      <c r="A347" s="414" t="s">
        <v>3401</v>
      </c>
      <c r="B347" s="488" t="s">
        <v>3402</v>
      </c>
    </row>
    <row r="348" spans="1:2" ht="15.75" x14ac:dyDescent="0.25">
      <c r="A348" s="414" t="s">
        <v>3319</v>
      </c>
      <c r="B348" s="488" t="s">
        <v>712</v>
      </c>
    </row>
    <row r="349" spans="1:2" ht="15.75" x14ac:dyDescent="0.25">
      <c r="A349" s="414" t="s">
        <v>3265</v>
      </c>
      <c r="B349" s="488" t="s">
        <v>134</v>
      </c>
    </row>
    <row r="350" spans="1:2" ht="31.5" x14ac:dyDescent="0.25">
      <c r="A350" s="414" t="s">
        <v>3264</v>
      </c>
      <c r="B350" s="488" t="s">
        <v>135</v>
      </c>
    </row>
    <row r="351" spans="1:2" ht="31.5" x14ac:dyDescent="0.25">
      <c r="A351" s="414" t="s">
        <v>3177</v>
      </c>
      <c r="B351" s="488" t="s">
        <v>3186</v>
      </c>
    </row>
    <row r="352" spans="1:2" ht="15.75" x14ac:dyDescent="0.25">
      <c r="A352" s="414" t="s">
        <v>3316</v>
      </c>
      <c r="B352" s="488" t="s">
        <v>131</v>
      </c>
    </row>
    <row r="353" spans="1:2" ht="15.75" x14ac:dyDescent="0.25">
      <c r="A353" s="414" t="s">
        <v>3460</v>
      </c>
      <c r="B353" s="488" t="s">
        <v>3455</v>
      </c>
    </row>
    <row r="354" spans="1:2" ht="15.75" x14ac:dyDescent="0.25">
      <c r="A354" s="414" t="s">
        <v>3283</v>
      </c>
      <c r="B354" s="488" t="s">
        <v>3285</v>
      </c>
    </row>
    <row r="355" spans="1:2" ht="15.75" x14ac:dyDescent="0.25">
      <c r="A355" s="414" t="s">
        <v>3407</v>
      </c>
      <c r="B355" s="488" t="s">
        <v>3408</v>
      </c>
    </row>
    <row r="356" spans="1:2" ht="15.75" x14ac:dyDescent="0.25">
      <c r="A356" s="414" t="s">
        <v>3359</v>
      </c>
      <c r="B356" s="488" t="s">
        <v>3360</v>
      </c>
    </row>
    <row r="357" spans="1:2" ht="31.5" x14ac:dyDescent="0.25">
      <c r="A357" s="414" t="s">
        <v>3324</v>
      </c>
      <c r="B357" s="116" t="s">
        <v>3200</v>
      </c>
    </row>
    <row r="358" spans="1:2" ht="31.5" x14ac:dyDescent="0.25">
      <c r="A358" s="414" t="s">
        <v>3263</v>
      </c>
      <c r="B358" s="488" t="s">
        <v>3187</v>
      </c>
    </row>
    <row r="359" spans="1:2" ht="15.75" x14ac:dyDescent="0.25">
      <c r="A359" s="414" t="s">
        <v>3337</v>
      </c>
      <c r="B359" s="488" t="s">
        <v>3333</v>
      </c>
    </row>
    <row r="360" spans="1:2" ht="15.75" x14ac:dyDescent="0.25">
      <c r="A360" s="414" t="s">
        <v>3332</v>
      </c>
      <c r="B360" s="488" t="s">
        <v>3333</v>
      </c>
    </row>
    <row r="361" spans="1:2" ht="15.75" x14ac:dyDescent="0.25">
      <c r="A361" s="414" t="s">
        <v>3304</v>
      </c>
      <c r="B361" s="488" t="s">
        <v>3207</v>
      </c>
    </row>
    <row r="362" spans="1:2" ht="15.75" x14ac:dyDescent="0.25">
      <c r="A362" s="414" t="s">
        <v>3300</v>
      </c>
      <c r="B362" s="488" t="s">
        <v>3301</v>
      </c>
    </row>
    <row r="363" spans="1:2" ht="15.75" x14ac:dyDescent="0.25">
      <c r="A363" s="414" t="s">
        <v>3403</v>
      </c>
      <c r="B363" s="488" t="s">
        <v>3404</v>
      </c>
    </row>
    <row r="364" spans="1:2" ht="31.5" x14ac:dyDescent="0.25">
      <c r="A364" s="414" t="s">
        <v>734</v>
      </c>
      <c r="B364" s="116" t="s">
        <v>733</v>
      </c>
    </row>
    <row r="365" spans="1:2" ht="31.5" x14ac:dyDescent="0.25">
      <c r="A365" s="414" t="s">
        <v>828</v>
      </c>
      <c r="B365" s="116" t="s">
        <v>827</v>
      </c>
    </row>
    <row r="366" spans="1:2" ht="15.75" x14ac:dyDescent="0.25">
      <c r="A366" s="414" t="s">
        <v>754</v>
      </c>
      <c r="B366" s="116" t="s">
        <v>753</v>
      </c>
    </row>
    <row r="367" spans="1:2" ht="15.75" x14ac:dyDescent="0.25">
      <c r="A367" s="414" t="s">
        <v>708</v>
      </c>
      <c r="B367" s="116" t="s">
        <v>707</v>
      </c>
    </row>
    <row r="368" spans="1:2" ht="15.75" x14ac:dyDescent="0.25">
      <c r="A368" s="414" t="s">
        <v>3255</v>
      </c>
      <c r="B368" s="116" t="s">
        <v>2848</v>
      </c>
    </row>
    <row r="369" spans="1:2" ht="31.5" x14ac:dyDescent="0.25">
      <c r="A369" s="413" t="s">
        <v>725</v>
      </c>
      <c r="B369" s="116" t="s">
        <v>724</v>
      </c>
    </row>
    <row r="370" spans="1:2" ht="15.75" x14ac:dyDescent="0.25">
      <c r="A370" s="413" t="s">
        <v>839</v>
      </c>
      <c r="B370" s="116" t="s">
        <v>838</v>
      </c>
    </row>
    <row r="371" spans="1:2" ht="15.75" x14ac:dyDescent="0.25">
      <c r="A371" s="413" t="s">
        <v>763</v>
      </c>
      <c r="B371" s="116" t="s">
        <v>762</v>
      </c>
    </row>
    <row r="372" spans="1:2" ht="15.75" x14ac:dyDescent="0.25">
      <c r="A372" s="413" t="s">
        <v>3299</v>
      </c>
      <c r="B372" s="116" t="s">
        <v>2841</v>
      </c>
    </row>
    <row r="373" spans="1:2" ht="31.5" x14ac:dyDescent="0.25">
      <c r="A373" s="414" t="s">
        <v>674</v>
      </c>
      <c r="B373" s="419" t="s">
        <v>673</v>
      </c>
    </row>
    <row r="374" spans="1:2" ht="15.75" x14ac:dyDescent="0.25">
      <c r="A374" s="414" t="s">
        <v>3191</v>
      </c>
      <c r="B374" s="419" t="s">
        <v>3190</v>
      </c>
    </row>
    <row r="375" spans="1:2" ht="15.75" x14ac:dyDescent="0.25">
      <c r="A375" s="414" t="s">
        <v>744</v>
      </c>
      <c r="B375" s="116" t="s">
        <v>743</v>
      </c>
    </row>
    <row r="376" spans="1:2" ht="15.75" x14ac:dyDescent="0.25">
      <c r="A376" s="414" t="s">
        <v>2957</v>
      </c>
      <c r="B376" s="116" t="s">
        <v>2958</v>
      </c>
    </row>
    <row r="377" spans="1:2" ht="15.75" x14ac:dyDescent="0.25">
      <c r="A377" s="414" t="s">
        <v>3284</v>
      </c>
      <c r="B377" s="116" t="s">
        <v>3286</v>
      </c>
    </row>
    <row r="378" spans="1:2" ht="15.75" x14ac:dyDescent="0.25">
      <c r="A378" s="414" t="s">
        <v>3361</v>
      </c>
      <c r="B378" s="116" t="s">
        <v>3362</v>
      </c>
    </row>
    <row r="379" spans="1:2" ht="15.75" x14ac:dyDescent="0.25">
      <c r="A379" s="414" t="s">
        <v>3336</v>
      </c>
      <c r="B379" s="488" t="s">
        <v>3301</v>
      </c>
    </row>
    <row r="380" spans="1:2" ht="15.75" x14ac:dyDescent="0.25">
      <c r="A380" s="414" t="s">
        <v>3192</v>
      </c>
      <c r="B380" s="116" t="s">
        <v>3193</v>
      </c>
    </row>
  </sheetData>
  <pageMargins left="0.70866141732283472" right="0.70866141732283472" top="0.74803149606299213" bottom="0.74803149606299213" header="0.51181102362204722" footer="0.51181102362204722"/>
  <pageSetup paperSize="9" scale="83" orientation="portrait" r:id="rId1"/>
  <headerFooter>
    <oddFooter>&amp;C&amp;P</oddFooter>
  </headerFooter>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x14ac:dyDescent="0.2"/>
  <sheetData/>
  <pageMargins left="0.7" right="0.7" top="0.75" bottom="0.75" header="0.3" footer="0.3"/>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0"/>
  <sheetViews>
    <sheetView tabSelected="1" view="pageBreakPreview" zoomScale="115" zoomScaleSheetLayoutView="115" workbookViewId="0">
      <selection activeCell="A6" sqref="A6:C6"/>
    </sheetView>
  </sheetViews>
  <sheetFormatPr defaultColWidth="9.140625" defaultRowHeight="12.75" x14ac:dyDescent="0.2"/>
  <cols>
    <col min="1" max="1" width="35" style="855" customWidth="1"/>
    <col min="2" max="2" width="25.7109375" style="855" customWidth="1"/>
    <col min="3" max="3" width="26.5703125" style="855" customWidth="1"/>
    <col min="4" max="16384" width="9.140625" style="855"/>
  </cols>
  <sheetData>
    <row r="1" spans="1:10" ht="99" customHeight="1" x14ac:dyDescent="0.2">
      <c r="A1" s="1124" t="s">
        <v>3487</v>
      </c>
      <c r="B1" s="1124"/>
      <c r="C1" s="1124"/>
    </row>
    <row r="2" spans="1:10" ht="37.5" x14ac:dyDescent="0.2">
      <c r="A2" s="857"/>
      <c r="B2" s="885" t="s">
        <v>3499</v>
      </c>
      <c r="C2" s="857" t="s">
        <v>3477</v>
      </c>
    </row>
    <row r="3" spans="1:10" ht="56.25" x14ac:dyDescent="0.2">
      <c r="A3" s="857" t="s">
        <v>3478</v>
      </c>
      <c r="B3" s="246">
        <v>172</v>
      </c>
      <c r="C3" s="886">
        <v>69566000</v>
      </c>
    </row>
    <row r="4" spans="1:10" ht="37.5" x14ac:dyDescent="0.2">
      <c r="A4" s="857" t="s">
        <v>3479</v>
      </c>
      <c r="B4" s="246">
        <v>2850</v>
      </c>
      <c r="C4" s="886">
        <v>732531381</v>
      </c>
      <c r="F4" s="856"/>
    </row>
    <row r="5" spans="1:10" ht="18" x14ac:dyDescent="0.25">
      <c r="A5" s="858"/>
      <c r="B5" s="858"/>
      <c r="C5" s="858"/>
    </row>
    <row r="6" spans="1:10" ht="66" customHeight="1" x14ac:dyDescent="0.3">
      <c r="A6" s="1125" t="s">
        <v>3488</v>
      </c>
      <c r="B6" s="1125"/>
      <c r="C6" s="1125"/>
    </row>
    <row r="7" spans="1:10" ht="18.75" x14ac:dyDescent="0.25">
      <c r="A7" s="1126"/>
      <c r="B7" s="1127"/>
      <c r="C7" s="857" t="s">
        <v>3480</v>
      </c>
    </row>
    <row r="8" spans="1:10" ht="18.75" x14ac:dyDescent="0.3">
      <c r="A8" s="1126" t="s">
        <v>991</v>
      </c>
      <c r="B8" s="1127"/>
      <c r="C8" s="859">
        <f>C10+C11+C12+C13</f>
        <v>343975.03</v>
      </c>
      <c r="J8" s="860"/>
    </row>
    <row r="9" spans="1:10" ht="18.75" x14ac:dyDescent="0.3">
      <c r="A9" s="1128" t="s">
        <v>3481</v>
      </c>
      <c r="B9" s="1129"/>
      <c r="C9" s="887"/>
    </row>
    <row r="10" spans="1:10" ht="36.6" customHeight="1" x14ac:dyDescent="0.3">
      <c r="A10" s="1128" t="s">
        <v>3482</v>
      </c>
      <c r="B10" s="1129"/>
      <c r="C10" s="859">
        <v>85000</v>
      </c>
    </row>
    <row r="11" spans="1:10" ht="36.6" customHeight="1" x14ac:dyDescent="0.2">
      <c r="A11" s="1122" t="s">
        <v>3489</v>
      </c>
      <c r="B11" s="1123"/>
      <c r="C11" s="859">
        <v>34621</v>
      </c>
    </row>
    <row r="12" spans="1:10" ht="36.6" customHeight="1" x14ac:dyDescent="0.2">
      <c r="A12" s="1122" t="s">
        <v>3490</v>
      </c>
      <c r="B12" s="1123"/>
      <c r="C12" s="859">
        <v>118910</v>
      </c>
    </row>
    <row r="13" spans="1:10" ht="42" customHeight="1" x14ac:dyDescent="0.2">
      <c r="A13" s="1122" t="s">
        <v>3500</v>
      </c>
      <c r="B13" s="1123"/>
      <c r="C13" s="859">
        <v>105444.03</v>
      </c>
    </row>
    <row r="14" spans="1:10" ht="57.6" hidden="1" customHeight="1" x14ac:dyDescent="0.2">
      <c r="A14" s="1122" t="s">
        <v>3483</v>
      </c>
      <c r="B14" s="1123"/>
      <c r="C14" s="859"/>
    </row>
    <row r="15" spans="1:10" ht="57.6" hidden="1" customHeight="1" x14ac:dyDescent="0.2">
      <c r="A15" s="1122" t="s">
        <v>3484</v>
      </c>
      <c r="B15" s="1123"/>
      <c r="C15" s="859"/>
    </row>
    <row r="16" spans="1:10" ht="74.45" hidden="1" customHeight="1" x14ac:dyDescent="0.2">
      <c r="A16" s="1122" t="s">
        <v>3485</v>
      </c>
      <c r="B16" s="1123"/>
      <c r="C16" s="859"/>
    </row>
    <row r="17" spans="1:3" ht="36.6" hidden="1" customHeight="1" x14ac:dyDescent="0.2">
      <c r="A17" s="1122" t="s">
        <v>3486</v>
      </c>
      <c r="B17" s="1123"/>
      <c r="C17" s="859"/>
    </row>
    <row r="18" spans="1:3" ht="18.75" x14ac:dyDescent="0.3">
      <c r="A18" s="860"/>
      <c r="B18" s="860"/>
      <c r="C18" s="860"/>
    </row>
    <row r="19" spans="1:3" ht="18.75" x14ac:dyDescent="0.3">
      <c r="A19" s="860"/>
      <c r="B19" s="860"/>
      <c r="C19" s="860"/>
    </row>
    <row r="20" spans="1:3" ht="18.75" x14ac:dyDescent="0.3">
      <c r="A20" s="860"/>
      <c r="B20" s="860"/>
      <c r="C20" s="860"/>
    </row>
  </sheetData>
  <mergeCells count="13">
    <mergeCell ref="A17:B17"/>
    <mergeCell ref="A16:B16"/>
    <mergeCell ref="A1:C1"/>
    <mergeCell ref="A6:C6"/>
    <mergeCell ref="A7:B7"/>
    <mergeCell ref="A8:B8"/>
    <mergeCell ref="A9:B9"/>
    <mergeCell ref="A10:B10"/>
    <mergeCell ref="A11:B11"/>
    <mergeCell ref="A12:B12"/>
    <mergeCell ref="A13:B13"/>
    <mergeCell ref="A14:B14"/>
    <mergeCell ref="A15:B15"/>
  </mergeCells>
  <pageMargins left="0.70866141732283472" right="0.70866141732283472" top="0.74803149606299213" bottom="0.74803149606299213" header="0.31496062992125984" footer="0.31496062992125984"/>
  <pageSetup paperSize="9" orientation="portrait"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60"/>
  <sheetViews>
    <sheetView topLeftCell="A52" workbookViewId="0">
      <selection activeCell="F65" sqref="F65"/>
    </sheetView>
  </sheetViews>
  <sheetFormatPr defaultColWidth="9.140625" defaultRowHeight="15.75" x14ac:dyDescent="0.25"/>
  <cols>
    <col min="1" max="1" width="19.5703125" style="420" customWidth="1"/>
    <col min="2" max="2" width="81.7109375" style="420" customWidth="1"/>
    <col min="3" max="16384" width="9.140625" style="420"/>
  </cols>
  <sheetData>
    <row r="1" spans="1:2" ht="16.5" thickBot="1" x14ac:dyDescent="0.3">
      <c r="A1" s="421" t="s">
        <v>903</v>
      </c>
      <c r="B1" s="422" t="s">
        <v>2909</v>
      </c>
    </row>
    <row r="2" spans="1:2" ht="32.25" thickBot="1" x14ac:dyDescent="0.3">
      <c r="A2" s="423" t="s">
        <v>714</v>
      </c>
      <c r="B2" s="424" t="s">
        <v>713</v>
      </c>
    </row>
    <row r="3" spans="1:2" s="425" customFormat="1" x14ac:dyDescent="0.25">
      <c r="A3" s="426" t="s">
        <v>822</v>
      </c>
      <c r="B3" s="427" t="s">
        <v>821</v>
      </c>
    </row>
    <row r="4" spans="1:2" ht="31.5" x14ac:dyDescent="0.25">
      <c r="A4" s="428" t="s">
        <v>824</v>
      </c>
      <c r="B4" s="429" t="s">
        <v>823</v>
      </c>
    </row>
    <row r="5" spans="1:2" ht="31.5" x14ac:dyDescent="0.25">
      <c r="A5" s="428" t="s">
        <v>3047</v>
      </c>
      <c r="B5" s="429" t="s">
        <v>3048</v>
      </c>
    </row>
    <row r="6" spans="1:2" s="425" customFormat="1" ht="47.25" x14ac:dyDescent="0.25">
      <c r="A6" s="430" t="s">
        <v>716</v>
      </c>
      <c r="B6" s="431" t="s">
        <v>715</v>
      </c>
    </row>
    <row r="7" spans="1:2" ht="47.25" x14ac:dyDescent="0.25">
      <c r="A7" s="428" t="s">
        <v>718</v>
      </c>
      <c r="B7" s="429" t="s">
        <v>717</v>
      </c>
    </row>
    <row r="8" spans="1:2" s="425" customFormat="1" ht="31.5" x14ac:dyDescent="0.25">
      <c r="A8" s="430" t="s">
        <v>721</v>
      </c>
      <c r="B8" s="431" t="s">
        <v>720</v>
      </c>
    </row>
    <row r="9" spans="1:2" x14ac:dyDescent="0.25">
      <c r="A9" s="428" t="s">
        <v>723</v>
      </c>
      <c r="B9" s="429" t="s">
        <v>722</v>
      </c>
    </row>
    <row r="10" spans="1:2" s="425" customFormat="1" ht="31.5" x14ac:dyDescent="0.25">
      <c r="A10" s="430" t="s">
        <v>817</v>
      </c>
      <c r="B10" s="431" t="s">
        <v>816</v>
      </c>
    </row>
    <row r="11" spans="1:2" x14ac:dyDescent="0.25">
      <c r="A11" s="428" t="s">
        <v>819</v>
      </c>
      <c r="B11" s="429" t="s">
        <v>818</v>
      </c>
    </row>
    <row r="12" spans="1:2" x14ac:dyDescent="0.25">
      <c r="A12" s="428" t="s">
        <v>836</v>
      </c>
      <c r="B12" s="429" t="s">
        <v>835</v>
      </c>
    </row>
    <row r="13" spans="1:2" x14ac:dyDescent="0.25">
      <c r="A13" s="428" t="s">
        <v>841</v>
      </c>
      <c r="B13" s="429" t="s">
        <v>840</v>
      </c>
    </row>
    <row r="14" spans="1:2" x14ac:dyDescent="0.25">
      <c r="A14" s="428" t="s">
        <v>844</v>
      </c>
      <c r="B14" s="429" t="s">
        <v>843</v>
      </c>
    </row>
    <row r="15" spans="1:2" s="425" customFormat="1" ht="31.5" x14ac:dyDescent="0.25">
      <c r="A15" s="430" t="s">
        <v>812</v>
      </c>
      <c r="B15" s="431" t="s">
        <v>811</v>
      </c>
    </row>
    <row r="16" spans="1:2" ht="16.5" thickBot="1" x14ac:dyDescent="0.3">
      <c r="A16" s="432" t="s">
        <v>814</v>
      </c>
      <c r="B16" s="433" t="s">
        <v>813</v>
      </c>
    </row>
    <row r="17" spans="1:2" ht="32.25" thickBot="1" x14ac:dyDescent="0.3">
      <c r="A17" s="423" t="s">
        <v>684</v>
      </c>
      <c r="B17" s="434" t="s">
        <v>683</v>
      </c>
    </row>
    <row r="18" spans="1:2" s="425" customFormat="1" ht="31.5" x14ac:dyDescent="0.25">
      <c r="A18" s="426" t="s">
        <v>686</v>
      </c>
      <c r="B18" s="427" t="s">
        <v>685</v>
      </c>
    </row>
    <row r="19" spans="1:2" ht="31.5" x14ac:dyDescent="0.25">
      <c r="A19" s="428" t="s">
        <v>687</v>
      </c>
      <c r="B19" s="429" t="s">
        <v>2943</v>
      </c>
    </row>
    <row r="20" spans="1:2" ht="31.5" x14ac:dyDescent="0.25">
      <c r="A20" s="428" t="s">
        <v>727</v>
      </c>
      <c r="B20" s="429" t="s">
        <v>2944</v>
      </c>
    </row>
    <row r="21" spans="1:2" ht="31.5" x14ac:dyDescent="0.25">
      <c r="A21" s="428" t="s">
        <v>751</v>
      </c>
      <c r="B21" s="429" t="s">
        <v>2945</v>
      </c>
    </row>
    <row r="22" spans="1:2" x14ac:dyDescent="0.25">
      <c r="A22" s="535" t="s">
        <v>729</v>
      </c>
      <c r="B22" s="536" t="s">
        <v>2948</v>
      </c>
    </row>
    <row r="23" spans="1:2" ht="47.25" x14ac:dyDescent="0.25">
      <c r="A23" s="535" t="s">
        <v>706</v>
      </c>
      <c r="B23" s="536" t="s">
        <v>2950</v>
      </c>
    </row>
    <row r="24" spans="1:2" ht="31.5" x14ac:dyDescent="0.25">
      <c r="A24" s="535" t="s">
        <v>736</v>
      </c>
      <c r="B24" s="536" t="s">
        <v>2951</v>
      </c>
    </row>
    <row r="25" spans="1:2" x14ac:dyDescent="0.25">
      <c r="A25" s="535" t="s">
        <v>2946</v>
      </c>
      <c r="B25" s="536" t="s">
        <v>2947</v>
      </c>
    </row>
    <row r="26" spans="1:2" x14ac:dyDescent="0.25">
      <c r="A26" s="535" t="s">
        <v>2952</v>
      </c>
      <c r="B26" s="536" t="s">
        <v>2953</v>
      </c>
    </row>
    <row r="27" spans="1:2" x14ac:dyDescent="0.25">
      <c r="A27" s="535" t="s">
        <v>2949</v>
      </c>
      <c r="B27" s="536" t="s">
        <v>735</v>
      </c>
    </row>
    <row r="28" spans="1:2" ht="31.5" x14ac:dyDescent="0.25">
      <c r="A28" s="535" t="s">
        <v>738</v>
      </c>
      <c r="B28" s="537" t="s">
        <v>3046</v>
      </c>
    </row>
    <row r="29" spans="1:2" ht="31.5" x14ac:dyDescent="0.25">
      <c r="A29" s="432" t="s">
        <v>740</v>
      </c>
      <c r="B29" s="435" t="s">
        <v>739</v>
      </c>
    </row>
    <row r="30" spans="1:2" ht="31.5" x14ac:dyDescent="0.25">
      <c r="A30" s="432" t="s">
        <v>704</v>
      </c>
      <c r="B30" s="436" t="s">
        <v>703</v>
      </c>
    </row>
    <row r="31" spans="1:2" ht="47.25" x14ac:dyDescent="0.25">
      <c r="A31" s="432" t="s">
        <v>761</v>
      </c>
      <c r="B31" s="435" t="s">
        <v>3194</v>
      </c>
    </row>
    <row r="32" spans="1:2" ht="31.5" x14ac:dyDescent="0.25">
      <c r="A32" s="432" t="s">
        <v>705</v>
      </c>
      <c r="B32" s="435" t="s">
        <v>3195</v>
      </c>
    </row>
    <row r="33" spans="1:2" ht="16.5" thickBot="1" x14ac:dyDescent="0.3">
      <c r="A33" s="437" t="s">
        <v>742</v>
      </c>
      <c r="B33" s="438" t="s">
        <v>3045</v>
      </c>
    </row>
    <row r="34" spans="1:2" ht="32.25" thickBot="1" x14ac:dyDescent="0.3">
      <c r="A34" s="423" t="s">
        <v>693</v>
      </c>
      <c r="B34" s="434" t="s">
        <v>692</v>
      </c>
    </row>
    <row r="35" spans="1:2" ht="31.5" x14ac:dyDescent="0.25">
      <c r="A35" s="439" t="s">
        <v>766</v>
      </c>
      <c r="B35" s="427" t="s">
        <v>765</v>
      </c>
    </row>
    <row r="36" spans="1:2" ht="31.5" x14ac:dyDescent="0.25">
      <c r="A36" s="440" t="s">
        <v>768</v>
      </c>
      <c r="B36" s="441" t="s">
        <v>767</v>
      </c>
    </row>
    <row r="37" spans="1:2" ht="31.5" x14ac:dyDescent="0.25">
      <c r="A37" s="440" t="s">
        <v>771</v>
      </c>
      <c r="B37" s="441" t="s">
        <v>770</v>
      </c>
    </row>
    <row r="38" spans="1:2" ht="31.5" x14ac:dyDescent="0.25">
      <c r="A38" s="440" t="s">
        <v>786</v>
      </c>
      <c r="B38" s="441" t="s">
        <v>785</v>
      </c>
    </row>
    <row r="39" spans="1:2" x14ac:dyDescent="0.25">
      <c r="A39" s="556" t="s">
        <v>3201</v>
      </c>
      <c r="B39" s="557" t="s">
        <v>2960</v>
      </c>
    </row>
    <row r="40" spans="1:2" ht="31.5" x14ac:dyDescent="0.25">
      <c r="A40" s="432" t="s">
        <v>695</v>
      </c>
      <c r="B40" s="442" t="s">
        <v>694</v>
      </c>
    </row>
    <row r="41" spans="1:2" ht="31.5" x14ac:dyDescent="0.25">
      <c r="A41" s="432" t="s">
        <v>696</v>
      </c>
      <c r="B41" s="443" t="s">
        <v>2925</v>
      </c>
    </row>
    <row r="42" spans="1:2" ht="32.25" thickBot="1" x14ac:dyDescent="0.3">
      <c r="A42" s="432" t="s">
        <v>2924</v>
      </c>
      <c r="B42" s="443" t="s">
        <v>2926</v>
      </c>
    </row>
    <row r="43" spans="1:2" ht="16.5" thickBot="1" x14ac:dyDescent="0.3">
      <c r="A43" s="423" t="s">
        <v>831</v>
      </c>
      <c r="B43" s="434" t="s">
        <v>830</v>
      </c>
    </row>
    <row r="44" spans="1:2" ht="48" thickBot="1" x14ac:dyDescent="0.3">
      <c r="A44" s="444" t="s">
        <v>833</v>
      </c>
      <c r="B44" s="445" t="s">
        <v>832</v>
      </c>
    </row>
    <row r="45" spans="1:2" ht="36" customHeight="1" thickBot="1" x14ac:dyDescent="0.3">
      <c r="A45" s="446" t="s">
        <v>849</v>
      </c>
      <c r="B45" s="447" t="s">
        <v>848</v>
      </c>
    </row>
    <row r="46" spans="1:2" ht="47.25" x14ac:dyDescent="0.25">
      <c r="A46" s="448" t="s">
        <v>851</v>
      </c>
      <c r="B46" s="449" t="s">
        <v>850</v>
      </c>
    </row>
    <row r="47" spans="1:2" ht="47.25" x14ac:dyDescent="0.25">
      <c r="A47" s="450" t="s">
        <v>878</v>
      </c>
      <c r="B47" s="451" t="s">
        <v>3037</v>
      </c>
    </row>
    <row r="48" spans="1:2" ht="31.5" x14ac:dyDescent="0.25">
      <c r="A48" s="450" t="s">
        <v>852</v>
      </c>
      <c r="B48" s="451" t="s">
        <v>3036</v>
      </c>
    </row>
    <row r="49" spans="1:2" ht="47.25" x14ac:dyDescent="0.25">
      <c r="A49" s="452" t="s">
        <v>881</v>
      </c>
      <c r="B49" s="453" t="s">
        <v>880</v>
      </c>
    </row>
    <row r="50" spans="1:2" x14ac:dyDescent="0.25">
      <c r="A50" s="450" t="s">
        <v>882</v>
      </c>
      <c r="B50" s="454" t="s">
        <v>3038</v>
      </c>
    </row>
    <row r="51" spans="1:2" ht="47.25" x14ac:dyDescent="0.25">
      <c r="A51" s="450" t="s">
        <v>925</v>
      </c>
      <c r="B51" s="454" t="s">
        <v>3040</v>
      </c>
    </row>
    <row r="52" spans="1:2" ht="32.25" customHeight="1" x14ac:dyDescent="0.25">
      <c r="A52" s="452" t="s">
        <v>885</v>
      </c>
      <c r="B52" s="453" t="s">
        <v>884</v>
      </c>
    </row>
    <row r="53" spans="1:2" ht="31.5" x14ac:dyDescent="0.25">
      <c r="A53" s="452" t="s">
        <v>886</v>
      </c>
      <c r="B53" s="454" t="s">
        <v>3039</v>
      </c>
    </row>
    <row r="54" spans="1:2" ht="47.25" x14ac:dyDescent="0.25">
      <c r="A54" s="452" t="s">
        <v>888</v>
      </c>
      <c r="B54" s="453" t="s">
        <v>887</v>
      </c>
    </row>
    <row r="55" spans="1:2" ht="31.5" x14ac:dyDescent="0.25">
      <c r="A55" s="450" t="s">
        <v>890</v>
      </c>
      <c r="B55" s="451" t="s">
        <v>889</v>
      </c>
    </row>
    <row r="56" spans="1:2" ht="31.5" x14ac:dyDescent="0.25">
      <c r="A56" s="450" t="s">
        <v>893</v>
      </c>
      <c r="B56" s="451" t="s">
        <v>892</v>
      </c>
    </row>
    <row r="57" spans="1:2" ht="32.25" thickBot="1" x14ac:dyDescent="0.3">
      <c r="A57" s="455" t="s">
        <v>895</v>
      </c>
      <c r="B57" s="456" t="s">
        <v>894</v>
      </c>
    </row>
    <row r="58" spans="1:2" ht="32.25" thickBot="1" x14ac:dyDescent="0.3">
      <c r="A58" s="423" t="s">
        <v>854</v>
      </c>
      <c r="B58" s="434" t="s">
        <v>853</v>
      </c>
    </row>
    <row r="59" spans="1:2" ht="48" thickBot="1" x14ac:dyDescent="0.3">
      <c r="A59" s="444" t="s">
        <v>856</v>
      </c>
      <c r="B59" s="457" t="s">
        <v>855</v>
      </c>
    </row>
    <row r="60" spans="1:2" ht="32.25" thickBot="1" x14ac:dyDescent="0.3">
      <c r="A60" s="423" t="s">
        <v>867</v>
      </c>
      <c r="B60" s="434" t="s">
        <v>866</v>
      </c>
    </row>
    <row r="61" spans="1:2" ht="31.5" x14ac:dyDescent="0.25">
      <c r="A61" s="426" t="s">
        <v>869</v>
      </c>
      <c r="B61" s="427" t="s">
        <v>868</v>
      </c>
    </row>
    <row r="62" spans="1:2" x14ac:dyDescent="0.25">
      <c r="A62" s="428" t="s">
        <v>871</v>
      </c>
      <c r="B62" s="458" t="s">
        <v>870</v>
      </c>
    </row>
    <row r="63" spans="1:2" ht="31.5" x14ac:dyDescent="0.25">
      <c r="A63" s="430" t="s">
        <v>874</v>
      </c>
      <c r="B63" s="431" t="s">
        <v>873</v>
      </c>
    </row>
    <row r="64" spans="1:2" ht="19.5" customHeight="1" thickBot="1" x14ac:dyDescent="0.3">
      <c r="A64" s="432" t="s">
        <v>876</v>
      </c>
      <c r="B64" s="435" t="s">
        <v>875</v>
      </c>
    </row>
    <row r="65" spans="1:2" ht="33.75" customHeight="1" thickBot="1" x14ac:dyDescent="0.3">
      <c r="A65" s="459" t="s">
        <v>928</v>
      </c>
      <c r="B65" s="460" t="s">
        <v>927</v>
      </c>
    </row>
    <row r="66" spans="1:2" ht="47.25" x14ac:dyDescent="0.25">
      <c r="A66" s="448" t="s">
        <v>930</v>
      </c>
      <c r="B66" s="461" t="s">
        <v>929</v>
      </c>
    </row>
    <row r="67" spans="1:2" ht="63" x14ac:dyDescent="0.25">
      <c r="A67" s="450" t="s">
        <v>932</v>
      </c>
      <c r="B67" s="462" t="s">
        <v>931</v>
      </c>
    </row>
    <row r="68" spans="1:2" ht="31.5" x14ac:dyDescent="0.25">
      <c r="A68" s="452" t="s">
        <v>934</v>
      </c>
      <c r="B68" s="463" t="s">
        <v>933</v>
      </c>
    </row>
    <row r="69" spans="1:2" ht="35.25" customHeight="1" x14ac:dyDescent="0.25">
      <c r="A69" s="450" t="s">
        <v>936</v>
      </c>
      <c r="B69" s="462" t="s">
        <v>935</v>
      </c>
    </row>
    <row r="70" spans="1:2" ht="47.25" x14ac:dyDescent="0.25">
      <c r="A70" s="452" t="s">
        <v>938</v>
      </c>
      <c r="B70" s="463" t="s">
        <v>937</v>
      </c>
    </row>
    <row r="71" spans="1:2" ht="31.5" x14ac:dyDescent="0.25">
      <c r="A71" s="450" t="s">
        <v>940</v>
      </c>
      <c r="B71" s="462" t="s">
        <v>939</v>
      </c>
    </row>
    <row r="72" spans="1:2" ht="31.5" x14ac:dyDescent="0.25">
      <c r="A72" s="452" t="s">
        <v>942</v>
      </c>
      <c r="B72" s="463" t="s">
        <v>941</v>
      </c>
    </row>
    <row r="73" spans="1:2" ht="32.25" thickBot="1" x14ac:dyDescent="0.3">
      <c r="A73" s="464" t="s">
        <v>944</v>
      </c>
      <c r="B73" s="465" t="s">
        <v>943</v>
      </c>
    </row>
    <row r="74" spans="1:2" ht="48" thickBot="1" x14ac:dyDescent="0.3">
      <c r="A74" s="423" t="s">
        <v>653</v>
      </c>
      <c r="B74" s="447" t="s">
        <v>652</v>
      </c>
    </row>
    <row r="75" spans="1:2" ht="31.5" x14ac:dyDescent="0.25">
      <c r="A75" s="426" t="s">
        <v>664</v>
      </c>
      <c r="B75" s="449" t="s">
        <v>663</v>
      </c>
    </row>
    <row r="76" spans="1:2" ht="47.25" x14ac:dyDescent="0.25">
      <c r="A76" s="428" t="s">
        <v>666</v>
      </c>
      <c r="B76" s="454" t="s">
        <v>665</v>
      </c>
    </row>
    <row r="77" spans="1:2" ht="31.5" x14ac:dyDescent="0.25">
      <c r="A77" s="428" t="s">
        <v>668</v>
      </c>
      <c r="B77" s="454" t="s">
        <v>667</v>
      </c>
    </row>
    <row r="78" spans="1:2" ht="31.5" x14ac:dyDescent="0.25">
      <c r="A78" s="428" t="s">
        <v>670</v>
      </c>
      <c r="B78" s="463" t="s">
        <v>669</v>
      </c>
    </row>
    <row r="79" spans="1:2" ht="31.5" x14ac:dyDescent="0.25">
      <c r="A79" s="428" t="s">
        <v>672</v>
      </c>
      <c r="B79" s="451" t="s">
        <v>671</v>
      </c>
    </row>
    <row r="80" spans="1:2" ht="31.5" x14ac:dyDescent="0.25">
      <c r="A80" s="428" t="s">
        <v>655</v>
      </c>
      <c r="B80" s="463" t="s">
        <v>654</v>
      </c>
    </row>
    <row r="81" spans="1:2" ht="31.5" x14ac:dyDescent="0.25">
      <c r="A81" s="428" t="s">
        <v>657</v>
      </c>
      <c r="B81" s="451" t="s">
        <v>656</v>
      </c>
    </row>
    <row r="82" spans="1:2" x14ac:dyDescent="0.25">
      <c r="A82" s="428" t="s">
        <v>659</v>
      </c>
      <c r="B82" s="451" t="s">
        <v>658</v>
      </c>
    </row>
    <row r="83" spans="1:2" ht="47.25" x14ac:dyDescent="0.25">
      <c r="A83" s="428" t="s">
        <v>662</v>
      </c>
      <c r="B83" s="451" t="s">
        <v>661</v>
      </c>
    </row>
    <row r="84" spans="1:2" s="466" customFormat="1" ht="32.25" thickBot="1" x14ac:dyDescent="0.3">
      <c r="A84" s="467" t="s">
        <v>632</v>
      </c>
      <c r="B84" s="468" t="s">
        <v>631</v>
      </c>
    </row>
    <row r="85" spans="1:2" s="466" customFormat="1" x14ac:dyDescent="0.25">
      <c r="A85" s="439" t="s">
        <v>807</v>
      </c>
      <c r="B85" s="469" t="s">
        <v>806</v>
      </c>
    </row>
    <row r="86" spans="1:2" s="466" customFormat="1" x14ac:dyDescent="0.25">
      <c r="A86" s="428" t="s">
        <v>803</v>
      </c>
      <c r="B86" s="470" t="s">
        <v>802</v>
      </c>
    </row>
    <row r="87" spans="1:2" ht="31.5" x14ac:dyDescent="0.25">
      <c r="A87" s="428" t="s">
        <v>795</v>
      </c>
      <c r="B87" s="470" t="s">
        <v>794</v>
      </c>
    </row>
    <row r="88" spans="1:2" ht="16.5" thickBot="1" x14ac:dyDescent="0.3">
      <c r="A88" s="428" t="s">
        <v>797</v>
      </c>
      <c r="B88" s="471" t="s">
        <v>796</v>
      </c>
    </row>
    <row r="89" spans="1:2" ht="48" thickBot="1" x14ac:dyDescent="0.3">
      <c r="A89" s="423" t="s">
        <v>636</v>
      </c>
      <c r="B89" s="424" t="s">
        <v>3306</v>
      </c>
    </row>
    <row r="90" spans="1:2" ht="32.25" thickBot="1" x14ac:dyDescent="0.3">
      <c r="A90" s="444" t="s">
        <v>637</v>
      </c>
      <c r="B90" s="472" t="s">
        <v>3307</v>
      </c>
    </row>
    <row r="91" spans="1:2" s="466" customFormat="1" ht="32.25" thickBot="1" x14ac:dyDescent="0.3">
      <c r="A91" s="423" t="s">
        <v>640</v>
      </c>
      <c r="B91" s="424" t="s">
        <v>639</v>
      </c>
    </row>
    <row r="92" spans="1:2" s="466" customFormat="1" x14ac:dyDescent="0.25">
      <c r="A92" s="473" t="s">
        <v>677</v>
      </c>
      <c r="B92" s="474" t="s">
        <v>3199</v>
      </c>
    </row>
    <row r="93" spans="1:2" ht="32.25" thickBot="1" x14ac:dyDescent="0.3">
      <c r="A93" s="444" t="s">
        <v>642</v>
      </c>
      <c r="B93" s="472" t="s">
        <v>641</v>
      </c>
    </row>
    <row r="94" spans="1:2" s="466" customFormat="1" ht="63.75" thickBot="1" x14ac:dyDescent="0.3">
      <c r="A94" s="423" t="s">
        <v>644</v>
      </c>
      <c r="B94" s="424" t="s">
        <v>3049</v>
      </c>
    </row>
    <row r="95" spans="1:2" s="466" customFormat="1" ht="47.25" x14ac:dyDescent="0.25">
      <c r="A95" s="473" t="s">
        <v>645</v>
      </c>
      <c r="B95" s="474" t="s">
        <v>3084</v>
      </c>
    </row>
    <row r="96" spans="1:2" ht="32.25" thickBot="1" x14ac:dyDescent="0.3">
      <c r="A96" s="444" t="s">
        <v>946</v>
      </c>
      <c r="B96" s="472" t="s">
        <v>3085</v>
      </c>
    </row>
    <row r="97" spans="1:2" s="466" customFormat="1" ht="32.25" thickBot="1" x14ac:dyDescent="0.3">
      <c r="A97" s="423" t="s">
        <v>746</v>
      </c>
      <c r="B97" s="424" t="s">
        <v>745</v>
      </c>
    </row>
    <row r="98" spans="1:2" ht="16.5" thickBot="1" x14ac:dyDescent="0.3">
      <c r="A98" s="444" t="s">
        <v>748</v>
      </c>
      <c r="B98" s="472" t="s">
        <v>747</v>
      </c>
    </row>
    <row r="99" spans="1:2" ht="30" customHeight="1" thickBot="1" x14ac:dyDescent="0.3">
      <c r="A99" s="423" t="s">
        <v>859</v>
      </c>
      <c r="B99" s="460" t="s">
        <v>858</v>
      </c>
    </row>
    <row r="100" spans="1:2" ht="47.25" x14ac:dyDescent="0.25">
      <c r="A100" s="439" t="s">
        <v>861</v>
      </c>
      <c r="B100" s="475" t="s">
        <v>860</v>
      </c>
    </row>
    <row r="101" spans="1:2" ht="47.25" x14ac:dyDescent="0.25">
      <c r="A101" s="428" t="s">
        <v>863</v>
      </c>
      <c r="B101" s="454" t="s">
        <v>862</v>
      </c>
    </row>
    <row r="102" spans="1:2" ht="31.5" x14ac:dyDescent="0.25">
      <c r="A102" s="428" t="s">
        <v>865</v>
      </c>
      <c r="B102" s="454" t="s">
        <v>864</v>
      </c>
    </row>
    <row r="103" spans="1:2" ht="32.25" thickBot="1" x14ac:dyDescent="0.3">
      <c r="A103" s="444" t="s">
        <v>3294</v>
      </c>
      <c r="B103" s="454" t="s">
        <v>3308</v>
      </c>
    </row>
    <row r="104" spans="1:2" ht="32.25" thickBot="1" x14ac:dyDescent="0.3">
      <c r="A104" s="446" t="s">
        <v>954</v>
      </c>
      <c r="B104" s="460" t="s">
        <v>953</v>
      </c>
    </row>
    <row r="105" spans="1:2" ht="34.5" customHeight="1" x14ac:dyDescent="0.25">
      <c r="A105" s="448" t="s">
        <v>957</v>
      </c>
      <c r="B105" s="461" t="s">
        <v>956</v>
      </c>
    </row>
    <row r="106" spans="1:2" ht="31.5" x14ac:dyDescent="0.25">
      <c r="A106" s="289" t="s">
        <v>960</v>
      </c>
      <c r="B106" s="476" t="s">
        <v>959</v>
      </c>
    </row>
    <row r="107" spans="1:2" ht="30.75" customHeight="1" x14ac:dyDescent="0.25">
      <c r="A107" s="448" t="s">
        <v>963</v>
      </c>
      <c r="B107" s="461" t="s">
        <v>962</v>
      </c>
    </row>
    <row r="108" spans="1:2" ht="34.5" customHeight="1" x14ac:dyDescent="0.25">
      <c r="A108" s="448" t="s">
        <v>965</v>
      </c>
      <c r="B108" s="477" t="s">
        <v>964</v>
      </c>
    </row>
    <row r="109" spans="1:2" ht="17.25" customHeight="1" x14ac:dyDescent="0.25">
      <c r="A109" s="448" t="s">
        <v>968</v>
      </c>
      <c r="B109" s="477" t="s">
        <v>967</v>
      </c>
    </row>
    <row r="110" spans="1:2" x14ac:dyDescent="0.25">
      <c r="A110" s="448" t="s">
        <v>969</v>
      </c>
      <c r="B110" s="476" t="s">
        <v>2955</v>
      </c>
    </row>
    <row r="111" spans="1:2" x14ac:dyDescent="0.25">
      <c r="A111" s="292" t="s">
        <v>3281</v>
      </c>
      <c r="B111" s="476" t="s">
        <v>3282</v>
      </c>
    </row>
    <row r="112" spans="1:2" ht="31.5" x14ac:dyDescent="0.25">
      <c r="A112" s="637" t="s">
        <v>972</v>
      </c>
      <c r="B112" s="657" t="s">
        <v>971</v>
      </c>
    </row>
    <row r="113" spans="1:2" ht="31.5" x14ac:dyDescent="0.25">
      <c r="A113" s="448" t="s">
        <v>974</v>
      </c>
      <c r="B113" s="449" t="s">
        <v>973</v>
      </c>
    </row>
    <row r="114" spans="1:2" ht="31.5" x14ac:dyDescent="0.25">
      <c r="A114" s="450" t="s">
        <v>976</v>
      </c>
      <c r="B114" s="451" t="s">
        <v>975</v>
      </c>
    </row>
    <row r="115" spans="1:2" ht="31.5" x14ac:dyDescent="0.25">
      <c r="A115" s="452" t="s">
        <v>978</v>
      </c>
      <c r="B115" s="453" t="s">
        <v>977</v>
      </c>
    </row>
    <row r="116" spans="1:2" ht="31.5" x14ac:dyDescent="0.25">
      <c r="A116" s="450" t="s">
        <v>980</v>
      </c>
      <c r="B116" s="462" t="s">
        <v>979</v>
      </c>
    </row>
    <row r="117" spans="1:2" ht="31.5" x14ac:dyDescent="0.25">
      <c r="A117" s="450" t="s">
        <v>982</v>
      </c>
      <c r="B117" s="462" t="s">
        <v>981</v>
      </c>
    </row>
    <row r="118" spans="1:2" ht="16.5" thickBot="1" x14ac:dyDescent="0.3">
      <c r="A118" s="295" t="s">
        <v>984</v>
      </c>
      <c r="B118" s="479" t="s">
        <v>983</v>
      </c>
    </row>
    <row r="119" spans="1:2" ht="32.25" thickBot="1" x14ac:dyDescent="0.3">
      <c r="A119" s="423" t="s">
        <v>986</v>
      </c>
      <c r="B119" s="480" t="s">
        <v>985</v>
      </c>
    </row>
    <row r="120" spans="1:2" ht="20.25" customHeight="1" thickBot="1" x14ac:dyDescent="0.3">
      <c r="A120" s="295" t="s">
        <v>988</v>
      </c>
      <c r="B120" s="479" t="s">
        <v>987</v>
      </c>
    </row>
    <row r="121" spans="1:2" ht="31.5" x14ac:dyDescent="0.25">
      <c r="A121" s="550" t="s">
        <v>2911</v>
      </c>
      <c r="B121" s="551" t="s">
        <v>2928</v>
      </c>
    </row>
    <row r="122" spans="1:2" ht="19.899999999999999" customHeight="1" x14ac:dyDescent="0.25">
      <c r="A122" s="494" t="s">
        <v>2912</v>
      </c>
      <c r="B122" s="553" t="s">
        <v>3043</v>
      </c>
    </row>
    <row r="123" spans="1:2" ht="31.5" customHeight="1" x14ac:dyDescent="0.25">
      <c r="A123" s="289" t="s">
        <v>2959</v>
      </c>
      <c r="B123" s="476" t="s">
        <v>3044</v>
      </c>
    </row>
    <row r="124" spans="1:2" ht="33" customHeight="1" thickBot="1" x14ac:dyDescent="0.3">
      <c r="A124" s="478" t="s">
        <v>2927</v>
      </c>
      <c r="B124" s="552" t="s">
        <v>2954</v>
      </c>
    </row>
    <row r="125" spans="1:2" ht="31.5" x14ac:dyDescent="0.25">
      <c r="A125" s="297" t="s">
        <v>2929</v>
      </c>
      <c r="B125" s="519" t="s">
        <v>2930</v>
      </c>
    </row>
    <row r="126" spans="1:2" ht="48" thickBot="1" x14ac:dyDescent="0.3">
      <c r="A126" s="295" t="s">
        <v>2931</v>
      </c>
      <c r="B126" s="521" t="s">
        <v>2932</v>
      </c>
    </row>
    <row r="127" spans="1:2" ht="32.25" thickBot="1" x14ac:dyDescent="0.3">
      <c r="A127" s="518" t="s">
        <v>2933</v>
      </c>
      <c r="B127" s="522" t="s">
        <v>794</v>
      </c>
    </row>
    <row r="128" spans="1:2" ht="19.899999999999999" customHeight="1" x14ac:dyDescent="0.25">
      <c r="A128" s="523" t="s">
        <v>2934</v>
      </c>
      <c r="B128" s="632" t="s">
        <v>3150</v>
      </c>
    </row>
    <row r="129" spans="1:2" ht="19.899999999999999" customHeight="1" x14ac:dyDescent="0.25">
      <c r="A129" s="289" t="s">
        <v>3151</v>
      </c>
      <c r="B129" s="16" t="s">
        <v>3152</v>
      </c>
    </row>
    <row r="130" spans="1:2" ht="19.899999999999999" customHeight="1" thickBot="1" x14ac:dyDescent="0.3">
      <c r="A130" s="295" t="s">
        <v>3153</v>
      </c>
      <c r="B130" s="633" t="s">
        <v>3154</v>
      </c>
    </row>
    <row r="131" spans="1:2" ht="19.899999999999999" customHeight="1" thickBot="1" x14ac:dyDescent="0.3">
      <c r="A131" s="446" t="s">
        <v>3155</v>
      </c>
      <c r="B131" s="634" t="s">
        <v>3156</v>
      </c>
    </row>
    <row r="132" spans="1:2" ht="19.899999999999999" customHeight="1" x14ac:dyDescent="0.25">
      <c r="A132" s="523" t="s">
        <v>3183</v>
      </c>
      <c r="B132" s="632" t="s">
        <v>3157</v>
      </c>
    </row>
    <row r="133" spans="1:2" ht="19.899999999999999" customHeight="1" x14ac:dyDescent="0.25">
      <c r="A133" s="289" t="s">
        <v>3184</v>
      </c>
      <c r="B133" s="16" t="s">
        <v>3158</v>
      </c>
    </row>
    <row r="134" spans="1:2" ht="19.899999999999999" customHeight="1" thickBot="1" x14ac:dyDescent="0.3">
      <c r="A134" s="295" t="s">
        <v>3185</v>
      </c>
      <c r="B134" s="633" t="s">
        <v>3159</v>
      </c>
    </row>
    <row r="135" spans="1:2" ht="32.25" thickBot="1" x14ac:dyDescent="0.3">
      <c r="A135" s="446" t="s">
        <v>3160</v>
      </c>
      <c r="B135" s="635" t="s">
        <v>3161</v>
      </c>
    </row>
    <row r="136" spans="1:2" ht="19.899999999999999" customHeight="1" x14ac:dyDescent="0.25">
      <c r="A136" s="523" t="s">
        <v>3162</v>
      </c>
      <c r="B136" s="636" t="s">
        <v>3163</v>
      </c>
    </row>
    <row r="137" spans="1:2" ht="19.899999999999999" customHeight="1" x14ac:dyDescent="0.25">
      <c r="A137" s="494"/>
      <c r="B137" s="520"/>
    </row>
    <row r="138" spans="1:2" ht="19.899999999999999" customHeight="1" x14ac:dyDescent="0.25">
      <c r="A138" s="494"/>
      <c r="B138" s="520"/>
    </row>
    <row r="139" spans="1:2" ht="19.899999999999999" customHeight="1" x14ac:dyDescent="0.25">
      <c r="A139" s="494"/>
      <c r="B139" s="520"/>
    </row>
    <row r="140" spans="1:2" ht="19.899999999999999" customHeight="1" x14ac:dyDescent="0.25">
      <c r="A140" s="494"/>
      <c r="B140" s="520"/>
    </row>
    <row r="141" spans="1:2" ht="19.899999999999999" customHeight="1" x14ac:dyDescent="0.25">
      <c r="A141" s="494"/>
      <c r="B141" s="520"/>
    </row>
    <row r="142" spans="1:2" ht="19.899999999999999" customHeight="1" x14ac:dyDescent="0.25">
      <c r="A142" s="494"/>
      <c r="B142" s="520"/>
    </row>
    <row r="143" spans="1:2" ht="19.899999999999999" customHeight="1" x14ac:dyDescent="0.25">
      <c r="A143" s="494"/>
      <c r="B143" s="520"/>
    </row>
    <row r="144" spans="1:2" ht="19.899999999999999" customHeight="1" x14ac:dyDescent="0.25">
      <c r="A144" s="494"/>
      <c r="B144" s="520"/>
    </row>
    <row r="145" spans="1:2" ht="19.899999999999999" customHeight="1" x14ac:dyDescent="0.25">
      <c r="A145" s="494"/>
      <c r="B145" s="520"/>
    </row>
    <row r="146" spans="1:2" ht="19.899999999999999" customHeight="1" x14ac:dyDescent="0.25">
      <c r="A146" s="494"/>
      <c r="B146" s="520"/>
    </row>
    <row r="147" spans="1:2" ht="19.899999999999999" customHeight="1" x14ac:dyDescent="0.25">
      <c r="A147" s="494"/>
      <c r="B147" s="520"/>
    </row>
    <row r="148" spans="1:2" ht="19.899999999999999" customHeight="1" x14ac:dyDescent="0.25">
      <c r="A148" s="494"/>
      <c r="B148" s="520"/>
    </row>
    <row r="149" spans="1:2" ht="19.899999999999999" customHeight="1" x14ac:dyDescent="0.25">
      <c r="A149" s="494"/>
      <c r="B149" s="520"/>
    </row>
    <row r="150" spans="1:2" ht="19.899999999999999" customHeight="1" x14ac:dyDescent="0.25">
      <c r="A150" s="494"/>
      <c r="B150" s="520"/>
    </row>
    <row r="151" spans="1:2" ht="19.899999999999999" customHeight="1" x14ac:dyDescent="0.25">
      <c r="A151" s="494"/>
      <c r="B151" s="520"/>
    </row>
    <row r="152" spans="1:2" ht="19.899999999999999" customHeight="1" x14ac:dyDescent="0.25">
      <c r="A152" s="494"/>
      <c r="B152" s="520"/>
    </row>
    <row r="153" spans="1:2" ht="19.899999999999999" customHeight="1" x14ac:dyDescent="0.25">
      <c r="A153" s="494"/>
      <c r="B153" s="520"/>
    </row>
    <row r="154" spans="1:2" ht="19.899999999999999" customHeight="1" x14ac:dyDescent="0.25">
      <c r="A154" s="494"/>
      <c r="B154" s="520"/>
    </row>
    <row r="155" spans="1:2" ht="19.899999999999999" customHeight="1" x14ac:dyDescent="0.25">
      <c r="A155" s="494"/>
      <c r="B155" s="520"/>
    </row>
    <row r="156" spans="1:2" ht="19.899999999999999" customHeight="1" x14ac:dyDescent="0.25">
      <c r="A156" s="494"/>
      <c r="B156" s="520"/>
    </row>
    <row r="157" spans="1:2" ht="19.899999999999999" customHeight="1" x14ac:dyDescent="0.25">
      <c r="A157" s="494"/>
      <c r="B157" s="520"/>
    </row>
    <row r="158" spans="1:2" x14ac:dyDescent="0.25">
      <c r="A158" s="481" t="s">
        <v>624</v>
      </c>
      <c r="B158" s="127" t="s">
        <v>623</v>
      </c>
    </row>
    <row r="159" spans="1:2" ht="16.5" thickBot="1" x14ac:dyDescent="0.3">
      <c r="A159" s="482" t="s">
        <v>799</v>
      </c>
      <c r="B159" s="483" t="s">
        <v>798</v>
      </c>
    </row>
    <row r="160" spans="1:2" x14ac:dyDescent="0.25">
      <c r="A160" s="484"/>
      <c r="B160" s="485"/>
    </row>
  </sheetData>
  <pageMargins left="0.70866141732283472" right="0.70866141732283472" top="0.74803149606299213" bottom="0.74803149606299213" header="0.51181102362204722" footer="0.51181102362204722"/>
  <pageSetup paperSize="9" scale="83" orientation="portrait" r:id="rId1"/>
  <headerFooter>
    <oddFooter>&amp;C&amp;P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4"/>
  <sheetViews>
    <sheetView showGridLines="0" view="pageBreakPreview" topLeftCell="A16" zoomScaleSheetLayoutView="100" workbookViewId="0">
      <selection activeCell="E12" sqref="E12"/>
    </sheetView>
  </sheetViews>
  <sheetFormatPr defaultColWidth="9.140625" defaultRowHeight="12.75" x14ac:dyDescent="0.2"/>
  <cols>
    <col min="1" max="1" width="25" style="38" customWidth="1"/>
    <col min="2" max="2" width="30.5703125" style="38" customWidth="1"/>
    <col min="3" max="3" width="18.140625" style="38" customWidth="1"/>
    <col min="4" max="4" width="16" style="38" customWidth="1"/>
    <col min="5" max="5" width="20.28515625" style="38" customWidth="1"/>
    <col min="6" max="6" width="15.140625" style="38" customWidth="1"/>
    <col min="7" max="7" width="12.140625" style="38" customWidth="1"/>
    <col min="8" max="8" width="18" style="38" customWidth="1"/>
    <col min="9" max="16384" width="9.140625" style="38"/>
  </cols>
  <sheetData>
    <row r="1" spans="1:8" ht="15.75" x14ac:dyDescent="0.25">
      <c r="A1" s="890" t="s">
        <v>340</v>
      </c>
      <c r="B1" s="890"/>
      <c r="C1" s="890"/>
      <c r="D1" s="890"/>
      <c r="E1" s="890"/>
      <c r="F1" s="890"/>
      <c r="G1" s="890"/>
      <c r="H1" s="890"/>
    </row>
    <row r="2" spans="1:8" ht="15.75" x14ac:dyDescent="0.25">
      <c r="A2" s="890" t="s">
        <v>1</v>
      </c>
      <c r="B2" s="890"/>
      <c r="C2" s="890"/>
      <c r="D2" s="890"/>
      <c r="E2" s="890"/>
      <c r="F2" s="890"/>
      <c r="G2" s="890"/>
      <c r="H2" s="890"/>
    </row>
    <row r="3" spans="1:8" ht="15.75" x14ac:dyDescent="0.25">
      <c r="A3" s="890" t="s">
        <v>2</v>
      </c>
      <c r="B3" s="890"/>
      <c r="C3" s="890"/>
      <c r="D3" s="890"/>
      <c r="E3" s="890"/>
      <c r="F3" s="890"/>
      <c r="G3" s="890"/>
      <c r="H3" s="890"/>
    </row>
    <row r="4" spans="1:8" ht="15" customHeight="1" x14ac:dyDescent="0.25">
      <c r="A4" s="890" t="s">
        <v>3132</v>
      </c>
      <c r="B4" s="890"/>
      <c r="C4" s="890"/>
      <c r="D4" s="890"/>
      <c r="E4" s="890"/>
      <c r="F4" s="890"/>
      <c r="G4" s="890"/>
      <c r="H4" s="890"/>
    </row>
    <row r="5" spans="1:8" hidden="1" x14ac:dyDescent="0.2">
      <c r="C5" s="79"/>
      <c r="D5" s="45"/>
    </row>
    <row r="6" spans="1:8" ht="15" customHeight="1" x14ac:dyDescent="0.2">
      <c r="A6" s="904" t="s">
        <v>3126</v>
      </c>
      <c r="B6" s="904"/>
      <c r="C6" s="904"/>
      <c r="D6" s="904"/>
      <c r="E6" s="904"/>
      <c r="F6" s="904"/>
      <c r="G6" s="904"/>
      <c r="H6" s="904"/>
    </row>
    <row r="7" spans="1:8" ht="58.5" customHeight="1" x14ac:dyDescent="0.2">
      <c r="A7" s="904"/>
      <c r="B7" s="904"/>
      <c r="C7" s="904"/>
      <c r="D7" s="904"/>
      <c r="E7" s="904"/>
      <c r="F7" s="904"/>
      <c r="G7" s="904"/>
      <c r="H7" s="904"/>
    </row>
    <row r="8" spans="1:8" ht="19.5" thickBot="1" x14ac:dyDescent="0.25">
      <c r="A8" s="8"/>
      <c r="B8" s="1"/>
      <c r="C8" s="79"/>
      <c r="D8" s="905"/>
      <c r="E8" s="905"/>
      <c r="F8" s="905"/>
      <c r="G8" s="905"/>
      <c r="H8" s="905"/>
    </row>
    <row r="9" spans="1:8" ht="32.25" thickBot="1" x14ac:dyDescent="0.25">
      <c r="A9" s="71" t="s">
        <v>190</v>
      </c>
      <c r="B9" s="71" t="s">
        <v>306</v>
      </c>
      <c r="C9" s="71" t="s">
        <v>179</v>
      </c>
      <c r="D9" s="71" t="s">
        <v>995</v>
      </c>
      <c r="E9" s="71" t="s">
        <v>341</v>
      </c>
      <c r="F9" s="71" t="s">
        <v>341</v>
      </c>
      <c r="G9" s="71" t="s">
        <v>995</v>
      </c>
      <c r="H9" s="71" t="s">
        <v>3131</v>
      </c>
    </row>
    <row r="10" spans="1:8" ht="48" thickBot="1" x14ac:dyDescent="0.25">
      <c r="A10" s="81" t="s">
        <v>342</v>
      </c>
      <c r="B10" s="82" t="s">
        <v>308</v>
      </c>
      <c r="C10" s="73">
        <f>C11+C13</f>
        <v>1250000</v>
      </c>
      <c r="D10" s="73">
        <f>D11+D13</f>
        <v>0</v>
      </c>
      <c r="E10" s="73">
        <f>SUM(C10:D10)</f>
        <v>1250000</v>
      </c>
      <c r="F10" s="73">
        <f>F11+F13</f>
        <v>0</v>
      </c>
      <c r="G10" s="73">
        <f>G11+G13</f>
        <v>0</v>
      </c>
      <c r="H10" s="73">
        <f>SUM(F10:G10)</f>
        <v>0</v>
      </c>
    </row>
    <row r="11" spans="1:8" ht="63.75" thickBot="1" x14ac:dyDescent="0.25">
      <c r="A11" s="81" t="s">
        <v>309</v>
      </c>
      <c r="B11" s="83" t="s">
        <v>310</v>
      </c>
      <c r="C11" s="75">
        <f>C12</f>
        <v>15529000</v>
      </c>
      <c r="D11" s="75">
        <f>D12</f>
        <v>0</v>
      </c>
      <c r="E11" s="75">
        <f>SUM(C11:D11)</f>
        <v>15529000</v>
      </c>
      <c r="F11" s="75">
        <f>F12</f>
        <v>15529000</v>
      </c>
      <c r="G11" s="75">
        <f>G12</f>
        <v>0</v>
      </c>
      <c r="H11" s="75">
        <f t="shared" ref="H11:H24" si="0">SUM(F11:G11)</f>
        <v>15529000</v>
      </c>
    </row>
    <row r="12" spans="1:8" ht="79.5" thickBot="1" x14ac:dyDescent="0.25">
      <c r="A12" s="81" t="s">
        <v>311</v>
      </c>
      <c r="B12" s="83" t="s">
        <v>343</v>
      </c>
      <c r="C12" s="75">
        <f>14279000+1250000</f>
        <v>15529000</v>
      </c>
      <c r="D12" s="75"/>
      <c r="E12" s="75">
        <f t="shared" ref="E12:E24" si="1">SUM(C12:D12)</f>
        <v>15529000</v>
      </c>
      <c r="F12" s="84">
        <v>15529000</v>
      </c>
      <c r="G12" s="84"/>
      <c r="H12" s="75">
        <f t="shared" si="0"/>
        <v>15529000</v>
      </c>
    </row>
    <row r="13" spans="1:8" ht="79.5" thickBot="1" x14ac:dyDescent="0.25">
      <c r="A13" s="81" t="s">
        <v>313</v>
      </c>
      <c r="B13" s="83" t="s">
        <v>314</v>
      </c>
      <c r="C13" s="75">
        <f>C14</f>
        <v>-14279000</v>
      </c>
      <c r="D13" s="75">
        <f>D14</f>
        <v>0</v>
      </c>
      <c r="E13" s="75">
        <f t="shared" si="1"/>
        <v>-14279000</v>
      </c>
      <c r="F13" s="75">
        <f>F14</f>
        <v>-15529000</v>
      </c>
      <c r="G13" s="75">
        <f>G14</f>
        <v>0</v>
      </c>
      <c r="H13" s="75">
        <f t="shared" si="0"/>
        <v>-15529000</v>
      </c>
    </row>
    <row r="14" spans="1:8" ht="79.5" thickBot="1" x14ac:dyDescent="0.25">
      <c r="A14" s="81" t="s">
        <v>315</v>
      </c>
      <c r="B14" s="83" t="s">
        <v>344</v>
      </c>
      <c r="C14" s="75">
        <v>-14279000</v>
      </c>
      <c r="D14" s="75"/>
      <c r="E14" s="75">
        <f t="shared" si="1"/>
        <v>-14279000</v>
      </c>
      <c r="F14" s="84">
        <v>-15529000</v>
      </c>
      <c r="G14" s="84"/>
      <c r="H14" s="75">
        <f t="shared" si="0"/>
        <v>-15529000</v>
      </c>
    </row>
    <row r="15" spans="1:8" ht="63.75" thickBot="1" x14ac:dyDescent="0.25">
      <c r="A15" s="81" t="s">
        <v>345</v>
      </c>
      <c r="B15" s="82" t="s">
        <v>318</v>
      </c>
      <c r="C15" s="73">
        <f>C16</f>
        <v>-1250000</v>
      </c>
      <c r="D15" s="73">
        <f>D16</f>
        <v>0</v>
      </c>
      <c r="E15" s="73">
        <f t="shared" si="1"/>
        <v>-1250000</v>
      </c>
      <c r="F15" s="73">
        <f>F16</f>
        <v>0</v>
      </c>
      <c r="G15" s="73">
        <f>G16</f>
        <v>0</v>
      </c>
      <c r="H15" s="73">
        <f t="shared" si="0"/>
        <v>0</v>
      </c>
    </row>
    <row r="16" spans="1:8" ht="95.25" thickBot="1" x14ac:dyDescent="0.25">
      <c r="A16" s="81" t="s">
        <v>323</v>
      </c>
      <c r="B16" s="83" t="s">
        <v>324</v>
      </c>
      <c r="C16" s="75">
        <f>C17</f>
        <v>-1250000</v>
      </c>
      <c r="D16" s="75">
        <f>D17</f>
        <v>0</v>
      </c>
      <c r="E16" s="75">
        <f t="shared" si="1"/>
        <v>-1250000</v>
      </c>
      <c r="F16" s="84">
        <f>F17</f>
        <v>0</v>
      </c>
      <c r="G16" s="84">
        <f>G17</f>
        <v>0</v>
      </c>
      <c r="H16" s="75">
        <f t="shared" si="0"/>
        <v>0</v>
      </c>
    </row>
    <row r="17" spans="1:8" ht="111" thickBot="1" x14ac:dyDescent="0.25">
      <c r="A17" s="81" t="s">
        <v>325</v>
      </c>
      <c r="B17" s="83" t="s">
        <v>346</v>
      </c>
      <c r="C17" s="75">
        <v>-1250000</v>
      </c>
      <c r="D17" s="75"/>
      <c r="E17" s="75">
        <f t="shared" si="1"/>
        <v>-1250000</v>
      </c>
      <c r="F17" s="84"/>
      <c r="G17" s="84"/>
      <c r="H17" s="75">
        <f t="shared" si="0"/>
        <v>0</v>
      </c>
    </row>
    <row r="18" spans="1:8" ht="48" thickBot="1" x14ac:dyDescent="0.25">
      <c r="A18" s="81" t="s">
        <v>347</v>
      </c>
      <c r="B18" s="82" t="s">
        <v>328</v>
      </c>
      <c r="C18" s="73">
        <f ca="1">C19+C20</f>
        <v>0</v>
      </c>
      <c r="D18" s="73">
        <f ca="1">D19+D20</f>
        <v>0</v>
      </c>
      <c r="E18" s="73">
        <f t="shared" ca="1" si="1"/>
        <v>0</v>
      </c>
      <c r="F18" s="73">
        <f ca="1">F19+F20</f>
        <v>0</v>
      </c>
      <c r="G18" s="73">
        <f ca="1">G19+G20</f>
        <v>0</v>
      </c>
      <c r="H18" s="73">
        <f t="shared" ca="1" si="0"/>
        <v>0</v>
      </c>
    </row>
    <row r="19" spans="1:8" ht="48" thickBot="1" x14ac:dyDescent="0.25">
      <c r="A19" s="81" t="s">
        <v>329</v>
      </c>
      <c r="B19" s="83" t="s">
        <v>348</v>
      </c>
      <c r="C19" s="75">
        <f>-Пр2!J97-C12-C23</f>
        <v>-1567108336</v>
      </c>
      <c r="D19" s="75">
        <f>-Пр2!K97-D12-D23</f>
        <v>0</v>
      </c>
      <c r="E19" s="75">
        <f t="shared" si="1"/>
        <v>-1567108336</v>
      </c>
      <c r="F19" s="75">
        <f>-Пр2!M97-F12-F23</f>
        <v>-1360774013</v>
      </c>
      <c r="G19" s="75">
        <f>-Пр2!N97-G12-G23</f>
        <v>0</v>
      </c>
      <c r="H19" s="75">
        <f t="shared" si="0"/>
        <v>-1360774013</v>
      </c>
    </row>
    <row r="20" spans="1:8" ht="51" customHeight="1" thickBot="1" x14ac:dyDescent="0.25">
      <c r="A20" s="81" t="s">
        <v>331</v>
      </c>
      <c r="B20" s="68" t="s">
        <v>349</v>
      </c>
      <c r="C20" s="75">
        <f ca="1">Пр4!C121+Пр4!C122-C14-C17</f>
        <v>1567108336</v>
      </c>
      <c r="D20" s="75">
        <f ca="1">Пр4!D121+Пр4!D122-D14-D17</f>
        <v>0</v>
      </c>
      <c r="E20" s="75">
        <f t="shared" ca="1" si="1"/>
        <v>1567108336</v>
      </c>
      <c r="F20" s="75">
        <f ca="1">Пр4!F121+Пр4!F122-F14-F17</f>
        <v>1360774013</v>
      </c>
      <c r="G20" s="75">
        <f ca="1">Пр4!G121+Пр4!G122-G14-G17</f>
        <v>0</v>
      </c>
      <c r="H20" s="75">
        <f t="shared" ca="1" si="0"/>
        <v>1360774013</v>
      </c>
    </row>
    <row r="21" spans="1:8" ht="63.75" hidden="1" thickBot="1" x14ac:dyDescent="0.25">
      <c r="A21" s="81" t="s">
        <v>350</v>
      </c>
      <c r="B21" s="82" t="s">
        <v>334</v>
      </c>
      <c r="C21" s="73">
        <f>C22</f>
        <v>0</v>
      </c>
      <c r="D21" s="73">
        <f>D22</f>
        <v>0</v>
      </c>
      <c r="E21" s="75">
        <f t="shared" si="1"/>
        <v>0</v>
      </c>
      <c r="F21" s="85">
        <f>F22</f>
        <v>0</v>
      </c>
      <c r="G21" s="85">
        <f>G22</f>
        <v>0</v>
      </c>
      <c r="H21" s="75">
        <f t="shared" si="0"/>
        <v>0</v>
      </c>
    </row>
    <row r="22" spans="1:8" ht="79.5" hidden="1" thickBot="1" x14ac:dyDescent="0.25">
      <c r="A22" s="81" t="s">
        <v>335</v>
      </c>
      <c r="B22" s="83" t="s">
        <v>336</v>
      </c>
      <c r="C22" s="75">
        <f>C23</f>
        <v>0</v>
      </c>
      <c r="D22" s="75">
        <f>D23</f>
        <v>0</v>
      </c>
      <c r="E22" s="75">
        <f t="shared" si="1"/>
        <v>0</v>
      </c>
      <c r="F22" s="75">
        <f>F23</f>
        <v>0</v>
      </c>
      <c r="G22" s="75">
        <f>G23</f>
        <v>0</v>
      </c>
      <c r="H22" s="75">
        <f t="shared" si="0"/>
        <v>0</v>
      </c>
    </row>
    <row r="23" spans="1:8" ht="95.25" hidden="1" thickBot="1" x14ac:dyDescent="0.25">
      <c r="A23" s="81" t="s">
        <v>337</v>
      </c>
      <c r="B23" s="83" t="s">
        <v>338</v>
      </c>
      <c r="C23" s="75"/>
      <c r="D23" s="75"/>
      <c r="E23" s="75">
        <f t="shared" si="1"/>
        <v>0</v>
      </c>
      <c r="F23" s="84"/>
      <c r="G23" s="84"/>
      <c r="H23" s="75">
        <f t="shared" si="0"/>
        <v>0</v>
      </c>
    </row>
    <row r="24" spans="1:8" ht="16.5" thickBot="1" x14ac:dyDescent="0.25">
      <c r="A24" s="903" t="s">
        <v>339</v>
      </c>
      <c r="B24" s="903"/>
      <c r="C24" s="77">
        <f ca="1">C21+C18+C15+C10</f>
        <v>0</v>
      </c>
      <c r="D24" s="77">
        <f ca="1">D21+D18+D15+D10</f>
        <v>0</v>
      </c>
      <c r="E24" s="75">
        <f t="shared" ca="1" si="1"/>
        <v>0</v>
      </c>
      <c r="F24" s="73">
        <f ca="1">F10+F15+F18+F21</f>
        <v>0</v>
      </c>
      <c r="G24" s="73">
        <f ca="1">G10+G15+G18+G21</f>
        <v>0</v>
      </c>
      <c r="H24" s="73">
        <f t="shared" ca="1" si="0"/>
        <v>0</v>
      </c>
    </row>
  </sheetData>
  <mergeCells count="7">
    <mergeCell ref="A24:B24"/>
    <mergeCell ref="A1:H1"/>
    <mergeCell ref="A2:H2"/>
    <mergeCell ref="A3:H3"/>
    <mergeCell ref="A4:H4"/>
    <mergeCell ref="A6:H7"/>
    <mergeCell ref="D8:H8"/>
  </mergeCells>
  <printOptions gridLinesSet="0"/>
  <pageMargins left="0.70866141732283472" right="0.70866141732283472" top="0.74803149606299213" bottom="0.74803149606299213" header="0.51181102362204722" footer="0.51181102362204722"/>
  <pageSetup paperSize="9" scale="57" fitToHeight="23" orientation="portrait" r:id="rId1"/>
  <headerFooter>
    <oddFooter>&amp;C&amp;P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45"/>
  <sheetViews>
    <sheetView showGridLines="0" view="pageBreakPreview" zoomScaleSheetLayoutView="100" workbookViewId="0">
      <selection activeCell="A4" sqref="A4:E4"/>
    </sheetView>
  </sheetViews>
  <sheetFormatPr defaultRowHeight="12.75" x14ac:dyDescent="0.2"/>
  <cols>
    <col min="1" max="1" width="38.140625" customWidth="1"/>
    <col min="2" max="2" width="17.140625" customWidth="1"/>
    <col min="3" max="3" width="9" bestFit="1" customWidth="1"/>
    <col min="4" max="4" width="17" customWidth="1"/>
    <col min="5" max="5" width="12.7109375" bestFit="1" customWidth="1"/>
    <col min="8" max="8" width="43.42578125" customWidth="1"/>
  </cols>
  <sheetData>
    <row r="1" spans="1:5" ht="16.5" customHeight="1" x14ac:dyDescent="0.25">
      <c r="A1" s="890" t="s">
        <v>304</v>
      </c>
      <c r="B1" s="890"/>
      <c r="C1" s="890"/>
      <c r="D1" s="906"/>
      <c r="E1" s="906"/>
    </row>
    <row r="2" spans="1:5" ht="16.5" customHeight="1" x14ac:dyDescent="0.25">
      <c r="A2" s="890" t="s">
        <v>1</v>
      </c>
      <c r="B2" s="890"/>
      <c r="C2" s="890"/>
      <c r="D2" s="906"/>
      <c r="E2" s="906"/>
    </row>
    <row r="3" spans="1:5" ht="16.5" customHeight="1" x14ac:dyDescent="0.25">
      <c r="A3" s="890" t="s">
        <v>2</v>
      </c>
      <c r="B3" s="890"/>
      <c r="C3" s="890"/>
      <c r="D3" s="906"/>
      <c r="E3" s="906"/>
    </row>
    <row r="4" spans="1:5" ht="16.5" customHeight="1" x14ac:dyDescent="0.25">
      <c r="A4" s="890" t="s">
        <v>3501</v>
      </c>
      <c r="B4" s="890"/>
      <c r="C4" s="890"/>
      <c r="D4" s="890"/>
      <c r="E4" s="890"/>
    </row>
    <row r="5" spans="1:5" ht="15.75" customHeight="1" x14ac:dyDescent="0.25">
      <c r="A5" s="890"/>
      <c r="B5" s="906"/>
      <c r="C5" s="906"/>
      <c r="D5" s="906"/>
      <c r="E5" s="906"/>
    </row>
    <row r="6" spans="1:5" ht="15.75" hidden="1" x14ac:dyDescent="0.25">
      <c r="A6" s="907"/>
      <c r="B6" s="908"/>
      <c r="C6" s="908"/>
      <c r="D6" s="908"/>
      <c r="E6" s="908"/>
    </row>
    <row r="7" spans="1:5" ht="30" customHeight="1" x14ac:dyDescent="0.2">
      <c r="A7" s="909" t="s">
        <v>3465</v>
      </c>
      <c r="B7" s="910"/>
      <c r="C7" s="910"/>
      <c r="D7" s="910"/>
      <c r="E7" s="910"/>
    </row>
    <row r="8" spans="1:5" ht="6.75" customHeight="1" x14ac:dyDescent="0.25">
      <c r="A8" s="5"/>
      <c r="B8" s="1"/>
      <c r="C8" s="1"/>
      <c r="D8" s="1"/>
      <c r="E8" s="1"/>
    </row>
    <row r="9" spans="1:5" ht="15.75" hidden="1" x14ac:dyDescent="0.25">
      <c r="A9" s="911"/>
      <c r="B9" s="908"/>
      <c r="C9" s="908"/>
      <c r="D9" s="908"/>
      <c r="E9" s="908"/>
    </row>
    <row r="10" spans="1:5" ht="30.75" customHeight="1" x14ac:dyDescent="0.2">
      <c r="A10" s="912" t="s">
        <v>3127</v>
      </c>
      <c r="B10" s="910"/>
      <c r="C10" s="910"/>
      <c r="D10" s="910"/>
      <c r="E10" s="910"/>
    </row>
    <row r="11" spans="1:5" ht="14.25" customHeight="1" thickBot="1" x14ac:dyDescent="0.3">
      <c r="A11" s="913" t="s">
        <v>352</v>
      </c>
      <c r="B11" s="914"/>
      <c r="C11" s="914"/>
      <c r="D11" s="914"/>
      <c r="E11" s="914"/>
    </row>
    <row r="12" spans="1:5" ht="15.75" customHeight="1" x14ac:dyDescent="0.2">
      <c r="A12" s="870" t="s">
        <v>353</v>
      </c>
      <c r="B12" s="915" t="s">
        <v>3498</v>
      </c>
      <c r="C12" s="916"/>
      <c r="D12" s="916"/>
      <c r="E12" s="917"/>
    </row>
    <row r="13" spans="1:5" ht="15.75" x14ac:dyDescent="0.25">
      <c r="A13" s="88">
        <v>1</v>
      </c>
      <c r="B13" s="918">
        <v>2</v>
      </c>
      <c r="C13" s="919"/>
      <c r="D13" s="919"/>
      <c r="E13" s="920"/>
    </row>
    <row r="14" spans="1:5" ht="16.5" customHeight="1" x14ac:dyDescent="0.25">
      <c r="A14" s="89" t="s">
        <v>354</v>
      </c>
      <c r="B14" s="921">
        <f>B15-B16</f>
        <v>0</v>
      </c>
      <c r="C14" s="922"/>
      <c r="D14" s="922"/>
      <c r="E14" s="923"/>
    </row>
    <row r="15" spans="1:5" ht="15.75" customHeight="1" x14ac:dyDescent="0.25">
      <c r="A15" s="90" t="s">
        <v>355</v>
      </c>
      <c r="B15" s="924"/>
      <c r="C15" s="922"/>
      <c r="D15" s="922"/>
      <c r="E15" s="923"/>
    </row>
    <row r="16" spans="1:5" ht="18.75" customHeight="1" x14ac:dyDescent="0.25">
      <c r="A16" s="90" t="s">
        <v>356</v>
      </c>
      <c r="B16" s="925"/>
      <c r="C16" s="922"/>
      <c r="D16" s="922"/>
      <c r="E16" s="923"/>
    </row>
    <row r="17" spans="1:5" ht="15.75" x14ac:dyDescent="0.25">
      <c r="A17" s="89" t="s">
        <v>357</v>
      </c>
      <c r="B17" s="926">
        <f>B18-B19</f>
        <v>-14279000</v>
      </c>
      <c r="C17" s="922"/>
      <c r="D17" s="922"/>
      <c r="E17" s="923"/>
    </row>
    <row r="18" spans="1:5" ht="14.25" customHeight="1" x14ac:dyDescent="0.25">
      <c r="A18" s="91" t="s">
        <v>358</v>
      </c>
      <c r="B18" s="925"/>
      <c r="C18" s="922"/>
      <c r="D18" s="922"/>
      <c r="E18" s="923"/>
    </row>
    <row r="19" spans="1:5" ht="15.75" x14ac:dyDescent="0.25">
      <c r="A19" s="91" t="s">
        <v>356</v>
      </c>
      <c r="B19" s="927">
        <f>Пр5!C18</f>
        <v>14279000</v>
      </c>
      <c r="C19" s="928"/>
      <c r="D19" s="928"/>
      <c r="E19" s="929"/>
    </row>
    <row r="20" spans="1:5" ht="15.75" x14ac:dyDescent="0.25">
      <c r="A20" s="92" t="s">
        <v>359</v>
      </c>
      <c r="B20" s="926">
        <f>B21-B22</f>
        <v>-14279000</v>
      </c>
      <c r="C20" s="922"/>
      <c r="D20" s="922"/>
      <c r="E20" s="923"/>
    </row>
    <row r="21" spans="1:5" ht="15.75" x14ac:dyDescent="0.25">
      <c r="A21" s="93" t="s">
        <v>360</v>
      </c>
      <c r="B21" s="924">
        <f>B15+B18</f>
        <v>0</v>
      </c>
      <c r="C21" s="922"/>
      <c r="D21" s="922"/>
      <c r="E21" s="923"/>
    </row>
    <row r="22" spans="1:5" ht="16.5" thickBot="1" x14ac:dyDescent="0.3">
      <c r="A22" s="93" t="s">
        <v>361</v>
      </c>
      <c r="B22" s="925">
        <f>B16+B19</f>
        <v>14279000</v>
      </c>
      <c r="C22" s="922"/>
      <c r="D22" s="922"/>
      <c r="E22" s="923"/>
    </row>
    <row r="23" spans="1:5" ht="32.25" customHeight="1" thickBot="1" x14ac:dyDescent="0.3">
      <c r="A23" s="94" t="s">
        <v>362</v>
      </c>
      <c r="B23" s="926">
        <f>B20</f>
        <v>-14279000</v>
      </c>
      <c r="C23" s="922"/>
      <c r="D23" s="922"/>
      <c r="E23" s="923"/>
    </row>
    <row r="24" spans="1:5" ht="25.5" customHeight="1" thickBot="1" x14ac:dyDescent="0.25">
      <c r="A24" s="930" t="s">
        <v>3466</v>
      </c>
      <c r="B24" s="931"/>
      <c r="C24" s="931"/>
      <c r="D24" s="931"/>
      <c r="E24" s="931"/>
    </row>
    <row r="25" spans="1:5" ht="0.75" hidden="1" customHeight="1" thickBot="1" x14ac:dyDescent="0.3">
      <c r="A25" s="890" t="s">
        <v>363</v>
      </c>
      <c r="B25" s="906"/>
      <c r="C25" s="906"/>
      <c r="D25" s="906"/>
      <c r="E25" s="906"/>
    </row>
    <row r="26" spans="1:5" ht="16.5" thickBot="1" x14ac:dyDescent="0.3">
      <c r="A26" s="95" t="s">
        <v>364</v>
      </c>
      <c r="B26" s="932" t="s">
        <v>192</v>
      </c>
      <c r="C26" s="919"/>
      <c r="D26" s="919"/>
      <c r="E26" s="920"/>
    </row>
    <row r="27" spans="1:5" ht="16.5" thickBot="1" x14ac:dyDescent="0.3">
      <c r="A27" s="96">
        <v>1</v>
      </c>
      <c r="B27" s="918">
        <v>2</v>
      </c>
      <c r="C27" s="933"/>
      <c r="D27" s="933"/>
      <c r="E27" s="934"/>
    </row>
    <row r="28" spans="1:5" ht="31.5" x14ac:dyDescent="0.2">
      <c r="A28" s="97" t="s">
        <v>3467</v>
      </c>
      <c r="B28" s="935">
        <f>D40</f>
        <v>1250000</v>
      </c>
      <c r="C28" s="936"/>
      <c r="D28" s="936"/>
      <c r="E28" s="937"/>
    </row>
    <row r="29" spans="1:5" ht="39" customHeight="1" thickBot="1" x14ac:dyDescent="0.25">
      <c r="A29" s="98" t="s">
        <v>3468</v>
      </c>
      <c r="B29" s="938">
        <v>926068</v>
      </c>
      <c r="C29" s="939"/>
      <c r="D29" s="939"/>
      <c r="E29" s="940"/>
    </row>
    <row r="30" spans="1:5" ht="37.5" customHeight="1" thickBot="1" x14ac:dyDescent="0.25">
      <c r="A30" s="99" t="s">
        <v>3469</v>
      </c>
      <c r="B30" s="941">
        <v>0</v>
      </c>
      <c r="C30" s="942"/>
      <c r="D30" s="942"/>
      <c r="E30" s="942"/>
    </row>
    <row r="31" spans="1:5" ht="48" thickBot="1" x14ac:dyDescent="0.25">
      <c r="A31" s="99" t="s">
        <v>3470</v>
      </c>
      <c r="B31" s="943">
        <v>0</v>
      </c>
      <c r="C31" s="944"/>
      <c r="D31" s="944"/>
      <c r="E31" s="944"/>
    </row>
    <row r="32" spans="1:5" ht="69" hidden="1" customHeight="1" x14ac:dyDescent="0.2">
      <c r="A32" s="945" t="s">
        <v>3128</v>
      </c>
      <c r="B32" s="945"/>
      <c r="C32" s="945"/>
      <c r="D32" s="945"/>
      <c r="E32" s="945"/>
    </row>
    <row r="33" spans="1:5" ht="33" customHeight="1" thickBot="1" x14ac:dyDescent="0.3">
      <c r="A33" s="946" t="s">
        <v>370</v>
      </c>
      <c r="B33" s="946"/>
      <c r="C33" s="946"/>
      <c r="D33" s="946"/>
      <c r="E33" s="946"/>
    </row>
    <row r="34" spans="1:5" ht="16.5" thickBot="1" x14ac:dyDescent="0.3">
      <c r="A34" s="949" t="s">
        <v>371</v>
      </c>
      <c r="B34" s="918" t="s">
        <v>372</v>
      </c>
      <c r="C34" s="952"/>
      <c r="D34" s="952"/>
      <c r="E34" s="953"/>
    </row>
    <row r="35" spans="1:5" ht="12.75" customHeight="1" x14ac:dyDescent="0.2">
      <c r="A35" s="950"/>
      <c r="B35" s="954" t="s">
        <v>3358</v>
      </c>
      <c r="C35" s="955"/>
      <c r="D35" s="954" t="s">
        <v>2922</v>
      </c>
      <c r="E35" s="955"/>
    </row>
    <row r="36" spans="1:5" ht="13.5" thickBot="1" x14ac:dyDescent="0.25">
      <c r="A36" s="950"/>
      <c r="B36" s="956"/>
      <c r="C36" s="957"/>
      <c r="D36" s="956"/>
      <c r="E36" s="957"/>
    </row>
    <row r="37" spans="1:5" ht="16.5" thickBot="1" x14ac:dyDescent="0.3">
      <c r="A37" s="951"/>
      <c r="B37" s="100" t="s">
        <v>373</v>
      </c>
      <c r="C37" s="87" t="s">
        <v>374</v>
      </c>
      <c r="D37" s="100" t="s">
        <v>373</v>
      </c>
      <c r="E37" s="100" t="s">
        <v>374</v>
      </c>
    </row>
    <row r="38" spans="1:5" ht="15.75" x14ac:dyDescent="0.25">
      <c r="A38" s="88">
        <v>1</v>
      </c>
      <c r="B38" s="100">
        <v>2</v>
      </c>
      <c r="C38" s="100">
        <v>3</v>
      </c>
      <c r="D38" s="100">
        <v>4</v>
      </c>
      <c r="E38" s="100">
        <v>5</v>
      </c>
    </row>
    <row r="39" spans="1:5" ht="15.75" x14ac:dyDescent="0.25">
      <c r="A39" s="101" t="s">
        <v>375</v>
      </c>
      <c r="B39" s="102"/>
      <c r="C39" s="103">
        <f>B39/B$42</f>
        <v>0</v>
      </c>
      <c r="D39" s="104">
        <f>B14</f>
        <v>0</v>
      </c>
      <c r="E39" s="103">
        <f>D39/D$42</f>
        <v>0</v>
      </c>
    </row>
    <row r="40" spans="1:5" ht="16.5" thickBot="1" x14ac:dyDescent="0.3">
      <c r="A40" s="101" t="s">
        <v>376</v>
      </c>
      <c r="B40" s="102">
        <v>15529000</v>
      </c>
      <c r="C40" s="103">
        <f>B40/B$42</f>
        <v>1</v>
      </c>
      <c r="D40" s="102">
        <f>B40-B19</f>
        <v>1250000</v>
      </c>
      <c r="E40" s="103">
        <f>D40/D$42</f>
        <v>1</v>
      </c>
    </row>
    <row r="41" spans="1:5" ht="21.75" customHeight="1" thickBot="1" x14ac:dyDescent="0.3">
      <c r="A41" s="101" t="s">
        <v>377</v>
      </c>
      <c r="B41" s="102">
        <v>0</v>
      </c>
      <c r="C41" s="103">
        <f>B41/B$42</f>
        <v>0</v>
      </c>
      <c r="D41" s="102">
        <v>0</v>
      </c>
      <c r="E41" s="103">
        <f>D41/D$42</f>
        <v>0</v>
      </c>
    </row>
    <row r="42" spans="1:5" ht="16.5" thickBot="1" x14ac:dyDescent="0.3">
      <c r="A42" s="101" t="s">
        <v>378</v>
      </c>
      <c r="B42" s="104">
        <f>B39+B40+B41</f>
        <v>15529000</v>
      </c>
      <c r="C42" s="103">
        <f>B42/B$42</f>
        <v>1</v>
      </c>
      <c r="D42" s="104">
        <f>D39+D40+D41</f>
        <v>1250000</v>
      </c>
      <c r="E42" s="103">
        <f>D42/D$42</f>
        <v>1</v>
      </c>
    </row>
    <row r="43" spans="1:5" ht="30" customHeight="1" x14ac:dyDescent="0.25">
      <c r="A43" s="947"/>
      <c r="B43" s="948"/>
      <c r="C43" s="948"/>
      <c r="D43" s="948"/>
      <c r="E43" s="948"/>
    </row>
    <row r="44" spans="1:5" x14ac:dyDescent="0.2">
      <c r="A44" s="105"/>
    </row>
    <row r="45" spans="1:5" ht="15.75" x14ac:dyDescent="0.25">
      <c r="A45" s="5"/>
    </row>
  </sheetData>
  <mergeCells count="37">
    <mergeCell ref="A32:E32"/>
    <mergeCell ref="A33:E33"/>
    <mergeCell ref="A43:E43"/>
    <mergeCell ref="A34:A37"/>
    <mergeCell ref="B34:E34"/>
    <mergeCell ref="B35:C36"/>
    <mergeCell ref="D35:E36"/>
    <mergeCell ref="B27:E27"/>
    <mergeCell ref="B28:E28"/>
    <mergeCell ref="B29:E29"/>
    <mergeCell ref="B30:E30"/>
    <mergeCell ref="B31:E31"/>
    <mergeCell ref="B22:E22"/>
    <mergeCell ref="B23:E23"/>
    <mergeCell ref="A24:E24"/>
    <mergeCell ref="A25:E25"/>
    <mergeCell ref="B26:E26"/>
    <mergeCell ref="B17:E17"/>
    <mergeCell ref="B18:E18"/>
    <mergeCell ref="B19:E19"/>
    <mergeCell ref="B20:E20"/>
    <mergeCell ref="B21:E21"/>
    <mergeCell ref="B12:E12"/>
    <mergeCell ref="B13:E13"/>
    <mergeCell ref="B14:E14"/>
    <mergeCell ref="B15:E15"/>
    <mergeCell ref="B16:E16"/>
    <mergeCell ref="A6:E6"/>
    <mergeCell ref="A7:E7"/>
    <mergeCell ref="A9:E9"/>
    <mergeCell ref="A10:E10"/>
    <mergeCell ref="A11:E11"/>
    <mergeCell ref="A1:E1"/>
    <mergeCell ref="A2:E2"/>
    <mergeCell ref="A3:E3"/>
    <mergeCell ref="A4:E4"/>
    <mergeCell ref="A5:E5"/>
  </mergeCells>
  <printOptions gridLinesSet="0"/>
  <pageMargins left="0.70866141732283472" right="0.70866141732283472" top="0.74803149606299213" bottom="0.74803149606299213" header="0.51181102362204722" footer="0.51181102362204722"/>
  <pageSetup paperSize="9" scale="94" fitToHeight="19" orientation="portrait" r:id="rId1"/>
  <headerFooter>
    <oddFooter>&amp;C&amp;P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71"/>
  <sheetViews>
    <sheetView showGridLines="0" workbookViewId="0"/>
  </sheetViews>
  <sheetFormatPr defaultRowHeight="12.75" x14ac:dyDescent="0.2"/>
  <cols>
    <col min="1" max="1" width="5.140625" bestFit="1" customWidth="1"/>
    <col min="2" max="2" width="24.42578125" customWidth="1"/>
    <col min="3" max="3" width="59.140625" customWidth="1"/>
    <col min="8" max="8" width="43.42578125" customWidth="1"/>
  </cols>
  <sheetData>
    <row r="1" spans="1:3" ht="15.75" x14ac:dyDescent="0.25">
      <c r="A1" s="890" t="s">
        <v>379</v>
      </c>
      <c r="B1" s="890"/>
      <c r="C1" s="890"/>
    </row>
    <row r="2" spans="1:3" ht="15.75" x14ac:dyDescent="0.25">
      <c r="A2" s="890" t="s">
        <v>1</v>
      </c>
      <c r="B2" s="890"/>
      <c r="C2" s="890"/>
    </row>
    <row r="3" spans="1:3" ht="15.75" x14ac:dyDescent="0.25">
      <c r="A3" s="890" t="s">
        <v>2</v>
      </c>
      <c r="B3" s="890"/>
      <c r="C3" s="890"/>
    </row>
    <row r="4" spans="1:3" ht="15.75" x14ac:dyDescent="0.25">
      <c r="A4" s="890" t="s">
        <v>380</v>
      </c>
      <c r="B4" s="890"/>
      <c r="C4" s="890"/>
    </row>
    <row r="5" spans="1:3" ht="15.75" x14ac:dyDescent="0.25">
      <c r="A5" s="32"/>
      <c r="B5" s="1"/>
      <c r="C5" s="1"/>
    </row>
    <row r="6" spans="1:3" ht="18" customHeight="1" x14ac:dyDescent="0.25">
      <c r="A6" s="901" t="s">
        <v>381</v>
      </c>
      <c r="B6" s="901"/>
      <c r="C6" s="901"/>
    </row>
    <row r="7" spans="1:3" ht="15.75" x14ac:dyDescent="0.25">
      <c r="A7" s="5"/>
    </row>
    <row r="8" spans="1:3" ht="15.75" x14ac:dyDescent="0.2">
      <c r="A8" s="967" t="s">
        <v>382</v>
      </c>
      <c r="B8" s="967"/>
      <c r="C8" s="967"/>
    </row>
    <row r="9" spans="1:3" ht="31.5" x14ac:dyDescent="0.2">
      <c r="A9" s="16">
        <v>950</v>
      </c>
      <c r="B9" s="16" t="s">
        <v>383</v>
      </c>
      <c r="C9" s="16" t="s">
        <v>384</v>
      </c>
    </row>
    <row r="10" spans="1:3" ht="47.25" x14ac:dyDescent="0.2">
      <c r="A10" s="16">
        <v>950</v>
      </c>
      <c r="B10" s="106" t="s">
        <v>385</v>
      </c>
      <c r="C10" s="16" t="s">
        <v>65</v>
      </c>
    </row>
    <row r="11" spans="1:3" ht="31.5" x14ac:dyDescent="0.2">
      <c r="A11" s="16">
        <v>950</v>
      </c>
      <c r="B11" s="106" t="s">
        <v>386</v>
      </c>
      <c r="C11" s="16" t="s">
        <v>387</v>
      </c>
    </row>
    <row r="12" spans="1:3" ht="78.75" x14ac:dyDescent="0.2">
      <c r="A12" s="107">
        <v>950</v>
      </c>
      <c r="B12" s="16" t="s">
        <v>388</v>
      </c>
      <c r="C12" s="16" t="s">
        <v>389</v>
      </c>
    </row>
    <row r="13" spans="1:3" ht="63" x14ac:dyDescent="0.2">
      <c r="A13" s="107">
        <v>950</v>
      </c>
      <c r="B13" s="16" t="s">
        <v>390</v>
      </c>
      <c r="C13" s="16" t="s">
        <v>391</v>
      </c>
    </row>
    <row r="14" spans="1:3" ht="47.25" x14ac:dyDescent="0.2">
      <c r="A14" s="107">
        <v>950</v>
      </c>
      <c r="B14" s="16" t="s">
        <v>392</v>
      </c>
      <c r="C14" s="16" t="s">
        <v>393</v>
      </c>
    </row>
    <row r="15" spans="1:3" ht="31.5" x14ac:dyDescent="0.2">
      <c r="A15" s="107">
        <v>950</v>
      </c>
      <c r="B15" s="106" t="s">
        <v>394</v>
      </c>
      <c r="C15" s="16" t="s">
        <v>395</v>
      </c>
    </row>
    <row r="16" spans="1:3" ht="31.5" x14ac:dyDescent="0.2">
      <c r="A16" s="107">
        <v>950</v>
      </c>
      <c r="B16" s="16" t="s">
        <v>396</v>
      </c>
      <c r="C16" s="16" t="s">
        <v>397</v>
      </c>
    </row>
    <row r="17" spans="1:3" ht="47.25" x14ac:dyDescent="0.2">
      <c r="A17" s="107">
        <v>950</v>
      </c>
      <c r="B17" s="16" t="s">
        <v>398</v>
      </c>
      <c r="C17" s="16" t="s">
        <v>399</v>
      </c>
    </row>
    <row r="18" spans="1:3" ht="31.5" x14ac:dyDescent="0.2">
      <c r="A18" s="107">
        <v>950</v>
      </c>
      <c r="B18" s="16" t="s">
        <v>400</v>
      </c>
      <c r="C18" s="16" t="s">
        <v>401</v>
      </c>
    </row>
    <row r="19" spans="1:3" ht="63" x14ac:dyDescent="0.2">
      <c r="A19" s="107">
        <v>950</v>
      </c>
      <c r="B19" s="16" t="s">
        <v>402</v>
      </c>
      <c r="C19" s="16" t="s">
        <v>403</v>
      </c>
    </row>
    <row r="20" spans="1:3" ht="63" x14ac:dyDescent="0.2">
      <c r="A20" s="16">
        <v>950</v>
      </c>
      <c r="B20" s="16" t="s">
        <v>404</v>
      </c>
      <c r="C20" s="16" t="s">
        <v>405</v>
      </c>
    </row>
    <row r="21" spans="1:3" ht="47.25" x14ac:dyDescent="0.2">
      <c r="A21" s="107">
        <v>950</v>
      </c>
      <c r="B21" s="16" t="s">
        <v>406</v>
      </c>
      <c r="C21" s="28" t="s">
        <v>407</v>
      </c>
    </row>
    <row r="22" spans="1:3" ht="63" x14ac:dyDescent="0.2">
      <c r="A22" s="107">
        <v>950</v>
      </c>
      <c r="B22" s="16" t="s">
        <v>408</v>
      </c>
      <c r="C22" s="28" t="s">
        <v>409</v>
      </c>
    </row>
    <row r="23" spans="1:3" ht="110.25" x14ac:dyDescent="0.2">
      <c r="A23" s="107">
        <v>950</v>
      </c>
      <c r="B23" s="16" t="s">
        <v>410</v>
      </c>
      <c r="C23" s="16" t="s">
        <v>411</v>
      </c>
    </row>
    <row r="24" spans="1:3" ht="78.75" x14ac:dyDescent="0.2">
      <c r="A24" s="107">
        <v>950</v>
      </c>
      <c r="B24" s="16" t="s">
        <v>412</v>
      </c>
      <c r="C24" s="16" t="s">
        <v>413</v>
      </c>
    </row>
    <row r="25" spans="1:3" ht="15.75" x14ac:dyDescent="0.2">
      <c r="A25" s="107">
        <v>950</v>
      </c>
      <c r="B25" s="16" t="s">
        <v>414</v>
      </c>
      <c r="C25" s="28" t="s">
        <v>415</v>
      </c>
    </row>
    <row r="26" spans="1:3" ht="55.5" customHeight="1" x14ac:dyDescent="0.2">
      <c r="A26" s="107">
        <v>950</v>
      </c>
      <c r="B26" s="16" t="s">
        <v>416</v>
      </c>
      <c r="C26" s="16" t="s">
        <v>417</v>
      </c>
    </row>
    <row r="27" spans="1:3" ht="63" x14ac:dyDescent="0.2">
      <c r="A27" s="107">
        <v>950</v>
      </c>
      <c r="B27" s="16" t="s">
        <v>418</v>
      </c>
      <c r="C27" s="16" t="s">
        <v>419</v>
      </c>
    </row>
    <row r="28" spans="1:3" ht="47.25" x14ac:dyDescent="0.2">
      <c r="A28" s="107">
        <v>950</v>
      </c>
      <c r="B28" s="16" t="s">
        <v>420</v>
      </c>
      <c r="C28" s="16" t="s">
        <v>421</v>
      </c>
    </row>
    <row r="29" spans="1:3" ht="78.75" x14ac:dyDescent="0.2">
      <c r="A29" s="106">
        <v>950</v>
      </c>
      <c r="B29" s="106" t="s">
        <v>422</v>
      </c>
      <c r="C29" s="16" t="s">
        <v>423</v>
      </c>
    </row>
    <row r="30" spans="1:3" ht="31.5" x14ac:dyDescent="0.2">
      <c r="A30" s="106">
        <v>950</v>
      </c>
      <c r="B30" s="106" t="s">
        <v>424</v>
      </c>
      <c r="C30" s="16" t="s">
        <v>425</v>
      </c>
    </row>
    <row r="31" spans="1:3" ht="35.25" customHeight="1" x14ac:dyDescent="0.2">
      <c r="A31" s="967" t="s">
        <v>426</v>
      </c>
      <c r="B31" s="967"/>
      <c r="C31" s="967"/>
    </row>
    <row r="32" spans="1:3" ht="63" x14ac:dyDescent="0.2">
      <c r="A32" s="16">
        <v>952</v>
      </c>
      <c r="B32" s="16" t="s">
        <v>427</v>
      </c>
      <c r="C32" s="16" t="s">
        <v>428</v>
      </c>
    </row>
    <row r="33" spans="1:3" ht="94.5" x14ac:dyDescent="0.2">
      <c r="A33" s="16">
        <v>952</v>
      </c>
      <c r="B33" s="16" t="s">
        <v>429</v>
      </c>
      <c r="C33" s="16" t="s">
        <v>430</v>
      </c>
    </row>
    <row r="34" spans="1:3" ht="94.5" x14ac:dyDescent="0.2">
      <c r="A34" s="16">
        <v>952</v>
      </c>
      <c r="B34" s="16" t="s">
        <v>431</v>
      </c>
      <c r="C34" s="16" t="s">
        <v>432</v>
      </c>
    </row>
    <row r="35" spans="1:3" ht="78.75" x14ac:dyDescent="0.2">
      <c r="A35" s="16">
        <v>952</v>
      </c>
      <c r="B35" s="16" t="s">
        <v>433</v>
      </c>
      <c r="C35" s="16" t="s">
        <v>434</v>
      </c>
    </row>
    <row r="36" spans="1:3" ht="47.25" x14ac:dyDescent="0.2">
      <c r="A36" s="16">
        <v>952</v>
      </c>
      <c r="B36" s="16" t="s">
        <v>435</v>
      </c>
      <c r="C36" s="16" t="s">
        <v>436</v>
      </c>
    </row>
    <row r="37" spans="1:3" ht="63" x14ac:dyDescent="0.2">
      <c r="A37" s="16">
        <v>952</v>
      </c>
      <c r="B37" s="16" t="s">
        <v>437</v>
      </c>
      <c r="C37" s="16" t="s">
        <v>438</v>
      </c>
    </row>
    <row r="38" spans="1:3" ht="94.5" x14ac:dyDescent="0.2">
      <c r="A38" s="16">
        <v>952</v>
      </c>
      <c r="B38" s="16" t="s">
        <v>439</v>
      </c>
      <c r="C38" s="16" t="s">
        <v>440</v>
      </c>
    </row>
    <row r="39" spans="1:3" ht="31.5" x14ac:dyDescent="0.2">
      <c r="A39" s="16">
        <v>952</v>
      </c>
      <c r="B39" s="16" t="s">
        <v>441</v>
      </c>
      <c r="C39" s="16" t="s">
        <v>442</v>
      </c>
    </row>
    <row r="40" spans="1:3" ht="94.5" x14ac:dyDescent="0.2">
      <c r="A40" s="16">
        <v>952</v>
      </c>
      <c r="B40" s="16" t="s">
        <v>443</v>
      </c>
      <c r="C40" s="16" t="s">
        <v>444</v>
      </c>
    </row>
    <row r="41" spans="1:3" ht="110.25" x14ac:dyDescent="0.2">
      <c r="A41" s="16">
        <v>952</v>
      </c>
      <c r="B41" s="16" t="s">
        <v>445</v>
      </c>
      <c r="C41" s="16" t="s">
        <v>446</v>
      </c>
    </row>
    <row r="42" spans="1:3" ht="31.5" x14ac:dyDescent="0.2">
      <c r="A42" s="16">
        <v>952</v>
      </c>
      <c r="B42" s="16" t="s">
        <v>447</v>
      </c>
      <c r="C42" s="16" t="s">
        <v>448</v>
      </c>
    </row>
    <row r="43" spans="1:3" ht="47.25" x14ac:dyDescent="0.2">
      <c r="A43" s="16">
        <v>952</v>
      </c>
      <c r="B43" s="16" t="s">
        <v>449</v>
      </c>
      <c r="C43" s="16" t="s">
        <v>450</v>
      </c>
    </row>
    <row r="44" spans="1:3" ht="63" x14ac:dyDescent="0.2">
      <c r="A44" s="16">
        <v>952</v>
      </c>
      <c r="B44" s="16" t="s">
        <v>451</v>
      </c>
      <c r="C44" s="16" t="s">
        <v>76</v>
      </c>
    </row>
    <row r="45" spans="1:3" ht="78.75" x14ac:dyDescent="0.2">
      <c r="A45" s="107">
        <v>952</v>
      </c>
      <c r="B45" s="16" t="s">
        <v>388</v>
      </c>
      <c r="C45" s="16" t="s">
        <v>389</v>
      </c>
    </row>
    <row r="46" spans="1:3" ht="63" x14ac:dyDescent="0.2">
      <c r="A46" s="107">
        <v>952</v>
      </c>
      <c r="B46" s="16" t="s">
        <v>390</v>
      </c>
      <c r="C46" s="16" t="s">
        <v>391</v>
      </c>
    </row>
    <row r="47" spans="1:3" ht="47.25" x14ac:dyDescent="0.2">
      <c r="A47" s="107">
        <v>952</v>
      </c>
      <c r="B47" s="16" t="s">
        <v>392</v>
      </c>
      <c r="C47" s="16" t="s">
        <v>393</v>
      </c>
    </row>
    <row r="48" spans="1:3" ht="31.5" x14ac:dyDescent="0.2">
      <c r="A48" s="107">
        <v>952</v>
      </c>
      <c r="B48" s="106" t="s">
        <v>394</v>
      </c>
      <c r="C48" s="16" t="s">
        <v>395</v>
      </c>
    </row>
    <row r="49" spans="1:3" ht="31.5" x14ac:dyDescent="0.2">
      <c r="A49" s="107">
        <v>952</v>
      </c>
      <c r="B49" s="16" t="s">
        <v>396</v>
      </c>
      <c r="C49" s="16" t="s">
        <v>397</v>
      </c>
    </row>
    <row r="50" spans="1:3" ht="47.25" x14ac:dyDescent="0.2">
      <c r="A50" s="107">
        <v>952</v>
      </c>
      <c r="B50" s="16" t="s">
        <v>398</v>
      </c>
      <c r="C50" s="16" t="s">
        <v>399</v>
      </c>
    </row>
    <row r="51" spans="1:3" ht="31.5" x14ac:dyDescent="0.2">
      <c r="A51" s="107">
        <v>952</v>
      </c>
      <c r="B51" s="16" t="s">
        <v>400</v>
      </c>
      <c r="C51" s="16" t="s">
        <v>401</v>
      </c>
    </row>
    <row r="52" spans="1:3" ht="63" x14ac:dyDescent="0.2">
      <c r="A52" s="107">
        <v>952</v>
      </c>
      <c r="B52" s="16" t="s">
        <v>402</v>
      </c>
      <c r="C52" s="16" t="s">
        <v>403</v>
      </c>
    </row>
    <row r="53" spans="1:3" ht="47.25" x14ac:dyDescent="0.2">
      <c r="A53" s="16">
        <v>952</v>
      </c>
      <c r="B53" s="16" t="s">
        <v>452</v>
      </c>
      <c r="C53" s="16" t="s">
        <v>453</v>
      </c>
    </row>
    <row r="54" spans="1:3" ht="15.75" x14ac:dyDescent="0.2">
      <c r="A54" s="108">
        <v>952</v>
      </c>
      <c r="B54" s="16" t="s">
        <v>414</v>
      </c>
      <c r="C54" s="28" t="s">
        <v>415</v>
      </c>
    </row>
    <row r="55" spans="1:3" ht="15.75" x14ac:dyDescent="0.2">
      <c r="A55" s="968" t="s">
        <v>454</v>
      </c>
      <c r="B55" s="969"/>
      <c r="C55" s="970"/>
    </row>
    <row r="56" spans="1:3" ht="47.25" x14ac:dyDescent="0.2">
      <c r="A56" s="12">
        <v>953</v>
      </c>
      <c r="B56" s="106" t="s">
        <v>385</v>
      </c>
      <c r="C56" s="16" t="s">
        <v>65</v>
      </c>
    </row>
    <row r="57" spans="1:3" ht="31.5" x14ac:dyDescent="0.2">
      <c r="A57" s="108">
        <v>953</v>
      </c>
      <c r="B57" s="106" t="s">
        <v>386</v>
      </c>
      <c r="C57" s="16" t="s">
        <v>387</v>
      </c>
    </row>
    <row r="58" spans="1:3" ht="78.75" x14ac:dyDescent="0.2">
      <c r="A58" s="107">
        <v>953</v>
      </c>
      <c r="B58" s="16" t="s">
        <v>388</v>
      </c>
      <c r="C58" s="16" t="s">
        <v>389</v>
      </c>
    </row>
    <row r="59" spans="1:3" ht="63" x14ac:dyDescent="0.2">
      <c r="A59" s="107">
        <v>953</v>
      </c>
      <c r="B59" s="16" t="s">
        <v>390</v>
      </c>
      <c r="C59" s="16" t="s">
        <v>391</v>
      </c>
    </row>
    <row r="60" spans="1:3" ht="47.25" x14ac:dyDescent="0.2">
      <c r="A60" s="107">
        <v>953</v>
      </c>
      <c r="B60" s="16" t="s">
        <v>392</v>
      </c>
      <c r="C60" s="16" t="s">
        <v>393</v>
      </c>
    </row>
    <row r="61" spans="1:3" ht="31.5" x14ac:dyDescent="0.2">
      <c r="A61" s="107">
        <v>953</v>
      </c>
      <c r="B61" s="106" t="s">
        <v>394</v>
      </c>
      <c r="C61" s="16" t="s">
        <v>395</v>
      </c>
    </row>
    <row r="62" spans="1:3" ht="31.5" x14ac:dyDescent="0.2">
      <c r="A62" s="107">
        <v>953</v>
      </c>
      <c r="B62" s="16" t="s">
        <v>396</v>
      </c>
      <c r="C62" s="16" t="s">
        <v>397</v>
      </c>
    </row>
    <row r="63" spans="1:3" ht="47.25" x14ac:dyDescent="0.2">
      <c r="A63" s="107">
        <v>953</v>
      </c>
      <c r="B63" s="16" t="s">
        <v>398</v>
      </c>
      <c r="C63" s="16" t="s">
        <v>399</v>
      </c>
    </row>
    <row r="64" spans="1:3" ht="31.5" x14ac:dyDescent="0.2">
      <c r="A64" s="107">
        <v>953</v>
      </c>
      <c r="B64" s="16" t="s">
        <v>400</v>
      </c>
      <c r="C64" s="16" t="s">
        <v>401</v>
      </c>
    </row>
    <row r="65" spans="1:3" ht="63" x14ac:dyDescent="0.2">
      <c r="A65" s="107">
        <v>953</v>
      </c>
      <c r="B65" s="16" t="s">
        <v>402</v>
      </c>
      <c r="C65" s="16" t="s">
        <v>403</v>
      </c>
    </row>
    <row r="66" spans="1:3" ht="31.5" x14ac:dyDescent="0.2">
      <c r="A66" s="107">
        <v>953</v>
      </c>
      <c r="B66" s="16" t="s">
        <v>455</v>
      </c>
      <c r="C66" s="16" t="s">
        <v>456</v>
      </c>
    </row>
    <row r="67" spans="1:3" ht="47.25" x14ac:dyDescent="0.2">
      <c r="A67" s="107">
        <v>953</v>
      </c>
      <c r="B67" s="16" t="s">
        <v>406</v>
      </c>
      <c r="C67" s="16" t="s">
        <v>407</v>
      </c>
    </row>
    <row r="68" spans="1:3" ht="63" x14ac:dyDescent="0.2">
      <c r="A68" s="107">
        <v>953</v>
      </c>
      <c r="B68" s="16" t="s">
        <v>457</v>
      </c>
      <c r="C68" s="16" t="s">
        <v>458</v>
      </c>
    </row>
    <row r="69" spans="1:3" ht="31.5" x14ac:dyDescent="0.2">
      <c r="A69" s="107">
        <v>953</v>
      </c>
      <c r="B69" s="16" t="s">
        <v>459</v>
      </c>
      <c r="C69" s="16" t="s">
        <v>460</v>
      </c>
    </row>
    <row r="70" spans="1:3" ht="47.25" x14ac:dyDescent="0.2">
      <c r="A70" s="107">
        <v>953</v>
      </c>
      <c r="B70" s="16" t="s">
        <v>461</v>
      </c>
      <c r="C70" s="16" t="s">
        <v>462</v>
      </c>
    </row>
    <row r="71" spans="1:3" ht="15.75" x14ac:dyDescent="0.2">
      <c r="A71" s="107">
        <v>953</v>
      </c>
      <c r="B71" s="16" t="s">
        <v>414</v>
      </c>
      <c r="C71" s="28" t="s">
        <v>415</v>
      </c>
    </row>
    <row r="72" spans="1:3" ht="63" x14ac:dyDescent="0.2">
      <c r="A72" s="107">
        <v>953</v>
      </c>
      <c r="B72" s="16" t="s">
        <v>463</v>
      </c>
      <c r="C72" s="16" t="s">
        <v>464</v>
      </c>
    </row>
    <row r="73" spans="1:3" ht="47.25" x14ac:dyDescent="0.2">
      <c r="A73" s="107">
        <v>953</v>
      </c>
      <c r="B73" s="16" t="s">
        <v>465</v>
      </c>
      <c r="C73" s="16" t="s">
        <v>466</v>
      </c>
    </row>
    <row r="74" spans="1:3" ht="47.25" x14ac:dyDescent="0.2">
      <c r="A74" s="107">
        <v>953</v>
      </c>
      <c r="B74" s="16" t="s">
        <v>420</v>
      </c>
      <c r="C74" s="16" t="s">
        <v>421</v>
      </c>
    </row>
    <row r="75" spans="1:3" ht="63" x14ac:dyDescent="0.2">
      <c r="A75" s="107">
        <v>953</v>
      </c>
      <c r="B75" s="16" t="s">
        <v>467</v>
      </c>
      <c r="C75" s="16" t="s">
        <v>468</v>
      </c>
    </row>
    <row r="76" spans="1:3" ht="83.25" customHeight="1" x14ac:dyDescent="0.2">
      <c r="A76" s="107">
        <v>953</v>
      </c>
      <c r="B76" s="16" t="s">
        <v>469</v>
      </c>
      <c r="C76" s="16" t="s">
        <v>470</v>
      </c>
    </row>
    <row r="77" spans="1:3" ht="31.5" x14ac:dyDescent="0.2">
      <c r="A77" s="107">
        <v>953</v>
      </c>
      <c r="B77" s="16" t="s">
        <v>471</v>
      </c>
      <c r="C77" s="16" t="s">
        <v>472</v>
      </c>
    </row>
    <row r="78" spans="1:3" ht="78.75" x14ac:dyDescent="0.2">
      <c r="A78" s="107">
        <v>953</v>
      </c>
      <c r="B78" s="16" t="s">
        <v>422</v>
      </c>
      <c r="C78" s="16" t="s">
        <v>423</v>
      </c>
    </row>
    <row r="79" spans="1:3" ht="31.5" x14ac:dyDescent="0.2">
      <c r="A79" s="106">
        <v>953</v>
      </c>
      <c r="B79" s="106" t="s">
        <v>473</v>
      </c>
      <c r="C79" s="16" t="s">
        <v>425</v>
      </c>
    </row>
    <row r="80" spans="1:3" ht="35.25" customHeight="1" x14ac:dyDescent="0.2">
      <c r="A80" s="971" t="s">
        <v>474</v>
      </c>
      <c r="B80" s="972"/>
      <c r="C80" s="973"/>
    </row>
    <row r="81" spans="1:3" ht="47.25" x14ac:dyDescent="0.2">
      <c r="A81" s="107">
        <v>954</v>
      </c>
      <c r="B81" s="106" t="s">
        <v>385</v>
      </c>
      <c r="C81" s="16" t="s">
        <v>65</v>
      </c>
    </row>
    <row r="82" spans="1:3" ht="31.5" x14ac:dyDescent="0.2">
      <c r="A82" s="107">
        <v>954</v>
      </c>
      <c r="B82" s="106" t="s">
        <v>386</v>
      </c>
      <c r="C82" s="16" t="s">
        <v>387</v>
      </c>
    </row>
    <row r="83" spans="1:3" ht="78.75" x14ac:dyDescent="0.2">
      <c r="A83" s="107">
        <v>954</v>
      </c>
      <c r="B83" s="16" t="s">
        <v>388</v>
      </c>
      <c r="C83" s="16" t="s">
        <v>389</v>
      </c>
    </row>
    <row r="84" spans="1:3" ht="63" x14ac:dyDescent="0.2">
      <c r="A84" s="107">
        <v>954</v>
      </c>
      <c r="B84" s="16" t="s">
        <v>390</v>
      </c>
      <c r="C84" s="16" t="s">
        <v>391</v>
      </c>
    </row>
    <row r="85" spans="1:3" ht="47.25" x14ac:dyDescent="0.2">
      <c r="A85" s="107">
        <v>954</v>
      </c>
      <c r="B85" s="16" t="s">
        <v>392</v>
      </c>
      <c r="C85" s="16" t="s">
        <v>393</v>
      </c>
    </row>
    <row r="86" spans="1:3" ht="31.5" x14ac:dyDescent="0.2">
      <c r="A86" s="107">
        <v>954</v>
      </c>
      <c r="B86" s="106" t="s">
        <v>394</v>
      </c>
      <c r="C86" s="16" t="s">
        <v>395</v>
      </c>
    </row>
    <row r="87" spans="1:3" ht="31.5" x14ac:dyDescent="0.2">
      <c r="A87" s="107">
        <v>954</v>
      </c>
      <c r="B87" s="16" t="s">
        <v>396</v>
      </c>
      <c r="C87" s="16" t="s">
        <v>397</v>
      </c>
    </row>
    <row r="88" spans="1:3" ht="47.25" x14ac:dyDescent="0.2">
      <c r="A88" s="107">
        <v>954</v>
      </c>
      <c r="B88" s="16" t="s">
        <v>398</v>
      </c>
      <c r="C88" s="16" t="s">
        <v>399</v>
      </c>
    </row>
    <row r="89" spans="1:3" ht="31.5" x14ac:dyDescent="0.2">
      <c r="A89" s="107">
        <v>954</v>
      </c>
      <c r="B89" s="16" t="s">
        <v>400</v>
      </c>
      <c r="C89" s="16" t="s">
        <v>401</v>
      </c>
    </row>
    <row r="90" spans="1:3" ht="63" x14ac:dyDescent="0.2">
      <c r="A90" s="107">
        <v>954</v>
      </c>
      <c r="B90" s="16" t="s">
        <v>402</v>
      </c>
      <c r="C90" s="16" t="s">
        <v>403</v>
      </c>
    </row>
    <row r="91" spans="1:3" ht="47.25" x14ac:dyDescent="0.2">
      <c r="A91" s="107">
        <v>954</v>
      </c>
      <c r="B91" s="16" t="s">
        <v>475</v>
      </c>
      <c r="C91" s="16" t="s">
        <v>476</v>
      </c>
    </row>
    <row r="92" spans="1:3" ht="63" x14ac:dyDescent="0.2">
      <c r="A92" s="107">
        <v>954</v>
      </c>
      <c r="B92" s="16" t="s">
        <v>477</v>
      </c>
      <c r="C92" s="16" t="s">
        <v>478</v>
      </c>
    </row>
    <row r="93" spans="1:3" ht="109.5" customHeight="1" x14ac:dyDescent="0.2">
      <c r="A93" s="107">
        <v>954</v>
      </c>
      <c r="B93" s="16" t="s">
        <v>479</v>
      </c>
      <c r="C93" s="16" t="s">
        <v>480</v>
      </c>
    </row>
    <row r="94" spans="1:3" ht="63" x14ac:dyDescent="0.2">
      <c r="A94" s="107">
        <v>954</v>
      </c>
      <c r="B94" s="16" t="s">
        <v>481</v>
      </c>
      <c r="C94" s="16" t="s">
        <v>482</v>
      </c>
    </row>
    <row r="95" spans="1:3" ht="47.25" x14ac:dyDescent="0.2">
      <c r="A95" s="107">
        <v>954</v>
      </c>
      <c r="B95" s="16" t="s">
        <v>483</v>
      </c>
      <c r="C95" s="16" t="s">
        <v>484</v>
      </c>
    </row>
    <row r="96" spans="1:3" ht="47.25" x14ac:dyDescent="0.2">
      <c r="A96" s="107">
        <v>954</v>
      </c>
      <c r="B96" s="16" t="s">
        <v>420</v>
      </c>
      <c r="C96" s="16" t="s">
        <v>421</v>
      </c>
    </row>
    <row r="97" spans="1:3" ht="94.5" x14ac:dyDescent="0.2">
      <c r="A97" s="107">
        <v>954</v>
      </c>
      <c r="B97" s="16" t="s">
        <v>485</v>
      </c>
      <c r="C97" s="16" t="s">
        <v>486</v>
      </c>
    </row>
    <row r="98" spans="1:3" ht="78.75" x14ac:dyDescent="0.2">
      <c r="A98" s="107">
        <v>954</v>
      </c>
      <c r="B98" s="16" t="s">
        <v>487</v>
      </c>
      <c r="C98" s="16" t="s">
        <v>488</v>
      </c>
    </row>
    <row r="99" spans="1:3" ht="31.5" x14ac:dyDescent="0.2">
      <c r="A99" s="107">
        <v>954</v>
      </c>
      <c r="B99" s="106" t="s">
        <v>473</v>
      </c>
      <c r="C99" s="16" t="s">
        <v>425</v>
      </c>
    </row>
    <row r="100" spans="1:3" ht="47.25" x14ac:dyDescent="0.2">
      <c r="A100" s="107">
        <v>954</v>
      </c>
      <c r="B100" s="16" t="s">
        <v>489</v>
      </c>
      <c r="C100" s="16" t="s">
        <v>490</v>
      </c>
    </row>
    <row r="101" spans="1:3" ht="15.75" x14ac:dyDescent="0.2">
      <c r="A101" s="967" t="s">
        <v>491</v>
      </c>
      <c r="B101" s="967"/>
      <c r="C101" s="967"/>
    </row>
    <row r="102" spans="1:3" ht="31.5" x14ac:dyDescent="0.2">
      <c r="A102" s="16">
        <v>955</v>
      </c>
      <c r="B102" s="106" t="s">
        <v>492</v>
      </c>
      <c r="C102" s="16" t="s">
        <v>493</v>
      </c>
    </row>
    <row r="103" spans="1:3" ht="47.25" x14ac:dyDescent="0.2">
      <c r="A103" s="16">
        <v>955</v>
      </c>
      <c r="B103" s="106" t="s">
        <v>385</v>
      </c>
      <c r="C103" s="16" t="s">
        <v>65</v>
      </c>
    </row>
    <row r="104" spans="1:3" ht="31.5" x14ac:dyDescent="0.2">
      <c r="A104" s="16">
        <v>955</v>
      </c>
      <c r="B104" s="106" t="s">
        <v>386</v>
      </c>
      <c r="C104" s="16" t="s">
        <v>387</v>
      </c>
    </row>
    <row r="105" spans="1:3" ht="47.25" x14ac:dyDescent="0.2">
      <c r="A105" s="16">
        <v>955</v>
      </c>
      <c r="B105" s="106" t="s">
        <v>494</v>
      </c>
      <c r="C105" s="16" t="s">
        <v>495</v>
      </c>
    </row>
    <row r="106" spans="1:3" ht="78.75" x14ac:dyDescent="0.2">
      <c r="A106" s="107">
        <v>955</v>
      </c>
      <c r="B106" s="16" t="s">
        <v>388</v>
      </c>
      <c r="C106" s="16" t="s">
        <v>389</v>
      </c>
    </row>
    <row r="107" spans="1:3" ht="63" x14ac:dyDescent="0.2">
      <c r="A107" s="107">
        <v>955</v>
      </c>
      <c r="B107" s="16" t="s">
        <v>390</v>
      </c>
      <c r="C107" s="16" t="s">
        <v>391</v>
      </c>
    </row>
    <row r="108" spans="1:3" ht="63" x14ac:dyDescent="0.2">
      <c r="A108" s="16">
        <v>955</v>
      </c>
      <c r="B108" s="16" t="s">
        <v>496</v>
      </c>
      <c r="C108" s="16" t="s">
        <v>497</v>
      </c>
    </row>
    <row r="109" spans="1:3" ht="47.25" x14ac:dyDescent="0.2">
      <c r="A109" s="107">
        <v>955</v>
      </c>
      <c r="B109" s="16" t="s">
        <v>392</v>
      </c>
      <c r="C109" s="16" t="s">
        <v>393</v>
      </c>
    </row>
    <row r="110" spans="1:3" ht="31.5" x14ac:dyDescent="0.2">
      <c r="A110" s="16">
        <v>955</v>
      </c>
      <c r="B110" s="106" t="s">
        <v>394</v>
      </c>
      <c r="C110" s="16" t="s">
        <v>395</v>
      </c>
    </row>
    <row r="111" spans="1:3" ht="31.5" x14ac:dyDescent="0.2">
      <c r="A111" s="107">
        <v>955</v>
      </c>
      <c r="B111" s="16" t="s">
        <v>396</v>
      </c>
      <c r="C111" s="16" t="s">
        <v>397</v>
      </c>
    </row>
    <row r="112" spans="1:3" ht="63" x14ac:dyDescent="0.2">
      <c r="A112" s="16">
        <v>955</v>
      </c>
      <c r="B112" s="16" t="s">
        <v>498</v>
      </c>
      <c r="C112" s="16" t="s">
        <v>499</v>
      </c>
    </row>
    <row r="113" spans="1:3" ht="31.5" x14ac:dyDescent="0.2">
      <c r="A113" s="16">
        <v>955</v>
      </c>
      <c r="B113" s="16" t="s">
        <v>400</v>
      </c>
      <c r="C113" s="16" t="s">
        <v>401</v>
      </c>
    </row>
    <row r="114" spans="1:3" ht="63" x14ac:dyDescent="0.2">
      <c r="A114" s="16">
        <v>955</v>
      </c>
      <c r="B114" s="16" t="s">
        <v>402</v>
      </c>
      <c r="C114" s="16" t="s">
        <v>403</v>
      </c>
    </row>
    <row r="115" spans="1:3" ht="31.5" x14ac:dyDescent="0.2">
      <c r="A115" s="16">
        <v>955</v>
      </c>
      <c r="B115" s="16" t="s">
        <v>500</v>
      </c>
      <c r="C115" s="16" t="s">
        <v>501</v>
      </c>
    </row>
    <row r="116" spans="1:3" ht="47.25" x14ac:dyDescent="0.2">
      <c r="A116" s="16">
        <v>955</v>
      </c>
      <c r="B116" s="16" t="s">
        <v>502</v>
      </c>
      <c r="C116" s="16" t="s">
        <v>503</v>
      </c>
    </row>
    <row r="117" spans="1:3" ht="15.75" x14ac:dyDescent="0.2">
      <c r="A117" s="16">
        <v>955</v>
      </c>
      <c r="B117" s="16" t="s">
        <v>414</v>
      </c>
      <c r="C117" s="28" t="s">
        <v>415</v>
      </c>
    </row>
    <row r="118" spans="1:3" ht="47.25" x14ac:dyDescent="0.2">
      <c r="A118" s="16">
        <v>955</v>
      </c>
      <c r="B118" s="16" t="s">
        <v>504</v>
      </c>
      <c r="C118" s="16" t="s">
        <v>505</v>
      </c>
    </row>
    <row r="119" spans="1:3" ht="47.25" x14ac:dyDescent="0.2">
      <c r="A119" s="16">
        <v>955</v>
      </c>
      <c r="B119" s="16" t="s">
        <v>420</v>
      </c>
      <c r="C119" s="16" t="s">
        <v>506</v>
      </c>
    </row>
    <row r="120" spans="1:3" ht="63" x14ac:dyDescent="0.2">
      <c r="A120" s="16">
        <v>955</v>
      </c>
      <c r="B120" s="16" t="s">
        <v>507</v>
      </c>
      <c r="C120" s="16" t="s">
        <v>142</v>
      </c>
    </row>
    <row r="121" spans="1:3" ht="78.75" x14ac:dyDescent="0.2">
      <c r="A121" s="16">
        <v>955</v>
      </c>
      <c r="B121" s="16" t="s">
        <v>422</v>
      </c>
      <c r="C121" s="16" t="s">
        <v>423</v>
      </c>
    </row>
    <row r="122" spans="1:3" ht="63" x14ac:dyDescent="0.2">
      <c r="A122" s="16">
        <v>955</v>
      </c>
      <c r="B122" s="16" t="s">
        <v>508</v>
      </c>
      <c r="C122" s="16" t="s">
        <v>509</v>
      </c>
    </row>
    <row r="123" spans="1:3" ht="31.5" x14ac:dyDescent="0.2">
      <c r="A123" s="16">
        <v>955</v>
      </c>
      <c r="B123" s="16" t="s">
        <v>473</v>
      </c>
      <c r="C123" s="16" t="s">
        <v>425</v>
      </c>
    </row>
    <row r="124" spans="1:3" ht="110.25" x14ac:dyDescent="0.2">
      <c r="A124" s="16">
        <v>955</v>
      </c>
      <c r="B124" s="16" t="s">
        <v>510</v>
      </c>
      <c r="C124" s="16" t="s">
        <v>511</v>
      </c>
    </row>
    <row r="125" spans="1:3" ht="33.75" customHeight="1" x14ac:dyDescent="0.2">
      <c r="A125" s="958" t="s">
        <v>512</v>
      </c>
      <c r="B125" s="959"/>
      <c r="C125" s="960"/>
    </row>
    <row r="126" spans="1:3" ht="47.25" x14ac:dyDescent="0.2">
      <c r="A126" s="110">
        <v>956</v>
      </c>
      <c r="B126" s="106" t="s">
        <v>385</v>
      </c>
      <c r="C126" s="16" t="s">
        <v>65</v>
      </c>
    </row>
    <row r="127" spans="1:3" ht="31.5" x14ac:dyDescent="0.2">
      <c r="A127" s="110">
        <v>956</v>
      </c>
      <c r="B127" s="106" t="s">
        <v>386</v>
      </c>
      <c r="C127" s="16" t="s">
        <v>387</v>
      </c>
    </row>
    <row r="128" spans="1:3" ht="78.75" x14ac:dyDescent="0.2">
      <c r="A128" s="107">
        <v>956</v>
      </c>
      <c r="B128" s="16" t="s">
        <v>388</v>
      </c>
      <c r="C128" s="16" t="s">
        <v>389</v>
      </c>
    </row>
    <row r="129" spans="1:3" ht="63" x14ac:dyDescent="0.2">
      <c r="A129" s="107">
        <v>956</v>
      </c>
      <c r="B129" s="16" t="s">
        <v>390</v>
      </c>
      <c r="C129" s="16" t="s">
        <v>391</v>
      </c>
    </row>
    <row r="130" spans="1:3" ht="47.25" x14ac:dyDescent="0.2">
      <c r="A130" s="107">
        <v>956</v>
      </c>
      <c r="B130" s="16" t="s">
        <v>392</v>
      </c>
      <c r="C130" s="16" t="s">
        <v>393</v>
      </c>
    </row>
    <row r="131" spans="1:3" ht="31.5" x14ac:dyDescent="0.2">
      <c r="A131" s="107">
        <v>956</v>
      </c>
      <c r="B131" s="106" t="s">
        <v>394</v>
      </c>
      <c r="C131" s="16" t="s">
        <v>395</v>
      </c>
    </row>
    <row r="132" spans="1:3" ht="31.5" x14ac:dyDescent="0.2">
      <c r="A132" s="107">
        <v>956</v>
      </c>
      <c r="B132" s="16" t="s">
        <v>396</v>
      </c>
      <c r="C132" s="16" t="s">
        <v>397</v>
      </c>
    </row>
    <row r="133" spans="1:3" ht="47.25" x14ac:dyDescent="0.2">
      <c r="A133" s="107">
        <v>956</v>
      </c>
      <c r="B133" s="16" t="s">
        <v>398</v>
      </c>
      <c r="C133" s="16" t="s">
        <v>399</v>
      </c>
    </row>
    <row r="134" spans="1:3" ht="31.5" x14ac:dyDescent="0.2">
      <c r="A134" s="107">
        <v>956</v>
      </c>
      <c r="B134" s="16" t="s">
        <v>400</v>
      </c>
      <c r="C134" s="16" t="s">
        <v>401</v>
      </c>
    </row>
    <row r="135" spans="1:3" ht="63" x14ac:dyDescent="0.2">
      <c r="A135" s="107">
        <v>956</v>
      </c>
      <c r="B135" s="16" t="s">
        <v>402</v>
      </c>
      <c r="C135" s="16" t="s">
        <v>403</v>
      </c>
    </row>
    <row r="136" spans="1:3" ht="51.75" customHeight="1" x14ac:dyDescent="0.2">
      <c r="A136" s="107">
        <v>956</v>
      </c>
      <c r="B136" s="16" t="s">
        <v>513</v>
      </c>
      <c r="C136" s="16" t="s">
        <v>407</v>
      </c>
    </row>
    <row r="137" spans="1:3" ht="15.75" x14ac:dyDescent="0.2">
      <c r="A137" s="16">
        <v>956</v>
      </c>
      <c r="B137" s="16" t="s">
        <v>414</v>
      </c>
      <c r="C137" s="28" t="s">
        <v>415</v>
      </c>
    </row>
    <row r="138" spans="1:3" ht="78.75" x14ac:dyDescent="0.2">
      <c r="A138" s="16">
        <v>956</v>
      </c>
      <c r="B138" s="16" t="s">
        <v>422</v>
      </c>
      <c r="C138" s="28" t="s">
        <v>423</v>
      </c>
    </row>
    <row r="139" spans="1:3" ht="94.5" x14ac:dyDescent="0.2">
      <c r="A139" s="16">
        <v>956</v>
      </c>
      <c r="B139" s="16" t="s">
        <v>514</v>
      </c>
      <c r="C139" s="28" t="s">
        <v>515</v>
      </c>
    </row>
    <row r="140" spans="1:3" ht="63" x14ac:dyDescent="0.2">
      <c r="A140" s="16">
        <v>956</v>
      </c>
      <c r="B140" s="16" t="s">
        <v>516</v>
      </c>
      <c r="C140" s="28" t="s">
        <v>517</v>
      </c>
    </row>
    <row r="141" spans="1:3" ht="78.75" x14ac:dyDescent="0.2">
      <c r="A141" s="16">
        <v>956</v>
      </c>
      <c r="B141" s="16" t="s">
        <v>518</v>
      </c>
      <c r="C141" s="28" t="s">
        <v>519</v>
      </c>
    </row>
    <row r="142" spans="1:3" ht="47.25" x14ac:dyDescent="0.2">
      <c r="A142" s="107">
        <v>956</v>
      </c>
      <c r="B142" s="16" t="s">
        <v>520</v>
      </c>
      <c r="C142" s="28" t="s">
        <v>521</v>
      </c>
    </row>
    <row r="143" spans="1:3" ht="31.5" x14ac:dyDescent="0.2">
      <c r="A143" s="106">
        <v>956</v>
      </c>
      <c r="B143" s="16" t="s">
        <v>473</v>
      </c>
      <c r="C143" s="16" t="s">
        <v>425</v>
      </c>
    </row>
    <row r="144" spans="1:3" ht="35.25" customHeight="1" x14ac:dyDescent="0.25">
      <c r="A144" s="961" t="s">
        <v>522</v>
      </c>
      <c r="B144" s="962"/>
      <c r="C144" s="963"/>
    </row>
    <row r="145" spans="1:3" ht="47.25" x14ac:dyDescent="0.2">
      <c r="A145" s="108">
        <v>958</v>
      </c>
      <c r="B145" s="106" t="s">
        <v>385</v>
      </c>
      <c r="C145" s="16" t="s">
        <v>65</v>
      </c>
    </row>
    <row r="146" spans="1:3" ht="31.5" x14ac:dyDescent="0.2">
      <c r="A146" s="108">
        <v>958</v>
      </c>
      <c r="B146" s="106" t="s">
        <v>386</v>
      </c>
      <c r="C146" s="16" t="s">
        <v>387</v>
      </c>
    </row>
    <row r="147" spans="1:3" ht="78.75" x14ac:dyDescent="0.2">
      <c r="A147" s="107">
        <v>958</v>
      </c>
      <c r="B147" s="16" t="s">
        <v>388</v>
      </c>
      <c r="C147" s="16" t="s">
        <v>389</v>
      </c>
    </row>
    <row r="148" spans="1:3" ht="63" x14ac:dyDescent="0.2">
      <c r="A148" s="107">
        <v>958</v>
      </c>
      <c r="B148" s="16" t="s">
        <v>390</v>
      </c>
      <c r="C148" s="16" t="s">
        <v>391</v>
      </c>
    </row>
    <row r="149" spans="1:3" ht="110.25" x14ac:dyDescent="0.2">
      <c r="A149" s="107">
        <v>958</v>
      </c>
      <c r="B149" s="16" t="s">
        <v>523</v>
      </c>
      <c r="C149" s="16" t="s">
        <v>524</v>
      </c>
    </row>
    <row r="150" spans="1:3" ht="47.25" x14ac:dyDescent="0.2">
      <c r="A150" s="107">
        <v>958</v>
      </c>
      <c r="B150" s="16" t="s">
        <v>392</v>
      </c>
      <c r="C150" s="16" t="s">
        <v>393</v>
      </c>
    </row>
    <row r="151" spans="1:3" ht="31.5" x14ac:dyDescent="0.2">
      <c r="A151" s="107">
        <v>958</v>
      </c>
      <c r="B151" s="106" t="s">
        <v>394</v>
      </c>
      <c r="C151" s="16" t="s">
        <v>395</v>
      </c>
    </row>
    <row r="152" spans="1:3" ht="31.5" x14ac:dyDescent="0.2">
      <c r="A152" s="107">
        <v>958</v>
      </c>
      <c r="B152" s="16" t="s">
        <v>396</v>
      </c>
      <c r="C152" s="16" t="s">
        <v>397</v>
      </c>
    </row>
    <row r="153" spans="1:3" ht="47.25" x14ac:dyDescent="0.2">
      <c r="A153" s="107">
        <v>958</v>
      </c>
      <c r="B153" s="16" t="s">
        <v>398</v>
      </c>
      <c r="C153" s="16" t="s">
        <v>399</v>
      </c>
    </row>
    <row r="154" spans="1:3" ht="31.5" x14ac:dyDescent="0.2">
      <c r="A154" s="107">
        <v>958</v>
      </c>
      <c r="B154" s="16" t="s">
        <v>400</v>
      </c>
      <c r="C154" s="16" t="s">
        <v>401</v>
      </c>
    </row>
    <row r="155" spans="1:3" ht="63" x14ac:dyDescent="0.2">
      <c r="A155" s="107">
        <v>958</v>
      </c>
      <c r="B155" s="16" t="s">
        <v>402</v>
      </c>
      <c r="C155" s="16" t="s">
        <v>403</v>
      </c>
    </row>
    <row r="156" spans="1:3" ht="31.5" x14ac:dyDescent="0.2">
      <c r="A156" s="107">
        <v>958</v>
      </c>
      <c r="B156" s="16" t="s">
        <v>525</v>
      </c>
      <c r="C156" s="16" t="s">
        <v>526</v>
      </c>
    </row>
    <row r="157" spans="1:3" ht="78.75" x14ac:dyDescent="0.2">
      <c r="A157" s="107">
        <v>958</v>
      </c>
      <c r="B157" s="16" t="s">
        <v>527</v>
      </c>
      <c r="C157" s="16" t="s">
        <v>528</v>
      </c>
    </row>
    <row r="158" spans="1:3" ht="78.75" x14ac:dyDescent="0.2">
      <c r="A158" s="107">
        <v>958</v>
      </c>
      <c r="B158" s="16" t="s">
        <v>529</v>
      </c>
      <c r="C158" s="16" t="s">
        <v>530</v>
      </c>
    </row>
    <row r="159" spans="1:3" ht="31.5" x14ac:dyDescent="0.2">
      <c r="A159" s="107">
        <v>958</v>
      </c>
      <c r="B159" s="16" t="s">
        <v>455</v>
      </c>
      <c r="C159" s="16" t="s">
        <v>456</v>
      </c>
    </row>
    <row r="160" spans="1:3" ht="47.25" x14ac:dyDescent="0.2">
      <c r="A160" s="107">
        <v>958</v>
      </c>
      <c r="B160" s="16" t="s">
        <v>513</v>
      </c>
      <c r="C160" s="16" t="s">
        <v>531</v>
      </c>
    </row>
    <row r="161" spans="1:3" ht="47.25" x14ac:dyDescent="0.2">
      <c r="A161" s="107">
        <v>958</v>
      </c>
      <c r="B161" s="16" t="s">
        <v>532</v>
      </c>
      <c r="C161" s="16" t="s">
        <v>533</v>
      </c>
    </row>
    <row r="162" spans="1:3" ht="78.75" x14ac:dyDescent="0.2">
      <c r="A162" s="107">
        <v>958</v>
      </c>
      <c r="B162" s="16" t="s">
        <v>534</v>
      </c>
      <c r="C162" s="16" t="s">
        <v>535</v>
      </c>
    </row>
    <row r="163" spans="1:3" ht="47.25" x14ac:dyDescent="0.2">
      <c r="A163" s="107">
        <v>958</v>
      </c>
      <c r="B163" s="16" t="s">
        <v>536</v>
      </c>
      <c r="C163" s="16" t="s">
        <v>537</v>
      </c>
    </row>
    <row r="164" spans="1:3" ht="47.25" x14ac:dyDescent="0.2">
      <c r="A164" s="106">
        <v>958</v>
      </c>
      <c r="B164" s="106" t="s">
        <v>538</v>
      </c>
      <c r="C164" s="16" t="s">
        <v>539</v>
      </c>
    </row>
    <row r="165" spans="1:3" ht="47.25" x14ac:dyDescent="0.2">
      <c r="A165" s="106">
        <v>958</v>
      </c>
      <c r="B165" s="106" t="s">
        <v>540</v>
      </c>
      <c r="C165" s="16" t="s">
        <v>541</v>
      </c>
    </row>
    <row r="166" spans="1:3" ht="15.75" x14ac:dyDescent="0.2">
      <c r="A166" s="107">
        <v>958</v>
      </c>
      <c r="B166" s="16" t="s">
        <v>414</v>
      </c>
      <c r="C166" s="16" t="s">
        <v>415</v>
      </c>
    </row>
    <row r="167" spans="1:3" ht="78.75" x14ac:dyDescent="0.2">
      <c r="A167" s="107">
        <v>958</v>
      </c>
      <c r="B167" s="16" t="s">
        <v>542</v>
      </c>
      <c r="C167" s="16" t="s">
        <v>423</v>
      </c>
    </row>
    <row r="168" spans="1:3" ht="31.5" x14ac:dyDescent="0.2">
      <c r="A168" s="107">
        <v>958</v>
      </c>
      <c r="B168" s="16" t="s">
        <v>473</v>
      </c>
      <c r="C168" s="16" t="s">
        <v>425</v>
      </c>
    </row>
    <row r="169" spans="1:3" ht="31.5" hidden="1" x14ac:dyDescent="0.2">
      <c r="A169" s="111">
        <v>979</v>
      </c>
      <c r="B169" s="112" t="s">
        <v>525</v>
      </c>
      <c r="C169" s="28" t="s">
        <v>526</v>
      </c>
    </row>
    <row r="170" spans="1:3" ht="15.75" x14ac:dyDescent="0.25">
      <c r="A170" s="964" t="s">
        <v>543</v>
      </c>
      <c r="B170" s="965"/>
      <c r="C170" s="966"/>
    </row>
    <row r="171" spans="1:3" ht="78.75" x14ac:dyDescent="0.2">
      <c r="A171" s="106">
        <v>982</v>
      </c>
      <c r="B171" s="16" t="s">
        <v>542</v>
      </c>
      <c r="C171" s="16" t="s">
        <v>423</v>
      </c>
    </row>
  </sheetData>
  <mergeCells count="13">
    <mergeCell ref="A125:C125"/>
    <mergeCell ref="A144:C144"/>
    <mergeCell ref="A170:C170"/>
    <mergeCell ref="A8:C8"/>
    <mergeCell ref="A31:C31"/>
    <mergeCell ref="A55:C55"/>
    <mergeCell ref="A80:C80"/>
    <mergeCell ref="A101:C101"/>
    <mergeCell ref="A1:C1"/>
    <mergeCell ref="A2:C2"/>
    <mergeCell ref="A3:C3"/>
    <mergeCell ref="A4:C4"/>
    <mergeCell ref="A6:C6"/>
  </mergeCells>
  <printOptions gridLinesSet="0"/>
  <pageMargins left="0.70866141732283472" right="0.70866141732283472" top="0.74803149606299213" bottom="0.74803149606299213" header="0.5" footer="0.5"/>
  <pageSetup paperSize="9" orientation="portrai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9"/>
  <sheetViews>
    <sheetView showGridLines="0" workbookViewId="0">
      <selection sqref="A1:C1"/>
    </sheetView>
  </sheetViews>
  <sheetFormatPr defaultRowHeight="12.75" x14ac:dyDescent="0.2"/>
  <cols>
    <col min="2" max="2" width="28.5703125" customWidth="1"/>
    <col min="3" max="3" width="47.5703125" customWidth="1"/>
    <col min="8" max="8" width="43.42578125" customWidth="1"/>
  </cols>
  <sheetData>
    <row r="1" spans="1:3" ht="15.75" x14ac:dyDescent="0.25">
      <c r="A1" s="890" t="s">
        <v>544</v>
      </c>
      <c r="B1" s="890"/>
      <c r="C1" s="890"/>
    </row>
    <row r="2" spans="1:3" ht="15.75" x14ac:dyDescent="0.25">
      <c r="A2" s="890" t="s">
        <v>1</v>
      </c>
      <c r="B2" s="890"/>
      <c r="C2" s="890"/>
    </row>
    <row r="3" spans="1:3" ht="15.75" x14ac:dyDescent="0.25">
      <c r="A3" s="890" t="s">
        <v>2</v>
      </c>
      <c r="B3" s="890"/>
      <c r="C3" s="890"/>
    </row>
    <row r="4" spans="1:3" ht="15.75" x14ac:dyDescent="0.25">
      <c r="A4" s="890" t="s">
        <v>545</v>
      </c>
      <c r="B4" s="890"/>
      <c r="C4" s="890"/>
    </row>
    <row r="5" spans="1:3" ht="15.75" x14ac:dyDescent="0.25">
      <c r="A5" s="32"/>
      <c r="B5" s="1"/>
      <c r="C5" s="1"/>
    </row>
    <row r="6" spans="1:3" ht="39" customHeight="1" x14ac:dyDescent="0.25">
      <c r="A6" s="901" t="s">
        <v>546</v>
      </c>
      <c r="B6" s="901"/>
      <c r="C6" s="901"/>
    </row>
    <row r="7" spans="1:3" ht="18.75" x14ac:dyDescent="0.3">
      <c r="A7" s="974"/>
      <c r="B7" s="974"/>
      <c r="C7" s="974"/>
    </row>
    <row r="8" spans="1:3" ht="15.75" x14ac:dyDescent="0.2">
      <c r="A8" s="967" t="s">
        <v>491</v>
      </c>
      <c r="B8" s="967"/>
      <c r="C8" s="967"/>
    </row>
    <row r="9" spans="1:3" ht="47.25" x14ac:dyDescent="0.2">
      <c r="A9" s="112">
        <v>955</v>
      </c>
      <c r="B9" s="112" t="s">
        <v>547</v>
      </c>
      <c r="C9" s="114" t="s">
        <v>343</v>
      </c>
    </row>
    <row r="10" spans="1:3" ht="47.25" x14ac:dyDescent="0.2">
      <c r="A10" s="112">
        <v>955</v>
      </c>
      <c r="B10" s="112" t="s">
        <v>548</v>
      </c>
      <c r="C10" s="114" t="s">
        <v>344</v>
      </c>
    </row>
    <row r="11" spans="1:3" ht="63" x14ac:dyDescent="0.2">
      <c r="A11" s="112">
        <v>955</v>
      </c>
      <c r="B11" s="112" t="s">
        <v>549</v>
      </c>
      <c r="C11" s="114" t="s">
        <v>550</v>
      </c>
    </row>
    <row r="12" spans="1:3" ht="63" x14ac:dyDescent="0.2">
      <c r="A12" s="112">
        <v>955</v>
      </c>
      <c r="B12" s="112" t="s">
        <v>551</v>
      </c>
      <c r="C12" s="114" t="s">
        <v>552</v>
      </c>
    </row>
    <row r="13" spans="1:3" ht="31.5" x14ac:dyDescent="0.2">
      <c r="A13" s="112">
        <v>955</v>
      </c>
      <c r="B13" s="112" t="s">
        <v>553</v>
      </c>
      <c r="C13" s="114" t="s">
        <v>348</v>
      </c>
    </row>
    <row r="14" spans="1:3" ht="31.5" x14ac:dyDescent="0.2">
      <c r="A14" s="112">
        <v>955</v>
      </c>
      <c r="B14" s="112" t="s">
        <v>554</v>
      </c>
      <c r="C14" s="114" t="s">
        <v>349</v>
      </c>
    </row>
    <row r="15" spans="1:3" ht="130.5" customHeight="1" x14ac:dyDescent="0.2">
      <c r="A15" s="112">
        <v>955</v>
      </c>
      <c r="B15" s="112" t="s">
        <v>555</v>
      </c>
      <c r="C15" s="114" t="s">
        <v>556</v>
      </c>
    </row>
    <row r="16" spans="1:3" ht="63" x14ac:dyDescent="0.2">
      <c r="A16" s="112">
        <v>955</v>
      </c>
      <c r="B16" s="112" t="s">
        <v>557</v>
      </c>
      <c r="C16" s="114" t="s">
        <v>558</v>
      </c>
    </row>
    <row r="17" spans="1:3" ht="78.75" x14ac:dyDescent="0.2">
      <c r="A17" s="112">
        <v>955</v>
      </c>
      <c r="B17" s="112" t="s">
        <v>559</v>
      </c>
      <c r="C17" s="114" t="s">
        <v>560</v>
      </c>
    </row>
    <row r="18" spans="1:3" ht="63" x14ac:dyDescent="0.25">
      <c r="A18" s="115">
        <v>955</v>
      </c>
      <c r="B18" s="115" t="s">
        <v>561</v>
      </c>
      <c r="C18" s="116" t="s">
        <v>562</v>
      </c>
    </row>
    <row r="19" spans="1:3" ht="63" x14ac:dyDescent="0.25">
      <c r="A19" s="115">
        <v>955</v>
      </c>
      <c r="B19" s="115" t="s">
        <v>563</v>
      </c>
      <c r="C19" s="116" t="s">
        <v>564</v>
      </c>
    </row>
  </sheetData>
  <mergeCells count="7">
    <mergeCell ref="A7:C7"/>
    <mergeCell ref="A8:C8"/>
    <mergeCell ref="A1:C1"/>
    <mergeCell ref="A2:C2"/>
    <mergeCell ref="A3:C3"/>
    <mergeCell ref="A4:C4"/>
    <mergeCell ref="A6:C6"/>
  </mergeCells>
  <printOptions gridLinesSet="0"/>
  <pageMargins left="0.70866141732283472" right="0.70866141732283472" top="0.74803149606299213" bottom="0.74803149606299213" header="0.5" footer="0.5"/>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59</vt:i4>
      </vt:variant>
      <vt:variant>
        <vt:lpstr>Именованные диапазоны</vt:lpstr>
      </vt:variant>
      <vt:variant>
        <vt:i4>62</vt:i4>
      </vt:variant>
    </vt:vector>
  </HeadingPairs>
  <TitlesOfParts>
    <vt:vector size="121" baseType="lpstr">
      <vt:lpstr>Пр1</vt:lpstr>
      <vt:lpstr>Пр2</vt:lpstr>
      <vt:lpstr>Пр_3</vt:lpstr>
      <vt:lpstr>Пр4</vt:lpstr>
      <vt:lpstr>Пр5</vt:lpstr>
      <vt:lpstr>Пр6</vt:lpstr>
      <vt:lpstr>Пр7</vt:lpstr>
      <vt:lpstr>Пр_9</vt:lpstr>
      <vt:lpstr>Пр_10</vt:lpstr>
      <vt:lpstr>Пр8</vt:lpstr>
      <vt:lpstr>Пр9</vt:lpstr>
      <vt:lpstr>Пр10</vt:lpstr>
      <vt:lpstr>Пр11</vt:lpstr>
      <vt:lpstr>Пр12</vt:lpstr>
      <vt:lpstr>Пр.13</vt:lpstr>
      <vt:lpstr>Пр12_</vt:lpstr>
      <vt:lpstr>Пр3</vt:lpstr>
      <vt:lpstr>Пр13</vt:lpstr>
      <vt:lpstr>Пр_18</vt:lpstr>
      <vt:lpstr>Пр_19</vt:lpstr>
      <vt:lpstr>Пр20</vt:lpstr>
      <vt:lpstr>Пр_20</vt:lpstr>
      <vt:lpstr>Пр_21</vt:lpstr>
      <vt:lpstr>Пр_22</vt:lpstr>
      <vt:lpstr>Пр_23</vt:lpstr>
      <vt:lpstr>Пр 10.</vt:lpstr>
      <vt:lpstr>КВСР</vt:lpstr>
      <vt:lpstr>КЦСР</vt:lpstr>
      <vt:lpstr>КВР</vt:lpstr>
      <vt:lpstr>20</vt:lpstr>
      <vt:lpstr>21</vt:lpstr>
      <vt:lpstr>22</vt:lpstr>
      <vt:lpstr>Лист1</vt:lpstr>
      <vt:lpstr>Лист2</vt:lpstr>
      <vt:lpstr>Пр13-</vt:lpstr>
      <vt:lpstr>Пр14-</vt:lpstr>
      <vt:lpstr>Лист3</vt:lpstr>
      <vt:lpstr>Лист4</vt:lpstr>
      <vt:lpstr>Лист5</vt:lpstr>
      <vt:lpstr>LOG</vt:lpstr>
      <vt:lpstr>Пр17</vt:lpstr>
      <vt:lpstr>Пр.14</vt:lpstr>
      <vt:lpstr>Пр.18</vt:lpstr>
      <vt:lpstr>Пр19</vt:lpstr>
      <vt:lpstr>Пр.21</vt:lpstr>
      <vt:lpstr>Пр.20</vt:lpstr>
      <vt:lpstr>Пр21</vt:lpstr>
      <vt:lpstr>КФСР</vt:lpstr>
      <vt:lpstr>Пр15</vt:lpstr>
      <vt:lpstr>Пр16</vt:lpstr>
      <vt:lpstr>Пр.17</vt:lpstr>
      <vt:lpstr>Пр.-18</vt:lpstr>
      <vt:lpstr>Пр.19</vt:lpstr>
      <vt:lpstr>Пр.-21</vt:lpstr>
      <vt:lpstr>Пр. 22</vt:lpstr>
      <vt:lpstr>Направление</vt:lpstr>
      <vt:lpstr>Лист6</vt:lpstr>
      <vt:lpstr>Лист7</vt:lpstr>
      <vt:lpstr>Программа</vt:lpstr>
      <vt:lpstr>Пр7!_GoBack</vt:lpstr>
      <vt:lpstr>КВСР!_ФильтрБазыДанных</vt:lpstr>
      <vt:lpstr>КФСР!_ФильтрБазыДанных</vt:lpstr>
      <vt:lpstr>КЦСР!_ФильтрБазыДанных</vt:lpstr>
      <vt:lpstr>Пр.14!_ФильтрБазыДанных</vt:lpstr>
      <vt:lpstr>Пр12!Z_66DBF0AC_E9A0_482F_9E41_1928B6CA83DC_.wvu.FilterData</vt:lpstr>
      <vt:lpstr>Пр12!Z_91923F83_3A6B_4204_9891_178562AB34F1_.wvu.FilterData</vt:lpstr>
      <vt:lpstr>Пр_3!Z_91923F83_3A6B_4204_9891_178562AB34F1_.wvu.PrintArea</vt:lpstr>
      <vt:lpstr>Пр1!Z_91923F83_3A6B_4204_9891_178562AB34F1_.wvu.PrintArea</vt:lpstr>
      <vt:lpstr>Пр12!Z_91923F83_3A6B_4204_9891_178562AB34F1_.wvu.PrintArea</vt:lpstr>
      <vt:lpstr>Пр_3!Z_91923F83_3A6B_4204_9891_178562AB34F1_.wvu.Rows</vt:lpstr>
      <vt:lpstr>Пр12!Z_A5E41FC9_89B1_40D2_B587_57BC4C5E4715_.wvu.FilterData</vt:lpstr>
      <vt:lpstr>Пр_3!Z_A5E41FC9_89B1_40D2_B587_57BC4C5E4715_.wvu.PrintArea</vt:lpstr>
      <vt:lpstr>Пр1!Z_A5E41FC9_89B1_40D2_B587_57BC4C5E4715_.wvu.PrintArea</vt:lpstr>
      <vt:lpstr>Пр12!Z_A5E41FC9_89B1_40D2_B587_57BC4C5E4715_.wvu.PrintArea</vt:lpstr>
      <vt:lpstr>Пр_3!Z_A5E41FC9_89B1_40D2_B587_57BC4C5E4715_.wvu.Rows</vt:lpstr>
      <vt:lpstr>Пр12!Z_B3311466_F005_49F1_A579_3E6CECE305A8_.wvu.FilterData</vt:lpstr>
      <vt:lpstr>Пр_3!Z_B3311466_F005_49F1_A579_3E6CECE305A8_.wvu.PrintArea</vt:lpstr>
      <vt:lpstr>Пр1!Z_B3311466_F005_49F1_A579_3E6CECE305A8_.wvu.PrintArea</vt:lpstr>
      <vt:lpstr>Пр12!Z_B3311466_F005_49F1_A579_3E6CECE305A8_.wvu.PrintArea</vt:lpstr>
      <vt:lpstr>Пр_3!Z_B3311466_F005_49F1_A579_3E6CECE305A8_.wvu.Rows</vt:lpstr>
      <vt:lpstr>Пр12!Z_E51CBA0A_8A1C_44BF_813B_86B1F7C678D3_.wvu.FilterData</vt:lpstr>
      <vt:lpstr>Пр12!Z_E5662E33_D4B0_43EA_9B06_C8DA9DFDBEF6_.wvu.FilterData</vt:lpstr>
      <vt:lpstr>Пр_3!Z_E5662E33_D4B0_43EA_9B06_C8DA9DFDBEF6_.wvu.PrintArea</vt:lpstr>
      <vt:lpstr>Пр1!Z_E5662E33_D4B0_43EA_9B06_C8DA9DFDBEF6_.wvu.PrintArea</vt:lpstr>
      <vt:lpstr>Пр12!Z_E5662E33_D4B0_43EA_9B06_C8DA9DFDBEF6_.wvu.PrintArea</vt:lpstr>
      <vt:lpstr>Пр5!Z_E5662E33_D4B0_43EA_9B06_C8DA9DFDBEF6_.wvu.PrintArea</vt:lpstr>
      <vt:lpstr>Пр_3!Z_E5662E33_D4B0_43EA_9B06_C8DA9DFDBEF6_.wvu.Rows</vt:lpstr>
      <vt:lpstr>Пр12!Z_F3607253_7816_4CF7_9CFD_2ADFFAD916F8_.wvu.FilterData</vt:lpstr>
      <vt:lpstr>Пр_3!Z_F3607253_7816_4CF7_9CFD_2ADFFAD916F8_.wvu.PrintArea</vt:lpstr>
      <vt:lpstr>Пр1!Z_F3607253_7816_4CF7_9CFD_2ADFFAD916F8_.wvu.PrintArea</vt:lpstr>
      <vt:lpstr>Пр12!Z_F3607253_7816_4CF7_9CFD_2ADFFAD916F8_.wvu.PrintArea</vt:lpstr>
      <vt:lpstr>Пр_3!Z_F3607253_7816_4CF7_9CFD_2ADFFAD916F8_.wvu.Rows</vt:lpstr>
      <vt:lpstr>Пр.13!Заголовки_для_печати</vt:lpstr>
      <vt:lpstr>Пр12!Заголовки_для_печати</vt:lpstr>
      <vt:lpstr>КВР!Область_печати</vt:lpstr>
      <vt:lpstr>КВСР!Область_печати</vt:lpstr>
      <vt:lpstr>КФСР!Область_печати</vt:lpstr>
      <vt:lpstr>КЦСР!Область_печати</vt:lpstr>
      <vt:lpstr>'Пр. 22'!Область_печати</vt:lpstr>
      <vt:lpstr>Пр.13!Область_печати</vt:lpstr>
      <vt:lpstr>Пр.14!Область_печати</vt:lpstr>
      <vt:lpstr>Пр.18!Область_печати</vt:lpstr>
      <vt:lpstr>'Пр.-21'!Область_печати</vt:lpstr>
      <vt:lpstr>Пр_18!Область_печати</vt:lpstr>
      <vt:lpstr>Пр_20!Область_печати</vt:lpstr>
      <vt:lpstr>Пр_23!Область_печати</vt:lpstr>
      <vt:lpstr>Пр_3!Область_печати</vt:lpstr>
      <vt:lpstr>Пр_9!Область_печати</vt:lpstr>
      <vt:lpstr>Пр1!Область_печати</vt:lpstr>
      <vt:lpstr>Пр12!Область_печати</vt:lpstr>
      <vt:lpstr>Пр12_!Область_печати</vt:lpstr>
      <vt:lpstr>Пр15!Область_печати</vt:lpstr>
      <vt:lpstr>Пр19!Область_печати</vt:lpstr>
      <vt:lpstr>Пр2!Область_печати</vt:lpstr>
      <vt:lpstr>Пр21!Область_печати</vt:lpstr>
      <vt:lpstr>Пр4!Область_печати</vt:lpstr>
      <vt:lpstr>Пр5!Область_печати</vt:lpstr>
      <vt:lpstr>Пр6!Область_печати</vt:lpstr>
      <vt:lpstr>Пр7!Область_печати</vt:lpstr>
      <vt:lpstr>Пр8!Область_печати</vt:lpstr>
      <vt:lpstr>Пр9!Область_печати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Елаева</dc:creator>
  <cp:lastModifiedBy>prokofieva</cp:lastModifiedBy>
  <cp:lastPrinted>2019-03-12T13:10:49Z</cp:lastPrinted>
  <dcterms:created xsi:type="dcterms:W3CDTF">2016-11-11T16:27:02Z</dcterms:created>
  <dcterms:modified xsi:type="dcterms:W3CDTF">2019-04-25T12:05:05Z</dcterms:modified>
</cp:coreProperties>
</file>