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W:\Бюджет 2021\"/>
    </mc:Choice>
  </mc:AlternateContent>
  <xr:revisionPtr revIDLastSave="0" documentId="13_ncr:1_{40AAFE30-822B-4517-B3BC-8A404BBC2B5F}" xr6:coauthVersionLast="45" xr6:coauthVersionMax="45" xr10:uidLastSave="{00000000-0000-0000-0000-000000000000}"/>
  <bookViews>
    <workbookView xWindow="-120" yWindow="-120" windowWidth="29040" windowHeight="15840" tabRatio="730" activeTab="11" xr2:uid="{00000000-000D-0000-FFFF-FFFF00000000}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 9" sheetId="11" r:id="rId9"/>
    <sheet name="Пр10" sheetId="58" r:id="rId10"/>
    <sheet name="Пр11" sheetId="13" r:id="rId11"/>
    <sheet name="Пр.12" sheetId="14" r:id="rId12"/>
    <sheet name="Пр.13" sheetId="15" r:id="rId13"/>
    <sheet name="Пр.14" sheetId="16" r:id="rId14"/>
    <sheet name="Пр15" sheetId="21" r:id="rId15"/>
    <sheet name="Пр16" sheetId="45" r:id="rId16"/>
    <sheet name="Пр17" sheetId="56" r:id="rId17"/>
    <sheet name="КВСР" sheetId="31" state="hidden" r:id="rId18"/>
    <sheet name="КФСР" sheetId="51" state="hidden" r:id="rId19"/>
    <sheet name="Пр18" sheetId="62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Пр.12!$A$8:$I$1089</definedName>
    <definedName name="_xlnm._FilterDatabase" localSheetId="12" hidden="1">Пр.13!$E$1:$E$600</definedName>
    <definedName name="_xlnm._FilterDatabase" localSheetId="13">Пр.14!$C$1:$D$250</definedName>
    <definedName name="_xlnm._FilterDatabase" localSheetId="0" hidden="1">Пр1!$A$9:$L$166</definedName>
    <definedName name="_xlnm._FilterDatabase" localSheetId="14" hidden="1">Пр15!$F$1:$I$162</definedName>
    <definedName name="_xlnm._FilterDatabase" localSheetId="1" hidden="1">Пр2!$A$9:$O$136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Пр.12!$A$9:$F$1071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Пр.12!$A$9:$F$1071</definedName>
    <definedName name="Z_91923F83_3A6B_4204_9891_178562AB34F1_.wvu.PrintArea" localSheetId="11">Пр.12!$A$1:$F$1071</definedName>
    <definedName name="Z_91923F83_3A6B_4204_9891_178562AB34F1_.wvu.PrintArea" localSheetId="2">Пр_3!$A$1:$B$120</definedName>
    <definedName name="Z_91923F83_3A6B_4204_9891_178562AB34F1_.wvu.PrintArea" localSheetId="0">Пр1!$A$1:$I$166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Пр.12!$A$9:$F$1071</definedName>
    <definedName name="Z_A5E41FC9_89B1_40D2_B587_57BC4C5E4715_.wvu.PrintArea" localSheetId="11">Пр.12!$A$1:$F$1071</definedName>
    <definedName name="Z_A5E41FC9_89B1_40D2_B587_57BC4C5E4715_.wvu.PrintArea" localSheetId="2">Пр_3!$A$1:$B$120</definedName>
    <definedName name="Z_A5E41FC9_89B1_40D2_B587_57BC4C5E4715_.wvu.PrintArea" localSheetId="0">Пр1!$A$1:$I$166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Пр.12!$A$9:$F$1071</definedName>
    <definedName name="Z_B3311466_F005_49F1_A579_3E6CECE305A8_.wvu.PrintArea" localSheetId="11">Пр.12!$A$1:$F$1071</definedName>
    <definedName name="Z_B3311466_F005_49F1_A579_3E6CECE305A8_.wvu.PrintArea" localSheetId="2">Пр_3!$A$1:$B$120</definedName>
    <definedName name="Z_B3311466_F005_49F1_A579_3E6CECE305A8_.wvu.PrintArea" localSheetId="0">Пр1!$A$1:$I$166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Пр.12!$A$9:$F$1071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Пр.12!$A$9:$F$1071</definedName>
    <definedName name="Z_E5662E33_D4B0_43EA_9B06_C8DA9DFDBEF6_.wvu.PrintArea" localSheetId="11">Пр.12!$A$1:$F$1071</definedName>
    <definedName name="Z_E5662E33_D4B0_43EA_9B06_C8DA9DFDBEF6_.wvu.PrintArea" localSheetId="2">Пр_3!$A$1:$B$120</definedName>
    <definedName name="Z_E5662E33_D4B0_43EA_9B06_C8DA9DFDBEF6_.wvu.PrintArea" localSheetId="0">Пр1!$A$1:$I$166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Пр.12!$A$9:$F$1071</definedName>
    <definedName name="Z_F3607253_7816_4CF7_9CFD_2ADFFAD916F8_.wvu.PrintArea" localSheetId="11">Пр.12!$A$1:$F$1071</definedName>
    <definedName name="Z_F3607253_7816_4CF7_9CFD_2ADFFAD916F8_.wvu.PrintArea" localSheetId="2">Пр_3!$A$1:$B$120</definedName>
    <definedName name="Z_F3607253_7816_4CF7_9CFD_2ADFFAD916F8_.wvu.PrintArea" localSheetId="0">Пр1!$A$1:$I$166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Пр.12!$A$1:$H$1089</definedName>
    <definedName name="_xlnm.Print_Area" localSheetId="12">Пр.13!$A$1:$L$599</definedName>
    <definedName name="_xlnm.Print_Area" localSheetId="13">Пр.14!$B$1:$F$179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81029" refMode="R1C1"/>
</workbook>
</file>

<file path=xl/calcChain.xml><?xml version="1.0" encoding="utf-8"?>
<calcChain xmlns="http://schemas.openxmlformats.org/spreadsheetml/2006/main">
  <c r="H96" i="14" l="1"/>
  <c r="H18" i="14"/>
  <c r="H1077" i="14" l="1"/>
  <c r="H1081" i="14"/>
  <c r="H1076" i="14"/>
  <c r="H182" i="14" l="1"/>
  <c r="H181" i="14"/>
  <c r="H215" i="14" l="1"/>
  <c r="B37" i="21" l="1"/>
  <c r="K556" i="15"/>
  <c r="H556" i="15"/>
  <c r="H18" i="15"/>
  <c r="K533" i="15"/>
  <c r="H533" i="15"/>
  <c r="M48" i="2"/>
  <c r="N48" i="2"/>
  <c r="K48" i="2"/>
  <c r="M57" i="2"/>
  <c r="N57" i="2"/>
  <c r="K57" i="2"/>
  <c r="K575" i="15"/>
  <c r="H575" i="15"/>
  <c r="K571" i="15"/>
  <c r="H571" i="15"/>
  <c r="K563" i="15"/>
  <c r="H563" i="15"/>
  <c r="L50" i="2"/>
  <c r="L51" i="2"/>
  <c r="L52" i="2"/>
  <c r="L53" i="2"/>
  <c r="O51" i="2"/>
  <c r="O52" i="2"/>
  <c r="O53" i="2"/>
  <c r="O54" i="2"/>
  <c r="O55" i="2"/>
  <c r="O98" i="2"/>
  <c r="O94" i="2"/>
  <c r="O95" i="2"/>
  <c r="O96" i="2"/>
  <c r="L94" i="2"/>
  <c r="L95" i="2"/>
  <c r="L96" i="2"/>
  <c r="L98" i="2"/>
  <c r="G122" i="4"/>
  <c r="D122" i="4"/>
  <c r="J298" i="15"/>
  <c r="K325" i="15"/>
  <c r="H325" i="15"/>
  <c r="H287" i="15"/>
  <c r="J287" i="15"/>
  <c r="K287" i="15"/>
  <c r="G287" i="15"/>
  <c r="L288" i="15"/>
  <c r="L287" i="15" s="1"/>
  <c r="I288" i="15"/>
  <c r="I287" i="15" s="1"/>
  <c r="A287" i="15"/>
  <c r="A288" i="15"/>
  <c r="J247" i="15"/>
  <c r="J246" i="15" s="1"/>
  <c r="J245" i="15" s="1"/>
  <c r="J244" i="15" s="1"/>
  <c r="J243" i="15" s="1"/>
  <c r="H332" i="15"/>
  <c r="H264" i="15"/>
  <c r="K264" i="15"/>
  <c r="K286" i="15"/>
  <c r="H286" i="15"/>
  <c r="K250" i="15"/>
  <c r="H250" i="15"/>
  <c r="J280" i="15"/>
  <c r="J279" i="15" s="1"/>
  <c r="K280" i="15"/>
  <c r="L282" i="15"/>
  <c r="L281" i="15"/>
  <c r="I281" i="15"/>
  <c r="I280" i="15" s="1"/>
  <c r="I282" i="15"/>
  <c r="H280" i="15"/>
  <c r="A280" i="15"/>
  <c r="A281" i="15"/>
  <c r="A282" i="15"/>
  <c r="H422" i="14"/>
  <c r="H421" i="14"/>
  <c r="K249" i="15"/>
  <c r="H249" i="15"/>
  <c r="J351" i="15"/>
  <c r="J348" i="15"/>
  <c r="H363" i="15"/>
  <c r="H361" i="15"/>
  <c r="H362" i="15"/>
  <c r="K358" i="15"/>
  <c r="H358" i="15"/>
  <c r="K357" i="15"/>
  <c r="H357" i="15"/>
  <c r="L275" i="15"/>
  <c r="L274" i="15" s="1"/>
  <c r="L273" i="15" s="1"/>
  <c r="I37" i="21" s="1"/>
  <c r="I275" i="15"/>
  <c r="I274" i="15" s="1"/>
  <c r="I273" i="15" s="1"/>
  <c r="F37" i="21" s="1"/>
  <c r="J274" i="15"/>
  <c r="J273" i="15" s="1"/>
  <c r="J261" i="15" s="1"/>
  <c r="J260" i="15" s="1"/>
  <c r="K274" i="15"/>
  <c r="K273" i="15" s="1"/>
  <c r="H274" i="15"/>
  <c r="H273" i="15" s="1"/>
  <c r="A273" i="15"/>
  <c r="A274" i="15"/>
  <c r="A275" i="15"/>
  <c r="K445" i="15"/>
  <c r="J40" i="15"/>
  <c r="J432" i="15"/>
  <c r="K432" i="15"/>
  <c r="H467" i="15"/>
  <c r="J467" i="15"/>
  <c r="J450" i="15" s="1"/>
  <c r="K467" i="15"/>
  <c r="G467" i="15"/>
  <c r="L468" i="15"/>
  <c r="L467" i="15" s="1"/>
  <c r="I468" i="15"/>
  <c r="I467" i="15" s="1"/>
  <c r="A467" i="15"/>
  <c r="A468" i="15"/>
  <c r="L404" i="15"/>
  <c r="H403" i="15"/>
  <c r="J403" i="15"/>
  <c r="K403" i="15"/>
  <c r="L403" i="15"/>
  <c r="G403" i="15"/>
  <c r="I404" i="15"/>
  <c r="I403" i="15" s="1"/>
  <c r="A403" i="15"/>
  <c r="A404" i="15"/>
  <c r="K472" i="15"/>
  <c r="J131" i="15"/>
  <c r="J130" i="15" s="1"/>
  <c r="J95" i="15" s="1"/>
  <c r="K131" i="15"/>
  <c r="K130" i="15" s="1"/>
  <c r="L132" i="15"/>
  <c r="L131" i="15" s="1"/>
  <c r="L130" i="15" s="1"/>
  <c r="I132" i="15"/>
  <c r="L158" i="15"/>
  <c r="L157" i="15" s="1"/>
  <c r="I158" i="15"/>
  <c r="I157" i="15" s="1"/>
  <c r="H51" i="15"/>
  <c r="H58" i="15"/>
  <c r="H57" i="15"/>
  <c r="K54" i="15"/>
  <c r="H55" i="15"/>
  <c r="H54" i="15"/>
  <c r="K204" i="15"/>
  <c r="H204" i="15"/>
  <c r="L280" i="15" l="1"/>
  <c r="J347" i="15"/>
  <c r="J346" i="15" s="1"/>
  <c r="J396" i="15"/>
  <c r="J395" i="15" s="1"/>
  <c r="J394" i="15" s="1"/>
  <c r="J393" i="15" s="1"/>
  <c r="H44" i="15" l="1"/>
  <c r="C31" i="7"/>
  <c r="C32" i="7" s="1"/>
  <c r="D31" i="7"/>
  <c r="D32" i="7" s="1"/>
  <c r="E31" i="7"/>
  <c r="E32" i="7" s="1"/>
  <c r="B31" i="7"/>
  <c r="B32" i="7" s="1"/>
  <c r="H1009" i="14"/>
  <c r="H989" i="14"/>
  <c r="H338" i="14"/>
  <c r="H970" i="14"/>
  <c r="H1012" i="14"/>
  <c r="H1006" i="14"/>
  <c r="H906" i="14"/>
  <c r="H1036" i="14"/>
  <c r="H1034" i="14"/>
  <c r="H1030" i="14"/>
  <c r="H901" i="14"/>
  <c r="H905" i="14" l="1"/>
  <c r="H904" i="14" s="1"/>
  <c r="G905" i="14"/>
  <c r="G904" i="14" s="1"/>
  <c r="I906" i="14"/>
  <c r="I905" i="14" s="1"/>
  <c r="I904" i="14" s="1"/>
  <c r="A904" i="14"/>
  <c r="A905" i="14"/>
  <c r="A906" i="14"/>
  <c r="H858" i="14" l="1"/>
  <c r="H836" i="14"/>
  <c r="H495" i="14"/>
  <c r="H456" i="14"/>
  <c r="H425" i="14"/>
  <c r="H570" i="14"/>
  <c r="H596" i="14" l="1"/>
  <c r="H653" i="14"/>
  <c r="H649" i="14"/>
  <c r="H648" i="14"/>
  <c r="H107" i="14"/>
  <c r="H106" i="14"/>
  <c r="H115" i="14"/>
  <c r="H116" i="14"/>
  <c r="H113" i="14"/>
  <c r="H112" i="14"/>
  <c r="H766" i="14"/>
  <c r="G766" i="14"/>
  <c r="I767" i="14"/>
  <c r="I766" i="14" s="1"/>
  <c r="A766" i="14"/>
  <c r="A767" i="14"/>
  <c r="I338" i="14" l="1"/>
  <c r="I337" i="14" s="1"/>
  <c r="I336" i="14" s="1"/>
  <c r="I335" i="14" s="1"/>
  <c r="I334" i="14" s="1"/>
  <c r="I333" i="14" s="1"/>
  <c r="G337" i="14"/>
  <c r="G336" i="14" s="1"/>
  <c r="G335" i="14" s="1"/>
  <c r="G334" i="14" s="1"/>
  <c r="G333" i="14" s="1"/>
  <c r="A333" i="14"/>
  <c r="A334" i="14"/>
  <c r="A335" i="14"/>
  <c r="A336" i="14"/>
  <c r="A337" i="14"/>
  <c r="A338" i="14"/>
  <c r="H21" i="14"/>
  <c r="H14" i="14"/>
  <c r="H337" i="14" l="1"/>
  <c r="H336" i="14" s="1"/>
  <c r="H385" i="14"/>
  <c r="H377" i="14"/>
  <c r="H91" i="14"/>
  <c r="H90" i="14"/>
  <c r="H93" i="14"/>
  <c r="H92" i="14"/>
  <c r="H86" i="14"/>
  <c r="H335" i="14" l="1"/>
  <c r="H334" i="14" s="1"/>
  <c r="H333" i="14" s="1"/>
  <c r="E24" i="16"/>
  <c r="K115" i="1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J149" i="15"/>
  <c r="J66" i="15"/>
  <c r="J65" i="15" s="1"/>
  <c r="J64" i="15" s="1"/>
  <c r="H194" i="14"/>
  <c r="I131" i="15"/>
  <c r="I130" i="15" s="1"/>
  <c r="F55" i="4"/>
  <c r="H131" i="15"/>
  <c r="H130" i="15" s="1"/>
  <c r="A130" i="15"/>
  <c r="A131" i="15"/>
  <c r="A132" i="15"/>
  <c r="J156" i="15"/>
  <c r="J146" i="15" s="1"/>
  <c r="H157" i="15"/>
  <c r="K157" i="15"/>
  <c r="A157" i="15"/>
  <c r="A158" i="15"/>
  <c r="H180" i="14"/>
  <c r="J10" i="15" l="1"/>
  <c r="D18" i="62"/>
  <c r="C23" i="62"/>
  <c r="B23" i="62"/>
  <c r="E18" i="62"/>
  <c r="E23" i="62" s="1"/>
  <c r="D23" i="62"/>
  <c r="K69" i="1"/>
  <c r="K50" i="1"/>
  <c r="O90" i="2"/>
  <c r="L90" i="2"/>
  <c r="L102" i="1"/>
  <c r="O85" i="2"/>
  <c r="L85" i="2"/>
  <c r="M45" i="2" l="1"/>
  <c r="M11" i="2"/>
  <c r="M38" i="2"/>
  <c r="N38" i="2"/>
  <c r="K38" i="2"/>
  <c r="M27" i="2"/>
  <c r="N27" i="2"/>
  <c r="K27" i="2"/>
  <c r="M25" i="2"/>
  <c r="N25" i="2"/>
  <c r="K25" i="2"/>
  <c r="K27" i="1"/>
  <c r="I129" i="15" l="1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15" i="14" l="1"/>
  <c r="A615" i="14"/>
  <c r="H613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8" i="1" l="1"/>
  <c r="L105" i="2" l="1"/>
  <c r="O84" i="2" l="1"/>
  <c r="L84" i="2"/>
  <c r="L154" i="1" l="1"/>
  <c r="L159" i="1" l="1"/>
  <c r="L118" i="1"/>
  <c r="L107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L54" i="1"/>
  <c r="I300" i="14" l="1"/>
  <c r="C76" i="3"/>
  <c r="I44" i="14" l="1"/>
  <c r="B111" i="16"/>
  <c r="H366" i="14"/>
  <c r="H365" i="14" s="1"/>
  <c r="A365" i="14"/>
  <c r="A366" i="14"/>
  <c r="A367" i="14"/>
  <c r="I367" i="14"/>
  <c r="I366" i="14" s="1"/>
  <c r="I365" i="14" s="1"/>
  <c r="I846" i="14"/>
  <c r="I845" i="14" s="1"/>
  <c r="I844" i="14" s="1"/>
  <c r="H42" i="14"/>
  <c r="D111" i="16"/>
  <c r="A42" i="14"/>
  <c r="A43" i="14"/>
  <c r="A44" i="14"/>
  <c r="A844" i="14"/>
  <c r="A845" i="14"/>
  <c r="A846" i="14"/>
  <c r="D75" i="3"/>
  <c r="A1085" i="14"/>
  <c r="A1086" i="14"/>
  <c r="A1087" i="14"/>
  <c r="A1088" i="14"/>
  <c r="H1087" i="14"/>
  <c r="H1086" i="14" s="1"/>
  <c r="H1085" i="14" s="1"/>
  <c r="I1088" i="14"/>
  <c r="I1087" i="14" s="1"/>
  <c r="I1086" i="14" s="1"/>
  <c r="I1085" i="14" s="1"/>
  <c r="I986" i="14"/>
  <c r="I985" i="14" s="1"/>
  <c r="H985" i="14"/>
  <c r="A985" i="14"/>
  <c r="A986" i="14"/>
  <c r="H958" i="14"/>
  <c r="H957" i="14" s="1"/>
  <c r="I959" i="14"/>
  <c r="I958" i="14" s="1"/>
  <c r="I957" i="14" s="1"/>
  <c r="A957" i="14"/>
  <c r="A958" i="14"/>
  <c r="A959" i="14"/>
  <c r="A886" i="14"/>
  <c r="A887" i="14"/>
  <c r="H886" i="14"/>
  <c r="I887" i="14"/>
  <c r="I886" i="14" s="1"/>
  <c r="A764" i="14"/>
  <c r="A765" i="14"/>
  <c r="I765" i="14"/>
  <c r="I764" i="14" s="1"/>
  <c r="H764" i="14"/>
  <c r="A467" i="14"/>
  <c r="A468" i="14"/>
  <c r="H467" i="14"/>
  <c r="I468" i="14"/>
  <c r="I467" i="14" s="1"/>
  <c r="I104" i="14"/>
  <c r="I103" i="14" s="1"/>
  <c r="H103" i="14"/>
  <c r="A103" i="14"/>
  <c r="A104" i="14"/>
  <c r="I43" i="14" l="1"/>
  <c r="I42" i="14" s="1"/>
  <c r="H845" i="14"/>
  <c r="H844" i="14" s="1"/>
  <c r="L112" i="1"/>
  <c r="H159" i="14" l="1"/>
  <c r="L163" i="1" l="1"/>
  <c r="L161" i="1"/>
  <c r="L106" i="1" l="1"/>
  <c r="L97" i="1"/>
  <c r="L96" i="1"/>
  <c r="L67" i="1"/>
  <c r="L63" i="1"/>
  <c r="L62" i="1"/>
  <c r="L59" i="1"/>
  <c r="L58" i="1"/>
  <c r="L55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N46" i="2"/>
  <c r="K46" i="2"/>
  <c r="O46" i="2" l="1"/>
  <c r="L46" i="2"/>
  <c r="B38" i="16"/>
  <c r="A677" i="14"/>
  <c r="A678" i="14"/>
  <c r="H677" i="14"/>
  <c r="I678" i="14"/>
  <c r="I677" i="14" s="1"/>
  <c r="H351" i="14"/>
  <c r="H353" i="14"/>
  <c r="I352" i="14"/>
  <c r="I351" i="14" s="1"/>
  <c r="I354" i="14"/>
  <c r="I353" i="14" s="1"/>
  <c r="A351" i="14"/>
  <c r="A352" i="14"/>
  <c r="A353" i="14"/>
  <c r="A354" i="14"/>
  <c r="H349" i="14"/>
  <c r="I350" i="14"/>
  <c r="I349" i="14" s="1"/>
  <c r="A349" i="14"/>
  <c r="A350" i="14"/>
  <c r="A996" i="14"/>
  <c r="A997" i="14"/>
  <c r="H996" i="14"/>
  <c r="I997" i="14"/>
  <c r="I996" i="14" s="1"/>
  <c r="A977" i="14"/>
  <c r="A978" i="14"/>
  <c r="H977" i="14"/>
  <c r="I978" i="14"/>
  <c r="I977" i="14" s="1"/>
  <c r="H916" i="14"/>
  <c r="H915" i="14" s="1"/>
  <c r="I915" i="14" s="1"/>
  <c r="I917" i="14"/>
  <c r="A915" i="14"/>
  <c r="A916" i="14"/>
  <c r="A917" i="14"/>
  <c r="A909" i="14"/>
  <c r="A910" i="14"/>
  <c r="A911" i="14"/>
  <c r="I911" i="14"/>
  <c r="H910" i="14"/>
  <c r="H909" i="14" s="1"/>
  <c r="I889" i="14"/>
  <c r="I888" i="14" s="1"/>
  <c r="H888" i="14"/>
  <c r="H885" i="14" s="1"/>
  <c r="A882" i="14"/>
  <c r="A883" i="14"/>
  <c r="A884" i="14"/>
  <c r="A885" i="14"/>
  <c r="A888" i="14"/>
  <c r="A889" i="14"/>
  <c r="A806" i="14"/>
  <c r="A807" i="14"/>
  <c r="I807" i="14"/>
  <c r="I806" i="14" s="1"/>
  <c r="H806" i="14"/>
  <c r="I492" i="14"/>
  <c r="A492" i="14"/>
  <c r="I885" i="14" l="1"/>
  <c r="I884" i="14" s="1"/>
  <c r="I883" i="14" s="1"/>
  <c r="I882" i="14" s="1"/>
  <c r="H884" i="14"/>
  <c r="H883" i="14" s="1"/>
  <c r="H882" i="14" s="1"/>
  <c r="I916" i="14"/>
  <c r="I909" i="14"/>
  <c r="I910" i="14"/>
  <c r="H491" i="14"/>
  <c r="I471" i="14"/>
  <c r="I470" i="14" s="1"/>
  <c r="I469" i="14" s="1"/>
  <c r="F38" i="16" s="1"/>
  <c r="H470" i="14"/>
  <c r="H469" i="14" s="1"/>
  <c r="E38" i="16" s="1"/>
  <c r="D38" i="16"/>
  <c r="A469" i="14"/>
  <c r="A470" i="14"/>
  <c r="A471" i="14"/>
  <c r="H442" i="14"/>
  <c r="I444" i="14"/>
  <c r="A444" i="14"/>
  <c r="I415" i="14"/>
  <c r="I414" i="14" s="1"/>
  <c r="I413" i="14" s="1"/>
  <c r="I412" i="14" s="1"/>
  <c r="I411" i="14" s="1"/>
  <c r="I410" i="14" s="1"/>
  <c r="H414" i="14"/>
  <c r="H413" i="14" s="1"/>
  <c r="H412" i="14" s="1"/>
  <c r="H411" i="14" s="1"/>
  <c r="H410" i="14" s="1"/>
  <c r="A410" i="14"/>
  <c r="A411" i="14"/>
  <c r="A412" i="14"/>
  <c r="A413" i="14"/>
  <c r="A414" i="14"/>
  <c r="A415" i="14"/>
  <c r="L146" i="1"/>
  <c r="E47" i="3" l="1"/>
  <c r="D47" i="3"/>
  <c r="I196" i="14"/>
  <c r="H183" i="14"/>
  <c r="I183" i="14" s="1"/>
  <c r="I185" i="14"/>
  <c r="A185" i="14"/>
  <c r="H329" i="14" l="1"/>
  <c r="D172" i="16"/>
  <c r="B172" i="16"/>
  <c r="D171" i="16"/>
  <c r="B171" i="16"/>
  <c r="A297" i="14"/>
  <c r="H257" i="14"/>
  <c r="A258" i="14"/>
  <c r="I258" i="14"/>
  <c r="L119" i="1"/>
  <c r="L66" i="1" l="1"/>
  <c r="L68" i="1"/>
  <c r="L156" i="1"/>
  <c r="L155" i="1"/>
  <c r="L139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8" i="14"/>
  <c r="A1069" i="14"/>
  <c r="A1070" i="14"/>
  <c r="H1070" i="14"/>
  <c r="H1069" i="14" s="1"/>
  <c r="H1068" i="14" s="1"/>
  <c r="I1068" i="14" s="1"/>
  <c r="A1071" i="14"/>
  <c r="I1071" i="14"/>
  <c r="H271" i="14" l="1"/>
  <c r="H270" i="14" s="1"/>
  <c r="I270" i="14" s="1"/>
  <c r="I1070" i="14"/>
  <c r="E102" i="16"/>
  <c r="I1069" i="14"/>
  <c r="I271" i="14" l="1"/>
  <c r="F102" i="16" s="1"/>
  <c r="L251" i="15"/>
  <c r="I251" i="15"/>
  <c r="I330" i="14"/>
  <c r="I329" i="14" s="1"/>
  <c r="I332" i="14"/>
  <c r="I331" i="14" s="1"/>
  <c r="I281" i="14"/>
  <c r="I280" i="14" s="1"/>
  <c r="D16" i="16"/>
  <c r="D39" i="16" l="1"/>
  <c r="H473" i="14"/>
  <c r="H472" i="14" s="1"/>
  <c r="I474" i="14"/>
  <c r="I473" i="14" s="1"/>
  <c r="I472" i="14" s="1"/>
  <c r="F39" i="16" s="1"/>
  <c r="L130" i="1"/>
  <c r="A345" i="14"/>
  <c r="A346" i="14"/>
  <c r="D167" i="16"/>
  <c r="D168" i="16"/>
  <c r="D169" i="16"/>
  <c r="D170" i="16"/>
  <c r="D138" i="16"/>
  <c r="D139" i="16"/>
  <c r="D140" i="16"/>
  <c r="D141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3" i="1"/>
  <c r="H85" i="14"/>
  <c r="A87" i="14"/>
  <c r="A88" i="14"/>
  <c r="I87" i="14"/>
  <c r="I88" i="14"/>
  <c r="I124" i="15"/>
  <c r="I123" i="15" s="1"/>
  <c r="H123" i="15"/>
  <c r="K123" i="15"/>
  <c r="K144" i="15"/>
  <c r="K143" i="15" s="1"/>
  <c r="K142" i="15" s="1"/>
  <c r="K141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56" i="15" l="1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6" i="15" l="1"/>
  <c r="H61" i="4" s="1"/>
  <c r="I169" i="14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102" i="2"/>
  <c r="N45" i="2" s="1"/>
  <c r="K102" i="2"/>
  <c r="K45" i="2" s="1"/>
  <c r="O103" i="2"/>
  <c r="O104" i="2"/>
  <c r="O134" i="2"/>
  <c r="O135" i="2"/>
  <c r="L128" i="2"/>
  <c r="L129" i="2"/>
  <c r="L130" i="2"/>
  <c r="L131" i="2"/>
  <c r="L132" i="2"/>
  <c r="L133" i="2"/>
  <c r="L134" i="2"/>
  <c r="L135" i="2"/>
  <c r="L99" i="2"/>
  <c r="L100" i="2"/>
  <c r="L101" i="2"/>
  <c r="L103" i="2"/>
  <c r="L104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75" i="2"/>
  <c r="L76" i="2"/>
  <c r="L77" i="2"/>
  <c r="L78" i="2"/>
  <c r="L79" i="2"/>
  <c r="L80" i="2"/>
  <c r="L81" i="2"/>
  <c r="L82" i="2"/>
  <c r="L83" i="2"/>
  <c r="L86" i="2"/>
  <c r="L87" i="2"/>
  <c r="L88" i="2"/>
  <c r="L89" i="2"/>
  <c r="L91" i="2"/>
  <c r="L92" i="2"/>
  <c r="L93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5" i="2"/>
  <c r="L54" i="2"/>
  <c r="L56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5" i="2" s="1"/>
  <c r="L22" i="2"/>
  <c r="L21" i="2"/>
  <c r="L18" i="2"/>
  <c r="L19" i="2"/>
  <c r="L17" i="2"/>
  <c r="L153" i="1"/>
  <c r="L157" i="1"/>
  <c r="L158" i="1"/>
  <c r="L160" i="1"/>
  <c r="L162" i="1"/>
  <c r="L165" i="1"/>
  <c r="L116" i="1"/>
  <c r="L117" i="1"/>
  <c r="L57" i="2" l="1"/>
  <c r="L27" i="2"/>
  <c r="L38" i="2"/>
  <c r="I309" i="14"/>
  <c r="F140" i="16" s="1"/>
  <c r="F141" i="16"/>
  <c r="I305" i="14"/>
  <c r="F138" i="16" s="1"/>
  <c r="F139" i="16"/>
  <c r="L102" i="2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31" i="14" l="1"/>
  <c r="A329" i="14"/>
  <c r="A330" i="14"/>
  <c r="A331" i="14"/>
  <c r="A332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8" i="16" l="1"/>
  <c r="B169" i="16"/>
  <c r="B147" i="21"/>
  <c r="B148" i="21"/>
  <c r="B149" i="21"/>
  <c r="B150" i="21"/>
  <c r="B151" i="21"/>
  <c r="B152" i="21"/>
  <c r="B153" i="21"/>
  <c r="B154" i="21"/>
  <c r="B156" i="21"/>
  <c r="B157" i="21"/>
  <c r="B158" i="21"/>
  <c r="A205" i="14"/>
  <c r="A206" i="14"/>
  <c r="A209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472" i="14" l="1"/>
  <c r="A473" i="14"/>
  <c r="A474" i="14"/>
  <c r="E39" i="16"/>
  <c r="B39" i="16"/>
  <c r="B167" i="16" l="1"/>
  <c r="B168" i="16"/>
  <c r="B170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1" i="15" l="1"/>
  <c r="I200" i="15" s="1"/>
  <c r="I199" i="15" s="1"/>
  <c r="F23" i="21"/>
  <c r="L201" i="15"/>
  <c r="L200" i="15" s="1"/>
  <c r="L199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H166" i="14"/>
  <c r="E170" i="16" l="1"/>
  <c r="O130" i="2"/>
  <c r="O128" i="2"/>
  <c r="O127" i="2"/>
  <c r="O126" i="2"/>
  <c r="O123" i="2"/>
  <c r="O122" i="2"/>
  <c r="O113" i="2"/>
  <c r="H747" i="14" l="1"/>
  <c r="H220" i="14"/>
  <c r="H118" i="15" l="1"/>
  <c r="O56" i="2" l="1"/>
  <c r="H157" i="14" l="1"/>
  <c r="H248" i="14"/>
  <c r="A247" i="14" l="1"/>
  <c r="H472" i="15" l="1"/>
  <c r="D69" i="16" l="1"/>
  <c r="B69" i="16"/>
  <c r="K164" i="1"/>
  <c r="L164" i="1" l="1"/>
  <c r="B74" i="16"/>
  <c r="H278" i="14"/>
  <c r="I279" i="14"/>
  <c r="I278" i="14" s="1"/>
  <c r="A278" i="14"/>
  <c r="A279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68" i="14"/>
  <c r="H267" i="14" s="1"/>
  <c r="A268" i="14"/>
  <c r="I269" i="14"/>
  <c r="I268" i="14" s="1"/>
  <c r="I267" i="14" s="1"/>
  <c r="F74" i="16" s="1"/>
  <c r="A267" i="14"/>
  <c r="A269" i="14"/>
  <c r="O50" i="2"/>
  <c r="A379" i="14"/>
  <c r="A380" i="14"/>
  <c r="I379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25" i="15" l="1"/>
  <c r="L122" i="15" s="1"/>
  <c r="I156" i="21" s="1"/>
  <c r="H227" i="14"/>
  <c r="H226" i="14" s="1"/>
  <c r="H135" i="15"/>
  <c r="H134" i="15" s="1"/>
  <c r="H133" i="15" s="1"/>
  <c r="I135" i="15"/>
  <c r="I134" i="15" s="1"/>
  <c r="I133" i="15" s="1"/>
  <c r="E91" i="16"/>
  <c r="F91" i="16"/>
  <c r="I102" i="14" l="1"/>
  <c r="I101" i="14" s="1"/>
  <c r="H101" i="14"/>
  <c r="A101" i="14"/>
  <c r="A102" i="14"/>
  <c r="A681" i="14"/>
  <c r="A682" i="14"/>
  <c r="H681" i="14"/>
  <c r="I682" i="14"/>
  <c r="I681" i="14" s="1"/>
  <c r="A78" i="14" l="1"/>
  <c r="A79" i="14"/>
  <c r="H78" i="14"/>
  <c r="I79" i="14"/>
  <c r="I78" i="14" s="1"/>
  <c r="H48" i="14"/>
  <c r="H47" i="14" s="1"/>
  <c r="A56" i="14"/>
  <c r="I56" i="14"/>
  <c r="H55" i="14"/>
  <c r="H376" i="14"/>
  <c r="K233" i="15" l="1"/>
  <c r="G158" i="21"/>
  <c r="D158" i="21"/>
  <c r="K116" i="15"/>
  <c r="L113" i="15"/>
  <c r="I113" i="15"/>
  <c r="K108" i="15"/>
  <c r="G114" i="21"/>
  <c r="D114" i="21"/>
  <c r="I328" i="14"/>
  <c r="A328" i="14"/>
  <c r="K104" i="15" l="1"/>
  <c r="D155" i="21"/>
  <c r="G155" i="21"/>
  <c r="H326" i="14"/>
  <c r="H325" i="14" s="1"/>
  <c r="G157" i="21" l="1"/>
  <c r="D157" i="21"/>
  <c r="A1062" i="14"/>
  <c r="A1063" i="14"/>
  <c r="A1064" i="14"/>
  <c r="A1065" i="14"/>
  <c r="A1066" i="14"/>
  <c r="A1067" i="14"/>
  <c r="H1066" i="14"/>
  <c r="H1065" i="14" s="1"/>
  <c r="H1064" i="14" s="1"/>
  <c r="H1063" i="14" s="1"/>
  <c r="H1062" i="14" s="1"/>
  <c r="I1067" i="14"/>
  <c r="I1066" i="14" s="1"/>
  <c r="I1065" i="14" s="1"/>
  <c r="I1064" i="14" s="1"/>
  <c r="I1063" i="14" s="1"/>
  <c r="I1062" i="14" s="1"/>
  <c r="A998" i="14"/>
  <c r="A999" i="14"/>
  <c r="H998" i="14"/>
  <c r="I999" i="14"/>
  <c r="I998" i="14" s="1"/>
  <c r="A981" i="14"/>
  <c r="A982" i="14"/>
  <c r="H981" i="14"/>
  <c r="I982" i="14"/>
  <c r="I981" i="14" s="1"/>
  <c r="A963" i="14"/>
  <c r="A964" i="14"/>
  <c r="I964" i="14"/>
  <c r="I963" i="14" s="1"/>
  <c r="H963" i="14"/>
  <c r="A943" i="14"/>
  <c r="A944" i="14"/>
  <c r="H943" i="14"/>
  <c r="I944" i="14"/>
  <c r="I943" i="14" s="1"/>
  <c r="I933" i="14"/>
  <c r="I932" i="14" s="1"/>
  <c r="H932" i="14"/>
  <c r="A932" i="14"/>
  <c r="A933" i="14"/>
  <c r="A928" i="14"/>
  <c r="A929" i="14"/>
  <c r="H928" i="14"/>
  <c r="I929" i="14"/>
  <c r="I928" i="14" s="1"/>
  <c r="I772" i="14"/>
  <c r="I771" i="14" s="1"/>
  <c r="H771" i="14"/>
  <c r="A771" i="14"/>
  <c r="A772" i="14"/>
  <c r="A683" i="14"/>
  <c r="A684" i="14"/>
  <c r="H683" i="14"/>
  <c r="I684" i="14"/>
  <c r="I683" i="14" s="1"/>
  <c r="A668" i="14"/>
  <c r="A669" i="14"/>
  <c r="H668" i="14"/>
  <c r="I669" i="14"/>
  <c r="I668" i="14" s="1"/>
  <c r="A546" i="14"/>
  <c r="A547" i="14"/>
  <c r="H546" i="14"/>
  <c r="I547" i="14"/>
  <c r="I546" i="14" s="1"/>
  <c r="A516" i="14"/>
  <c r="A517" i="14"/>
  <c r="A518" i="14"/>
  <c r="A519" i="14"/>
  <c r="A520" i="14"/>
  <c r="H519" i="14"/>
  <c r="H518" i="14" s="1"/>
  <c r="H517" i="14" s="1"/>
  <c r="H516" i="14" s="1"/>
  <c r="I520" i="14"/>
  <c r="I519" i="14" s="1"/>
  <c r="I518" i="14" s="1"/>
  <c r="I517" i="14" s="1"/>
  <c r="I516" i="14" s="1"/>
  <c r="A500" i="14"/>
  <c r="A501" i="14"/>
  <c r="H500" i="14"/>
  <c r="I501" i="14"/>
  <c r="I500" i="14" s="1"/>
  <c r="H465" i="14"/>
  <c r="I466" i="14"/>
  <c r="I465" i="14" s="1"/>
  <c r="A465" i="14"/>
  <c r="A466" i="14"/>
  <c r="I436" i="14"/>
  <c r="I435" i="14" s="1"/>
  <c r="A435" i="14"/>
  <c r="A436" i="14"/>
  <c r="A355" i="14"/>
  <c r="A356" i="14"/>
  <c r="A357" i="14"/>
  <c r="A358" i="14"/>
  <c r="H357" i="14"/>
  <c r="H356" i="14" s="1"/>
  <c r="H355" i="14" s="1"/>
  <c r="I358" i="14"/>
  <c r="I357" i="14" s="1"/>
  <c r="I356" i="14" s="1"/>
  <c r="I355" i="14" s="1"/>
  <c r="G153" i="21" l="1"/>
  <c r="H435" i="14"/>
  <c r="A60" i="14"/>
  <c r="A61" i="14"/>
  <c r="H60" i="14"/>
  <c r="I61" i="14"/>
  <c r="I60" i="14" s="1"/>
  <c r="K46" i="1" l="1"/>
  <c r="K45" i="1" s="1"/>
  <c r="K38" i="1"/>
  <c r="L56" i="1"/>
  <c r="L46" i="1" l="1"/>
  <c r="I342" i="14" l="1"/>
  <c r="A339" i="14"/>
  <c r="A340" i="14"/>
  <c r="A341" i="14"/>
  <c r="A342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7" i="14"/>
  <c r="A1008" i="14"/>
  <c r="A1009" i="14"/>
  <c r="H1008" i="14"/>
  <c r="H1007" i="14" s="1"/>
  <c r="I1009" i="14"/>
  <c r="I1008" i="14" s="1"/>
  <c r="I1007" i="14" s="1"/>
  <c r="D18" i="56" l="1"/>
  <c r="B56" i="16"/>
  <c r="I980" i="14" l="1"/>
  <c r="I979" i="14" s="1"/>
  <c r="H979" i="14"/>
  <c r="A979" i="14"/>
  <c r="A980" i="14"/>
  <c r="A1000" i="14" l="1"/>
  <c r="A1001" i="14"/>
  <c r="H1000" i="14"/>
  <c r="I1001" i="14"/>
  <c r="I1000" i="14" s="1"/>
  <c r="A992" i="14"/>
  <c r="A993" i="14"/>
  <c r="H992" i="14"/>
  <c r="I993" i="14"/>
  <c r="I992" i="14" s="1"/>
  <c r="A973" i="14"/>
  <c r="A974" i="14"/>
  <c r="H973" i="14"/>
  <c r="I974" i="14"/>
  <c r="I973" i="14" s="1"/>
  <c r="I867" i="14"/>
  <c r="I866" i="14" s="1"/>
  <c r="I865" i="14" s="1"/>
  <c r="H866" i="14"/>
  <c r="H865" i="14" s="1"/>
  <c r="I864" i="14"/>
  <c r="I863" i="14" s="1"/>
  <c r="I862" i="14" s="1"/>
  <c r="I861" i="14" s="1"/>
  <c r="H863" i="14"/>
  <c r="H862" i="14" s="1"/>
  <c r="H861" i="14" s="1"/>
  <c r="A860" i="14"/>
  <c r="A861" i="14"/>
  <c r="A862" i="14"/>
  <c r="A863" i="14"/>
  <c r="A864" i="14"/>
  <c r="A865" i="14"/>
  <c r="A866" i="14"/>
  <c r="A867" i="14"/>
  <c r="A571" i="14"/>
  <c r="A572" i="14"/>
  <c r="A573" i="14"/>
  <c r="A574" i="14"/>
  <c r="H573" i="14"/>
  <c r="H571" i="14"/>
  <c r="I572" i="14"/>
  <c r="I571" i="14" s="1"/>
  <c r="I574" i="14"/>
  <c r="I573" i="14" s="1"/>
  <c r="A502" i="14"/>
  <c r="A503" i="14"/>
  <c r="H502" i="14"/>
  <c r="I503" i="14"/>
  <c r="I502" i="14" s="1"/>
  <c r="A498" i="14"/>
  <c r="A499" i="14"/>
  <c r="I499" i="14"/>
  <c r="H498" i="14"/>
  <c r="I438" i="14"/>
  <c r="I437" i="14" s="1"/>
  <c r="H437" i="14"/>
  <c r="A437" i="14"/>
  <c r="A438" i="14"/>
  <c r="H426" i="14"/>
  <c r="I427" i="14"/>
  <c r="I426" i="14" s="1"/>
  <c r="A426" i="14"/>
  <c r="A427" i="14"/>
  <c r="H123" i="14"/>
  <c r="A123" i="14"/>
  <c r="A124" i="14"/>
  <c r="I124" i="14"/>
  <c r="I123" i="14" s="1"/>
  <c r="H860" i="14" l="1"/>
  <c r="I860" i="14"/>
  <c r="I498" i="14"/>
  <c r="L141" i="1" l="1"/>
  <c r="A320" i="14" l="1"/>
  <c r="A321" i="14"/>
  <c r="A322" i="14"/>
  <c r="H321" i="14"/>
  <c r="H320" i="14" s="1"/>
  <c r="I322" i="14"/>
  <c r="I321" i="14" s="1"/>
  <c r="I320" i="14" s="1"/>
  <c r="A401" i="14"/>
  <c r="A402" i="14"/>
  <c r="I402" i="14"/>
  <c r="H401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401" i="14"/>
  <c r="F164" i="16"/>
  <c r="F165" i="16"/>
  <c r="D164" i="16"/>
  <c r="D165" i="16"/>
  <c r="E164" i="16"/>
  <c r="E165" i="16"/>
  <c r="H578" i="14" l="1"/>
  <c r="H855" i="14"/>
  <c r="H835" i="14"/>
  <c r="H834" i="14" s="1"/>
  <c r="H94" i="14"/>
  <c r="D70" i="16" l="1"/>
  <c r="D71" i="16"/>
  <c r="C21" i="5" l="1"/>
  <c r="B155" i="16" l="1"/>
  <c r="D130" i="16"/>
  <c r="B130" i="16"/>
  <c r="H528" i="14"/>
  <c r="I529" i="14"/>
  <c r="I528" i="14" s="1"/>
  <c r="A526" i="14"/>
  <c r="A527" i="14"/>
  <c r="A528" i="14"/>
  <c r="A529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6" i="56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995" i="14" l="1"/>
  <c r="I994" i="14" s="1"/>
  <c r="H994" i="14"/>
  <c r="A994" i="14"/>
  <c r="A995" i="14"/>
  <c r="I962" i="14"/>
  <c r="I961" i="14" s="1"/>
  <c r="H961" i="14"/>
  <c r="A956" i="14"/>
  <c r="A960" i="14"/>
  <c r="A961" i="14"/>
  <c r="A962" i="14"/>
  <c r="A951" i="14"/>
  <c r="I881" i="14"/>
  <c r="I880" i="14" s="1"/>
  <c r="I879" i="14" s="1"/>
  <c r="I878" i="14" s="1"/>
  <c r="I877" i="14" s="1"/>
  <c r="E45" i="3" s="1"/>
  <c r="H880" i="14"/>
  <c r="H879" i="14" s="1"/>
  <c r="H878" i="14" s="1"/>
  <c r="H877" i="14" s="1"/>
  <c r="D45" i="3" s="1"/>
  <c r="C45" i="3"/>
  <c r="A880" i="14"/>
  <c r="A881" i="14"/>
  <c r="A877" i="14"/>
  <c r="A878" i="14"/>
  <c r="A879" i="14"/>
  <c r="I960" i="14" l="1"/>
  <c r="I956" i="14" s="1"/>
  <c r="H960" i="14"/>
  <c r="H956" i="14" s="1"/>
  <c r="H749" i="14"/>
  <c r="I805" i="14"/>
  <c r="I804" i="14" s="1"/>
  <c r="H804" i="14"/>
  <c r="A804" i="14"/>
  <c r="A805" i="14"/>
  <c r="A801" i="14"/>
  <c r="A802" i="14"/>
  <c r="I792" i="14"/>
  <c r="I791" i="14"/>
  <c r="H790" i="14"/>
  <c r="A790" i="14"/>
  <c r="A791" i="14"/>
  <c r="A792" i="14"/>
  <c r="A788" i="14"/>
  <c r="A789" i="14"/>
  <c r="H788" i="14"/>
  <c r="I789" i="14"/>
  <c r="I788" i="14" s="1"/>
  <c r="A768" i="14"/>
  <c r="H769" i="14"/>
  <c r="H768" i="14" s="1"/>
  <c r="I770" i="14"/>
  <c r="I769" i="14" s="1"/>
  <c r="I768" i="14" s="1"/>
  <c r="A710" i="14"/>
  <c r="A711" i="14"/>
  <c r="A712" i="14"/>
  <c r="H711" i="14"/>
  <c r="H710" i="14" s="1"/>
  <c r="E53" i="16" s="1"/>
  <c r="D53" i="16"/>
  <c r="I712" i="14"/>
  <c r="I711" i="14" s="1"/>
  <c r="I710" i="14" s="1"/>
  <c r="F53" i="16" s="1"/>
  <c r="B52" i="16"/>
  <c r="B53" i="16"/>
  <c r="H701" i="14"/>
  <c r="I702" i="14"/>
  <c r="I703" i="14"/>
  <c r="A701" i="14"/>
  <c r="A702" i="14"/>
  <c r="A703" i="14"/>
  <c r="F16" i="16" l="1"/>
  <c r="E16" i="16"/>
  <c r="I790" i="14"/>
  <c r="I701" i="14"/>
  <c r="I122" i="14"/>
  <c r="I121" i="14" s="1"/>
  <c r="I120" i="14" s="1"/>
  <c r="H121" i="14"/>
  <c r="H120" i="14" s="1"/>
  <c r="A120" i="14"/>
  <c r="A121" i="14"/>
  <c r="A122" i="14"/>
  <c r="H341" i="14"/>
  <c r="H340" i="14" s="1"/>
  <c r="A343" i="14"/>
  <c r="H407" i="14"/>
  <c r="H406" i="14" s="1"/>
  <c r="H405" i="14" s="1"/>
  <c r="A405" i="14"/>
  <c r="A406" i="14"/>
  <c r="A407" i="14"/>
  <c r="A408" i="14"/>
  <c r="I408" i="14"/>
  <c r="I407" i="14" s="1"/>
  <c r="I406" i="14" s="1"/>
  <c r="I405" i="14" s="1"/>
  <c r="A389" i="14"/>
  <c r="A390" i="14"/>
  <c r="H389" i="14"/>
  <c r="I390" i="14"/>
  <c r="I389" i="14" s="1"/>
  <c r="I341" i="14" l="1"/>
  <c r="I340" i="14" s="1"/>
  <c r="H660" i="14"/>
  <c r="H659" i="14" s="1"/>
  <c r="I661" i="14"/>
  <c r="I660" i="14" s="1"/>
  <c r="I659" i="14" s="1"/>
  <c r="A659" i="14"/>
  <c r="A660" i="14"/>
  <c r="A661" i="14"/>
  <c r="I636" i="14"/>
  <c r="I635" i="14" s="1"/>
  <c r="H635" i="14"/>
  <c r="I634" i="14"/>
  <c r="I633" i="14" s="1"/>
  <c r="H633" i="14"/>
  <c r="A635" i="14"/>
  <c r="A636" i="14"/>
  <c r="A632" i="14"/>
  <c r="A633" i="14"/>
  <c r="A634" i="14"/>
  <c r="I497" i="14"/>
  <c r="I496" i="14" s="1"/>
  <c r="H496" i="14"/>
  <c r="A496" i="14"/>
  <c r="A497" i="14"/>
  <c r="H432" i="14"/>
  <c r="H17" i="14"/>
  <c r="H1075" i="14"/>
  <c r="I1079" i="14"/>
  <c r="A1079" i="14"/>
  <c r="I493" i="14"/>
  <c r="I491" i="14" s="1"/>
  <c r="A491" i="14"/>
  <c r="A493" i="14"/>
  <c r="I95" i="14"/>
  <c r="A95" i="14"/>
  <c r="A769" i="14"/>
  <c r="A770" i="14"/>
  <c r="I632" i="14" l="1"/>
  <c r="H632" i="14"/>
  <c r="L49" i="1" l="1"/>
  <c r="L124" i="1"/>
  <c r="I164" i="14"/>
  <c r="H162" i="14"/>
  <c r="A164" i="14"/>
  <c r="D144" i="21"/>
  <c r="E144" i="21"/>
  <c r="F144" i="21"/>
  <c r="G144" i="21"/>
  <c r="H144" i="21"/>
  <c r="I144" i="21"/>
  <c r="D158" i="16"/>
  <c r="E158" i="16"/>
  <c r="F158" i="16"/>
  <c r="H339" i="14" l="1"/>
  <c r="I339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03" i="14" l="1"/>
  <c r="I403" i="14" s="1"/>
  <c r="I404" i="14"/>
  <c r="A403" i="14"/>
  <c r="A404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47" i="1"/>
  <c r="L144" i="1"/>
  <c r="L140" i="1"/>
  <c r="I20" i="14"/>
  <c r="A20" i="14"/>
  <c r="O120" i="2"/>
  <c r="O118" i="2"/>
  <c r="O111" i="2"/>
  <c r="O109" i="2"/>
  <c r="O110" i="2"/>
  <c r="O132" i="2"/>
  <c r="O119" i="2"/>
  <c r="O117" i="2"/>
  <c r="O116" i="2"/>
  <c r="O115" i="2"/>
  <c r="O114" i="2"/>
  <c r="O124" i="2"/>
  <c r="O133" i="2"/>
  <c r="O131" i="2"/>
  <c r="O125" i="2"/>
  <c r="O108" i="2"/>
  <c r="O112" i="2"/>
  <c r="O107" i="2"/>
  <c r="O129" i="2"/>
  <c r="K44" i="1" l="1"/>
  <c r="L150" i="1"/>
  <c r="L143" i="1"/>
  <c r="L129" i="1"/>
  <c r="L152" i="1"/>
  <c r="L151" i="1"/>
  <c r="L149" i="1"/>
  <c r="L131" i="1"/>
  <c r="L122" i="1"/>
  <c r="A395" i="14"/>
  <c r="A396" i="14"/>
  <c r="I396" i="14"/>
  <c r="H395" i="14"/>
  <c r="I395" i="14" s="1"/>
  <c r="I238" i="14"/>
  <c r="H237" i="14"/>
  <c r="A237" i="14"/>
  <c r="A238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13" i="14"/>
  <c r="A314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I154" i="21" l="1"/>
  <c r="H293" i="14"/>
  <c r="L142" i="15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295" i="14"/>
  <c r="I294" i="14" s="1"/>
  <c r="I237" i="14"/>
  <c r="I236" i="14" s="1"/>
  <c r="F172" i="16" s="1"/>
  <c r="H236" i="14"/>
  <c r="F114" i="21"/>
  <c r="L104" i="15"/>
  <c r="L100" i="15" s="1"/>
  <c r="L95" i="15" s="1"/>
  <c r="I141" i="21"/>
  <c r="H183" i="15"/>
  <c r="I184" i="15"/>
  <c r="F141" i="21" s="1"/>
  <c r="I185" i="15"/>
  <c r="H314" i="14"/>
  <c r="H313" i="14" s="1"/>
  <c r="I313" i="14" s="1"/>
  <c r="H143" i="15"/>
  <c r="H142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H55" i="4" l="1"/>
  <c r="G55" i="4"/>
  <c r="H153" i="21"/>
  <c r="I293" i="14"/>
  <c r="H163" i="15"/>
  <c r="L141" i="15"/>
  <c r="E172" i="16"/>
  <c r="I235" i="14"/>
  <c r="H100" i="15"/>
  <c r="H95" i="15" s="1"/>
  <c r="E55" i="4" s="1"/>
  <c r="E155" i="21"/>
  <c r="I155" i="21"/>
  <c r="E153" i="21"/>
  <c r="H235" i="14"/>
  <c r="H234" i="14" s="1"/>
  <c r="I282" i="14"/>
  <c r="I277" i="14" s="1"/>
  <c r="I183" i="15"/>
  <c r="E140" i="21"/>
  <c r="H141" i="21"/>
  <c r="I314" i="14"/>
  <c r="H290" i="14"/>
  <c r="I143" i="15"/>
  <c r="A236" i="14"/>
  <c r="A234" i="14"/>
  <c r="A235" i="14"/>
  <c r="I153" i="21" l="1"/>
  <c r="I142" i="15"/>
  <c r="E171" i="16"/>
  <c r="F171" i="16"/>
  <c r="F140" i="21"/>
  <c r="I163" i="15"/>
  <c r="I140" i="21"/>
  <c r="H140" i="21"/>
  <c r="H289" i="14"/>
  <c r="H288" i="14" s="1"/>
  <c r="H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1" i="15"/>
  <c r="I141" i="15" s="1"/>
  <c r="I288" i="14" l="1"/>
  <c r="I287" i="14"/>
  <c r="A159" i="14"/>
  <c r="A160" i="14"/>
  <c r="A161" i="14"/>
  <c r="A162" i="14"/>
  <c r="A163" i="14"/>
  <c r="I162" i="14"/>
  <c r="I159" i="14"/>
  <c r="H161" i="14" l="1"/>
  <c r="E122" i="16" s="1"/>
  <c r="L28" i="1"/>
  <c r="L113" i="1"/>
  <c r="L114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I421" i="14"/>
  <c r="C14" i="56"/>
  <c r="D14" i="56"/>
  <c r="L198" i="15"/>
  <c r="O87" i="2"/>
  <c r="O58" i="2"/>
  <c r="O39" i="2"/>
  <c r="L70" i="1"/>
  <c r="L52" i="1"/>
  <c r="L57" i="1"/>
  <c r="L64" i="1"/>
  <c r="L65" i="1"/>
  <c r="I157" i="14" l="1"/>
  <c r="E162" i="16"/>
  <c r="D161" i="16"/>
  <c r="B51" i="21"/>
  <c r="B40" i="21"/>
  <c r="D40" i="21"/>
  <c r="E40" i="21"/>
  <c r="F40" i="21"/>
  <c r="G40" i="21"/>
  <c r="H40" i="21"/>
  <c r="I40" i="21"/>
  <c r="D13" i="21"/>
  <c r="F162" i="16" l="1"/>
  <c r="E122" i="4"/>
  <c r="H122" i="4"/>
  <c r="E161" i="16" l="1"/>
  <c r="F161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47" i="14"/>
  <c r="I745" i="14"/>
  <c r="I746" i="14"/>
  <c r="I748" i="14"/>
  <c r="I750" i="14"/>
  <c r="I749" i="14" s="1"/>
  <c r="A744" i="14"/>
  <c r="A745" i="14"/>
  <c r="A746" i="14"/>
  <c r="A747" i="14"/>
  <c r="A748" i="14"/>
  <c r="A749" i="14"/>
  <c r="A750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1" i="2"/>
  <c r="L138" i="1"/>
  <c r="I254" i="14"/>
  <c r="I859" i="14"/>
  <c r="I858" i="14"/>
  <c r="H857" i="14"/>
  <c r="H854" i="14" s="1"/>
  <c r="A858" i="14"/>
  <c r="A857" i="14"/>
  <c r="A859" i="14"/>
  <c r="H833" i="14"/>
  <c r="A217" i="14"/>
  <c r="H214" i="14"/>
  <c r="H213" i="14" s="1"/>
  <c r="H265" i="14"/>
  <c r="H250" i="14"/>
  <c r="H245" i="14" s="1"/>
  <c r="H244" i="14" l="1"/>
  <c r="I220" i="14"/>
  <c r="I219" i="14" s="1"/>
  <c r="H264" i="14"/>
  <c r="I857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L237" i="15"/>
  <c r="L231" i="15"/>
  <c r="L230" i="15" s="1"/>
  <c r="L229" i="15" s="1"/>
  <c r="I150" i="15"/>
  <c r="H160" i="15"/>
  <c r="H159" i="15" s="1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48" i="14"/>
  <c r="H85" i="15" l="1"/>
  <c r="A248" i="14"/>
  <c r="A249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A82" i="15"/>
  <c r="A83" i="15"/>
  <c r="A84" i="15"/>
  <c r="A151" i="14"/>
  <c r="A152" i="14"/>
  <c r="A153" i="14"/>
  <c r="I85" i="15" l="1"/>
  <c r="I154" i="15"/>
  <c r="I149" i="15" s="1"/>
  <c r="A250" i="14"/>
  <c r="A251" i="14"/>
  <c r="I250" i="14"/>
  <c r="B14" i="56"/>
  <c r="H148" i="15" l="1"/>
  <c r="H147" i="15" s="1"/>
  <c r="H146" i="15" s="1"/>
  <c r="E61" i="4" s="1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48" i="15"/>
  <c r="I147" i="15" s="1"/>
  <c r="I146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100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4" i="15"/>
  <c r="H432" i="15"/>
  <c r="A619" i="14"/>
  <c r="I619" i="14"/>
  <c r="H618" i="14"/>
  <c r="H256" i="15"/>
  <c r="K256" i="15"/>
  <c r="L258" i="15"/>
  <c r="I258" i="15"/>
  <c r="A258" i="15"/>
  <c r="I434" i="14"/>
  <c r="A434" i="14"/>
  <c r="K248" i="15"/>
  <c r="A250" i="15"/>
  <c r="L250" i="15"/>
  <c r="I250" i="15"/>
  <c r="F71" i="16" l="1"/>
  <c r="I263" i="14"/>
  <c r="F70" i="16" s="1"/>
  <c r="I154" i="14"/>
  <c r="I155" i="14"/>
  <c r="I618" i="14"/>
  <c r="H420" i="14"/>
  <c r="I422" i="14"/>
  <c r="I423" i="14"/>
  <c r="A422" i="14"/>
  <c r="A423" i="14"/>
  <c r="I243" i="14" l="1"/>
  <c r="I420" i="14"/>
  <c r="H147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14" i="14"/>
  <c r="I513" i="14" s="1"/>
  <c r="I512" i="14" s="1"/>
  <c r="I511" i="14" s="1"/>
  <c r="I510" i="14" s="1"/>
  <c r="I509" i="14" s="1"/>
  <c r="E76" i="3" s="1"/>
  <c r="H513" i="14"/>
  <c r="H512" i="14" s="1"/>
  <c r="H511" i="14" s="1"/>
  <c r="H510" i="14" s="1"/>
  <c r="H509" i="14" s="1"/>
  <c r="D76" i="3" s="1"/>
  <c r="A509" i="14"/>
  <c r="A510" i="14"/>
  <c r="A511" i="14"/>
  <c r="A512" i="14"/>
  <c r="A513" i="14"/>
  <c r="A514" i="14"/>
  <c r="C76" i="4" l="1"/>
  <c r="O101" i="2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O62" i="2"/>
  <c r="O63" i="2"/>
  <c r="O64" i="2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6" i="14" l="1"/>
  <c r="H825" i="14" s="1"/>
  <c r="H824" i="14" s="1"/>
  <c r="I827" i="14"/>
  <c r="I826" i="14" s="1"/>
  <c r="I825" i="14" s="1"/>
  <c r="I824" i="14" s="1"/>
  <c r="A824" i="14"/>
  <c r="A825" i="14"/>
  <c r="A826" i="14"/>
  <c r="A827" i="14"/>
  <c r="H830" i="14"/>
  <c r="H829" i="14" s="1"/>
  <c r="H828" i="14" s="1"/>
  <c r="I831" i="14"/>
  <c r="I830" i="14" s="1"/>
  <c r="I829" i="14" s="1"/>
  <c r="I828" i="14" s="1"/>
  <c r="A830" i="14"/>
  <c r="A831" i="14"/>
  <c r="A828" i="14"/>
  <c r="A829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4" i="14"/>
  <c r="I645" i="14"/>
  <c r="A645" i="14"/>
  <c r="I628" i="14"/>
  <c r="I627" i="14" s="1"/>
  <c r="I626" i="14" s="1"/>
  <c r="I625" i="14" s="1"/>
  <c r="I624" i="14" s="1"/>
  <c r="I623" i="14" s="1"/>
  <c r="H627" i="14"/>
  <c r="H626" i="14" s="1"/>
  <c r="H625" i="14" s="1"/>
  <c r="H624" i="14" s="1"/>
  <c r="H623" i="14" s="1"/>
  <c r="A623" i="14"/>
  <c r="A624" i="14"/>
  <c r="A625" i="14"/>
  <c r="A626" i="14"/>
  <c r="A627" i="14"/>
  <c r="A628" i="14"/>
  <c r="I431" i="14"/>
  <c r="I430" i="14" s="1"/>
  <c r="H430" i="14"/>
  <c r="A430" i="14"/>
  <c r="A431" i="14"/>
  <c r="I794" i="14"/>
  <c r="I793" i="14" s="1"/>
  <c r="H793" i="14"/>
  <c r="A793" i="14"/>
  <c r="A794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F154" i="21"/>
  <c r="D154" i="21"/>
  <c r="A213" i="14"/>
  <c r="A344" i="14"/>
  <c r="B159" i="16"/>
  <c r="B160" i="16"/>
  <c r="B154" i="16"/>
  <c r="B156" i="16"/>
  <c r="B157" i="16"/>
  <c r="B150" i="16"/>
  <c r="B151" i="16"/>
  <c r="B152" i="16"/>
  <c r="B153" i="16"/>
  <c r="H691" i="14"/>
  <c r="H690" i="14" s="1"/>
  <c r="H689" i="14" s="1"/>
  <c r="H688" i="14" s="1"/>
  <c r="I692" i="14"/>
  <c r="I691" i="14" s="1"/>
  <c r="I690" i="14" s="1"/>
  <c r="I689" i="14" s="1"/>
  <c r="I688" i="14" s="1"/>
  <c r="A688" i="14"/>
  <c r="A689" i="14"/>
  <c r="A690" i="14"/>
  <c r="A691" i="14"/>
  <c r="A692" i="14"/>
  <c r="I610" i="14"/>
  <c r="H609" i="14"/>
  <c r="H608" i="14" s="1"/>
  <c r="A608" i="14"/>
  <c r="A609" i="14"/>
  <c r="A610" i="14"/>
  <c r="A605" i="14"/>
  <c r="I508" i="14"/>
  <c r="I507" i="14" s="1"/>
  <c r="I506" i="14" s="1"/>
  <c r="I505" i="14" s="1"/>
  <c r="I504" i="14" s="1"/>
  <c r="H507" i="14"/>
  <c r="H506" i="14" s="1"/>
  <c r="H505" i="14" s="1"/>
  <c r="H504" i="14" s="1"/>
  <c r="A504" i="14"/>
  <c r="A505" i="14"/>
  <c r="A506" i="14"/>
  <c r="A507" i="14"/>
  <c r="A508" i="14"/>
  <c r="I425" i="14"/>
  <c r="H424" i="14"/>
  <c r="A424" i="14"/>
  <c r="A425" i="14"/>
  <c r="I856" i="14"/>
  <c r="I855" i="14" s="1"/>
  <c r="A854" i="14"/>
  <c r="A855" i="14"/>
  <c r="A856" i="14"/>
  <c r="I838" i="14"/>
  <c r="I837" i="14"/>
  <c r="I836" i="14"/>
  <c r="A834" i="14"/>
  <c r="A835" i="14"/>
  <c r="A836" i="14"/>
  <c r="A837" i="14"/>
  <c r="A838" i="14"/>
  <c r="F153" i="21" l="1"/>
  <c r="D153" i="21"/>
  <c r="I424" i="14"/>
  <c r="I608" i="14"/>
  <c r="I609" i="14"/>
  <c r="I854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5" i="14" l="1"/>
  <c r="A434" i="15"/>
  <c r="A435" i="15"/>
  <c r="L435" i="15"/>
  <c r="L434" i="15" s="1"/>
  <c r="I435" i="15"/>
  <c r="I434" i="15" s="1"/>
  <c r="H754" i="14"/>
  <c r="I755" i="14"/>
  <c r="I754" i="14" s="1"/>
  <c r="H756" i="14"/>
  <c r="I757" i="14"/>
  <c r="I756" i="14" s="1"/>
  <c r="L433" i="15"/>
  <c r="L432" i="15" s="1"/>
  <c r="I433" i="15"/>
  <c r="I432" i="15" s="1"/>
  <c r="A432" i="15"/>
  <c r="A433" i="15"/>
  <c r="A756" i="14"/>
  <c r="A757" i="14"/>
  <c r="A754" i="14"/>
  <c r="A755" i="14"/>
  <c r="A751" i="14"/>
  <c r="A753" i="14"/>
  <c r="I834" i="14" l="1"/>
  <c r="I833" i="14" s="1"/>
  <c r="O92" i="2"/>
  <c r="O88" i="2"/>
  <c r="O83" i="2"/>
  <c r="O82" i="2"/>
  <c r="O86" i="2"/>
  <c r="O81" i="2"/>
  <c r="O76" i="2"/>
  <c r="O72" i="2"/>
  <c r="O71" i="2"/>
  <c r="O70" i="2"/>
  <c r="O69" i="2"/>
  <c r="O68" i="2"/>
  <c r="O67" i="2"/>
  <c r="O61" i="2" l="1"/>
  <c r="O60" i="2"/>
  <c r="L71" i="1"/>
  <c r="L99" i="1"/>
  <c r="L95" i="1"/>
  <c r="L94" i="1"/>
  <c r="L69" i="1" l="1"/>
  <c r="L98" i="1"/>
  <c r="H347" i="14" l="1"/>
  <c r="H346" i="14" s="1"/>
  <c r="A347" i="14"/>
  <c r="H345" i="14" l="1"/>
  <c r="H344" i="14" s="1"/>
  <c r="H343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8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9" i="14"/>
  <c r="I760" i="14"/>
  <c r="A759" i="14"/>
  <c r="A76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9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27" i="14"/>
  <c r="I326" i="14" s="1"/>
  <c r="I325" i="14" s="1"/>
  <c r="I348" i="14"/>
  <c r="I347" i="14" s="1"/>
  <c r="I346" i="14" s="1"/>
  <c r="I364" i="14"/>
  <c r="I371" i="14"/>
  <c r="I374" i="14"/>
  <c r="I380" i="14"/>
  <c r="I384" i="14"/>
  <c r="I386" i="14"/>
  <c r="I388" i="14"/>
  <c r="I394" i="14"/>
  <c r="I400" i="14"/>
  <c r="I429" i="14"/>
  <c r="I433" i="14"/>
  <c r="I443" i="14"/>
  <c r="I447" i="14"/>
  <c r="I450" i="14"/>
  <c r="I456" i="14"/>
  <c r="I458" i="14"/>
  <c r="I460" i="14"/>
  <c r="I462" i="14"/>
  <c r="I464" i="14"/>
  <c r="I478" i="14"/>
  <c r="I483" i="14"/>
  <c r="I486" i="14"/>
  <c r="I495" i="14"/>
  <c r="I525" i="14"/>
  <c r="I527" i="14"/>
  <c r="I531" i="14"/>
  <c r="I533" i="14"/>
  <c r="I534" i="14"/>
  <c r="I536" i="14"/>
  <c r="I539" i="14"/>
  <c r="I545" i="14"/>
  <c r="I551" i="14"/>
  <c r="I553" i="14"/>
  <c r="I558" i="14"/>
  <c r="I559" i="14"/>
  <c r="I560" i="14"/>
  <c r="I561" i="14"/>
  <c r="I564" i="14"/>
  <c r="I566" i="14"/>
  <c r="I569" i="14"/>
  <c r="I570" i="14"/>
  <c r="I577" i="14"/>
  <c r="I578" i="14"/>
  <c r="I579" i="14"/>
  <c r="I583" i="14"/>
  <c r="I584" i="14"/>
  <c r="I586" i="14"/>
  <c r="I589" i="14"/>
  <c r="I590" i="14"/>
  <c r="I594" i="14"/>
  <c r="I597" i="14"/>
  <c r="I598" i="14"/>
  <c r="I602" i="14"/>
  <c r="I607" i="14"/>
  <c r="I614" i="14"/>
  <c r="I613" i="14" s="1"/>
  <c r="I622" i="14"/>
  <c r="I639" i="14"/>
  <c r="I641" i="14"/>
  <c r="I643" i="14"/>
  <c r="I646" i="14"/>
  <c r="I644" i="14" s="1"/>
  <c r="I648" i="14"/>
  <c r="I651" i="14"/>
  <c r="I652" i="14"/>
  <c r="I654" i="14"/>
  <c r="I657" i="14"/>
  <c r="I658" i="14"/>
  <c r="I667" i="14"/>
  <c r="I673" i="14"/>
  <c r="I680" i="14"/>
  <c r="I687" i="14"/>
  <c r="I699" i="14"/>
  <c r="I700" i="14"/>
  <c r="I709" i="14"/>
  <c r="I718" i="14"/>
  <c r="I719" i="14"/>
  <c r="I721" i="14"/>
  <c r="I722" i="14"/>
  <c r="I724" i="14"/>
  <c r="I726" i="14"/>
  <c r="I727" i="14"/>
  <c r="I729" i="14"/>
  <c r="I731" i="14"/>
  <c r="I733" i="14"/>
  <c r="I734" i="14"/>
  <c r="I736" i="14"/>
  <c r="I737" i="14"/>
  <c r="I739" i="14"/>
  <c r="I740" i="14"/>
  <c r="I742" i="14"/>
  <c r="I743" i="14"/>
  <c r="I752" i="14"/>
  <c r="I753" i="14"/>
  <c r="I762" i="14"/>
  <c r="I763" i="14"/>
  <c r="I778" i="14"/>
  <c r="I780" i="14"/>
  <c r="I782" i="14"/>
  <c r="I784" i="14"/>
  <c r="I786" i="14"/>
  <c r="I787" i="14"/>
  <c r="I796" i="14"/>
  <c r="I797" i="14"/>
  <c r="I800" i="14"/>
  <c r="I803" i="14"/>
  <c r="I813" i="14"/>
  <c r="I814" i="14"/>
  <c r="I816" i="14"/>
  <c r="I820" i="14"/>
  <c r="I823" i="14"/>
  <c r="I843" i="14"/>
  <c r="I853" i="14"/>
  <c r="I871" i="14"/>
  <c r="I875" i="14"/>
  <c r="I893" i="14"/>
  <c r="I899" i="14"/>
  <c r="I903" i="14"/>
  <c r="I914" i="14"/>
  <c r="I925" i="14"/>
  <c r="I924" i="14" s="1"/>
  <c r="I927" i="14"/>
  <c r="I931" i="14"/>
  <c r="I936" i="14"/>
  <c r="I938" i="14"/>
  <c r="I942" i="14"/>
  <c r="I948" i="14"/>
  <c r="I953" i="14"/>
  <c r="I968" i="14"/>
  <c r="I976" i="14"/>
  <c r="I984" i="14"/>
  <c r="I991" i="14"/>
  <c r="I1006" i="14"/>
  <c r="I1012" i="14"/>
  <c r="I1022" i="14"/>
  <c r="I1026" i="14"/>
  <c r="I1031" i="14"/>
  <c r="I1035" i="14"/>
  <c r="I1036" i="14"/>
  <c r="I1039" i="14"/>
  <c r="I1044" i="14"/>
  <c r="I1049" i="14"/>
  <c r="I1053" i="14"/>
  <c r="I1057" i="14"/>
  <c r="I1061" i="14"/>
  <c r="I1076" i="14"/>
  <c r="I1078" i="14"/>
  <c r="I1081" i="14"/>
  <c r="I1084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4" i="14"/>
  <c r="H323" i="14" s="1"/>
  <c r="D70" i="3" s="1"/>
  <c r="H363" i="14"/>
  <c r="H362" i="14" s="1"/>
  <c r="H361" i="14" s="1"/>
  <c r="H370" i="14"/>
  <c r="H369" i="14" s="1"/>
  <c r="H373" i="14"/>
  <c r="H372" i="14" s="1"/>
  <c r="H381" i="14"/>
  <c r="H383" i="14"/>
  <c r="H387" i="14"/>
  <c r="H393" i="14"/>
  <c r="H399" i="14"/>
  <c r="H398" i="14" s="1"/>
  <c r="I398" i="14" s="1"/>
  <c r="H428" i="14"/>
  <c r="H419" i="14" s="1"/>
  <c r="H441" i="14"/>
  <c r="H446" i="14"/>
  <c r="H445" i="14" s="1"/>
  <c r="H449" i="14"/>
  <c r="H448" i="14" s="1"/>
  <c r="H455" i="14"/>
  <c r="H457" i="14"/>
  <c r="H459" i="14"/>
  <c r="H461" i="14"/>
  <c r="H463" i="14"/>
  <c r="H477" i="14"/>
  <c r="H476" i="14" s="1"/>
  <c r="H482" i="14"/>
  <c r="H481" i="14" s="1"/>
  <c r="H485" i="14"/>
  <c r="H484" i="14" s="1"/>
  <c r="H494" i="14"/>
  <c r="H490" i="14" s="1"/>
  <c r="H524" i="14"/>
  <c r="H526" i="14"/>
  <c r="H530" i="14"/>
  <c r="H532" i="14"/>
  <c r="H535" i="14"/>
  <c r="H538" i="14"/>
  <c r="H537" i="14" s="1"/>
  <c r="H544" i="14"/>
  <c r="H550" i="14"/>
  <c r="H552" i="14"/>
  <c r="H556" i="14"/>
  <c r="H557" i="14"/>
  <c r="H563" i="14"/>
  <c r="H565" i="14"/>
  <c r="H568" i="14"/>
  <c r="H576" i="14"/>
  <c r="H575" i="14" s="1"/>
  <c r="H581" i="14"/>
  <c r="H585" i="14"/>
  <c r="H587" i="14"/>
  <c r="H592" i="14"/>
  <c r="H595" i="14"/>
  <c r="H601" i="14"/>
  <c r="H600" i="14" s="1"/>
  <c r="H606" i="14"/>
  <c r="H612" i="14"/>
  <c r="H611" i="14" s="1"/>
  <c r="H617" i="14"/>
  <c r="H616" i="14" s="1"/>
  <c r="H621" i="14"/>
  <c r="H620" i="14" s="1"/>
  <c r="H638" i="14"/>
  <c r="H640" i="14"/>
  <c r="H642" i="14"/>
  <c r="H647" i="14"/>
  <c r="H650" i="14"/>
  <c r="H656" i="14"/>
  <c r="H655" i="14" s="1"/>
  <c r="H666" i="14"/>
  <c r="H672" i="14"/>
  <c r="H671" i="14" s="1"/>
  <c r="H670" i="14" s="1"/>
  <c r="H679" i="14"/>
  <c r="H676" i="14" s="1"/>
  <c r="H686" i="14"/>
  <c r="H685" i="14" s="1"/>
  <c r="H698" i="14"/>
  <c r="H697" i="14" s="1"/>
  <c r="H708" i="14"/>
  <c r="H707" i="14" s="1"/>
  <c r="H706" i="14" s="1"/>
  <c r="H705" i="14" s="1"/>
  <c r="H717" i="14"/>
  <c r="H720" i="14"/>
  <c r="H723" i="14"/>
  <c r="H725" i="14"/>
  <c r="H728" i="14"/>
  <c r="H730" i="14"/>
  <c r="H732" i="14"/>
  <c r="H735" i="14"/>
  <c r="H738" i="14"/>
  <c r="H741" i="14"/>
  <c r="H744" i="14"/>
  <c r="H751" i="14"/>
  <c r="H761" i="14"/>
  <c r="H758" i="14" s="1"/>
  <c r="H777" i="14"/>
  <c r="H779" i="14"/>
  <c r="H781" i="14"/>
  <c r="H783" i="14"/>
  <c r="H785" i="14"/>
  <c r="H795" i="14"/>
  <c r="H799" i="14"/>
  <c r="H798" i="14" s="1"/>
  <c r="H802" i="14"/>
  <c r="H801" i="14" s="1"/>
  <c r="H812" i="14"/>
  <c r="H815" i="14"/>
  <c r="H817" i="14"/>
  <c r="H822" i="14"/>
  <c r="H821" i="14" s="1"/>
  <c r="E51" i="16" s="1"/>
  <c r="H842" i="14"/>
  <c r="H841" i="14" s="1"/>
  <c r="H840" i="14" s="1"/>
  <c r="H849" i="14"/>
  <c r="H848" i="14" s="1"/>
  <c r="H852" i="14"/>
  <c r="H851" i="14" s="1"/>
  <c r="D26" i="3"/>
  <c r="H870" i="14"/>
  <c r="H869" i="14" s="1"/>
  <c r="H868" i="14" s="1"/>
  <c r="H874" i="14"/>
  <c r="H873" i="14" s="1"/>
  <c r="H892" i="14"/>
  <c r="H891" i="14" s="1"/>
  <c r="H890" i="14" s="1"/>
  <c r="D62" i="3" s="1"/>
  <c r="H898" i="14"/>
  <c r="H900" i="14"/>
  <c r="H902" i="14"/>
  <c r="H913" i="14"/>
  <c r="H912" i="14" s="1"/>
  <c r="H908" i="14" s="1"/>
  <c r="H922" i="14"/>
  <c r="H924" i="14"/>
  <c r="H926" i="14"/>
  <c r="H930" i="14"/>
  <c r="H935" i="14"/>
  <c r="H937" i="14"/>
  <c r="H941" i="14"/>
  <c r="H947" i="14"/>
  <c r="H946" i="14" s="1"/>
  <c r="H945" i="14" s="1"/>
  <c r="H952" i="14"/>
  <c r="H967" i="14"/>
  <c r="H969" i="14"/>
  <c r="H971" i="14"/>
  <c r="H975" i="14"/>
  <c r="H983" i="14"/>
  <c r="H988" i="14"/>
  <c r="H990" i="14"/>
  <c r="H1005" i="14"/>
  <c r="H1004" i="14" s="1"/>
  <c r="H1011" i="14"/>
  <c r="H1010" i="14" s="1"/>
  <c r="H1015" i="14"/>
  <c r="H1014" i="14" s="1"/>
  <c r="H1013" i="14" s="1"/>
  <c r="H1021" i="14"/>
  <c r="H1020" i="14" s="1"/>
  <c r="H1019" i="14" s="1"/>
  <c r="H1025" i="14"/>
  <c r="H1024" i="14" s="1"/>
  <c r="H1023" i="14" s="1"/>
  <c r="H1029" i="14"/>
  <c r="H1033" i="14"/>
  <c r="H1037" i="14"/>
  <c r="H1043" i="14"/>
  <c r="H1042" i="14" s="1"/>
  <c r="H1041" i="14" s="1"/>
  <c r="H1040" i="14" s="1"/>
  <c r="H1048" i="14"/>
  <c r="H1047" i="14" s="1"/>
  <c r="H1046" i="14" s="1"/>
  <c r="H1045" i="14" s="1"/>
  <c r="H1052" i="14"/>
  <c r="H1051" i="14" s="1"/>
  <c r="H1050" i="14" s="1"/>
  <c r="H1056" i="14"/>
  <c r="H1055" i="14" s="1"/>
  <c r="H1054" i="14" s="1"/>
  <c r="H1060" i="14"/>
  <c r="H1059" i="14" s="1"/>
  <c r="H1058" i="14" s="1"/>
  <c r="D111" i="3"/>
  <c r="D54" i="3"/>
  <c r="E78" i="16"/>
  <c r="H1080" i="14"/>
  <c r="H1082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25" i="2" s="1"/>
  <c r="O30" i="2"/>
  <c r="O32" i="2"/>
  <c r="O33" i="2"/>
  <c r="O35" i="2"/>
  <c r="O37" i="2"/>
  <c r="O38" i="2"/>
  <c r="O40" i="2"/>
  <c r="O41" i="2"/>
  <c r="O42" i="2"/>
  <c r="O43" i="2"/>
  <c r="O47" i="2"/>
  <c r="O49" i="2"/>
  <c r="O48" i="2" s="1"/>
  <c r="O91" i="2"/>
  <c r="O89" i="2"/>
  <c r="O65" i="2"/>
  <c r="O66" i="2"/>
  <c r="O73" i="2"/>
  <c r="O74" i="2"/>
  <c r="O75" i="2"/>
  <c r="O59" i="2"/>
  <c r="O77" i="2"/>
  <c r="O78" i="2"/>
  <c r="O79" i="2"/>
  <c r="O80" i="2"/>
  <c r="O93" i="2"/>
  <c r="O97" i="2"/>
  <c r="O99" i="2"/>
  <c r="O106" i="2"/>
  <c r="O102" i="2" s="1"/>
  <c r="O13" i="2"/>
  <c r="L15" i="2"/>
  <c r="L23" i="2"/>
  <c r="O29" i="2"/>
  <c r="L33" i="2"/>
  <c r="L43" i="2"/>
  <c r="L49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61" i="1"/>
  <c r="L103" i="1"/>
  <c r="L101" i="1"/>
  <c r="L104" i="1"/>
  <c r="L78" i="1"/>
  <c r="L80" i="1"/>
  <c r="L72" i="1"/>
  <c r="L73" i="1"/>
  <c r="L89" i="1"/>
  <c r="L90" i="1"/>
  <c r="L91" i="1"/>
  <c r="L92" i="1"/>
  <c r="L82" i="1"/>
  <c r="L84" i="1"/>
  <c r="L85" i="1"/>
  <c r="L86" i="1"/>
  <c r="L77" i="1"/>
  <c r="L79" i="1"/>
  <c r="L76" i="1"/>
  <c r="L83" i="1"/>
  <c r="L75" i="1"/>
  <c r="L93" i="1"/>
  <c r="L81" i="1"/>
  <c r="L74" i="1"/>
  <c r="L88" i="1"/>
  <c r="L87" i="1"/>
  <c r="L105" i="1"/>
  <c r="L111" i="1"/>
  <c r="L109" i="1"/>
  <c r="L110" i="1"/>
  <c r="L100" i="1"/>
  <c r="L120" i="1"/>
  <c r="L121" i="1"/>
  <c r="L123" i="1"/>
  <c r="L125" i="1"/>
  <c r="L126" i="1"/>
  <c r="L127" i="1"/>
  <c r="L128" i="1"/>
  <c r="L132" i="1"/>
  <c r="L133" i="1"/>
  <c r="L134" i="1"/>
  <c r="L135" i="1"/>
  <c r="L136" i="1"/>
  <c r="L137" i="1"/>
  <c r="L142" i="1"/>
  <c r="L145" i="1"/>
  <c r="L148" i="1"/>
  <c r="K12" i="1"/>
  <c r="K14" i="1"/>
  <c r="K16" i="1"/>
  <c r="K20" i="1"/>
  <c r="K25" i="1"/>
  <c r="K31" i="1"/>
  <c r="K34" i="1"/>
  <c r="K36" i="1"/>
  <c r="I1016" i="14"/>
  <c r="I970" i="14"/>
  <c r="K298" i="15" l="1"/>
  <c r="L48" i="2"/>
  <c r="L45" i="2" s="1"/>
  <c r="O57" i="2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K11" i="2"/>
  <c r="N11" i="2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966" i="14"/>
  <c r="H454" i="14"/>
  <c r="H453" i="14" s="1"/>
  <c r="H921" i="14"/>
  <c r="H987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40" i="14"/>
  <c r="H939" i="14" s="1"/>
  <c r="E43" i="16"/>
  <c r="H665" i="14"/>
  <c r="H664" i="14" s="1"/>
  <c r="H543" i="14"/>
  <c r="H542" i="14" s="1"/>
  <c r="H1003" i="14"/>
  <c r="H1002" i="14" s="1"/>
  <c r="H907" i="14"/>
  <c r="H567" i="14"/>
  <c r="E33" i="16" s="1"/>
  <c r="K554" i="15"/>
  <c r="H20" i="21" s="1"/>
  <c r="K561" i="15"/>
  <c r="H21" i="21" s="1"/>
  <c r="H523" i="14"/>
  <c r="H776" i="14"/>
  <c r="H716" i="14"/>
  <c r="H950" i="14"/>
  <c r="H949" i="14" s="1"/>
  <c r="H951" i="14"/>
  <c r="E56" i="16" s="1"/>
  <c r="H375" i="14"/>
  <c r="H489" i="14"/>
  <c r="D10" i="6"/>
  <c r="G10" i="6"/>
  <c r="H397" i="14"/>
  <c r="D60" i="3" s="1"/>
  <c r="H392" i="14"/>
  <c r="H391" i="14" s="1"/>
  <c r="H218" i="14"/>
  <c r="H217" i="14" s="1"/>
  <c r="H216" i="14" s="1"/>
  <c r="N44" i="2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8" i="16"/>
  <c r="E160" i="16"/>
  <c r="E159" i="16" s="1"/>
  <c r="H604" i="14"/>
  <c r="H603" i="14" s="1"/>
  <c r="H605" i="14"/>
  <c r="E55" i="16" s="1"/>
  <c r="H53" i="14"/>
  <c r="E115" i="16" s="1"/>
  <c r="H872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379" i="15"/>
  <c r="K378" i="15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49" i="14"/>
  <c r="H562" i="14"/>
  <c r="H15" i="14"/>
  <c r="H934" i="14"/>
  <c r="E13" i="16" s="1"/>
  <c r="D64" i="3"/>
  <c r="H1028" i="14"/>
  <c r="H847" i="14"/>
  <c r="H839" i="14" s="1"/>
  <c r="H480" i="14"/>
  <c r="H479" i="14" s="1"/>
  <c r="H897" i="14"/>
  <c r="H896" i="14" s="1"/>
  <c r="H895" i="14" s="1"/>
  <c r="E147" i="16"/>
  <c r="H811" i="14"/>
  <c r="H810" i="14" s="1"/>
  <c r="H809" i="14" s="1"/>
  <c r="H808" i="14" s="1"/>
  <c r="H675" i="14"/>
  <c r="H674" i="14" s="1"/>
  <c r="H1074" i="14"/>
  <c r="H1073" i="14" s="1"/>
  <c r="H1072" i="14" s="1"/>
  <c r="H440" i="14"/>
  <c r="H580" i="14"/>
  <c r="H696" i="14"/>
  <c r="H695" i="14"/>
  <c r="H694" i="14" s="1"/>
  <c r="H368" i="14"/>
  <c r="H637" i="14"/>
  <c r="H631" i="14" s="1"/>
  <c r="D109" i="3"/>
  <c r="E86" i="3"/>
  <c r="D33" i="3"/>
  <c r="D65" i="3"/>
  <c r="E33" i="3"/>
  <c r="D115" i="3"/>
  <c r="D114" i="3" s="1"/>
  <c r="H704" i="14"/>
  <c r="D98" i="3" s="1"/>
  <c r="H599" i="14"/>
  <c r="E40" i="16" s="1"/>
  <c r="H475" i="14"/>
  <c r="D86" i="3"/>
  <c r="D23" i="3"/>
  <c r="G15" i="6"/>
  <c r="D10" i="5"/>
  <c r="D15" i="5"/>
  <c r="E86" i="4"/>
  <c r="E33" i="4"/>
  <c r="K24" i="1"/>
  <c r="K11" i="1" s="1"/>
  <c r="I923" i="14"/>
  <c r="I937" i="14"/>
  <c r="A937" i="14"/>
  <c r="A934" i="14"/>
  <c r="A935" i="14"/>
  <c r="A936" i="14"/>
  <c r="A938" i="14"/>
  <c r="B13" i="21"/>
  <c r="E13" i="21"/>
  <c r="B13" i="16"/>
  <c r="B46" i="21"/>
  <c r="B51" i="16"/>
  <c r="L484" i="15"/>
  <c r="I484" i="15"/>
  <c r="A486" i="15"/>
  <c r="A487" i="15"/>
  <c r="A488" i="15"/>
  <c r="I819" i="14"/>
  <c r="A821" i="14"/>
  <c r="A822" i="14"/>
  <c r="A823" i="14"/>
  <c r="A990" i="14"/>
  <c r="A991" i="14"/>
  <c r="I990" i="14"/>
  <c r="I972" i="14"/>
  <c r="B146" i="16"/>
  <c r="A325" i="14"/>
  <c r="H45" i="21" l="1"/>
  <c r="K395" i="15"/>
  <c r="K394" i="15" s="1"/>
  <c r="K393" i="15" s="1"/>
  <c r="H33" i="14"/>
  <c r="K166" i="1"/>
  <c r="L166" i="1" s="1"/>
  <c r="H487" i="14"/>
  <c r="H488" i="14"/>
  <c r="I345" i="14"/>
  <c r="I344" i="14" s="1"/>
  <c r="I343" i="14" s="1"/>
  <c r="F45" i="16"/>
  <c r="K31" i="15"/>
  <c r="K10" i="15" s="1"/>
  <c r="H160" i="21"/>
  <c r="H832" i="14"/>
  <c r="N136" i="2"/>
  <c r="G19" i="6" s="1"/>
  <c r="H10" i="15"/>
  <c r="D11" i="4"/>
  <c r="E160" i="21"/>
  <c r="H346" i="15"/>
  <c r="H345" i="15" s="1"/>
  <c r="D100" i="4" s="1"/>
  <c r="D97" i="3"/>
  <c r="I216" i="14"/>
  <c r="O45" i="2"/>
  <c r="E15" i="16"/>
  <c r="E57" i="16"/>
  <c r="H663" i="14"/>
  <c r="H662" i="14" s="1"/>
  <c r="D105" i="3" s="1"/>
  <c r="D103" i="3" s="1"/>
  <c r="K553" i="15"/>
  <c r="K548" i="15" s="1"/>
  <c r="K547" i="15" s="1"/>
  <c r="E14" i="16"/>
  <c r="H548" i="15"/>
  <c r="H547" i="15" s="1"/>
  <c r="D82" i="4" s="1"/>
  <c r="H775" i="14"/>
  <c r="H774" i="14" s="1"/>
  <c r="H773" i="14" s="1"/>
  <c r="E52" i="16"/>
  <c r="E96" i="16"/>
  <c r="H489" i="15"/>
  <c r="D102" i="3"/>
  <c r="H715" i="14"/>
  <c r="H714" i="14" s="1"/>
  <c r="H713" i="14" s="1"/>
  <c r="E32" i="16"/>
  <c r="H555" i="14"/>
  <c r="H554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K377" i="15"/>
  <c r="G97" i="4" s="1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17" i="14"/>
  <c r="E29" i="16"/>
  <c r="E178" i="16"/>
  <c r="E105" i="16"/>
  <c r="E176" i="16"/>
  <c r="E21" i="16"/>
  <c r="H135" i="14"/>
  <c r="H134" i="14" s="1"/>
  <c r="E99" i="16"/>
  <c r="H630" i="14"/>
  <c r="H629" i="14" s="1"/>
  <c r="E34" i="16"/>
  <c r="H439" i="14"/>
  <c r="E54" i="16"/>
  <c r="H522" i="14"/>
  <c r="H521" i="14" s="1"/>
  <c r="H515" i="14" s="1"/>
  <c r="E35" i="16"/>
  <c r="H1027" i="14"/>
  <c r="H1018" i="14" s="1"/>
  <c r="H1017" i="14" s="1"/>
  <c r="D85" i="3" s="1"/>
  <c r="E23" i="16"/>
  <c r="H548" i="14"/>
  <c r="E18" i="16"/>
  <c r="E145" i="16"/>
  <c r="E42" i="16"/>
  <c r="E20" i="16"/>
  <c r="E120" i="16"/>
  <c r="H452" i="14"/>
  <c r="H451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18" i="14"/>
  <c r="H965" i="14"/>
  <c r="H894" i="14"/>
  <c r="H920" i="14"/>
  <c r="I935" i="14"/>
  <c r="I822" i="14"/>
  <c r="H360" i="14"/>
  <c r="H359" i="14" s="1"/>
  <c r="K44" i="2"/>
  <c r="K136" i="2" s="1"/>
  <c r="D19" i="6" s="1"/>
  <c r="D21" i="5"/>
  <c r="I575" i="15"/>
  <c r="I574" i="15" s="1"/>
  <c r="L571" i="15"/>
  <c r="L570" i="15" s="1"/>
  <c r="I571" i="15"/>
  <c r="I570" i="15" s="1"/>
  <c r="A611" i="14"/>
  <c r="A612" i="14"/>
  <c r="A613" i="14"/>
  <c r="A614" i="14"/>
  <c r="A1019" i="14"/>
  <c r="A1020" i="14"/>
  <c r="A1021" i="14"/>
  <c r="A1022" i="14"/>
  <c r="A908" i="14"/>
  <c r="A907" i="14"/>
  <c r="A912" i="14"/>
  <c r="A913" i="14"/>
  <c r="A914" i="14"/>
  <c r="A1010" i="14"/>
  <c r="A1011" i="14"/>
  <c r="A1012" i="14"/>
  <c r="A1050" i="14"/>
  <c r="A1051" i="14"/>
  <c r="A1052" i="14"/>
  <c r="A1053" i="14"/>
  <c r="A1054" i="14"/>
  <c r="A1055" i="14"/>
  <c r="A1056" i="14"/>
  <c r="A1057" i="14"/>
  <c r="I1034" i="14"/>
  <c r="I1038" i="14"/>
  <c r="I1032" i="14"/>
  <c r="I1030" i="14"/>
  <c r="I989" i="14"/>
  <c r="I971" i="14"/>
  <c r="I901" i="14"/>
  <c r="I672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58" i="14"/>
  <c r="A655" i="14"/>
  <c r="I653" i="14"/>
  <c r="I649" i="14"/>
  <c r="E137" i="21"/>
  <c r="E135" i="21"/>
  <c r="E133" i="21"/>
  <c r="E138" i="21"/>
  <c r="E139" i="21"/>
  <c r="I336" i="15"/>
  <c r="A331" i="15"/>
  <c r="A332" i="15"/>
  <c r="I596" i="14"/>
  <c r="I593" i="14"/>
  <c r="I591" i="14"/>
  <c r="I588" i="14"/>
  <c r="I582" i="14"/>
  <c r="A575" i="14"/>
  <c r="I535" i="14"/>
  <c r="A535" i="14"/>
  <c r="A536" i="14"/>
  <c r="A537" i="14"/>
  <c r="A306" i="15"/>
  <c r="A307" i="15"/>
  <c r="L306" i="15"/>
  <c r="I306" i="15"/>
  <c r="A308" i="15"/>
  <c r="A276" i="15"/>
  <c r="A277" i="15"/>
  <c r="A278" i="15"/>
  <c r="A279" i="15"/>
  <c r="A283" i="15"/>
  <c r="A286" i="15"/>
  <c r="A488" i="14"/>
  <c r="A487" i="14"/>
  <c r="A489" i="14"/>
  <c r="A490" i="14"/>
  <c r="A494" i="14"/>
  <c r="A495" i="14"/>
  <c r="A445" i="14"/>
  <c r="A446" i="14"/>
  <c r="A447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G73" i="4" l="1"/>
  <c r="K243" i="15"/>
  <c r="G22" i="4"/>
  <c r="D78" i="4"/>
  <c r="I537" i="15"/>
  <c r="H133" i="14"/>
  <c r="H10" i="14" s="1"/>
  <c r="H693" i="14"/>
  <c r="H243" i="15"/>
  <c r="I679" i="14"/>
  <c r="I676" i="14" s="1"/>
  <c r="D81" i="4"/>
  <c r="H522" i="15"/>
  <c r="K522" i="15"/>
  <c r="G82" i="4"/>
  <c r="G81" i="4" s="1"/>
  <c r="H955" i="14"/>
  <c r="H954" i="14" s="1"/>
  <c r="D82" i="3" s="1"/>
  <c r="D81" i="3" s="1"/>
  <c r="D74" i="3"/>
  <c r="G78" i="4"/>
  <c r="G99" i="4"/>
  <c r="G96" i="4" s="1"/>
  <c r="D80" i="4"/>
  <c r="G80" i="4"/>
  <c r="D100" i="3"/>
  <c r="D9" i="4"/>
  <c r="H416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19" i="14"/>
  <c r="H918" i="14" s="1"/>
  <c r="E11" i="16"/>
  <c r="E98" i="16"/>
  <c r="E19" i="16"/>
  <c r="E17" i="16"/>
  <c r="H541" i="14"/>
  <c r="D52" i="3"/>
  <c r="E144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55" i="14"/>
  <c r="I656" i="14"/>
  <c r="I67" i="14"/>
  <c r="I445" i="14"/>
  <c r="I446" i="14"/>
  <c r="I913" i="14"/>
  <c r="D13" i="16"/>
  <c r="I934" i="14"/>
  <c r="F13" i="16" s="1"/>
  <c r="I494" i="14"/>
  <c r="I490" i="14" s="1"/>
  <c r="I489" i="14" s="1"/>
  <c r="I1056" i="14"/>
  <c r="I1021" i="14"/>
  <c r="I1052" i="14"/>
  <c r="I1011" i="14"/>
  <c r="D51" i="16"/>
  <c r="I821" i="14"/>
  <c r="F51" i="16" s="1"/>
  <c r="E39" i="21"/>
  <c r="E38" i="21"/>
  <c r="A77" i="14"/>
  <c r="A74" i="14"/>
  <c r="A75" i="14"/>
  <c r="A76" i="14"/>
  <c r="A93" i="14"/>
  <c r="A518" i="15"/>
  <c r="A519" i="15"/>
  <c r="L518" i="15"/>
  <c r="D71" i="4" l="1"/>
  <c r="D121" i="4" s="1"/>
  <c r="I133" i="14"/>
  <c r="I487" i="14"/>
  <c r="I488" i="14"/>
  <c r="H876" i="14"/>
  <c r="D72" i="3"/>
  <c r="H597" i="15"/>
  <c r="H599" i="15" s="1"/>
  <c r="I518" i="15"/>
  <c r="I1010" i="14"/>
  <c r="E10" i="16"/>
  <c r="D78" i="3"/>
  <c r="E46" i="16"/>
  <c r="K376" i="15"/>
  <c r="H540" i="14"/>
  <c r="H409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11" i="14"/>
  <c r="I612" i="14"/>
  <c r="I1054" i="14"/>
  <c r="I1055" i="14"/>
  <c r="I912" i="14"/>
  <c r="I908" i="14" s="1"/>
  <c r="I1019" i="14"/>
  <c r="I1020" i="14"/>
  <c r="F149" i="16"/>
  <c r="I65" i="14"/>
  <c r="I66" i="14"/>
  <c r="I1050" i="14"/>
  <c r="I1051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40" i="14"/>
  <c r="A841" i="14"/>
  <c r="A842" i="14"/>
  <c r="A843" i="14"/>
  <c r="D123" i="4" l="1"/>
  <c r="D20" i="6"/>
  <c r="H159" i="21"/>
  <c r="H162" i="21" s="1"/>
  <c r="E175" i="16"/>
  <c r="E179" i="16" s="1"/>
  <c r="K597" i="15"/>
  <c r="H1089" i="14"/>
  <c r="I17" i="14"/>
  <c r="D38" i="21"/>
  <c r="I74" i="14"/>
  <c r="D160" i="16"/>
  <c r="D159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42" i="14"/>
  <c r="I907" i="14"/>
  <c r="F147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49" i="16"/>
  <c r="D148" i="16"/>
  <c r="D46" i="3" l="1"/>
  <c r="D121" i="3" s="1"/>
  <c r="D122" i="3" s="1"/>
  <c r="F148" i="16"/>
  <c r="F160" i="16"/>
  <c r="F159" i="16" s="1"/>
  <c r="F38" i="21"/>
  <c r="I38" i="21"/>
  <c r="K599" i="15"/>
  <c r="L368" i="15"/>
  <c r="H105" i="4" s="1"/>
  <c r="H103" i="4" s="1"/>
  <c r="L277" i="15"/>
  <c r="I276" i="15"/>
  <c r="I277" i="15"/>
  <c r="I841" i="14"/>
  <c r="B148" i="16"/>
  <c r="B149" i="16"/>
  <c r="D147" i="16"/>
  <c r="B147" i="16"/>
  <c r="A387" i="14"/>
  <c r="I387" i="14"/>
  <c r="A388" i="14"/>
  <c r="I377" i="14"/>
  <c r="I378" i="14"/>
  <c r="I382" i="14"/>
  <c r="A361" i="14"/>
  <c r="A362" i="14"/>
  <c r="A363" i="14"/>
  <c r="A364" i="14"/>
  <c r="B55" i="16"/>
  <c r="I1077" i="14"/>
  <c r="E17" i="6"/>
  <c r="E19" i="5"/>
  <c r="D22" i="5" l="1"/>
  <c r="D20" i="5" s="1"/>
  <c r="D26" i="5" s="1"/>
  <c r="I840" i="14"/>
  <c r="L276" i="15"/>
  <c r="I363" i="14"/>
  <c r="A451" i="15"/>
  <c r="A452" i="15"/>
  <c r="L451" i="15" l="1"/>
  <c r="I361" i="14"/>
  <c r="I362" i="14"/>
  <c r="L455" i="15"/>
  <c r="A455" i="15"/>
  <c r="A456" i="15"/>
  <c r="A440" i="15"/>
  <c r="A441" i="15"/>
  <c r="A442" i="15"/>
  <c r="L440" i="15"/>
  <c r="I440" i="15"/>
  <c r="B145" i="16"/>
  <c r="B144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5" i="16" l="1"/>
  <c r="D145" i="16"/>
  <c r="A508" i="15"/>
  <c r="A509" i="15"/>
  <c r="A510" i="15"/>
  <c r="A511" i="15"/>
  <c r="I1083" i="14"/>
  <c r="I812" i="14"/>
  <c r="A815" i="14"/>
  <c r="A816" i="14"/>
  <c r="I815" i="14"/>
  <c r="A795" i="14"/>
  <c r="A796" i="14"/>
  <c r="A797" i="14"/>
  <c r="A761" i="14"/>
  <c r="A762" i="14"/>
  <c r="A763" i="14"/>
  <c r="A783" i="14"/>
  <c r="A784" i="14"/>
  <c r="I783" i="14"/>
  <c r="I781" i="14"/>
  <c r="A781" i="14"/>
  <c r="A782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84" i="14"/>
  <c r="A1083" i="14"/>
  <c r="I1082" i="14"/>
  <c r="A1082" i="14"/>
  <c r="A1081" i="14"/>
  <c r="A1080" i="14"/>
  <c r="A1078" i="14"/>
  <c r="A1077" i="14"/>
  <c r="A1076" i="14"/>
  <c r="I1075" i="14"/>
  <c r="A1075" i="14"/>
  <c r="A1074" i="14"/>
  <c r="A1073" i="14"/>
  <c r="A1072" i="14"/>
  <c r="F68" i="16"/>
  <c r="A1061" i="14"/>
  <c r="A1060" i="14"/>
  <c r="A1059" i="14"/>
  <c r="A1058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I1037" i="14"/>
  <c r="A1037" i="14"/>
  <c r="A1036" i="14"/>
  <c r="A1035" i="14"/>
  <c r="A1034" i="14"/>
  <c r="I1033" i="14"/>
  <c r="A1033" i="14"/>
  <c r="A1032" i="14"/>
  <c r="A1031" i="14"/>
  <c r="A1030" i="14"/>
  <c r="I1029" i="14"/>
  <c r="A1029" i="14"/>
  <c r="A1028" i="14"/>
  <c r="A1027" i="14"/>
  <c r="A1026" i="14"/>
  <c r="A1025" i="14"/>
  <c r="A1024" i="14"/>
  <c r="A1023" i="14"/>
  <c r="A1018" i="14"/>
  <c r="A1017" i="14"/>
  <c r="A1016" i="14"/>
  <c r="A1015" i="14"/>
  <c r="A1014" i="14"/>
  <c r="A1013" i="14"/>
  <c r="A1006" i="14"/>
  <c r="A1005" i="14"/>
  <c r="A1004" i="14"/>
  <c r="A1003" i="14"/>
  <c r="A1002" i="14"/>
  <c r="A989" i="14"/>
  <c r="A988" i="14"/>
  <c r="A987" i="14"/>
  <c r="A984" i="14"/>
  <c r="I983" i="14"/>
  <c r="A983" i="14"/>
  <c r="A976" i="14"/>
  <c r="I975" i="14"/>
  <c r="A975" i="14"/>
  <c r="A972" i="14"/>
  <c r="A971" i="14"/>
  <c r="A970" i="14"/>
  <c r="A969" i="14"/>
  <c r="A968" i="14"/>
  <c r="I967" i="14"/>
  <c r="A967" i="14"/>
  <c r="A966" i="14"/>
  <c r="A965" i="14"/>
  <c r="A955" i="14"/>
  <c r="A954" i="14"/>
  <c r="A953" i="14"/>
  <c r="D56" i="16"/>
  <c r="A952" i="14"/>
  <c r="A950" i="14"/>
  <c r="A949" i="14"/>
  <c r="A948" i="14"/>
  <c r="A947" i="14"/>
  <c r="A946" i="14"/>
  <c r="A945" i="14"/>
  <c r="A942" i="14"/>
  <c r="A941" i="14"/>
  <c r="A940" i="14"/>
  <c r="A939" i="14"/>
  <c r="A931" i="14"/>
  <c r="I930" i="14"/>
  <c r="A930" i="14"/>
  <c r="A927" i="14"/>
  <c r="I926" i="14"/>
  <c r="A926" i="14"/>
  <c r="A925" i="14"/>
  <c r="A924" i="14"/>
  <c r="A923" i="14"/>
  <c r="A922" i="14"/>
  <c r="A921" i="14"/>
  <c r="A920" i="14"/>
  <c r="A919" i="14"/>
  <c r="A918" i="14"/>
  <c r="A903" i="14"/>
  <c r="I902" i="14"/>
  <c r="A902" i="14"/>
  <c r="A901" i="14"/>
  <c r="I900" i="14"/>
  <c r="A900" i="14"/>
  <c r="A899" i="14"/>
  <c r="I898" i="14"/>
  <c r="A898" i="14"/>
  <c r="A897" i="14"/>
  <c r="A896" i="14"/>
  <c r="A895" i="14"/>
  <c r="A894" i="14"/>
  <c r="A893" i="14"/>
  <c r="I892" i="14"/>
  <c r="A892" i="14"/>
  <c r="A891" i="14"/>
  <c r="A890" i="14"/>
  <c r="A876" i="14"/>
  <c r="A875" i="14"/>
  <c r="A874" i="14"/>
  <c r="A873" i="14"/>
  <c r="A872" i="14"/>
  <c r="A871" i="14"/>
  <c r="A870" i="14"/>
  <c r="A869" i="14"/>
  <c r="A868" i="14"/>
  <c r="A853" i="14"/>
  <c r="A852" i="14"/>
  <c r="A851" i="14"/>
  <c r="A850" i="14"/>
  <c r="A849" i="14"/>
  <c r="A848" i="14"/>
  <c r="A847" i="14"/>
  <c r="A839" i="14"/>
  <c r="A833" i="14"/>
  <c r="A832" i="14"/>
  <c r="A820" i="14"/>
  <c r="A819" i="14"/>
  <c r="A818" i="14"/>
  <c r="A817" i="14"/>
  <c r="A814" i="14"/>
  <c r="A813" i="14"/>
  <c r="A812" i="14"/>
  <c r="A811" i="14"/>
  <c r="A810" i="14"/>
  <c r="A809" i="14"/>
  <c r="A808" i="14"/>
  <c r="A803" i="14"/>
  <c r="A800" i="14"/>
  <c r="A799" i="14"/>
  <c r="A798" i="14"/>
  <c r="A787" i="14"/>
  <c r="A786" i="14"/>
  <c r="A785" i="14"/>
  <c r="A780" i="14"/>
  <c r="A779" i="14"/>
  <c r="A778" i="14"/>
  <c r="I777" i="14"/>
  <c r="A777" i="14"/>
  <c r="A776" i="14"/>
  <c r="A775" i="14"/>
  <c r="A774" i="14"/>
  <c r="A773" i="14"/>
  <c r="A758" i="14"/>
  <c r="A752" i="14"/>
  <c r="I751" i="14"/>
  <c r="I744" i="14"/>
  <c r="A743" i="14"/>
  <c r="A742" i="14"/>
  <c r="I741" i="14"/>
  <c r="A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I730" i="14"/>
  <c r="A730" i="14"/>
  <c r="A729" i="14"/>
  <c r="I728" i="14"/>
  <c r="A728" i="14"/>
  <c r="A727" i="14"/>
  <c r="A726" i="14"/>
  <c r="I725" i="14"/>
  <c r="A725" i="14"/>
  <c r="A724" i="14"/>
  <c r="I723" i="14"/>
  <c r="A723" i="14"/>
  <c r="A722" i="14"/>
  <c r="A721" i="14"/>
  <c r="I720" i="14"/>
  <c r="A720" i="14"/>
  <c r="A719" i="14"/>
  <c r="A718" i="14"/>
  <c r="A717" i="14"/>
  <c r="A716" i="14"/>
  <c r="A715" i="14"/>
  <c r="A714" i="14"/>
  <c r="A713" i="14"/>
  <c r="A709" i="14"/>
  <c r="A708" i="14"/>
  <c r="A707" i="14"/>
  <c r="A706" i="14"/>
  <c r="A705" i="14"/>
  <c r="A704" i="14"/>
  <c r="A700" i="14"/>
  <c r="A699" i="14"/>
  <c r="A698" i="14"/>
  <c r="A697" i="14"/>
  <c r="A696" i="14"/>
  <c r="A695" i="14"/>
  <c r="A694" i="14"/>
  <c r="A693" i="14"/>
  <c r="A687" i="14"/>
  <c r="A686" i="14"/>
  <c r="A685" i="14"/>
  <c r="A680" i="14"/>
  <c r="A679" i="14"/>
  <c r="A676" i="14"/>
  <c r="A675" i="14"/>
  <c r="A674" i="14"/>
  <c r="A673" i="14"/>
  <c r="A672" i="14"/>
  <c r="A671" i="14"/>
  <c r="A670" i="14"/>
  <c r="A667" i="14"/>
  <c r="A666" i="14"/>
  <c r="A665" i="14"/>
  <c r="A664" i="14"/>
  <c r="A663" i="14"/>
  <c r="A662" i="14"/>
  <c r="A657" i="14"/>
  <c r="A656" i="14"/>
  <c r="A654" i="14"/>
  <c r="A653" i="14"/>
  <c r="A652" i="14"/>
  <c r="A651" i="14"/>
  <c r="I650" i="14"/>
  <c r="A650" i="14"/>
  <c r="A649" i="14"/>
  <c r="A648" i="14"/>
  <c r="I647" i="14"/>
  <c r="A647" i="14"/>
  <c r="A646" i="14"/>
  <c r="A644" i="14"/>
  <c r="A643" i="14"/>
  <c r="I642" i="14"/>
  <c r="A642" i="14"/>
  <c r="A641" i="14"/>
  <c r="I640" i="14"/>
  <c r="A640" i="14"/>
  <c r="A639" i="14"/>
  <c r="I638" i="14"/>
  <c r="A638" i="14"/>
  <c r="A637" i="14"/>
  <c r="A631" i="14"/>
  <c r="A630" i="14"/>
  <c r="A629" i="14"/>
  <c r="A622" i="14"/>
  <c r="A621" i="14"/>
  <c r="A620" i="14"/>
  <c r="A618" i="14"/>
  <c r="A617" i="14"/>
  <c r="A616" i="14"/>
  <c r="A607" i="14"/>
  <c r="A606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I592" i="14"/>
  <c r="A592" i="14"/>
  <c r="A591" i="14"/>
  <c r="A590" i="14"/>
  <c r="A589" i="14"/>
  <c r="A588" i="14"/>
  <c r="I587" i="14"/>
  <c r="A587" i="14"/>
  <c r="A586" i="14"/>
  <c r="I585" i="14"/>
  <c r="A585" i="14"/>
  <c r="A584" i="14"/>
  <c r="A583" i="14"/>
  <c r="A582" i="14"/>
  <c r="I581" i="14"/>
  <c r="A581" i="14"/>
  <c r="A580" i="14"/>
  <c r="A579" i="14"/>
  <c r="A578" i="14"/>
  <c r="A577" i="14"/>
  <c r="A576" i="14"/>
  <c r="A570" i="14"/>
  <c r="A569" i="14"/>
  <c r="A568" i="14"/>
  <c r="A567" i="14"/>
  <c r="A566" i="14"/>
  <c r="I565" i="14"/>
  <c r="A565" i="14"/>
  <c r="A564" i="14"/>
  <c r="I563" i="14"/>
  <c r="A563" i="14"/>
  <c r="A562" i="14"/>
  <c r="A561" i="14"/>
  <c r="A560" i="14"/>
  <c r="A559" i="14"/>
  <c r="A558" i="14"/>
  <c r="I557" i="14"/>
  <c r="A557" i="14"/>
  <c r="I556" i="14"/>
  <c r="F31" i="16" s="1"/>
  <c r="A556" i="14"/>
  <c r="A555" i="14"/>
  <c r="A554" i="14"/>
  <c r="A553" i="14"/>
  <c r="I552" i="14"/>
  <c r="A552" i="14"/>
  <c r="A551" i="14"/>
  <c r="I550" i="14"/>
  <c r="A550" i="14"/>
  <c r="A549" i="14"/>
  <c r="A548" i="14"/>
  <c r="A545" i="14"/>
  <c r="A544" i="14"/>
  <c r="A543" i="14"/>
  <c r="A542" i="14"/>
  <c r="A541" i="14"/>
  <c r="A540" i="14"/>
  <c r="A539" i="14"/>
  <c r="A538" i="14"/>
  <c r="A534" i="14"/>
  <c r="A533" i="14"/>
  <c r="I532" i="14"/>
  <c r="A532" i="14"/>
  <c r="A531" i="14"/>
  <c r="I530" i="14"/>
  <c r="A530" i="14"/>
  <c r="I526" i="14"/>
  <c r="A525" i="14"/>
  <c r="A524" i="14"/>
  <c r="A523" i="14"/>
  <c r="A522" i="14"/>
  <c r="A521" i="14"/>
  <c r="A515" i="14"/>
  <c r="A486" i="14"/>
  <c r="A485" i="14"/>
  <c r="A484" i="14"/>
  <c r="A483" i="14"/>
  <c r="I482" i="14"/>
  <c r="A482" i="14"/>
  <c r="A481" i="14"/>
  <c r="A480" i="14"/>
  <c r="A479" i="14"/>
  <c r="A478" i="14"/>
  <c r="A477" i="14"/>
  <c r="A476" i="14"/>
  <c r="A475" i="14"/>
  <c r="A464" i="14"/>
  <c r="I463" i="14"/>
  <c r="A463" i="14"/>
  <c r="A462" i="14"/>
  <c r="I461" i="14"/>
  <c r="A461" i="14"/>
  <c r="A460" i="14"/>
  <c r="I459" i="14"/>
  <c r="A459" i="14"/>
  <c r="A458" i="14"/>
  <c r="I457" i="14"/>
  <c r="A457" i="14"/>
  <c r="A456" i="14"/>
  <c r="I455" i="14"/>
  <c r="A455" i="14"/>
  <c r="A454" i="14"/>
  <c r="A453" i="14"/>
  <c r="A452" i="14"/>
  <c r="A451" i="14"/>
  <c r="A450" i="14"/>
  <c r="A449" i="14"/>
  <c r="A448" i="14"/>
  <c r="A443" i="14"/>
  <c r="A442" i="14"/>
  <c r="A441" i="14"/>
  <c r="A440" i="14"/>
  <c r="A439" i="14"/>
  <c r="A433" i="14"/>
  <c r="I432" i="14"/>
  <c r="A432" i="14"/>
  <c r="A429" i="14"/>
  <c r="I428" i="14"/>
  <c r="A428" i="14"/>
  <c r="A421" i="14"/>
  <c r="A420" i="14"/>
  <c r="A419" i="14"/>
  <c r="A418" i="14"/>
  <c r="A417" i="14"/>
  <c r="A416" i="14"/>
  <c r="A409" i="14"/>
  <c r="A400" i="14"/>
  <c r="A399" i="14"/>
  <c r="A398" i="14"/>
  <c r="A397" i="14"/>
  <c r="A394" i="14"/>
  <c r="A393" i="14"/>
  <c r="A392" i="14"/>
  <c r="A391" i="14"/>
  <c r="A386" i="14"/>
  <c r="I385" i="14"/>
  <c r="A385" i="14"/>
  <c r="A384" i="14"/>
  <c r="I383" i="14"/>
  <c r="A383" i="14"/>
  <c r="A382" i="14"/>
  <c r="I381" i="14"/>
  <c r="A381" i="14"/>
  <c r="A378" i="14"/>
  <c r="A377" i="14"/>
  <c r="A376" i="14"/>
  <c r="A375" i="14"/>
  <c r="A374" i="14"/>
  <c r="A373" i="14"/>
  <c r="A372" i="14"/>
  <c r="A371" i="14"/>
  <c r="A370" i="14"/>
  <c r="A369" i="14"/>
  <c r="A368" i="14"/>
  <c r="A360" i="14"/>
  <c r="A359" i="14"/>
  <c r="A327" i="14"/>
  <c r="A326" i="14"/>
  <c r="A324" i="14"/>
  <c r="A323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O20" i="2"/>
  <c r="L20" i="2"/>
  <c r="O16" i="2"/>
  <c r="L16" i="2"/>
  <c r="O14" i="2"/>
  <c r="L14" i="2"/>
  <c r="O12" i="2"/>
  <c r="L12" i="2"/>
  <c r="L115" i="1"/>
  <c r="L50" i="1"/>
  <c r="L34" i="1"/>
  <c r="L31" i="1"/>
  <c r="L27" i="1"/>
  <c r="L25" i="1"/>
  <c r="L20" i="1"/>
  <c r="L16" i="1"/>
  <c r="L14" i="1"/>
  <c r="I454" i="14" l="1"/>
  <c r="I453" i="14" s="1"/>
  <c r="I252" i="15"/>
  <c r="I247" i="15" s="1"/>
  <c r="I246" i="15" s="1"/>
  <c r="I245" i="15" s="1"/>
  <c r="I244" i="15" s="1"/>
  <c r="H13" i="6"/>
  <c r="E21" i="7"/>
  <c r="E11" i="5"/>
  <c r="C20" i="7"/>
  <c r="I419" i="14"/>
  <c r="I969" i="14"/>
  <c r="I966" i="14" s="1"/>
  <c r="I595" i="14"/>
  <c r="I1080" i="14"/>
  <c r="I795" i="14"/>
  <c r="I524" i="14"/>
  <c r="I523" i="14" s="1"/>
  <c r="I799" i="14"/>
  <c r="I798" i="14" s="1"/>
  <c r="I802" i="14"/>
  <c r="D52" i="16"/>
  <c r="I988" i="14"/>
  <c r="I987" i="14" s="1"/>
  <c r="F22" i="16" s="1"/>
  <c r="I376" i="14"/>
  <c r="I375" i="14" s="1"/>
  <c r="C15" i="5"/>
  <c r="E15" i="5" s="1"/>
  <c r="O44" i="2"/>
  <c r="E18" i="5"/>
  <c r="E11" i="6"/>
  <c r="C10" i="6"/>
  <c r="H11" i="6"/>
  <c r="F10" i="6"/>
  <c r="I464" i="15"/>
  <c r="L464" i="15"/>
  <c r="I263" i="15"/>
  <c r="I262" i="15" s="1"/>
  <c r="I261" i="15" s="1"/>
  <c r="I260" i="15" s="1"/>
  <c r="I922" i="14"/>
  <c r="I921" i="14" s="1"/>
  <c r="I785" i="14"/>
  <c r="I111" i="14"/>
  <c r="I84" i="14" s="1"/>
  <c r="I761" i="14"/>
  <c r="I758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1" i="14"/>
  <c r="I136" i="14" s="1"/>
  <c r="F99" i="16" s="1"/>
  <c r="I779" i="14"/>
  <c r="I410" i="15"/>
  <c r="I396" i="15" s="1"/>
  <c r="L410" i="15"/>
  <c r="L396" i="15" s="1"/>
  <c r="L395" i="15" s="1"/>
  <c r="L394" i="15" s="1"/>
  <c r="L393" i="15" s="1"/>
  <c r="I717" i="14"/>
  <c r="I716" i="14" s="1"/>
  <c r="I874" i="14"/>
  <c r="E16" i="6"/>
  <c r="C21" i="6"/>
  <c r="E21" i="6" s="1"/>
  <c r="E22" i="6"/>
  <c r="E13" i="6"/>
  <c r="I817" i="14"/>
  <c r="I818" i="14"/>
  <c r="F21" i="6"/>
  <c r="H21" i="6" s="1"/>
  <c r="H22" i="6"/>
  <c r="F15" i="6"/>
  <c r="H15" i="6" s="1"/>
  <c r="H16" i="6"/>
  <c r="I849" i="14"/>
  <c r="I850" i="14"/>
  <c r="I71" i="21"/>
  <c r="F32" i="21"/>
  <c r="L381" i="15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69" i="14"/>
  <c r="I370" i="14"/>
  <c r="I484" i="14"/>
  <c r="I485" i="14"/>
  <c r="I568" i="14"/>
  <c r="I567" i="14" s="1"/>
  <c r="F33" i="16" s="1"/>
  <c r="I606" i="14"/>
  <c r="I605" i="14" s="1"/>
  <c r="I620" i="14"/>
  <c r="I621" i="14"/>
  <c r="I670" i="14"/>
  <c r="I671" i="14"/>
  <c r="I941" i="14"/>
  <c r="I940" i="14" s="1"/>
  <c r="I1043" i="14"/>
  <c r="I36" i="14"/>
  <c r="D101" i="16"/>
  <c r="I146" i="14"/>
  <c r="F101" i="16" s="1"/>
  <c r="I449" i="14"/>
  <c r="D43" i="16"/>
  <c r="F43" i="16"/>
  <c r="I1005" i="14"/>
  <c r="I1048" i="14"/>
  <c r="F121" i="16"/>
  <c r="I947" i="14"/>
  <c r="C52" i="3"/>
  <c r="I54" i="14"/>
  <c r="I399" i="14"/>
  <c r="I39" i="14"/>
  <c r="I40" i="14"/>
  <c r="I372" i="14"/>
  <c r="I373" i="14"/>
  <c r="I870" i="14"/>
  <c r="I869" i="14" s="1"/>
  <c r="I868" i="14" s="1"/>
  <c r="I12" i="14"/>
  <c r="I13" i="14"/>
  <c r="I27" i="14"/>
  <c r="I144" i="14"/>
  <c r="I544" i="14"/>
  <c r="I543" i="14" s="1"/>
  <c r="I600" i="14"/>
  <c r="I601" i="14"/>
  <c r="I666" i="14"/>
  <c r="I665" i="14" s="1"/>
  <c r="I1015" i="14"/>
  <c r="D119" i="16"/>
  <c r="I1060" i="14"/>
  <c r="I476" i="14"/>
  <c r="I477" i="14"/>
  <c r="I537" i="14"/>
  <c r="F36" i="16" s="1"/>
  <c r="I538" i="14"/>
  <c r="I442" i="14"/>
  <c r="I952" i="14"/>
  <c r="I951" i="14" s="1"/>
  <c r="F56" i="16" s="1"/>
  <c r="I575" i="14"/>
  <c r="I576" i="14"/>
  <c r="I1025" i="14"/>
  <c r="I51" i="14"/>
  <c r="I393" i="14"/>
  <c r="I852" i="14"/>
  <c r="I616" i="14"/>
  <c r="I617" i="14"/>
  <c r="I686" i="14"/>
  <c r="I696" i="14"/>
  <c r="I698" i="14"/>
  <c r="I697" i="14" s="1"/>
  <c r="I708" i="14"/>
  <c r="C23" i="5"/>
  <c r="E23" i="5" s="1"/>
  <c r="E24" i="5"/>
  <c r="L36" i="1"/>
  <c r="L38" i="1"/>
  <c r="F146" i="16"/>
  <c r="E73" i="21"/>
  <c r="E146" i="21"/>
  <c r="E36" i="21"/>
  <c r="D25" i="16"/>
  <c r="D95" i="21"/>
  <c r="I1074" i="14"/>
  <c r="E17" i="21"/>
  <c r="D73" i="21"/>
  <c r="L24" i="2"/>
  <c r="L11" i="2" s="1"/>
  <c r="D12" i="16"/>
  <c r="E20" i="21"/>
  <c r="E72" i="21"/>
  <c r="I568" i="15"/>
  <c r="E34" i="21"/>
  <c r="C15" i="6"/>
  <c r="E15" i="6" s="1"/>
  <c r="C10" i="5"/>
  <c r="E10" i="5" s="1"/>
  <c r="D81" i="16"/>
  <c r="D31" i="16"/>
  <c r="I895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F34" i="21" l="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01" i="14"/>
  <c r="F52" i="16" s="1"/>
  <c r="I873" i="14"/>
  <c r="I872" i="14" s="1"/>
  <c r="H10" i="6"/>
  <c r="G160" i="21"/>
  <c r="G33" i="21"/>
  <c r="I685" i="14"/>
  <c r="F44" i="16" s="1"/>
  <c r="D44" i="16"/>
  <c r="I580" i="14"/>
  <c r="F37" i="16" s="1"/>
  <c r="I1004" i="14"/>
  <c r="I1003" i="14" s="1"/>
  <c r="I851" i="14"/>
  <c r="D29" i="16"/>
  <c r="I448" i="14"/>
  <c r="I776" i="14"/>
  <c r="D59" i="16"/>
  <c r="I318" i="15"/>
  <c r="I637" i="14"/>
  <c r="I631" i="14" s="1"/>
  <c r="D49" i="16"/>
  <c r="I16" i="14"/>
  <c r="I15" i="14" s="1"/>
  <c r="F61" i="16"/>
  <c r="E10" i="6"/>
  <c r="F45" i="21"/>
  <c r="I210" i="15"/>
  <c r="I209" i="15" s="1"/>
  <c r="L210" i="15"/>
  <c r="L209" i="15" s="1"/>
  <c r="I378" i="15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675" i="14"/>
  <c r="D70" i="21"/>
  <c r="D161" i="21"/>
  <c r="D65" i="16"/>
  <c r="D35" i="16"/>
  <c r="I368" i="14"/>
  <c r="I360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L379" i="15"/>
  <c r="I89" i="21"/>
  <c r="G89" i="21"/>
  <c r="L569" i="15"/>
  <c r="I22" i="21" s="1"/>
  <c r="G22" i="21"/>
  <c r="D22" i="16"/>
  <c r="D110" i="16"/>
  <c r="F93" i="16"/>
  <c r="D15" i="16"/>
  <c r="D18" i="16"/>
  <c r="D114" i="16"/>
  <c r="I1002" i="14"/>
  <c r="I1073" i="14"/>
  <c r="I1072" i="14" s="1"/>
  <c r="D90" i="21"/>
  <c r="I567" i="15"/>
  <c r="F89" i="21"/>
  <c r="L317" i="15"/>
  <c r="D36" i="21"/>
  <c r="I379" i="15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L380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63" i="14"/>
  <c r="D64" i="16"/>
  <c r="D78" i="16"/>
  <c r="F78" i="16"/>
  <c r="D32" i="16"/>
  <c r="I562" i="14"/>
  <c r="F110" i="16"/>
  <c r="I945" i="14"/>
  <c r="I946" i="14"/>
  <c r="I1047" i="14"/>
  <c r="F57" i="16" s="1"/>
  <c r="I939" i="14"/>
  <c r="D67" i="16"/>
  <c r="F67" i="16"/>
  <c r="I481" i="14"/>
  <c r="I599" i="14"/>
  <c r="I1013" i="14"/>
  <c r="I1014" i="14"/>
  <c r="D100" i="16"/>
  <c r="I143" i="14"/>
  <c r="F100" i="16" s="1"/>
  <c r="I38" i="14"/>
  <c r="I897" i="14"/>
  <c r="E52" i="3"/>
  <c r="D63" i="16"/>
  <c r="F63" i="16"/>
  <c r="I1042" i="14"/>
  <c r="I603" i="14"/>
  <c r="I604" i="14"/>
  <c r="C20" i="3"/>
  <c r="I30" i="14"/>
  <c r="F21" i="16"/>
  <c r="I475" i="14"/>
  <c r="I1027" i="14"/>
  <c r="D11" i="16"/>
  <c r="F12" i="16"/>
  <c r="I418" i="14"/>
  <c r="F29" i="16"/>
  <c r="D95" i="16"/>
  <c r="F95" i="16"/>
  <c r="I1059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91" i="14"/>
  <c r="I392" i="14"/>
  <c r="I440" i="14"/>
  <c r="I441" i="14"/>
  <c r="D62" i="16"/>
  <c r="F62" i="16"/>
  <c r="C60" i="3"/>
  <c r="F30" i="16"/>
  <c r="I891" i="14"/>
  <c r="D23" i="16"/>
  <c r="I1028" i="14"/>
  <c r="F23" i="16" s="1"/>
  <c r="D97" i="16"/>
  <c r="F97" i="16"/>
  <c r="D66" i="16"/>
  <c r="D105" i="16"/>
  <c r="D121" i="16"/>
  <c r="I549" i="14"/>
  <c r="F35" i="16"/>
  <c r="I707" i="14"/>
  <c r="I1023" i="14"/>
  <c r="I1024" i="14"/>
  <c r="I950" i="14"/>
  <c r="I664" i="14"/>
  <c r="I26" i="14"/>
  <c r="F120" i="16"/>
  <c r="L44" i="2"/>
  <c r="O24" i="2"/>
  <c r="O11" i="2" s="1"/>
  <c r="O136" i="2" s="1"/>
  <c r="L11" i="1"/>
  <c r="L24" i="1"/>
  <c r="L44" i="1"/>
  <c r="L45" i="1"/>
  <c r="D50" i="16"/>
  <c r="E161" i="21"/>
  <c r="I324" i="14"/>
  <c r="F144" i="16" s="1"/>
  <c r="D146" i="16"/>
  <c r="D160" i="21"/>
  <c r="C74" i="3"/>
  <c r="E33" i="21"/>
  <c r="D33" i="21"/>
  <c r="E32" i="21"/>
  <c r="D37" i="16"/>
  <c r="E29" i="21"/>
  <c r="D30" i="16"/>
  <c r="E28" i="21"/>
  <c r="D178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5" i="14"/>
  <c r="D176" i="16"/>
  <c r="F20" i="16" l="1"/>
  <c r="I896" i="14"/>
  <c r="I19" i="21"/>
  <c r="L530" i="15"/>
  <c r="L529" i="15" s="1"/>
  <c r="F19" i="21"/>
  <c r="I530" i="15"/>
  <c r="I529" i="15" s="1"/>
  <c r="F111" i="16"/>
  <c r="I775" i="14"/>
  <c r="I160" i="21"/>
  <c r="L136" i="2"/>
  <c r="F160" i="21"/>
  <c r="F33" i="21"/>
  <c r="I297" i="15"/>
  <c r="F34" i="16"/>
  <c r="D47" i="16"/>
  <c r="I553" i="15"/>
  <c r="I548" i="15" s="1"/>
  <c r="D10" i="21"/>
  <c r="C62" i="3"/>
  <c r="I965" i="14"/>
  <c r="I955" i="14" s="1"/>
  <c r="F49" i="16"/>
  <c r="I706" i="14"/>
  <c r="I705" i="14" s="1"/>
  <c r="I218" i="14"/>
  <c r="F96" i="16" s="1"/>
  <c r="D40" i="16"/>
  <c r="F11" i="4"/>
  <c r="I11" i="14"/>
  <c r="L553" i="15"/>
  <c r="L548" i="15" s="1"/>
  <c r="I811" i="14"/>
  <c r="F48" i="16" s="1"/>
  <c r="L296" i="15"/>
  <c r="D42" i="16"/>
  <c r="F61" i="4"/>
  <c r="F59" i="4" s="1"/>
  <c r="D93" i="16"/>
  <c r="I57" i="21"/>
  <c r="C19" i="6"/>
  <c r="I30" i="21"/>
  <c r="I36" i="21"/>
  <c r="F98" i="16"/>
  <c r="I134" i="14"/>
  <c r="I34" i="14"/>
  <c r="I715" i="14"/>
  <c r="I714" i="14" s="1"/>
  <c r="I713" i="14" s="1"/>
  <c r="F114" i="16"/>
  <c r="I60" i="21"/>
  <c r="I61" i="21"/>
  <c r="I59" i="21"/>
  <c r="F57" i="21"/>
  <c r="D57" i="21"/>
  <c r="F60" i="21"/>
  <c r="C11" i="4"/>
  <c r="I417" i="14"/>
  <c r="F32" i="16"/>
  <c r="I555" i="14"/>
  <c r="I554" i="14" s="1"/>
  <c r="I674" i="14"/>
  <c r="I662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6" i="16"/>
  <c r="F15" i="4"/>
  <c r="I848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78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I377" i="15"/>
  <c r="E97" i="4" s="1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L378" i="15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47" i="14"/>
  <c r="D107" i="16"/>
  <c r="F107" i="16"/>
  <c r="C14" i="3"/>
  <c r="I25" i="14"/>
  <c r="E14" i="3" s="1"/>
  <c r="I894" i="14"/>
  <c r="I397" i="14"/>
  <c r="E60" i="3" s="1"/>
  <c r="C97" i="3"/>
  <c r="I695" i="14"/>
  <c r="C109" i="3"/>
  <c r="E111" i="3"/>
  <c r="E109" i="3" s="1"/>
  <c r="D54" i="16"/>
  <c r="D120" i="16"/>
  <c r="I919" i="14"/>
  <c r="I920" i="14"/>
  <c r="F11" i="16" s="1"/>
  <c r="I29" i="14"/>
  <c r="E20" i="3" s="1"/>
  <c r="F60" i="16"/>
  <c r="D80" i="16"/>
  <c r="F80" i="16"/>
  <c r="I810" i="14"/>
  <c r="I949" i="14"/>
  <c r="F58" i="16" s="1"/>
  <c r="D58" i="16"/>
  <c r="D17" i="16"/>
  <c r="I548" i="14"/>
  <c r="F17" i="16" s="1"/>
  <c r="I1058" i="14"/>
  <c r="F118" i="16" s="1"/>
  <c r="D118" i="16"/>
  <c r="I1045" i="14"/>
  <c r="I1046" i="14"/>
  <c r="I890" i="14"/>
  <c r="E62" i="3" s="1"/>
  <c r="C117" i="3"/>
  <c r="E118" i="3"/>
  <c r="E117" i="3" s="1"/>
  <c r="D28" i="16"/>
  <c r="I522" i="14"/>
  <c r="I542" i="14"/>
  <c r="F14" i="16" s="1"/>
  <c r="D14" i="16"/>
  <c r="I1040" i="14"/>
  <c r="I1041" i="14"/>
  <c r="F40" i="16" s="1"/>
  <c r="I479" i="14"/>
  <c r="I480" i="14"/>
  <c r="C64" i="3"/>
  <c r="E10" i="21"/>
  <c r="D144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39" i="14"/>
  <c r="F82" i="4"/>
  <c r="F81" i="4" s="1"/>
  <c r="E74" i="4"/>
  <c r="H74" i="4"/>
  <c r="E74" i="3"/>
  <c r="I359" i="14"/>
  <c r="I217" i="14"/>
  <c r="F92" i="16" s="1"/>
  <c r="F104" i="16"/>
  <c r="F19" i="6"/>
  <c r="H19" i="6" s="1"/>
  <c r="E11" i="4"/>
  <c r="H11" i="4"/>
  <c r="E11" i="3"/>
  <c r="F112" i="16"/>
  <c r="I839" i="14"/>
  <c r="I832" i="14" s="1"/>
  <c r="E13" i="3"/>
  <c r="I53" i="21"/>
  <c r="I954" i="14"/>
  <c r="G53" i="21"/>
  <c r="H15" i="4"/>
  <c r="I489" i="15"/>
  <c r="L489" i="15"/>
  <c r="F99" i="4"/>
  <c r="I317" i="15"/>
  <c r="C102" i="3"/>
  <c r="I452" i="14"/>
  <c r="C73" i="3"/>
  <c r="I541" i="14"/>
  <c r="I540" i="14" s="1"/>
  <c r="F10" i="21"/>
  <c r="I704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L377" i="15"/>
  <c r="H97" i="4" s="1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18" i="14"/>
  <c r="C99" i="3"/>
  <c r="C65" i="3"/>
  <c r="I323" i="14"/>
  <c r="E70" i="3" s="1"/>
  <c r="E65" i="3" s="1"/>
  <c r="I630" i="14"/>
  <c r="I694" i="14"/>
  <c r="E97" i="3" s="1"/>
  <c r="I521" i="14"/>
  <c r="I515" i="14" s="1"/>
  <c r="E61" i="3"/>
  <c r="E58" i="3"/>
  <c r="I809" i="14"/>
  <c r="I808" i="14" s="1"/>
  <c r="I774" i="14"/>
  <c r="D27" i="16"/>
  <c r="D10" i="16"/>
  <c r="E64" i="3"/>
  <c r="E19" i="6"/>
  <c r="E21" i="5"/>
  <c r="D92" i="16"/>
  <c r="C51" i="4"/>
  <c r="C72" i="4"/>
  <c r="C55" i="4"/>
  <c r="E73" i="4" l="1"/>
  <c r="I10" i="14"/>
  <c r="D175" i="16"/>
  <c r="D179" i="16" s="1"/>
  <c r="C81" i="4"/>
  <c r="L522" i="15"/>
  <c r="I522" i="15"/>
  <c r="I918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16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29" i="14"/>
  <c r="I1017" i="14"/>
  <c r="E85" i="3" s="1"/>
  <c r="C59" i="3"/>
  <c r="E102" i="3"/>
  <c r="I693" i="14"/>
  <c r="I773" i="14"/>
  <c r="E99" i="3"/>
  <c r="E82" i="3"/>
  <c r="I451" i="14"/>
  <c r="E73" i="3" s="1"/>
  <c r="C46" i="4"/>
  <c r="E81" i="3" l="1"/>
  <c r="I876" i="14"/>
  <c r="I409" i="14"/>
  <c r="F175" i="16"/>
  <c r="F179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089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l="1"/>
  <c r="E123" i="4" s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G20" i="6" s="1"/>
  <c r="I599" i="15"/>
  <c r="G18" i="6" l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L447" i="15"/>
  <c r="H100" i="4" s="1"/>
  <c r="H96" i="4" s="1"/>
  <c r="H121" i="4" s="1"/>
  <c r="H123" i="4" s="1"/>
  <c r="L376" i="15" l="1"/>
  <c r="L597" i="15" s="1"/>
  <c r="F20" i="6"/>
  <c r="F123" i="4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<sst xmlns="http://schemas.openxmlformats.org/spreadsheetml/2006/main" count="5519" uniqueCount="1938">
  <si>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</si>
  <si>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</si>
  <si>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</si>
  <si>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</si>
  <si>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</si>
  <si>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</si>
  <si>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</si>
  <si>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</si>
  <si>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</si>
  <si>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</si>
  <si>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</si>
  <si>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</si>
  <si>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</si>
  <si>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</si>
  <si>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</si>
  <si>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</si>
  <si>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</si>
  <si>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</si>
  <si>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</si>
  <si>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</si>
  <si>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</si>
  <si>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</si>
  <si>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</si>
  <si>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</si>
  <si>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</si>
  <si>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</si>
  <si>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</si>
  <si>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</si>
  <si>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</si>
  <si>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</si>
  <si>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</si>
  <si>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</si>
  <si>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</si>
  <si>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</si>
  <si>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</si>
  <si>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</si>
  <si>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</si>
  <si>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</si>
  <si>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</si>
  <si>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</si>
  <si>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</si>
  <si>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</si>
  <si>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</si>
  <si>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</si>
  <si>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</si>
  <si>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</si>
  <si>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</si>
  <si>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</si>
  <si>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</si>
  <si>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</si>
  <si>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</si>
  <si>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</si>
  <si>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</si>
  <si>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</si>
  <si>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</si>
  <si>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</si>
  <si>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</si>
  <si>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</si>
  <si>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</si>
  <si>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</si>
  <si>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</si>
  <si>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</si>
  <si>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</si>
  <si>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</si>
  <si>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</si>
  <si>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</si>
  <si>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</si>
  <si>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</si>
  <si>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</si>
  <si>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</si>
  <si>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</si>
  <si>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</si>
  <si>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</si>
  <si>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</si>
  <si>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</si>
  <si>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</si>
  <si>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</si>
  <si>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</si>
  <si>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</si>
  <si>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</si>
  <si>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</si>
  <si>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</si>
  <si>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</si>
  <si>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</si>
  <si>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</si>
  <si>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</si>
  <si>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</si>
  <si>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</si>
  <si>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</si>
  <si>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</si>
  <si>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</si>
  <si>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</si>
  <si>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</si>
  <si>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</si>
  <si>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</si>
  <si>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</si>
  <si>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</si>
  <si>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</si>
  <si>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</si>
  <si>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</si>
  <si>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</si>
  <si>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</si>
  <si>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</si>
  <si>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</si>
  <si>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</si>
  <si>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</si>
  <si>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</si>
  <si>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</si>
  <si>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</si>
  <si>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</si>
  <si>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</si>
  <si>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</si>
  <si>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</si>
  <si>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</si>
  <si>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</si>
  <si>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</si>
  <si>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</si>
  <si>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</si>
  <si>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</si>
  <si>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</si>
  <si>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</si>
  <si>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</si>
  <si>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</si>
  <si>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</si>
  <si>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</si>
  <si>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</si>
  <si>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</si>
  <si>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</si>
  <si>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</si>
  <si>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</si>
  <si>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</si>
  <si>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</si>
  <si>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</si>
  <si>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</si>
  <si>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</si>
  <si>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</si>
  <si>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</si>
  <si>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</si>
  <si>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</si>
  <si>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</si>
  <si>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</si>
  <si>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</si>
  <si>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</si>
  <si>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</si>
  <si>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</si>
  <si>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</si>
  <si>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</si>
  <si>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</si>
  <si>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</si>
  <si>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</si>
  <si>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</si>
  <si>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</si>
  <si>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</si>
  <si>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</si>
  <si>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</si>
  <si>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</si>
  <si>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</si>
  <si>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</si>
  <si>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</si>
  <si>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</si>
  <si>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</si>
  <si>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</si>
  <si>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</si>
  <si>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</si>
  <si>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</si>
  <si>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</si>
  <si>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</si>
  <si>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</si>
  <si>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</si>
  <si>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</si>
  <si>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</si>
  <si>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</si>
  <si>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</si>
  <si>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</si>
  <si>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</si>
  <si>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</si>
  <si>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</si>
  <si>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</si>
  <si>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</si>
  <si>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</si>
  <si>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</si>
  <si>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</si>
  <si>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</si>
  <si>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</si>
  <si>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</si>
  <si>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</si>
  <si>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</si>
  <si>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</si>
  <si>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</si>
  <si>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</si>
  <si>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</si>
  <si>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</si>
  <si>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</si>
  <si>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</si>
  <si>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</si>
  <si>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</si>
  <si>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</si>
  <si>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</si>
  <si>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</si>
  <si>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</si>
  <si>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</si>
  <si>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</si>
  <si>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</si>
  <si>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</si>
  <si>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</si>
  <si>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</si>
  <si>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</si>
  <si>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</si>
  <si>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</si>
  <si>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</si>
  <si>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</si>
  <si>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</si>
  <si>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</si>
  <si>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</si>
  <si>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</si>
  <si>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</si>
  <si>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</si>
  <si>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</si>
  <si>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</si>
  <si>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</si>
  <si>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</si>
  <si>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</si>
  <si>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</si>
  <si>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</si>
  <si>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</si>
  <si>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</si>
  <si>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</si>
  <si>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</si>
  <si>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</si>
  <si>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</si>
  <si>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</si>
  <si>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</si>
  <si>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</si>
  <si>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</si>
  <si>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</si>
  <si>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</si>
  <si>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</si>
  <si>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</si>
  <si>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</si>
  <si>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</si>
  <si>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</si>
  <si>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</si>
  <si>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</si>
  <si>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</si>
  <si>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</si>
  <si>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</si>
  <si>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</si>
  <si>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</si>
  <si>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</si>
  <si>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</si>
  <si>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</si>
  <si>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</si>
  <si>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</si>
  <si>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</si>
  <si>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</si>
  <si>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</si>
  <si>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</si>
  <si>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</si>
  <si>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</si>
  <si>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</si>
  <si>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</si>
  <si>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</si>
  <si>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</si>
  <si>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</si>
  <si>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</si>
  <si>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</si>
  <si>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</si>
  <si>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</si>
  <si>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</si>
  <si>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</si>
  <si>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</si>
  <si>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</si>
  <si>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</si>
  <si>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</si>
  <si>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</si>
  <si>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</si>
  <si>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</si>
  <si>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</si>
  <si>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</si>
  <si>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</si>
  <si>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</si>
  <si>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</si>
  <si>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</si>
  <si>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</si>
  <si>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</si>
  <si>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</si>
  <si>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</si>
  <si>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</si>
  <si>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</si>
  <si>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</si>
  <si>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</si>
  <si>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</si>
  <si>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</si>
  <si>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</si>
  <si>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</si>
  <si>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</si>
  <si>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</si>
  <si>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</si>
  <si>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</si>
  <si>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</si>
  <si>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</si>
  <si>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</si>
  <si>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</si>
  <si>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</si>
  <si>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</si>
  <si>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</si>
  <si>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</si>
  <si>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</si>
  <si>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</si>
  <si>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</si>
  <si>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</si>
  <si>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</si>
  <si>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</si>
  <si>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</si>
  <si>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</si>
  <si>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</si>
  <si>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</si>
  <si>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</si>
  <si>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</si>
  <si>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</si>
  <si>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</si>
  <si>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</si>
  <si>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</si>
  <si>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</si>
  <si>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</si>
  <si>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</si>
  <si>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</si>
  <si>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</si>
  <si>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</si>
  <si>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</si>
  <si>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</si>
  <si>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</si>
  <si>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</si>
  <si>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</si>
  <si>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</si>
  <si>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</si>
  <si>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</si>
  <si>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</si>
  <si>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</si>
  <si>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</si>
  <si>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</si>
  <si>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</si>
  <si>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</si>
  <si>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</si>
  <si>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</si>
  <si>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</si>
  <si>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</si>
  <si>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</si>
  <si>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</si>
  <si>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</si>
  <si>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</si>
  <si>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</si>
  <si>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</si>
  <si>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</si>
  <si>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</si>
  <si>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</si>
  <si>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</si>
  <si>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</si>
  <si>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</si>
  <si>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</si>
  <si>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</si>
  <si>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</si>
  <si>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</si>
  <si>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</si>
  <si>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</si>
  <si>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</si>
  <si>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</si>
  <si>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</si>
  <si>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</si>
  <si>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</si>
  <si>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</si>
  <si>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</si>
  <si>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</si>
  <si>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</si>
  <si>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</si>
  <si>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</si>
  <si>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</si>
  <si>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</si>
  <si>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</si>
  <si>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</si>
  <si>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</si>
  <si>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</si>
  <si>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</si>
  <si>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</si>
  <si>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</si>
  <si>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</si>
  <si>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</si>
  <si>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</si>
  <si>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</si>
  <si>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</si>
  <si>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</si>
  <si>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</si>
  <si>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</si>
  <si>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</si>
  <si>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</si>
  <si>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</si>
  <si>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</si>
  <si>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</si>
  <si>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</si>
  <si>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</si>
  <si>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</si>
  <si>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</si>
  <si>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</si>
  <si>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</si>
  <si>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</si>
  <si>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</si>
  <si>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</si>
  <si>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</si>
  <si>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</si>
  <si>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</si>
  <si>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</si>
  <si>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</si>
  <si>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</si>
  <si>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</si>
  <si>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</si>
  <si>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</si>
  <si>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</si>
  <si>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</si>
  <si>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</si>
  <si>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</si>
  <si>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</si>
  <si>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</si>
  <si>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</si>
  <si>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</si>
  <si>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</si>
  <si>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</si>
  <si>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</si>
  <si>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</si>
  <si>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</si>
  <si>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</si>
  <si>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</si>
  <si>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</si>
  <si>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</si>
  <si>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</si>
  <si>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</si>
  <si>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</si>
  <si>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</si>
  <si>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</si>
  <si>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</si>
  <si>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</si>
  <si>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</si>
  <si>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</si>
  <si>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</si>
  <si>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</si>
  <si>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</si>
  <si>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</si>
  <si>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</si>
  <si>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</si>
  <si>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</si>
  <si>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</si>
  <si>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</si>
  <si>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</si>
  <si>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</si>
  <si>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</si>
  <si>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</si>
  <si>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</si>
  <si>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</si>
  <si>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</si>
  <si>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</si>
  <si>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</si>
  <si>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</si>
  <si>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</si>
  <si>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</si>
  <si>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</si>
  <si>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</si>
  <si>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</si>
  <si>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</si>
  <si>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</si>
  <si>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</si>
  <si>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</si>
  <si>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</si>
  <si>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</si>
  <si>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</si>
  <si>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</si>
  <si>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</si>
  <si>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</si>
  <si>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</si>
  <si>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</si>
  <si>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</si>
  <si>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</si>
  <si>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</si>
  <si>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</si>
  <si>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</si>
  <si>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</si>
  <si>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</si>
  <si>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</si>
  <si>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</si>
  <si>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</si>
  <si>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</si>
  <si>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</si>
  <si>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</si>
  <si>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</si>
  <si>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</si>
  <si>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</si>
  <si>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</si>
  <si>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</si>
  <si>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</si>
  <si>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</si>
  <si>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</si>
  <si>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</si>
  <si>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</si>
  <si>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</si>
  <si>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</si>
  <si>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</si>
  <si>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</si>
  <si>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</si>
  <si>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</si>
  <si>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</si>
  <si>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</si>
  <si>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</si>
  <si>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</si>
  <si>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</si>
  <si>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</si>
  <si>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</si>
  <si>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</si>
  <si>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</si>
  <si>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</si>
  <si>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</si>
  <si>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</si>
  <si>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</si>
  <si>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</si>
  <si>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</si>
  <si>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</si>
  <si>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</si>
  <si>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</si>
  <si>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</si>
  <si>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</si>
  <si>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</si>
  <si>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</si>
  <si>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</si>
  <si>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</si>
  <si>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</si>
  <si>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</si>
  <si>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</si>
  <si>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</si>
  <si>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</si>
  <si>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</si>
  <si>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</si>
  <si>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</si>
  <si>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</si>
  <si>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</si>
  <si>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</si>
  <si>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</si>
  <si>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</si>
  <si>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</si>
  <si>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</si>
  <si>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</si>
  <si>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</si>
  <si>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</si>
  <si>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</si>
  <si>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</si>
  <si>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</si>
  <si>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</si>
  <si>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</si>
  <si>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</si>
  <si>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</si>
  <si>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</si>
  <si>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</si>
  <si>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</si>
  <si>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</si>
  <si>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</si>
  <si>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</si>
  <si>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</si>
  <si>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</si>
  <si>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</si>
  <si>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</si>
  <si>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</si>
  <si>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</si>
  <si>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</si>
  <si>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</si>
  <si>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</si>
  <si>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</si>
  <si>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</si>
  <si>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</si>
  <si>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</si>
  <si>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</si>
  <si>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</si>
  <si>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</si>
  <si>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</si>
  <si>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</si>
  <si>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</si>
  <si>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</si>
  <si>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</si>
  <si>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</si>
  <si>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</si>
  <si>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</si>
  <si>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</si>
  <si>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</si>
  <si>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</si>
  <si>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</si>
  <si>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</si>
  <si>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</si>
  <si>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</si>
  <si>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</si>
  <si>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</si>
  <si>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</si>
  <si>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</si>
  <si>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</si>
  <si>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</si>
  <si>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</si>
  <si>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</si>
  <si>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</si>
  <si>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</si>
  <si>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</si>
  <si>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</si>
  <si>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</si>
  <si>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</si>
  <si>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</si>
  <si>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</si>
  <si>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</si>
  <si>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</si>
  <si>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</si>
  <si>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</si>
  <si>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</si>
  <si>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</si>
  <si>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</si>
  <si>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</si>
  <si>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</si>
  <si>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</si>
  <si>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</si>
  <si>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</si>
  <si>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</si>
  <si>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</si>
  <si>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</si>
  <si>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</si>
  <si>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</si>
  <si>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</si>
  <si>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</si>
  <si>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</si>
  <si>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</si>
  <si>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</si>
  <si>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</si>
  <si>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</si>
  <si>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</si>
  <si>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</si>
  <si>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</si>
  <si>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</si>
  <si>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</si>
  <si>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</si>
  <si>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</si>
  <si>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</si>
  <si>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</si>
  <si>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</si>
  <si>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</si>
  <si>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</si>
  <si>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</si>
  <si>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</si>
  <si>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</si>
  <si>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</si>
  <si>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</si>
  <si>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</si>
  <si>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</si>
  <si>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</si>
  <si>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</si>
  <si>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</si>
  <si>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</si>
  <si>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</si>
  <si>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</si>
  <si>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</si>
  <si>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</si>
  <si>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</si>
  <si>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</si>
  <si>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</si>
  <si>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</si>
  <si>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</si>
  <si>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</si>
  <si>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</si>
  <si>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</si>
  <si>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</si>
  <si>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</si>
  <si>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</si>
  <si>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</si>
  <si>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</si>
  <si>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</si>
  <si>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</si>
  <si>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</si>
  <si>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</si>
  <si>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</si>
  <si>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</si>
  <si>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</si>
  <si>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</si>
  <si>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</si>
  <si>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</si>
  <si>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</si>
  <si>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</si>
  <si>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</si>
  <si>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</si>
  <si>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</si>
  <si>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</si>
  <si>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</si>
  <si>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</si>
  <si>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</si>
  <si>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</si>
  <si>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</si>
  <si>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</si>
  <si>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</si>
  <si>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</si>
  <si>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</si>
  <si>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</si>
  <si>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</si>
  <si>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</si>
  <si>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</si>
  <si>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</si>
  <si>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</si>
  <si>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</si>
  <si>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</si>
  <si>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</si>
  <si>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</si>
  <si>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</si>
  <si>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</si>
  <si>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</si>
  <si>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</si>
  <si>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</si>
  <si>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</si>
  <si>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</si>
  <si>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</si>
  <si>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</si>
  <si>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</si>
  <si>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</si>
  <si>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</si>
  <si>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</si>
  <si>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</si>
  <si>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</si>
  <si>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</si>
  <si>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</si>
  <si>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</si>
  <si>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</si>
  <si>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</si>
  <si>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</si>
  <si>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</si>
  <si>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</si>
  <si>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</si>
  <si>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</si>
  <si>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</si>
  <si>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</si>
  <si>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</si>
  <si>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</si>
  <si>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</si>
  <si>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</si>
  <si>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</si>
  <si>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</si>
  <si>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</si>
  <si>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</si>
  <si>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</si>
  <si>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</si>
  <si>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</si>
  <si>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</si>
  <si>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</si>
  <si>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</si>
  <si>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</si>
  <si>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</si>
  <si>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</si>
  <si>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</si>
  <si>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</si>
  <si>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</si>
  <si>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</si>
  <si>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</si>
  <si>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</si>
  <si>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</si>
  <si>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</si>
  <si>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</si>
  <si>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</si>
  <si>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</si>
  <si>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</si>
  <si>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</si>
  <si>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</si>
  <si>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</si>
  <si>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</si>
  <si>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</si>
  <si>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</si>
  <si>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</si>
  <si>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</si>
  <si>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</si>
  <si>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</si>
  <si>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</si>
  <si>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</si>
  <si>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</si>
  <si>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</si>
  <si>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</si>
  <si>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</si>
  <si>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</si>
  <si>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</si>
  <si>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</si>
  <si>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</si>
  <si>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</si>
  <si>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</si>
  <si>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</si>
  <si>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</si>
  <si>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</si>
  <si>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</si>
  <si>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</si>
  <si>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</si>
  <si>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</si>
  <si>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</si>
  <si>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</si>
  <si>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</si>
  <si>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</si>
  <si>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</si>
  <si>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</si>
  <si>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</si>
  <si>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</si>
  <si>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</si>
  <si>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</si>
  <si>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</si>
  <si>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</si>
  <si>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</si>
  <si>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</si>
  <si>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</si>
  <si>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</si>
  <si>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</si>
  <si>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</si>
  <si>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</si>
  <si>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</si>
  <si>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</si>
  <si>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</si>
  <si>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</si>
  <si>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</si>
  <si>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</si>
  <si>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</si>
  <si>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</si>
  <si>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</si>
  <si>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</si>
  <si>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</si>
  <si>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</si>
  <si>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</si>
  <si>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</si>
  <si>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</si>
  <si>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</si>
  <si>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</si>
  <si>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</si>
  <si>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</si>
  <si>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</si>
  <si>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</si>
  <si>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</si>
  <si>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</si>
  <si>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</si>
  <si>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</si>
  <si>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</si>
  <si>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</si>
  <si>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</si>
  <si>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</si>
  <si>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</si>
  <si>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</si>
  <si>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</si>
  <si>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</si>
  <si>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</si>
  <si>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</si>
  <si>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</si>
  <si>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</si>
  <si>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</si>
  <si>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</si>
  <si>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</si>
  <si>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</si>
  <si>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</si>
  <si>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</si>
  <si>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</si>
  <si>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</si>
  <si>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</si>
  <si>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</si>
  <si>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</si>
  <si>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</si>
  <si>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</si>
  <si>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</si>
  <si>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</si>
  <si>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</si>
  <si>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</si>
  <si>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</si>
  <si>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</si>
  <si>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</si>
  <si>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</si>
  <si>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</si>
  <si>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</si>
  <si>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</si>
  <si>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</si>
  <si>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</si>
  <si>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</si>
  <si>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</si>
  <si>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</si>
  <si>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</si>
  <si>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</si>
  <si>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</si>
  <si>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</si>
  <si>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</si>
  <si>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</si>
  <si>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</si>
  <si>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</si>
  <si>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</si>
  <si>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</si>
  <si>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</si>
  <si>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</si>
  <si>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</si>
  <si>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</si>
  <si>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</si>
  <si>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</si>
  <si>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</si>
  <si>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</si>
  <si>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</si>
  <si>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</si>
  <si>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</si>
  <si>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</si>
  <si>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</si>
  <si>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</si>
  <si>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</si>
  <si>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</si>
  <si>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</si>
  <si>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</si>
  <si>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</si>
  <si>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</si>
  <si>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</si>
  <si>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</si>
  <si>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</si>
  <si>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</si>
  <si>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</si>
  <si>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</si>
  <si>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</si>
  <si>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</si>
  <si>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</si>
  <si>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</si>
  <si>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</si>
  <si>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</si>
  <si>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</si>
  <si>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</si>
  <si>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</si>
  <si>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</si>
  <si>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</si>
  <si>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</si>
  <si>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</si>
  <si>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</si>
  <si>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</si>
  <si>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</si>
  <si>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</si>
  <si>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</si>
  <si>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</si>
  <si>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</si>
  <si>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</si>
  <si>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</si>
  <si>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</si>
  <si>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</si>
  <si>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</si>
  <si>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</si>
  <si>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</si>
  <si>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</si>
  <si>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</si>
  <si>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</si>
  <si>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</si>
  <si>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</si>
  <si>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</si>
  <si>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</si>
  <si>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</si>
  <si>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</si>
  <si>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</si>
  <si>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</si>
  <si>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</si>
  <si>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</si>
  <si>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</si>
  <si>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</si>
  <si>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</si>
  <si>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</si>
  <si>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</si>
  <si>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</si>
  <si>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</si>
  <si>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</si>
  <si>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</si>
  <si>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</si>
  <si>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</si>
  <si>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</si>
  <si>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</si>
  <si>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</si>
  <si>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</si>
  <si>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</si>
  <si>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</si>
  <si>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</si>
  <si>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</si>
  <si>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</si>
  <si>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</si>
  <si>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</si>
  <si>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</si>
  <si>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</si>
  <si>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</si>
  <si>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</si>
  <si>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</si>
  <si>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</si>
  <si>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</si>
  <si>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</si>
  <si>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</si>
  <si>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</si>
  <si>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</si>
  <si>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</si>
  <si>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</si>
  <si>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</si>
  <si>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</si>
  <si>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</si>
  <si>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</si>
  <si>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</si>
  <si>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</si>
  <si>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</si>
  <si>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</si>
  <si>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</si>
  <si>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</si>
  <si>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</si>
  <si>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</si>
  <si>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</si>
  <si>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</si>
  <si>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</si>
  <si>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</si>
  <si>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</si>
  <si>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</si>
  <si>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</si>
  <si>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</si>
  <si>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</si>
  <si>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</si>
  <si>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</si>
  <si>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</si>
  <si>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</si>
  <si>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</si>
  <si>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</si>
  <si>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</si>
  <si>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</si>
  <si>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</si>
  <si>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</si>
  <si>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</si>
  <si>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</si>
  <si>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</si>
  <si>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</si>
  <si>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</si>
  <si>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</si>
  <si>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</si>
  <si>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</si>
  <si>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</si>
  <si>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</si>
  <si>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</si>
  <si>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</si>
  <si>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</si>
  <si>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</si>
  <si>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</si>
  <si>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</si>
  <si>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</si>
  <si>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</si>
  <si>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</si>
  <si>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</si>
  <si>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</si>
  <si>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</si>
  <si>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</si>
  <si>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</si>
  <si>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</si>
  <si>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</si>
  <si>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</si>
  <si>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</si>
  <si>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</si>
  <si>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</si>
  <si>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</si>
  <si>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</si>
  <si>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</si>
  <si>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</si>
  <si>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</si>
  <si>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</si>
  <si>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</si>
  <si>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</si>
  <si>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</si>
  <si>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</si>
  <si>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</si>
  <si>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</si>
  <si>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</si>
  <si>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</si>
  <si>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</si>
  <si>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</si>
  <si>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</si>
  <si>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</si>
  <si>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</si>
  <si>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</si>
  <si>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</si>
  <si>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</si>
  <si>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</si>
  <si>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</si>
  <si>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</si>
  <si>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</si>
  <si>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</si>
  <si>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</si>
  <si>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</si>
  <si>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</si>
  <si>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</si>
  <si>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</si>
  <si>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</si>
  <si>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</si>
  <si>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</si>
  <si>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</si>
  <si>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</si>
  <si>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</si>
  <si>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</si>
  <si>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</si>
  <si>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</si>
  <si>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</si>
  <si>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</si>
  <si>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</si>
  <si>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</si>
  <si>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</si>
  <si>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</si>
  <si>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</si>
  <si>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</si>
  <si>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</si>
  <si>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</si>
  <si>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</si>
  <si>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</si>
  <si>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</si>
  <si>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</si>
  <si>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</si>
  <si>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</si>
  <si>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</si>
  <si>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</si>
  <si>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</si>
  <si>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</si>
  <si>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</si>
  <si>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</si>
  <si>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</si>
  <si>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</si>
  <si>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</si>
  <si>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</si>
  <si>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</si>
  <si>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</si>
  <si>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</si>
  <si>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</si>
  <si>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</si>
  <si>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</si>
  <si>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</si>
  <si>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</si>
  <si>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</si>
  <si>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</si>
  <si>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</si>
  <si>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</si>
  <si>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</si>
  <si>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</si>
  <si>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</si>
  <si>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</si>
  <si>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</si>
  <si>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</si>
  <si>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</si>
  <si>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</si>
  <si>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</si>
  <si>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</si>
  <si>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</si>
  <si>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</si>
  <si>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</si>
  <si>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</si>
  <si>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</si>
  <si>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</si>
  <si>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</si>
  <si>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</si>
  <si>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</si>
  <si>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</si>
  <si>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</si>
  <si>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</si>
  <si>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</si>
  <si>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</si>
  <si>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</si>
  <si>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</si>
  <si>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</si>
  <si>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</si>
  <si>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</si>
  <si>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</si>
  <si>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</si>
  <si>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</si>
  <si>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</si>
  <si>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</si>
  <si>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</si>
  <si>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</si>
  <si>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</si>
  <si>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</si>
  <si>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</si>
  <si>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</si>
  <si>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</si>
  <si>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</si>
  <si>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</si>
  <si>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</si>
  <si>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</si>
  <si>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</si>
  <si>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</si>
  <si>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</si>
  <si>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</si>
  <si>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</si>
  <si>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</si>
  <si>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</si>
  <si>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</si>
  <si>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</si>
  <si>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</si>
  <si>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</si>
  <si>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</si>
  <si>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</si>
  <si>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</si>
  <si>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</si>
  <si>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</si>
  <si>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</si>
  <si>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</si>
  <si>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</si>
  <si>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</si>
  <si>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</si>
  <si>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</si>
  <si>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</si>
  <si>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</si>
  <si>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</si>
  <si>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</si>
  <si>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</si>
  <si>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</si>
  <si>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</si>
  <si>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</si>
  <si>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</si>
  <si>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</si>
  <si>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</si>
  <si>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</si>
  <si>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</si>
  <si>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</si>
  <si>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</si>
  <si>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</si>
  <si>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</si>
  <si>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</si>
  <si>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</si>
  <si>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</si>
  <si>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</si>
  <si>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</si>
  <si>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</si>
  <si>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</si>
  <si>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</si>
  <si>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</si>
  <si>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</si>
  <si>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</si>
  <si>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</si>
  <si>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</si>
  <si>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</si>
  <si>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</si>
  <si>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</si>
  <si>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</si>
  <si>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</si>
  <si>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</si>
  <si>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</si>
  <si>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</si>
  <si>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</si>
  <si>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</si>
  <si>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</si>
  <si>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</si>
  <si>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</si>
  <si>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</si>
  <si>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</si>
  <si>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</si>
  <si>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</si>
  <si>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</si>
  <si>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</si>
  <si>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</si>
  <si>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</si>
  <si>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</si>
  <si>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</si>
  <si>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</si>
  <si>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</si>
  <si>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</si>
  <si>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</si>
  <si>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</si>
  <si>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</si>
  <si>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</si>
  <si>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</si>
  <si>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</si>
  <si>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</si>
  <si>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</si>
  <si>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</si>
  <si>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</si>
  <si>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</si>
  <si>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</si>
  <si>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</si>
  <si>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</si>
  <si>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</si>
  <si>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</si>
  <si>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</si>
  <si>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</si>
  <si>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</si>
  <si>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</si>
  <si>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</si>
  <si>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</si>
  <si>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</si>
  <si>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</si>
  <si>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</si>
  <si>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</si>
  <si>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</si>
  <si>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</si>
  <si>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</si>
  <si>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</si>
  <si>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</si>
  <si>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</si>
  <si>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</si>
  <si>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</si>
  <si>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</si>
  <si>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</si>
  <si>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</si>
  <si>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</si>
  <si>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</si>
  <si>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</si>
  <si>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</si>
  <si>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</si>
  <si>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</si>
  <si>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</si>
  <si>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</si>
  <si>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</si>
  <si>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</si>
  <si>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</si>
  <si>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</si>
  <si>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</si>
  <si>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</si>
  <si>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</si>
  <si>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</si>
  <si>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</si>
  <si>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</si>
  <si>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</si>
  <si>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</si>
  <si>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</si>
  <si>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</si>
  <si>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</si>
  <si>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</si>
  <si>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</si>
  <si>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</si>
  <si>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</si>
  <si>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</si>
  <si>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</si>
  <si>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</si>
  <si>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</si>
  <si>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</si>
  <si>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</si>
  <si>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</si>
  <si>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</si>
  <si>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</si>
  <si>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</si>
  <si>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</si>
  <si>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</si>
  <si>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</si>
  <si>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</si>
  <si>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</si>
  <si>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</si>
  <si>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</si>
  <si>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</si>
  <si>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</si>
  <si>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</si>
  <si>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</si>
  <si>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</si>
  <si>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</si>
  <si>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</si>
  <si>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</si>
  <si>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</si>
  <si>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</si>
  <si>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</si>
  <si>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</si>
  <si>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</si>
  <si>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</si>
  <si>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</si>
  <si>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</si>
  <si>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</si>
  <si>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</si>
  <si>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</si>
  <si>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</si>
  <si>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</si>
  <si>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</si>
  <si>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</si>
  <si>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</si>
  <si>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</si>
  <si>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</si>
  <si>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</si>
  <si>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</si>
  <si>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</si>
  <si>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</si>
  <si>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</si>
  <si>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</si>
  <si>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</si>
  <si>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</si>
  <si>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</si>
  <si>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</si>
  <si>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</si>
  <si>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</si>
  <si>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</si>
  <si>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</si>
  <si>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</si>
  <si>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</si>
  <si>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</si>
  <si>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</si>
  <si>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</si>
  <si>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</si>
  <si>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</si>
  <si>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</si>
  <si>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</si>
  <si>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</si>
  <si>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</si>
  <si>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</si>
  <si>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</si>
  <si>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</si>
  <si>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</si>
  <si>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</si>
  <si>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</si>
  <si>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</si>
  <si>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</si>
  <si>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</si>
  <si>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</si>
  <si>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</si>
  <si>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</si>
  <si>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</si>
  <si>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</si>
  <si>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</si>
  <si>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</si>
  <si>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</si>
  <si>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</si>
  <si>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</si>
  <si>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</si>
  <si>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</si>
  <si>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</si>
  <si>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</si>
  <si>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</si>
  <si>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</si>
  <si>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</si>
  <si>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</si>
  <si>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</si>
  <si>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</si>
  <si>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</si>
  <si>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</si>
  <si>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</si>
  <si>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</si>
  <si>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</si>
  <si>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</si>
  <si>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</si>
  <si>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</si>
  <si>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</si>
  <si>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</si>
  <si>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</si>
  <si>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</si>
  <si>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</si>
  <si>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</si>
  <si>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</si>
  <si>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</si>
  <si>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</si>
  <si>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</si>
  <si>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</si>
  <si>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</si>
  <si>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</si>
  <si>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</si>
  <si>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</si>
  <si>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</si>
  <si>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</si>
  <si>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</si>
  <si>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</si>
  <si>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</si>
  <si>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</si>
  <si>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</si>
  <si>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</si>
  <si>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</si>
  <si>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</si>
  <si>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</si>
  <si>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</si>
  <si>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</si>
  <si>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</si>
  <si>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</si>
  <si>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</si>
  <si>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</si>
  <si>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</si>
  <si>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</si>
  <si>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</si>
  <si>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</si>
  <si>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</si>
  <si>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</si>
  <si>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</si>
  <si>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</si>
  <si>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</si>
  <si>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</si>
  <si>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</si>
  <si>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</si>
  <si>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</si>
  <si>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</si>
  <si>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</si>
  <si>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</si>
  <si>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</si>
  <si>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</si>
  <si>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</si>
  <si>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</si>
  <si>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</si>
  <si>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</si>
  <si>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</si>
  <si>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</si>
  <si>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</si>
  <si>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</si>
  <si>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</si>
  <si>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</si>
  <si>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</si>
  <si>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</si>
  <si>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</si>
  <si>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</si>
  <si>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</si>
  <si>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</si>
  <si>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</si>
  <si>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</si>
  <si>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</si>
  <si>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</si>
  <si>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</si>
  <si>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</si>
  <si>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</si>
  <si>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</si>
  <si>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</si>
  <si>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</si>
  <si>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</si>
  <si>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</si>
  <si>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</si>
  <si>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</si>
  <si>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</si>
  <si>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</si>
  <si>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</si>
  <si>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</si>
  <si>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</si>
  <si>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</si>
  <si>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</si>
  <si>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</si>
  <si>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</si>
  <si>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</si>
  <si>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</si>
  <si>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</si>
  <si>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</si>
  <si>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</si>
  <si>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</si>
  <si>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</si>
  <si>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</si>
  <si>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</si>
  <si>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</si>
  <si>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</si>
  <si>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</si>
  <si>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</si>
  <si>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</si>
  <si>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</si>
  <si>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</si>
  <si>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</si>
  <si>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</si>
  <si>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</si>
  <si>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</si>
  <si>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</si>
  <si>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</si>
  <si>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</si>
  <si>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</si>
  <si>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</si>
  <si>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</si>
  <si>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</si>
  <si>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</si>
  <si>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</si>
  <si>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</si>
  <si>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</si>
  <si>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</si>
  <si>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</si>
  <si>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</si>
  <si>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</si>
  <si>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</si>
  <si>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</si>
  <si>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</si>
  <si>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</si>
  <si>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</si>
  <si>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</si>
  <si>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</si>
  <si>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</si>
  <si>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</si>
  <si>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</si>
  <si>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</si>
  <si>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</si>
  <si>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</si>
  <si>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</si>
  <si>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</si>
  <si>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</si>
  <si>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</si>
  <si>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</si>
  <si>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</si>
  <si>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</si>
  <si>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</si>
  <si>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</si>
  <si>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</si>
  <si>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</si>
  <si>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</si>
  <si>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</si>
  <si>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</si>
  <si>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</si>
  <si>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</si>
  <si>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</si>
  <si>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</si>
  <si>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</si>
  <si>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</si>
  <si>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</si>
  <si>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</si>
  <si>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</si>
  <si>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</si>
  <si>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</si>
  <si>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</si>
  <si>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</si>
  <si>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</si>
  <si>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</si>
  <si>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</si>
  <si>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</si>
  <si>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</si>
  <si>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</si>
  <si>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</si>
  <si>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</si>
  <si>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</si>
  <si>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</si>
  <si>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</si>
  <si>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</si>
  <si>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</si>
  <si>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</si>
  <si>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</si>
  <si>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</si>
  <si>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</si>
  <si>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</si>
  <si>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</si>
  <si>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</si>
  <si>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</si>
  <si>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</si>
  <si>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</si>
  <si>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</si>
  <si>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</si>
  <si>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</si>
  <si>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</si>
  <si>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</si>
  <si>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</si>
  <si>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</si>
  <si>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</si>
  <si>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</si>
  <si>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</si>
  <si>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</si>
  <si>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</si>
  <si>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</si>
  <si>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</si>
  <si>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</si>
  <si>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</si>
  <si>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</si>
  <si>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</si>
  <si>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</si>
  <si>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</si>
  <si>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</si>
  <si>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</si>
  <si>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</si>
  <si>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</si>
  <si>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</si>
  <si>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</si>
  <si>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</si>
  <si>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</si>
  <si>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</si>
  <si>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</si>
  <si>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</si>
  <si>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</si>
  <si>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</si>
  <si>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</si>
  <si>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>на 01.01.2023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</si>
  <si>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</si>
  <si>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</si>
  <si>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</si>
  <si>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</si>
  <si>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</si>
  <si>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</si>
  <si>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</si>
  <si>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</si>
  <si>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</si>
  <si>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</si>
  <si>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</si>
  <si>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</si>
  <si>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</si>
  <si>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</si>
  <si>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</si>
  <si>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</si>
  <si>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</si>
  <si>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Объем долга (прогноз)</t>
  </si>
  <si>
    <t>Вид долгового обязательства</t>
  </si>
  <si>
    <t>на 01.01.2021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</si>
  <si>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</si>
  <si>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</si>
  <si>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</si>
  <si>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</si>
  <si>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</si>
  <si>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</si>
  <si>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</si>
  <si>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</si>
  <si>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</si>
  <si>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</si>
  <si>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</si>
  <si>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</si>
  <si>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</si>
  <si>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</si>
  <si>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</si>
  <si>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</si>
  <si>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</si>
  <si>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</si>
  <si>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</si>
  <si>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</si>
  <si>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</si>
  <si>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</si>
  <si>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</si>
  <si>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</si>
  <si>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</si>
  <si>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</si>
  <si>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</si>
  <si>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</si>
  <si>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</si>
  <si>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</si>
  <si>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</si>
  <si>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</si>
  <si>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</si>
  <si>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</si>
  <si>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</si>
  <si>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</si>
  <si>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</si>
  <si>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</si>
  <si>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</si>
  <si>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</si>
  <si>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</si>
  <si>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</si>
  <si>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</si>
  <si>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</si>
  <si>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</si>
  <si>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</si>
  <si>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</si>
  <si>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</si>
  <si>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</si>
  <si>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</si>
  <si>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</si>
  <si>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</si>
  <si>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</si>
  <si>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</si>
  <si>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</si>
  <si>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</si>
  <si>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</si>
  <si>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</si>
  <si>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</si>
  <si>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</si>
  <si>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</si>
  <si>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</si>
  <si>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</si>
  <si>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</si>
  <si>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</si>
  <si>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</si>
  <si>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</si>
  <si>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</si>
  <si>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</si>
  <si>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</si>
  <si>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</si>
  <si>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</si>
  <si>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</si>
  <si>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</si>
  <si>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</si>
  <si>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</si>
  <si>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</si>
  <si>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</si>
  <si>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</si>
  <si>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</si>
  <si>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</si>
  <si>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</si>
  <si>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</si>
  <si>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</si>
  <si>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</si>
  <si>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</si>
  <si>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</si>
  <si>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</si>
  <si>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</si>
  <si>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</si>
  <si>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</si>
  <si>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</si>
  <si>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</si>
  <si>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</si>
  <si>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</si>
  <si>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</si>
  <si>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</si>
  <si>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</si>
  <si>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</si>
  <si>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</si>
  <si>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</si>
  <si>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</si>
  <si>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</si>
  <si>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</si>
  <si>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</si>
  <si>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</si>
  <si>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</si>
  <si>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</si>
  <si>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</si>
  <si>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</si>
  <si>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</si>
  <si>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</si>
  <si>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</si>
  <si>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</si>
  <si>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</si>
  <si>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</si>
  <si>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</si>
  <si>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</si>
  <si>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</si>
  <si>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</si>
  <si>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</si>
  <si>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</si>
  <si>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</si>
  <si>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</si>
  <si>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</si>
  <si>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</si>
  <si>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</si>
  <si>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</si>
  <si>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</si>
  <si>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</si>
  <si>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</si>
  <si>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</si>
  <si>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</si>
  <si>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</si>
  <si>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</si>
  <si>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</si>
  <si>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</si>
  <si>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</si>
  <si>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</si>
  <si>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</si>
  <si>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</si>
  <si>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</si>
  <si>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</si>
  <si>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</si>
  <si>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</si>
  <si>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</si>
  <si>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</si>
  <si>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</si>
  <si>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</si>
  <si>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</si>
  <si>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</si>
  <si>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</si>
  <si>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</si>
  <si>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</si>
  <si>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</si>
  <si>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</si>
  <si>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</si>
  <si>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</si>
  <si>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</si>
  <si>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</si>
  <si>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</si>
  <si>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</si>
  <si>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</si>
  <si>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</si>
  <si>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</si>
  <si>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</si>
  <si>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</si>
  <si>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</si>
  <si>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</si>
  <si>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</si>
  <si>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</si>
  <si>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</si>
  <si>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</si>
  <si>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</si>
  <si>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</si>
  <si>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</si>
  <si>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</si>
  <si>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</si>
  <si>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</si>
  <si>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</si>
  <si>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</si>
  <si>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</si>
  <si>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</si>
  <si>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</si>
  <si>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</si>
  <si>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</si>
  <si>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</si>
  <si>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</si>
  <si>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</si>
  <si>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</si>
  <si>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</si>
  <si>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</si>
  <si>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</si>
  <si>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</si>
  <si>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</si>
  <si>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</si>
  <si>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</si>
  <si>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</si>
  <si>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</si>
  <si>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</si>
  <si>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</si>
  <si>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</si>
  <si>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</si>
  <si>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</si>
  <si>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</si>
  <si>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</si>
  <si>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</si>
  <si>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на 01.01.2024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</si>
  <si>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</si>
  <si>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</si>
  <si>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</si>
  <si>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</si>
  <si>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</si>
  <si>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</si>
  <si>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</si>
  <si>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14</t>
  </si>
  <si>
    <t>Приложение 15</t>
  </si>
  <si>
    <t>Приложение 16</t>
  </si>
  <si>
    <t>Приложение 17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</si>
  <si>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</si>
  <si>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</si>
  <si>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</si>
  <si>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</si>
  <si>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</si>
  <si>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</si>
  <si>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</si>
  <si>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</si>
  <si>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01.01.2021 (прогноз)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</si>
  <si>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</si>
  <si>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</si>
  <si>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</si>
  <si>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</si>
  <si>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</si>
  <si>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</si>
  <si>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r>
      <t xml:space="preserve">на 01.01.2021 - </t>
    </r>
    <r>
      <rPr>
        <sz val="12"/>
        <rFont val="Times New Roman"/>
        <family val="1"/>
        <charset val="204"/>
      </rPr>
      <t xml:space="preserve">20 500 000 </t>
    </r>
    <r>
      <rPr>
        <sz val="12"/>
        <rFont val="Times New Roman"/>
        <family val="1"/>
      </rPr>
      <t>рублей;</t>
    </r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</si>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</sst>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000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7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164" fontId="33" fillId="0" borderId="0" applyFont="0" applyFill="0" applyBorder="0" applyAlignment="0" applyProtection="0"/>
    <xf numFmtId="0" fontId="40" fillId="0" borderId="0"/>
    <xf numFmtId="0" fontId="40" fillId="0" borderId="0"/>
  </cellStyleXfs>
  <cellXfs count="10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6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6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6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6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6" fontId="5" fillId="0" borderId="1" xfId="0" applyNumberFormat="1" applyFont="1" applyBorder="1"/>
    <xf numFmtId="167" fontId="0" fillId="0" borderId="0" xfId="0" applyNumberFormat="1"/>
    <xf numFmtId="166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6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6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6" fontId="47" fillId="12" borderId="1" xfId="0" applyNumberFormat="1" applyFont="1" applyFill="1" applyBorder="1" applyAlignment="1">
      <alignment horizontal="center" vertical="center"/>
    </xf>
    <xf numFmtId="167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6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3" fontId="5" fillId="12" borderId="1" xfId="0" applyNumberFormat="1" applyFont="1" applyFill="1" applyBorder="1" applyAlignment="1">
      <alignment horizontal="center" vertical="center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8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2" borderId="19" xfId="0" applyNumberFormat="1" applyFont="1" applyFill="1" applyBorder="1" applyAlignment="1">
      <alignment horizontal="left" vertical="top" wrapText="1"/>
    </xf>
    <xf numFmtId="168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8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8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7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8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23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172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2" borderId="0" xfId="0" applyNumberFormat="1" applyFont="1" applyFill="1" applyBorder="1" applyAlignment="1">
      <alignment horizontal="left" wrapText="1"/>
    </xf>
    <xf numFmtId="168" fontId="37" fillId="12" borderId="0" xfId="0" applyNumberFormat="1" applyFont="1" applyFill="1" applyBorder="1" applyAlignment="1">
      <alignment horizontal="left" wrapText="1"/>
    </xf>
    <xf numFmtId="168" fontId="36" fillId="12" borderId="0" xfId="0" applyNumberFormat="1" applyFont="1" applyFill="1" applyBorder="1" applyAlignment="1">
      <alignment horizontal="left" vertical="top" wrapText="1"/>
    </xf>
    <xf numFmtId="168" fontId="36" fillId="0" borderId="0" xfId="0" applyNumberFormat="1" applyFont="1" applyBorder="1" applyAlignment="1">
      <alignment horizontal="left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 xr:uid="{00000000-0005-0000-0000-000003000000}"/>
    <cellStyle name="Обычный 2" xfId="3" xr:uid="{00000000-0005-0000-0000-000004000000}"/>
    <cellStyle name="Обычный 2 2" xfId="7" xr:uid="{00000000-0005-0000-0000-000005000000}"/>
    <cellStyle name="Обычный 2 3" xfId="8" xr:uid="{00000000-0005-0000-0000-000006000000}"/>
    <cellStyle name="Обычный_Пр_1" xfId="4" xr:uid="{00000000-0005-0000-0000-000007000000}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Список2" displayName="Список2" ref="A2:B169" totalsRowShown="0">
  <tableColumns count="2">
    <tableColumn id="1" xr3:uid="{00000000-0010-0000-0000-000001000000}" name="Столбец1" dataDxfId="1"/>
    <tableColumn id="2" xr3:uid="{00000000-0010-0000-0000-000002000000}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7"/>
  <sheetViews>
    <sheetView showGridLines="0" view="pageBreakPreview" zoomScaleSheetLayoutView="100" workbookViewId="0">
      <selection activeCell="K9" sqref="K9:K10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customWidth="1"/>
    <col min="12" max="12" width="15.42578125" style="1" hidden="1" customWidth="1"/>
    <col min="13" max="16384" width="8.85546875" style="1"/>
  </cols>
  <sheetData>
    <row r="1" spans="1:12" ht="15.75" x14ac:dyDescent="0.25">
      <c r="G1" s="887" t="s">
        <v>0</v>
      </c>
      <c r="H1" s="887"/>
      <c r="I1" s="887"/>
      <c r="J1" s="887"/>
      <c r="K1" s="887"/>
      <c r="L1" s="887"/>
    </row>
    <row r="2" spans="1:12" ht="15.75" x14ac:dyDescent="0.25">
      <c r="G2" s="887" t="s">
        <v>1</v>
      </c>
      <c r="H2" s="887"/>
      <c r="I2" s="887"/>
      <c r="J2" s="887"/>
      <c r="K2" s="887"/>
      <c r="L2" s="887"/>
    </row>
    <row r="3" spans="1:12" ht="15.75" x14ac:dyDescent="0.25">
      <c r="G3" s="887" t="s">
        <v>2</v>
      </c>
      <c r="H3" s="887"/>
      <c r="I3" s="887"/>
      <c r="J3" s="887"/>
      <c r="K3" s="887"/>
      <c r="L3" s="887"/>
    </row>
    <row r="4" spans="1:12" ht="15.75" x14ac:dyDescent="0.25">
      <c r="G4" s="887" t="s">
        <v>1859</v>
      </c>
      <c r="H4" s="887"/>
      <c r="I4" s="887"/>
      <c r="J4" s="887"/>
      <c r="K4" s="887"/>
      <c r="L4" s="887"/>
    </row>
    <row r="5" spans="1:12" ht="15.75" x14ac:dyDescent="0.25">
      <c r="G5" s="4"/>
      <c r="H5" s="5"/>
    </row>
    <row r="6" spans="1:12" ht="50.25" customHeight="1" x14ac:dyDescent="0.2">
      <c r="A6" s="888" t="s">
        <v>1858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89" t="s">
        <v>3</v>
      </c>
      <c r="B9" s="889"/>
      <c r="C9" s="889"/>
      <c r="D9" s="889"/>
      <c r="E9" s="889"/>
      <c r="F9" s="889"/>
      <c r="G9" s="889"/>
      <c r="H9" s="889"/>
      <c r="I9" s="886" t="s">
        <v>4</v>
      </c>
      <c r="J9" s="886" t="s">
        <v>5</v>
      </c>
      <c r="K9" s="886" t="s">
        <v>5</v>
      </c>
      <c r="L9" s="886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86"/>
      <c r="J10" s="886"/>
      <c r="K10" s="886"/>
      <c r="L10" s="886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1365</v>
      </c>
      <c r="J11" s="15"/>
      <c r="K11" s="15">
        <f>K12+K14+K16+K20+K24+K31+K34+K36+K42+K43</f>
        <v>219621760</v>
      </c>
      <c r="L11" s="15">
        <f>SUM(J11:K11)</f>
        <v>219621760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/>
      <c r="K12" s="16">
        <f t="shared" ref="K12" si="0">K13</f>
        <v>116393000</v>
      </c>
      <c r="L12" s="15">
        <f t="shared" ref="L12:L104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/>
      <c r="K13" s="19">
        <v>116393000</v>
      </c>
      <c r="L13" s="312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/>
      <c r="K14" s="16">
        <f t="shared" ref="K14" si="2">K15</f>
        <v>8962760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/>
      <c r="K15" s="19">
        <v>8962760</v>
      </c>
      <c r="L15" s="312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/>
      <c r="K16" s="22">
        <f t="shared" ref="K16" si="3">K17+K18+K19</f>
        <v>8143000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/>
      <c r="K17" s="19">
        <v>1980000</v>
      </c>
      <c r="L17" s="312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/>
      <c r="K18" s="19">
        <v>322000</v>
      </c>
      <c r="L18" s="312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48" t="s">
        <v>33</v>
      </c>
      <c r="J19" s="25"/>
      <c r="K19" s="25">
        <v>5841000</v>
      </c>
      <c r="L19" s="312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/>
      <c r="K20" s="22">
        <f t="shared" ref="K20" si="4">K21+K22</f>
        <v>8200000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/>
      <c r="K21" s="19">
        <v>8200000</v>
      </c>
      <c r="L21" s="312">
        <f t="shared" si="1"/>
        <v>8200000</v>
      </c>
    </row>
    <row r="22" spans="1:12" ht="48" hidden="1" customHeight="1" x14ac:dyDescent="0.2">
      <c r="A22" s="23" t="s">
        <v>1284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/>
      <c r="K22" s="19"/>
      <c r="L22" s="312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/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/>
      <c r="K24" s="22">
        <f t="shared" ref="K24" si="5">K25+K27</f>
        <v>8400000</v>
      </c>
      <c r="L24" s="15">
        <f t="shared" si="1"/>
        <v>8400000</v>
      </c>
    </row>
    <row r="25" spans="1:12" ht="109.5" customHeight="1" x14ac:dyDescent="0.2">
      <c r="A25" s="343" t="s">
        <v>45</v>
      </c>
      <c r="B25" s="343" t="s">
        <v>15</v>
      </c>
      <c r="C25" s="343" t="s">
        <v>43</v>
      </c>
      <c r="D25" s="343" t="s">
        <v>18</v>
      </c>
      <c r="E25" s="343" t="s">
        <v>14</v>
      </c>
      <c r="F25" s="343" t="s">
        <v>16</v>
      </c>
      <c r="G25" s="344" t="s">
        <v>17</v>
      </c>
      <c r="H25" s="344" t="s">
        <v>46</v>
      </c>
      <c r="I25" s="345" t="s">
        <v>47</v>
      </c>
      <c r="J25" s="346"/>
      <c r="K25" s="346">
        <f t="shared" ref="K25" si="6">K26</f>
        <v>50000</v>
      </c>
      <c r="L25" s="347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/>
      <c r="K26" s="323">
        <v>50000</v>
      </c>
      <c r="L26" s="312">
        <f t="shared" si="1"/>
        <v>50000</v>
      </c>
    </row>
    <row r="27" spans="1:12" s="26" customFormat="1" ht="145.5" customHeight="1" x14ac:dyDescent="0.25">
      <c r="A27" s="343" t="s">
        <v>14</v>
      </c>
      <c r="B27" s="343" t="s">
        <v>15</v>
      </c>
      <c r="C27" s="343" t="s">
        <v>43</v>
      </c>
      <c r="D27" s="343" t="s">
        <v>28</v>
      </c>
      <c r="E27" s="343" t="s">
        <v>14</v>
      </c>
      <c r="F27" s="343" t="s">
        <v>16</v>
      </c>
      <c r="G27" s="344" t="s">
        <v>17</v>
      </c>
      <c r="H27" s="344" t="s">
        <v>46</v>
      </c>
      <c r="I27" s="345" t="s">
        <v>50</v>
      </c>
      <c r="J27" s="348"/>
      <c r="K27" s="348">
        <f>K28+K29+K30</f>
        <v>8350000</v>
      </c>
      <c r="L27" s="347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1230</v>
      </c>
      <c r="J28" s="25"/>
      <c r="K28" s="348">
        <v>3600000</v>
      </c>
      <c r="L28" s="312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1882</v>
      </c>
      <c r="J29" s="25"/>
      <c r="K29" s="25">
        <v>3250000</v>
      </c>
      <c r="L29" s="312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/>
      <c r="K30" s="25">
        <v>1500000</v>
      </c>
      <c r="L30" s="312">
        <f t="shared" si="1"/>
        <v>1500000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53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54</v>
      </c>
      <c r="J31" s="22"/>
      <c r="K31" s="22">
        <f t="shared" ref="K31" si="7">K32+K33</f>
        <v>4106000</v>
      </c>
      <c r="L31" s="15">
        <f t="shared" si="1"/>
        <v>4106000</v>
      </c>
    </row>
    <row r="32" spans="1:12" ht="30" customHeight="1" x14ac:dyDescent="0.2">
      <c r="A32" s="23" t="s">
        <v>14</v>
      </c>
      <c r="B32" s="23" t="s">
        <v>15</v>
      </c>
      <c r="C32" s="23" t="s">
        <v>53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55</v>
      </c>
      <c r="J32" s="19"/>
      <c r="K32" s="19">
        <v>4106000</v>
      </c>
      <c r="L32" s="312">
        <f t="shared" si="1"/>
        <v>4106000</v>
      </c>
    </row>
    <row r="33" spans="1:12" ht="63" hidden="1" x14ac:dyDescent="0.2">
      <c r="A33" s="23" t="s">
        <v>20</v>
      </c>
      <c r="B33" s="23" t="s">
        <v>15</v>
      </c>
      <c r="C33" s="23" t="s">
        <v>53</v>
      </c>
      <c r="D33" s="23"/>
      <c r="E33" s="23" t="s">
        <v>56</v>
      </c>
      <c r="F33" s="23" t="s">
        <v>18</v>
      </c>
      <c r="G33" s="24" t="s">
        <v>17</v>
      </c>
      <c r="H33" s="24" t="s">
        <v>46</v>
      </c>
      <c r="I33" s="18" t="s">
        <v>57</v>
      </c>
      <c r="J33" s="19"/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58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59</v>
      </c>
      <c r="I34" s="14" t="s">
        <v>60</v>
      </c>
      <c r="J34" s="22"/>
      <c r="K34" s="22">
        <f t="shared" ref="K34" si="8">K35</f>
        <v>59275000</v>
      </c>
      <c r="L34" s="15">
        <f t="shared" si="1"/>
        <v>59275000</v>
      </c>
    </row>
    <row r="35" spans="1:12" ht="51" customHeight="1" x14ac:dyDescent="0.2">
      <c r="A35" s="23" t="s">
        <v>14</v>
      </c>
      <c r="B35" s="23" t="s">
        <v>15</v>
      </c>
      <c r="C35" s="23" t="s">
        <v>58</v>
      </c>
      <c r="D35" s="23" t="s">
        <v>18</v>
      </c>
      <c r="E35" s="23" t="s">
        <v>61</v>
      </c>
      <c r="F35" s="23" t="s">
        <v>28</v>
      </c>
      <c r="G35" s="24" t="s">
        <v>17</v>
      </c>
      <c r="H35" s="24" t="s">
        <v>59</v>
      </c>
      <c r="I35" s="18" t="s">
        <v>62</v>
      </c>
      <c r="J35" s="19"/>
      <c r="K35" s="19">
        <v>59275000</v>
      </c>
      <c r="L35" s="312">
        <f t="shared" si="1"/>
        <v>59275000</v>
      </c>
    </row>
    <row r="36" spans="1:12" ht="31.5" x14ac:dyDescent="0.2">
      <c r="A36" s="20" t="s">
        <v>14</v>
      </c>
      <c r="B36" s="20" t="s">
        <v>15</v>
      </c>
      <c r="C36" s="20" t="s">
        <v>63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64</v>
      </c>
      <c r="J36" s="22"/>
      <c r="K36" s="22">
        <f t="shared" ref="K36" si="9">K37+K38</f>
        <v>4075000</v>
      </c>
      <c r="L36" s="15">
        <f t="shared" si="1"/>
        <v>4075000</v>
      </c>
    </row>
    <row r="37" spans="1:12" ht="115.5" customHeight="1" x14ac:dyDescent="0.2">
      <c r="A37" s="23" t="s">
        <v>45</v>
      </c>
      <c r="B37" s="23" t="s">
        <v>15</v>
      </c>
      <c r="C37" s="23" t="s">
        <v>63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65</v>
      </c>
      <c r="J37" s="19"/>
      <c r="K37" s="19">
        <v>2500000</v>
      </c>
      <c r="L37" s="312">
        <f t="shared" si="1"/>
        <v>2500000</v>
      </c>
    </row>
    <row r="38" spans="1:12" ht="47.25" x14ac:dyDescent="0.2">
      <c r="A38" s="343" t="s">
        <v>14</v>
      </c>
      <c r="B38" s="343" t="s">
        <v>15</v>
      </c>
      <c r="C38" s="343" t="s">
        <v>63</v>
      </c>
      <c r="D38" s="343" t="s">
        <v>66</v>
      </c>
      <c r="E38" s="343" t="s">
        <v>14</v>
      </c>
      <c r="F38" s="343" t="s">
        <v>16</v>
      </c>
      <c r="G38" s="344" t="s">
        <v>17</v>
      </c>
      <c r="H38" s="344" t="s">
        <v>67</v>
      </c>
      <c r="I38" s="345" t="s">
        <v>68</v>
      </c>
      <c r="J38" s="346"/>
      <c r="K38" s="346">
        <f>K39+K40+K41</f>
        <v>1575000</v>
      </c>
      <c r="L38" s="347">
        <f t="shared" si="1"/>
        <v>1575000</v>
      </c>
    </row>
    <row r="39" spans="1:12" ht="81" customHeight="1" x14ac:dyDescent="0.2">
      <c r="A39" s="23" t="s">
        <v>45</v>
      </c>
      <c r="B39" s="23" t="s">
        <v>15</v>
      </c>
      <c r="C39" s="23" t="s">
        <v>63</v>
      </c>
      <c r="D39" s="23" t="s">
        <v>66</v>
      </c>
      <c r="E39" s="23" t="s">
        <v>69</v>
      </c>
      <c r="F39" s="23" t="s">
        <v>28</v>
      </c>
      <c r="G39" s="24" t="s">
        <v>17</v>
      </c>
      <c r="H39" s="24" t="s">
        <v>67</v>
      </c>
      <c r="I39" s="18" t="s">
        <v>1231</v>
      </c>
      <c r="J39" s="19"/>
      <c r="K39" s="19">
        <v>350000</v>
      </c>
      <c r="L39" s="312">
        <f t="shared" si="1"/>
        <v>350000</v>
      </c>
    </row>
    <row r="40" spans="1:12" ht="66.75" customHeight="1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58</v>
      </c>
      <c r="G40" s="24" t="s">
        <v>17</v>
      </c>
      <c r="H40" s="24" t="s">
        <v>67</v>
      </c>
      <c r="I40" s="18" t="s">
        <v>71</v>
      </c>
      <c r="J40" s="19"/>
      <c r="K40" s="19">
        <v>225000</v>
      </c>
      <c r="L40" s="312">
        <f t="shared" si="1"/>
        <v>225000</v>
      </c>
    </row>
    <row r="41" spans="1:12" ht="77.25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72</v>
      </c>
      <c r="F41" s="23" t="s">
        <v>28</v>
      </c>
      <c r="G41" s="24" t="s">
        <v>17</v>
      </c>
      <c r="H41" s="24" t="s">
        <v>67</v>
      </c>
      <c r="I41" s="18" t="s">
        <v>73</v>
      </c>
      <c r="J41" s="19"/>
      <c r="K41" s="19">
        <v>1000000</v>
      </c>
      <c r="L41" s="312">
        <f t="shared" si="1"/>
        <v>1000000</v>
      </c>
    </row>
    <row r="42" spans="1:12" ht="18.95" customHeight="1" x14ac:dyDescent="0.2">
      <c r="A42" s="20" t="s">
        <v>14</v>
      </c>
      <c r="B42" s="20" t="s">
        <v>15</v>
      </c>
      <c r="C42" s="20" t="s">
        <v>74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75</v>
      </c>
      <c r="J42" s="22"/>
      <c r="K42" s="22">
        <v>1687000</v>
      </c>
      <c r="L42" s="15">
        <f t="shared" si="1"/>
        <v>1687000</v>
      </c>
    </row>
    <row r="43" spans="1:12" ht="24.75" customHeight="1" x14ac:dyDescent="0.2">
      <c r="A43" s="20" t="s">
        <v>14</v>
      </c>
      <c r="B43" s="20" t="s">
        <v>15</v>
      </c>
      <c r="C43" s="20" t="s">
        <v>76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77</v>
      </c>
      <c r="J43" s="22"/>
      <c r="K43" s="22">
        <v>380000</v>
      </c>
      <c r="L43" s="15">
        <f t="shared" si="1"/>
        <v>380000</v>
      </c>
    </row>
    <row r="44" spans="1:12" ht="22.7" customHeight="1" x14ac:dyDescent="0.2">
      <c r="A44" s="20" t="s">
        <v>14</v>
      </c>
      <c r="B44" s="20" t="s">
        <v>78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79</v>
      </c>
      <c r="J44" s="22"/>
      <c r="K44" s="22">
        <f>K45+K164</f>
        <v>1718962948</v>
      </c>
      <c r="L44" s="15">
        <f t="shared" si="1"/>
        <v>1718962948</v>
      </c>
    </row>
    <row r="45" spans="1:12" ht="47.25" x14ac:dyDescent="0.2">
      <c r="A45" s="20" t="s">
        <v>14</v>
      </c>
      <c r="B45" s="20" t="s">
        <v>78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80</v>
      </c>
      <c r="J45" s="22"/>
      <c r="K45" s="22">
        <f>K46+K50+K69+K115</f>
        <v>1718962948</v>
      </c>
      <c r="L45" s="15">
        <f t="shared" si="1"/>
        <v>1718962948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70</v>
      </c>
      <c r="E46" s="20" t="s">
        <v>14</v>
      </c>
      <c r="F46" s="20" t="s">
        <v>16</v>
      </c>
      <c r="G46" s="27" t="s">
        <v>17</v>
      </c>
      <c r="H46" s="27" t="s">
        <v>1285</v>
      </c>
      <c r="I46" s="28" t="s">
        <v>82</v>
      </c>
      <c r="J46" s="22"/>
      <c r="K46" s="22">
        <f>K47+K48+K49</f>
        <v>499573000</v>
      </c>
      <c r="L46" s="15">
        <f t="shared" si="1"/>
        <v>499573000</v>
      </c>
    </row>
    <row r="47" spans="1:12" ht="46.5" customHeight="1" x14ac:dyDescent="0.2">
      <c r="A47" s="23" t="s">
        <v>83</v>
      </c>
      <c r="B47" s="23" t="s">
        <v>78</v>
      </c>
      <c r="C47" s="23" t="s">
        <v>21</v>
      </c>
      <c r="D47" s="23" t="s">
        <v>754</v>
      </c>
      <c r="E47" s="23" t="s">
        <v>84</v>
      </c>
      <c r="F47" s="23" t="s">
        <v>28</v>
      </c>
      <c r="G47" s="29" t="s">
        <v>17</v>
      </c>
      <c r="H47" s="29" t="s">
        <v>1285</v>
      </c>
      <c r="I47" s="30" t="s">
        <v>85</v>
      </c>
      <c r="J47" s="19"/>
      <c r="K47" s="19">
        <v>427145000</v>
      </c>
      <c r="L47" s="312">
        <f t="shared" si="1"/>
        <v>427145000</v>
      </c>
    </row>
    <row r="48" spans="1:12" ht="51.75" customHeight="1" x14ac:dyDescent="0.2">
      <c r="A48" s="23" t="s">
        <v>83</v>
      </c>
      <c r="B48" s="23" t="s">
        <v>78</v>
      </c>
      <c r="C48" s="23" t="s">
        <v>21</v>
      </c>
      <c r="D48" s="23" t="s">
        <v>754</v>
      </c>
      <c r="E48" s="23" t="s">
        <v>1165</v>
      </c>
      <c r="F48" s="23" t="s">
        <v>28</v>
      </c>
      <c r="G48" s="29" t="s">
        <v>17</v>
      </c>
      <c r="H48" s="29" t="s">
        <v>1285</v>
      </c>
      <c r="I48" s="30" t="s">
        <v>86</v>
      </c>
      <c r="J48" s="19"/>
      <c r="K48" s="19">
        <v>72428000</v>
      </c>
      <c r="L48" s="312">
        <f t="shared" si="1"/>
        <v>72428000</v>
      </c>
    </row>
    <row r="49" spans="1:12" ht="66" hidden="1" customHeight="1" x14ac:dyDescent="0.2">
      <c r="A49" s="23" t="s">
        <v>83</v>
      </c>
      <c r="B49" s="23" t="s">
        <v>78</v>
      </c>
      <c r="C49" s="23" t="s">
        <v>21</v>
      </c>
      <c r="D49" s="23" t="s">
        <v>1539</v>
      </c>
      <c r="E49" s="23" t="s">
        <v>93</v>
      </c>
      <c r="F49" s="23" t="s">
        <v>28</v>
      </c>
      <c r="G49" s="29" t="s">
        <v>1540</v>
      </c>
      <c r="H49" s="29" t="s">
        <v>1285</v>
      </c>
      <c r="I49" s="30" t="s">
        <v>1538</v>
      </c>
      <c r="J49" s="19"/>
      <c r="K49" s="19"/>
      <c r="L49" s="312">
        <f t="shared" si="1"/>
        <v>0</v>
      </c>
    </row>
    <row r="50" spans="1:12" ht="51" customHeight="1" x14ac:dyDescent="0.2">
      <c r="A50" s="20" t="s">
        <v>14</v>
      </c>
      <c r="B50" s="20" t="s">
        <v>78</v>
      </c>
      <c r="C50" s="20" t="s">
        <v>21</v>
      </c>
      <c r="D50" s="20" t="s">
        <v>1166</v>
      </c>
      <c r="E50" s="20" t="s">
        <v>14</v>
      </c>
      <c r="F50" s="20" t="s">
        <v>16</v>
      </c>
      <c r="G50" s="27" t="s">
        <v>17</v>
      </c>
      <c r="H50" s="27" t="s">
        <v>1285</v>
      </c>
      <c r="I50" s="28" t="s">
        <v>87</v>
      </c>
      <c r="J50" s="22"/>
      <c r="K50" s="22">
        <f>K51+K56+K61+K64+K65+K60</f>
        <v>69268957</v>
      </c>
      <c r="L50" s="15">
        <f t="shared" si="1"/>
        <v>69268957</v>
      </c>
    </row>
    <row r="51" spans="1:12" ht="33" customHeight="1" x14ac:dyDescent="0.2">
      <c r="A51" s="23" t="s">
        <v>37</v>
      </c>
      <c r="B51" s="23" t="s">
        <v>78</v>
      </c>
      <c r="C51" s="23" t="s">
        <v>21</v>
      </c>
      <c r="D51" s="23" t="s">
        <v>1166</v>
      </c>
      <c r="E51" s="23" t="s">
        <v>89</v>
      </c>
      <c r="F51" s="23" t="s">
        <v>28</v>
      </c>
      <c r="G51" s="29" t="s">
        <v>17</v>
      </c>
      <c r="H51" s="29" t="s">
        <v>1285</v>
      </c>
      <c r="I51" s="30" t="s">
        <v>90</v>
      </c>
      <c r="J51" s="19"/>
      <c r="K51" s="19">
        <v>10771487</v>
      </c>
      <c r="L51" s="312">
        <f>SUM(J51:K51)</f>
        <v>10771487</v>
      </c>
    </row>
    <row r="52" spans="1:12" ht="39" hidden="1" customHeight="1" x14ac:dyDescent="0.2">
      <c r="A52" s="31" t="s">
        <v>37</v>
      </c>
      <c r="B52" s="31" t="s">
        <v>78</v>
      </c>
      <c r="C52" s="31" t="s">
        <v>21</v>
      </c>
      <c r="D52" s="31" t="s">
        <v>1166</v>
      </c>
      <c r="E52" s="31" t="s">
        <v>1221</v>
      </c>
      <c r="F52" s="31" t="s">
        <v>28</v>
      </c>
      <c r="G52" s="32" t="s">
        <v>17</v>
      </c>
      <c r="H52" s="32" t="s">
        <v>1285</v>
      </c>
      <c r="I52" s="334" t="s">
        <v>1290</v>
      </c>
      <c r="J52" s="34"/>
      <c r="K52" s="34"/>
      <c r="L52" s="312">
        <f t="shared" si="1"/>
        <v>0</v>
      </c>
    </row>
    <row r="53" spans="1:12" ht="83.25" hidden="1" customHeight="1" x14ac:dyDescent="0.2">
      <c r="A53" s="23" t="s">
        <v>94</v>
      </c>
      <c r="B53" s="23" t="s">
        <v>78</v>
      </c>
      <c r="C53" s="23" t="s">
        <v>21</v>
      </c>
      <c r="D53" s="23" t="s">
        <v>1650</v>
      </c>
      <c r="E53" s="23" t="s">
        <v>1651</v>
      </c>
      <c r="F53" s="23" t="s">
        <v>28</v>
      </c>
      <c r="G53" s="29" t="s">
        <v>17</v>
      </c>
      <c r="H53" s="29" t="s">
        <v>1285</v>
      </c>
      <c r="I53" s="35" t="s">
        <v>1652</v>
      </c>
      <c r="J53" s="19"/>
      <c r="K53" s="19"/>
      <c r="L53" s="312">
        <f>SUM(J53:K53)</f>
        <v>0</v>
      </c>
    </row>
    <row r="54" spans="1:12" ht="83.25" hidden="1" customHeight="1" x14ac:dyDescent="0.2">
      <c r="A54" s="23" t="s">
        <v>37</v>
      </c>
      <c r="B54" s="23" t="s">
        <v>78</v>
      </c>
      <c r="C54" s="23" t="s">
        <v>21</v>
      </c>
      <c r="D54" s="23" t="s">
        <v>1650</v>
      </c>
      <c r="E54" s="23" t="s">
        <v>1832</v>
      </c>
      <c r="F54" s="23" t="s">
        <v>28</v>
      </c>
      <c r="G54" s="29" t="s">
        <v>17</v>
      </c>
      <c r="H54" s="29" t="s">
        <v>1285</v>
      </c>
      <c r="I54" s="35" t="s">
        <v>1629</v>
      </c>
      <c r="J54" s="19"/>
      <c r="K54" s="19"/>
      <c r="L54" s="312">
        <f>J54+K54</f>
        <v>0</v>
      </c>
    </row>
    <row r="55" spans="1:12" ht="81.95" hidden="1" customHeight="1" x14ac:dyDescent="0.2">
      <c r="A55" s="23" t="s">
        <v>92</v>
      </c>
      <c r="B55" s="23" t="s">
        <v>78</v>
      </c>
      <c r="C55" s="23" t="s">
        <v>21</v>
      </c>
      <c r="D55" s="23" t="s">
        <v>1650</v>
      </c>
      <c r="E55" s="23" t="s">
        <v>1800</v>
      </c>
      <c r="F55" s="23" t="s">
        <v>28</v>
      </c>
      <c r="G55" s="29" t="s">
        <v>17</v>
      </c>
      <c r="H55" s="29" t="s">
        <v>1285</v>
      </c>
      <c r="I55" s="35" t="s">
        <v>1801</v>
      </c>
      <c r="J55" s="19"/>
      <c r="K55" s="19"/>
      <c r="L55" s="312">
        <f>SUM(J55:K55)</f>
        <v>0</v>
      </c>
    </row>
    <row r="56" spans="1:12" ht="100.5" customHeight="1" x14ac:dyDescent="0.2">
      <c r="A56" s="321" t="s">
        <v>92</v>
      </c>
      <c r="B56" s="23" t="s">
        <v>78</v>
      </c>
      <c r="C56" s="23" t="s">
        <v>21</v>
      </c>
      <c r="D56" s="23" t="s">
        <v>1650</v>
      </c>
      <c r="E56" s="23" t="s">
        <v>1728</v>
      </c>
      <c r="F56" s="23" t="s">
        <v>28</v>
      </c>
      <c r="G56" s="653" t="s">
        <v>17</v>
      </c>
      <c r="H56" s="29" t="s">
        <v>1285</v>
      </c>
      <c r="I56" s="30" t="s">
        <v>1915</v>
      </c>
      <c r="J56" s="19"/>
      <c r="K56" s="19">
        <v>3476247</v>
      </c>
      <c r="L56" s="312">
        <f>SUM(J56:K56)</f>
        <v>3476247</v>
      </c>
    </row>
    <row r="57" spans="1:12" ht="96.75" hidden="1" customHeight="1" x14ac:dyDescent="0.2">
      <c r="A57" s="23" t="s">
        <v>37</v>
      </c>
      <c r="B57" s="23" t="s">
        <v>78</v>
      </c>
      <c r="C57" s="23" t="s">
        <v>21</v>
      </c>
      <c r="D57" s="23" t="s">
        <v>1167</v>
      </c>
      <c r="E57" s="23" t="s">
        <v>93</v>
      </c>
      <c r="F57" s="23" t="s">
        <v>28</v>
      </c>
      <c r="G57" s="29" t="s">
        <v>1585</v>
      </c>
      <c r="H57" s="29" t="s">
        <v>1285</v>
      </c>
      <c r="I57" s="35" t="s">
        <v>441</v>
      </c>
      <c r="J57" s="19"/>
      <c r="K57" s="19"/>
      <c r="L57" s="312">
        <f t="shared" si="1"/>
        <v>0</v>
      </c>
    </row>
    <row r="58" spans="1:12" ht="48" hidden="1" customHeight="1" x14ac:dyDescent="0.2">
      <c r="A58" s="23" t="s">
        <v>92</v>
      </c>
      <c r="B58" s="23" t="s">
        <v>78</v>
      </c>
      <c r="C58" s="23" t="s">
        <v>21</v>
      </c>
      <c r="D58" s="23" t="s">
        <v>1167</v>
      </c>
      <c r="E58" s="23" t="s">
        <v>93</v>
      </c>
      <c r="F58" s="23" t="s">
        <v>28</v>
      </c>
      <c r="G58" s="29" t="s">
        <v>1802</v>
      </c>
      <c r="H58" s="29" t="s">
        <v>1285</v>
      </c>
      <c r="I58" s="35" t="s">
        <v>1803</v>
      </c>
      <c r="J58" s="19"/>
      <c r="K58" s="19"/>
      <c r="L58" s="312">
        <f t="shared" si="1"/>
        <v>0</v>
      </c>
    </row>
    <row r="59" spans="1:12" ht="33.75" hidden="1" customHeight="1" x14ac:dyDescent="0.2">
      <c r="A59" s="23" t="s">
        <v>92</v>
      </c>
      <c r="B59" s="23" t="s">
        <v>78</v>
      </c>
      <c r="C59" s="23" t="s">
        <v>21</v>
      </c>
      <c r="D59" s="23" t="s">
        <v>1167</v>
      </c>
      <c r="E59" s="23" t="s">
        <v>93</v>
      </c>
      <c r="F59" s="23" t="s">
        <v>28</v>
      </c>
      <c r="G59" s="29" t="s">
        <v>1804</v>
      </c>
      <c r="H59" s="29" t="s">
        <v>1285</v>
      </c>
      <c r="I59" s="35" t="s">
        <v>1805</v>
      </c>
      <c r="J59" s="19"/>
      <c r="K59" s="19"/>
      <c r="L59" s="312">
        <f t="shared" si="1"/>
        <v>0</v>
      </c>
    </row>
    <row r="60" spans="1:12" ht="65.25" customHeight="1" x14ac:dyDescent="0.2">
      <c r="A60" s="321" t="s">
        <v>92</v>
      </c>
      <c r="B60" s="23" t="s">
        <v>78</v>
      </c>
      <c r="C60" s="23" t="s">
        <v>21</v>
      </c>
      <c r="D60" s="23" t="s">
        <v>1650</v>
      </c>
      <c r="E60" s="23" t="s">
        <v>1728</v>
      </c>
      <c r="F60" s="23" t="s">
        <v>28</v>
      </c>
      <c r="G60" s="653" t="s">
        <v>17</v>
      </c>
      <c r="H60" s="29" t="s">
        <v>1285</v>
      </c>
      <c r="I60" s="30" t="s">
        <v>1916</v>
      </c>
      <c r="J60" s="19"/>
      <c r="K60" s="19">
        <v>14064602</v>
      </c>
      <c r="L60" s="312"/>
    </row>
    <row r="61" spans="1:12" ht="64.5" customHeight="1" x14ac:dyDescent="0.2">
      <c r="A61" s="23" t="s">
        <v>94</v>
      </c>
      <c r="B61" s="23" t="s">
        <v>78</v>
      </c>
      <c r="C61" s="23" t="s">
        <v>21</v>
      </c>
      <c r="D61" s="23" t="s">
        <v>1167</v>
      </c>
      <c r="E61" s="23" t="s">
        <v>93</v>
      </c>
      <c r="F61" s="23" t="s">
        <v>28</v>
      </c>
      <c r="G61" s="29" t="s">
        <v>1220</v>
      </c>
      <c r="H61" s="29" t="s">
        <v>1285</v>
      </c>
      <c r="I61" s="35" t="s">
        <v>95</v>
      </c>
      <c r="J61" s="19"/>
      <c r="K61" s="19">
        <v>739692</v>
      </c>
      <c r="L61" s="312">
        <f t="shared" si="1"/>
        <v>739692</v>
      </c>
    </row>
    <row r="62" spans="1:12" ht="64.5" hidden="1" customHeight="1" x14ac:dyDescent="0.2">
      <c r="A62" s="23" t="s">
        <v>37</v>
      </c>
      <c r="B62" s="23" t="s">
        <v>78</v>
      </c>
      <c r="C62" s="23" t="s">
        <v>21</v>
      </c>
      <c r="D62" s="23" t="s">
        <v>1167</v>
      </c>
      <c r="E62" s="23" t="s">
        <v>93</v>
      </c>
      <c r="F62" s="23" t="s">
        <v>28</v>
      </c>
      <c r="G62" s="29" t="s">
        <v>1806</v>
      </c>
      <c r="H62" s="29" t="s">
        <v>1285</v>
      </c>
      <c r="I62" s="35" t="s">
        <v>1807</v>
      </c>
      <c r="J62" s="19"/>
      <c r="K62" s="19"/>
      <c r="L62" s="312">
        <f t="shared" si="1"/>
        <v>0</v>
      </c>
    </row>
    <row r="63" spans="1:12" ht="63.95" hidden="1" customHeight="1" x14ac:dyDescent="0.2">
      <c r="A63" s="23" t="s">
        <v>37</v>
      </c>
      <c r="B63" s="23" t="s">
        <v>78</v>
      </c>
      <c r="C63" s="23" t="s">
        <v>21</v>
      </c>
      <c r="D63" s="23" t="s">
        <v>1167</v>
      </c>
      <c r="E63" s="23" t="s">
        <v>93</v>
      </c>
      <c r="F63" s="23" t="s">
        <v>28</v>
      </c>
      <c r="G63" s="29" t="s">
        <v>1586</v>
      </c>
      <c r="H63" s="29" t="s">
        <v>1285</v>
      </c>
      <c r="I63" s="35" t="s">
        <v>1587</v>
      </c>
      <c r="J63" s="19"/>
      <c r="K63" s="19"/>
      <c r="L63" s="19">
        <f t="shared" si="1"/>
        <v>0</v>
      </c>
    </row>
    <row r="64" spans="1:12" ht="65.25" customHeight="1" x14ac:dyDescent="0.2">
      <c r="A64" s="321" t="s">
        <v>94</v>
      </c>
      <c r="B64" s="23" t="s">
        <v>78</v>
      </c>
      <c r="C64" s="23" t="s">
        <v>21</v>
      </c>
      <c r="D64" s="23" t="s">
        <v>1167</v>
      </c>
      <c r="E64" s="23" t="s">
        <v>93</v>
      </c>
      <c r="F64" s="23" t="s">
        <v>28</v>
      </c>
      <c r="G64" s="333" t="s">
        <v>1288</v>
      </c>
      <c r="H64" s="29" t="s">
        <v>1285</v>
      </c>
      <c r="I64" s="30" t="s">
        <v>1287</v>
      </c>
      <c r="J64" s="19"/>
      <c r="K64" s="19">
        <v>10006029</v>
      </c>
      <c r="L64" s="312">
        <f t="shared" si="1"/>
        <v>10006029</v>
      </c>
    </row>
    <row r="65" spans="1:12" ht="51" customHeight="1" x14ac:dyDescent="0.2">
      <c r="A65" s="321" t="s">
        <v>92</v>
      </c>
      <c r="B65" s="23" t="s">
        <v>78</v>
      </c>
      <c r="C65" s="23" t="s">
        <v>21</v>
      </c>
      <c r="D65" s="23" t="s">
        <v>1167</v>
      </c>
      <c r="E65" s="23" t="s">
        <v>93</v>
      </c>
      <c r="F65" s="23" t="s">
        <v>28</v>
      </c>
      <c r="G65" s="333" t="s">
        <v>1286</v>
      </c>
      <c r="H65" s="29" t="s">
        <v>1285</v>
      </c>
      <c r="I65" s="30" t="s">
        <v>1289</v>
      </c>
      <c r="J65" s="19"/>
      <c r="K65" s="19">
        <v>30210900</v>
      </c>
      <c r="L65" s="312">
        <f t="shared" si="1"/>
        <v>30210900</v>
      </c>
    </row>
    <row r="66" spans="1:12" ht="0.95" hidden="1" customHeight="1" x14ac:dyDescent="0.2">
      <c r="A66" s="321" t="s">
        <v>92</v>
      </c>
      <c r="B66" s="23" t="s">
        <v>78</v>
      </c>
      <c r="C66" s="23" t="s">
        <v>21</v>
      </c>
      <c r="D66" s="23" t="s">
        <v>1167</v>
      </c>
      <c r="E66" s="23" t="s">
        <v>93</v>
      </c>
      <c r="F66" s="23" t="s">
        <v>28</v>
      </c>
      <c r="G66" s="333" t="s">
        <v>1750</v>
      </c>
      <c r="H66" s="29" t="s">
        <v>1285</v>
      </c>
      <c r="I66" s="767" t="s">
        <v>1755</v>
      </c>
      <c r="J66" s="19"/>
      <c r="K66" s="19"/>
      <c r="L66" s="312">
        <f t="shared" si="1"/>
        <v>0</v>
      </c>
    </row>
    <row r="67" spans="1:12" ht="66.75" hidden="1" customHeight="1" x14ac:dyDescent="0.2">
      <c r="A67" s="321" t="s">
        <v>37</v>
      </c>
      <c r="B67" s="23" t="s">
        <v>78</v>
      </c>
      <c r="C67" s="23" t="s">
        <v>21</v>
      </c>
      <c r="D67" s="23" t="s">
        <v>1167</v>
      </c>
      <c r="E67" s="23" t="s">
        <v>93</v>
      </c>
      <c r="F67" s="23" t="s">
        <v>28</v>
      </c>
      <c r="G67" s="333" t="s">
        <v>1808</v>
      </c>
      <c r="H67" s="29" t="s">
        <v>1285</v>
      </c>
      <c r="I67" s="786" t="s">
        <v>1809</v>
      </c>
      <c r="J67" s="19"/>
      <c r="K67" s="19"/>
      <c r="L67" s="312">
        <f t="shared" si="1"/>
        <v>0</v>
      </c>
    </row>
    <row r="68" spans="1:12" ht="67.7" hidden="1" customHeight="1" x14ac:dyDescent="0.2">
      <c r="A68" s="321" t="s">
        <v>94</v>
      </c>
      <c r="B68" s="23" t="s">
        <v>78</v>
      </c>
      <c r="C68" s="23" t="s">
        <v>21</v>
      </c>
      <c r="D68" s="23" t="s">
        <v>1167</v>
      </c>
      <c r="E68" s="23" t="s">
        <v>93</v>
      </c>
      <c r="F68" s="23" t="s">
        <v>28</v>
      </c>
      <c r="G68" s="653" t="s">
        <v>1749</v>
      </c>
      <c r="H68" s="29" t="s">
        <v>1285</v>
      </c>
      <c r="I68" s="767" t="s">
        <v>1754</v>
      </c>
      <c r="J68" s="19"/>
      <c r="K68" s="19"/>
      <c r="L68" s="312">
        <f t="shared" si="1"/>
        <v>0</v>
      </c>
    </row>
    <row r="69" spans="1:12" s="36" customFormat="1" ht="33" customHeight="1" x14ac:dyDescent="0.25">
      <c r="A69" s="20" t="s">
        <v>14</v>
      </c>
      <c r="B69" s="20" t="s">
        <v>78</v>
      </c>
      <c r="C69" s="20" t="s">
        <v>21</v>
      </c>
      <c r="D69" s="20" t="s">
        <v>1172</v>
      </c>
      <c r="E69" s="20" t="s">
        <v>14</v>
      </c>
      <c r="F69" s="20" t="s">
        <v>16</v>
      </c>
      <c r="G69" s="27" t="s">
        <v>17</v>
      </c>
      <c r="H69" s="27" t="s">
        <v>1285</v>
      </c>
      <c r="I69" s="28" t="s">
        <v>97</v>
      </c>
      <c r="J69" s="22"/>
      <c r="K69" s="22">
        <f>K70+K71+K72+K73+K74+K75+K76+K77+K78+K79+K80+K81+K82+K83+K84+K85+K86+K87+K88+K89+K90+K91+K92+K93+K94+K95+K96+K97+K98+K99+K100+K101+K102+K103+K104+K105+K106+K108+K109+K110+K111+K112+K113+K114</f>
        <v>1127826455</v>
      </c>
      <c r="L69" s="22">
        <f>J69+K69</f>
        <v>1127826455</v>
      </c>
    </row>
    <row r="70" spans="1:12" s="366" customFormat="1" ht="50.45" customHeight="1" x14ac:dyDescent="0.25">
      <c r="A70" s="23" t="s">
        <v>98</v>
      </c>
      <c r="B70" s="23" t="s">
        <v>78</v>
      </c>
      <c r="C70" s="23" t="s">
        <v>21</v>
      </c>
      <c r="D70" s="23" t="s">
        <v>1172</v>
      </c>
      <c r="E70" s="23" t="s">
        <v>1293</v>
      </c>
      <c r="F70" s="23" t="s">
        <v>28</v>
      </c>
      <c r="G70" s="29" t="s">
        <v>17</v>
      </c>
      <c r="H70" s="29" t="s">
        <v>1285</v>
      </c>
      <c r="I70" s="30" t="s">
        <v>102</v>
      </c>
      <c r="J70" s="19"/>
      <c r="K70" s="19">
        <v>25274000</v>
      </c>
      <c r="L70" s="312">
        <f>J70+K70</f>
        <v>25274000</v>
      </c>
    </row>
    <row r="71" spans="1:12" s="311" customFormat="1" ht="69" customHeight="1" x14ac:dyDescent="0.25">
      <c r="A71" s="23" t="s">
        <v>98</v>
      </c>
      <c r="B71" s="23" t="s">
        <v>78</v>
      </c>
      <c r="C71" s="23" t="s">
        <v>21</v>
      </c>
      <c r="D71" s="23" t="s">
        <v>1172</v>
      </c>
      <c r="E71" s="23" t="s">
        <v>103</v>
      </c>
      <c r="F71" s="23" t="s">
        <v>28</v>
      </c>
      <c r="G71" s="29" t="s">
        <v>1200</v>
      </c>
      <c r="H71" s="29" t="s">
        <v>1285</v>
      </c>
      <c r="I71" s="18" t="s">
        <v>106</v>
      </c>
      <c r="J71" s="19"/>
      <c r="K71" s="19">
        <v>80668</v>
      </c>
      <c r="L71" s="312">
        <f>J71+K71</f>
        <v>80668</v>
      </c>
    </row>
    <row r="72" spans="1:12" s="311" customFormat="1" ht="49.7" customHeight="1" x14ac:dyDescent="0.25">
      <c r="A72" s="23" t="s">
        <v>98</v>
      </c>
      <c r="B72" s="23" t="s">
        <v>78</v>
      </c>
      <c r="C72" s="23" t="s">
        <v>21</v>
      </c>
      <c r="D72" s="23" t="s">
        <v>1172</v>
      </c>
      <c r="E72" s="23" t="s">
        <v>103</v>
      </c>
      <c r="F72" s="23" t="s">
        <v>28</v>
      </c>
      <c r="G72" s="29" t="s">
        <v>1201</v>
      </c>
      <c r="H72" s="29" t="s">
        <v>1285</v>
      </c>
      <c r="I72" s="840" t="s">
        <v>1252</v>
      </c>
      <c r="J72" s="19"/>
      <c r="K72" s="19">
        <v>2275344</v>
      </c>
      <c r="L72" s="312">
        <f t="shared" ref="L72:L103" si="10">SUM(J72:K72)</f>
        <v>2275344</v>
      </c>
    </row>
    <row r="73" spans="1:12" s="311" customFormat="1" ht="79.5" customHeight="1" x14ac:dyDescent="0.25">
      <c r="A73" s="23" t="s">
        <v>98</v>
      </c>
      <c r="B73" s="23" t="s">
        <v>78</v>
      </c>
      <c r="C73" s="23" t="s">
        <v>21</v>
      </c>
      <c r="D73" s="23" t="s">
        <v>1172</v>
      </c>
      <c r="E73" s="23" t="s">
        <v>103</v>
      </c>
      <c r="F73" s="23" t="s">
        <v>28</v>
      </c>
      <c r="G73" s="29" t="s">
        <v>1202</v>
      </c>
      <c r="H73" s="29" t="s">
        <v>1285</v>
      </c>
      <c r="I73" s="848" t="s">
        <v>107</v>
      </c>
      <c r="J73" s="19"/>
      <c r="K73" s="19">
        <v>68812000</v>
      </c>
      <c r="L73" s="312">
        <f t="shared" si="10"/>
        <v>68812000</v>
      </c>
    </row>
    <row r="74" spans="1:12" s="311" customFormat="1" ht="84" customHeight="1" x14ac:dyDescent="0.25">
      <c r="A74" s="23" t="s">
        <v>94</v>
      </c>
      <c r="B74" s="23" t="s">
        <v>78</v>
      </c>
      <c r="C74" s="23" t="s">
        <v>21</v>
      </c>
      <c r="D74" s="23" t="s">
        <v>1172</v>
      </c>
      <c r="E74" s="23" t="s">
        <v>103</v>
      </c>
      <c r="F74" s="23" t="s">
        <v>28</v>
      </c>
      <c r="G74" s="29" t="s">
        <v>1217</v>
      </c>
      <c r="H74" s="29" t="s">
        <v>1285</v>
      </c>
      <c r="I74" s="18" t="s">
        <v>121</v>
      </c>
      <c r="J74" s="19"/>
      <c r="K74" s="19">
        <v>4588650</v>
      </c>
      <c r="L74" s="312">
        <f t="shared" si="10"/>
        <v>4588650</v>
      </c>
    </row>
    <row r="75" spans="1:12" s="311" customFormat="1" ht="51" customHeight="1" x14ac:dyDescent="0.25">
      <c r="A75" s="23" t="s">
        <v>94</v>
      </c>
      <c r="B75" s="23" t="s">
        <v>78</v>
      </c>
      <c r="C75" s="23" t="s">
        <v>21</v>
      </c>
      <c r="D75" s="23" t="s">
        <v>1172</v>
      </c>
      <c r="E75" s="23" t="s">
        <v>103</v>
      </c>
      <c r="F75" s="23" t="s">
        <v>28</v>
      </c>
      <c r="G75" s="29" t="s">
        <v>1214</v>
      </c>
      <c r="H75" s="29" t="s">
        <v>1285</v>
      </c>
      <c r="I75" s="18" t="s">
        <v>118</v>
      </c>
      <c r="J75" s="19"/>
      <c r="K75" s="19">
        <v>133429</v>
      </c>
      <c r="L75" s="312">
        <f t="shared" si="10"/>
        <v>133429</v>
      </c>
    </row>
    <row r="76" spans="1:12" s="311" customFormat="1" ht="88.15" customHeight="1" x14ac:dyDescent="0.25">
      <c r="A76" s="23" t="s">
        <v>94</v>
      </c>
      <c r="B76" s="23" t="s">
        <v>78</v>
      </c>
      <c r="C76" s="23" t="s">
        <v>21</v>
      </c>
      <c r="D76" s="23" t="s">
        <v>1172</v>
      </c>
      <c r="E76" s="23" t="s">
        <v>103</v>
      </c>
      <c r="F76" s="23" t="s">
        <v>28</v>
      </c>
      <c r="G76" s="29" t="s">
        <v>1212</v>
      </c>
      <c r="H76" s="29" t="s">
        <v>1285</v>
      </c>
      <c r="I76" s="840" t="s">
        <v>116</v>
      </c>
      <c r="J76" s="19"/>
      <c r="K76" s="19">
        <v>11368236</v>
      </c>
      <c r="L76" s="312">
        <f t="shared" si="10"/>
        <v>11368236</v>
      </c>
    </row>
    <row r="77" spans="1:12" s="311" customFormat="1" ht="33" customHeight="1" x14ac:dyDescent="0.25">
      <c r="A77" s="23" t="s">
        <v>94</v>
      </c>
      <c r="B77" s="23" t="s">
        <v>78</v>
      </c>
      <c r="C77" s="23" t="s">
        <v>21</v>
      </c>
      <c r="D77" s="23" t="s">
        <v>1172</v>
      </c>
      <c r="E77" s="23" t="s">
        <v>103</v>
      </c>
      <c r="F77" s="23" t="s">
        <v>28</v>
      </c>
      <c r="G77" s="29" t="s">
        <v>1210</v>
      </c>
      <c r="H77" s="29" t="s">
        <v>1285</v>
      </c>
      <c r="I77" s="848" t="s">
        <v>114</v>
      </c>
      <c r="J77" s="19"/>
      <c r="K77" s="19">
        <v>4369027</v>
      </c>
      <c r="L77" s="312">
        <f t="shared" si="10"/>
        <v>4369027</v>
      </c>
    </row>
    <row r="78" spans="1:12" s="311" customFormat="1" ht="51.75" customHeight="1" x14ac:dyDescent="0.25">
      <c r="A78" s="23" t="s">
        <v>94</v>
      </c>
      <c r="B78" s="23" t="s">
        <v>78</v>
      </c>
      <c r="C78" s="23" t="s">
        <v>21</v>
      </c>
      <c r="D78" s="23" t="s">
        <v>1172</v>
      </c>
      <c r="E78" s="23" t="s">
        <v>103</v>
      </c>
      <c r="F78" s="23" t="s">
        <v>28</v>
      </c>
      <c r="G78" s="29" t="s">
        <v>1197</v>
      </c>
      <c r="H78" s="29" t="s">
        <v>1285</v>
      </c>
      <c r="I78" s="18" t="s">
        <v>104</v>
      </c>
      <c r="J78" s="19"/>
      <c r="K78" s="19">
        <v>203206494</v>
      </c>
      <c r="L78" s="312">
        <f t="shared" si="10"/>
        <v>203206494</v>
      </c>
    </row>
    <row r="79" spans="1:12" s="311" customFormat="1" ht="50.25" customHeight="1" x14ac:dyDescent="0.25">
      <c r="A79" s="23" t="s">
        <v>94</v>
      </c>
      <c r="B79" s="23" t="s">
        <v>78</v>
      </c>
      <c r="C79" s="23" t="s">
        <v>21</v>
      </c>
      <c r="D79" s="23" t="s">
        <v>1172</v>
      </c>
      <c r="E79" s="23" t="s">
        <v>103</v>
      </c>
      <c r="F79" s="23" t="s">
        <v>28</v>
      </c>
      <c r="G79" s="29" t="s">
        <v>1211</v>
      </c>
      <c r="H79" s="29" t="s">
        <v>1285</v>
      </c>
      <c r="I79" s="18" t="s">
        <v>115</v>
      </c>
      <c r="J79" s="19"/>
      <c r="K79" s="19">
        <v>380504897</v>
      </c>
      <c r="L79" s="312">
        <f t="shared" si="10"/>
        <v>380504897</v>
      </c>
    </row>
    <row r="80" spans="1:12" s="311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1172</v>
      </c>
      <c r="E80" s="23" t="s">
        <v>103</v>
      </c>
      <c r="F80" s="23" t="s">
        <v>28</v>
      </c>
      <c r="G80" s="29" t="s">
        <v>1198</v>
      </c>
      <c r="H80" s="29" t="s">
        <v>1285</v>
      </c>
      <c r="I80" s="18" t="s">
        <v>105</v>
      </c>
      <c r="J80" s="19"/>
      <c r="K80" s="19">
        <v>18445281</v>
      </c>
      <c r="L80" s="312">
        <f t="shared" si="10"/>
        <v>18445281</v>
      </c>
    </row>
    <row r="81" spans="1:12" s="311" customFormat="1" ht="70.5" customHeight="1" x14ac:dyDescent="0.25">
      <c r="A81" s="23" t="s">
        <v>94</v>
      </c>
      <c r="B81" s="23" t="s">
        <v>78</v>
      </c>
      <c r="C81" s="23" t="s">
        <v>21</v>
      </c>
      <c r="D81" s="23" t="s">
        <v>1172</v>
      </c>
      <c r="E81" s="23" t="s">
        <v>103</v>
      </c>
      <c r="F81" s="23" t="s">
        <v>28</v>
      </c>
      <c r="G81" s="29" t="s">
        <v>1215</v>
      </c>
      <c r="H81" s="29" t="s">
        <v>1285</v>
      </c>
      <c r="I81" s="18" t="s">
        <v>120</v>
      </c>
      <c r="J81" s="19"/>
      <c r="K81" s="19">
        <v>31124721</v>
      </c>
      <c r="L81" s="312">
        <f t="shared" si="10"/>
        <v>31124721</v>
      </c>
    </row>
    <row r="82" spans="1:12" s="311" customFormat="1" ht="27" customHeight="1" x14ac:dyDescent="0.25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1206</v>
      </c>
      <c r="H82" s="29" t="s">
        <v>1285</v>
      </c>
      <c r="I82" s="18" t="s">
        <v>112</v>
      </c>
      <c r="J82" s="19"/>
      <c r="K82" s="19">
        <v>21013000</v>
      </c>
      <c r="L82" s="312">
        <f t="shared" si="10"/>
        <v>21013000</v>
      </c>
    </row>
    <row r="83" spans="1:12" s="311" customFormat="1" ht="117" customHeight="1" x14ac:dyDescent="0.25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1213</v>
      </c>
      <c r="H83" s="29" t="s">
        <v>1285</v>
      </c>
      <c r="I83" s="18" t="s">
        <v>117</v>
      </c>
      <c r="J83" s="19"/>
      <c r="K83" s="19">
        <v>86596900</v>
      </c>
      <c r="L83" s="312">
        <f t="shared" si="10"/>
        <v>86596900</v>
      </c>
    </row>
    <row r="84" spans="1:12" s="311" customFormat="1" ht="36.950000000000003" customHeight="1" x14ac:dyDescent="0.25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1207</v>
      </c>
      <c r="H84" s="29" t="s">
        <v>1285</v>
      </c>
      <c r="I84" s="18" t="s">
        <v>113</v>
      </c>
      <c r="J84" s="19"/>
      <c r="K84" s="19">
        <v>3072750</v>
      </c>
      <c r="L84" s="312">
        <f t="shared" si="10"/>
        <v>3072750</v>
      </c>
    </row>
    <row r="85" spans="1:12" s="311" customFormat="1" ht="37.5" customHeight="1" x14ac:dyDescent="0.25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1208</v>
      </c>
      <c r="H85" s="29" t="s">
        <v>1285</v>
      </c>
      <c r="I85" s="848" t="s">
        <v>1908</v>
      </c>
      <c r="J85" s="19"/>
      <c r="K85" s="19">
        <v>29000000</v>
      </c>
      <c r="L85" s="312">
        <f t="shared" si="10"/>
        <v>29000000</v>
      </c>
    </row>
    <row r="86" spans="1:12" s="311" customFormat="1" ht="81.95" customHeight="1" x14ac:dyDescent="0.25">
      <c r="A86" s="23" t="s">
        <v>98</v>
      </c>
      <c r="B86" s="23" t="s">
        <v>78</v>
      </c>
      <c r="C86" s="23" t="s">
        <v>21</v>
      </c>
      <c r="D86" s="23" t="s">
        <v>1172</v>
      </c>
      <c r="E86" s="23" t="s">
        <v>103</v>
      </c>
      <c r="F86" s="23" t="s">
        <v>28</v>
      </c>
      <c r="G86" s="29" t="s">
        <v>1209</v>
      </c>
      <c r="H86" s="29" t="s">
        <v>1285</v>
      </c>
      <c r="I86" s="848" t="s">
        <v>1907</v>
      </c>
      <c r="J86" s="19"/>
      <c r="K86" s="19">
        <v>38100000</v>
      </c>
      <c r="L86" s="312">
        <f t="shared" si="10"/>
        <v>38100000</v>
      </c>
    </row>
    <row r="87" spans="1:12" s="311" customFormat="1" ht="85.7" customHeight="1" x14ac:dyDescent="0.25">
      <c r="A87" s="23" t="s">
        <v>37</v>
      </c>
      <c r="B87" s="23" t="s">
        <v>78</v>
      </c>
      <c r="C87" s="23" t="s">
        <v>21</v>
      </c>
      <c r="D87" s="23" t="s">
        <v>1172</v>
      </c>
      <c r="E87" s="23" t="s">
        <v>103</v>
      </c>
      <c r="F87" s="23" t="s">
        <v>28</v>
      </c>
      <c r="G87" s="29" t="s">
        <v>1219</v>
      </c>
      <c r="H87" s="29" t="s">
        <v>1285</v>
      </c>
      <c r="I87" s="18" t="s">
        <v>123</v>
      </c>
      <c r="J87" s="19"/>
      <c r="K87" s="19">
        <v>4590</v>
      </c>
      <c r="L87" s="312">
        <f t="shared" si="10"/>
        <v>4590</v>
      </c>
    </row>
    <row r="88" spans="1:12" s="311" customFormat="1" ht="48.75" customHeight="1" x14ac:dyDescent="0.25">
      <c r="A88" s="23" t="s">
        <v>37</v>
      </c>
      <c r="B88" s="23" t="s">
        <v>78</v>
      </c>
      <c r="C88" s="23" t="s">
        <v>21</v>
      </c>
      <c r="D88" s="23" t="s">
        <v>1172</v>
      </c>
      <c r="E88" s="23" t="s">
        <v>103</v>
      </c>
      <c r="F88" s="23" t="s">
        <v>28</v>
      </c>
      <c r="G88" s="29" t="s">
        <v>1218</v>
      </c>
      <c r="H88" s="29" t="s">
        <v>1285</v>
      </c>
      <c r="I88" s="18" t="s">
        <v>1902</v>
      </c>
      <c r="J88" s="19"/>
      <c r="K88" s="19">
        <v>618854</v>
      </c>
      <c r="L88" s="312">
        <f t="shared" si="10"/>
        <v>618854</v>
      </c>
    </row>
    <row r="89" spans="1:12" s="311" customFormat="1" ht="51" customHeight="1" x14ac:dyDescent="0.25">
      <c r="A89" s="37">
        <v>950</v>
      </c>
      <c r="B89" s="38" t="s">
        <v>78</v>
      </c>
      <c r="C89" s="38" t="s">
        <v>21</v>
      </c>
      <c r="D89" s="38" t="s">
        <v>1172</v>
      </c>
      <c r="E89" s="38" t="s">
        <v>103</v>
      </c>
      <c r="F89" s="38" t="s">
        <v>28</v>
      </c>
      <c r="G89" s="38" t="s">
        <v>1199</v>
      </c>
      <c r="H89" s="38" t="s">
        <v>1285</v>
      </c>
      <c r="I89" s="18" t="s">
        <v>108</v>
      </c>
      <c r="J89" s="19"/>
      <c r="K89" s="19">
        <v>2648473</v>
      </c>
      <c r="L89" s="312">
        <f t="shared" si="10"/>
        <v>2648473</v>
      </c>
    </row>
    <row r="90" spans="1:12" s="311" customFormat="1" ht="55.5" customHeight="1" x14ac:dyDescent="0.25">
      <c r="A90" s="23" t="s">
        <v>98</v>
      </c>
      <c r="B90" s="23" t="s">
        <v>78</v>
      </c>
      <c r="C90" s="23" t="s">
        <v>21</v>
      </c>
      <c r="D90" s="23" t="s">
        <v>1172</v>
      </c>
      <c r="E90" s="23" t="s">
        <v>103</v>
      </c>
      <c r="F90" s="23" t="s">
        <v>28</v>
      </c>
      <c r="G90" s="29" t="s">
        <v>1203</v>
      </c>
      <c r="H90" s="29" t="s">
        <v>1285</v>
      </c>
      <c r="I90" s="18" t="s">
        <v>109</v>
      </c>
      <c r="J90" s="19"/>
      <c r="K90" s="19">
        <v>16070520</v>
      </c>
      <c r="L90" s="312">
        <f t="shared" si="10"/>
        <v>16070520</v>
      </c>
    </row>
    <row r="91" spans="1:12" s="36" customFormat="1" ht="39.75" customHeight="1" x14ac:dyDescent="0.25">
      <c r="A91" s="23" t="s">
        <v>94</v>
      </c>
      <c r="B91" s="23" t="s">
        <v>78</v>
      </c>
      <c r="C91" s="23" t="s">
        <v>21</v>
      </c>
      <c r="D91" s="23" t="s">
        <v>1172</v>
      </c>
      <c r="E91" s="23" t="s">
        <v>103</v>
      </c>
      <c r="F91" s="23" t="s">
        <v>28</v>
      </c>
      <c r="G91" s="29" t="s">
        <v>1204</v>
      </c>
      <c r="H91" s="29" t="s">
        <v>1285</v>
      </c>
      <c r="I91" s="18" t="s">
        <v>110</v>
      </c>
      <c r="J91" s="19"/>
      <c r="K91" s="19">
        <v>4126692</v>
      </c>
      <c r="L91" s="312">
        <f t="shared" si="10"/>
        <v>4126692</v>
      </c>
    </row>
    <row r="92" spans="1:12" s="36" customFormat="1" ht="52.5" customHeight="1" x14ac:dyDescent="0.25">
      <c r="A92" s="23" t="s">
        <v>37</v>
      </c>
      <c r="B92" s="23" t="s">
        <v>78</v>
      </c>
      <c r="C92" s="23" t="s">
        <v>21</v>
      </c>
      <c r="D92" s="23" t="s">
        <v>1172</v>
      </c>
      <c r="E92" s="23" t="s">
        <v>103</v>
      </c>
      <c r="F92" s="23" t="s">
        <v>28</v>
      </c>
      <c r="G92" s="29" t="s">
        <v>1205</v>
      </c>
      <c r="H92" s="29" t="s">
        <v>1285</v>
      </c>
      <c r="I92" s="18" t="s">
        <v>111</v>
      </c>
      <c r="J92" s="19"/>
      <c r="K92" s="19">
        <v>251332</v>
      </c>
      <c r="L92" s="312">
        <f t="shared" si="10"/>
        <v>251332</v>
      </c>
    </row>
    <row r="93" spans="1:12" s="36" customFormat="1" ht="52.5" customHeight="1" x14ac:dyDescent="0.25">
      <c r="A93" s="23" t="s">
        <v>94</v>
      </c>
      <c r="B93" s="23" t="s">
        <v>78</v>
      </c>
      <c r="C93" s="23" t="s">
        <v>21</v>
      </c>
      <c r="D93" s="23" t="s">
        <v>1172</v>
      </c>
      <c r="E93" s="23" t="s">
        <v>103</v>
      </c>
      <c r="F93" s="23" t="s">
        <v>28</v>
      </c>
      <c r="G93" s="29" t="s">
        <v>1216</v>
      </c>
      <c r="H93" s="29" t="s">
        <v>1285</v>
      </c>
      <c r="I93" s="18" t="s">
        <v>119</v>
      </c>
      <c r="J93" s="19"/>
      <c r="K93" s="19">
        <v>36808</v>
      </c>
      <c r="L93" s="312">
        <f t="shared" si="10"/>
        <v>36808</v>
      </c>
    </row>
    <row r="94" spans="1:12" s="349" customFormat="1" ht="96.75" customHeight="1" x14ac:dyDescent="0.25">
      <c r="A94" s="23" t="s">
        <v>98</v>
      </c>
      <c r="B94" s="23" t="s">
        <v>78</v>
      </c>
      <c r="C94" s="23" t="s">
        <v>21</v>
      </c>
      <c r="D94" s="23" t="s">
        <v>1172</v>
      </c>
      <c r="E94" s="23" t="s">
        <v>103</v>
      </c>
      <c r="F94" s="23" t="s">
        <v>28</v>
      </c>
      <c r="G94" s="29" t="s">
        <v>1254</v>
      </c>
      <c r="H94" s="29" t="s">
        <v>1285</v>
      </c>
      <c r="I94" s="18" t="s">
        <v>1655</v>
      </c>
      <c r="J94" s="19"/>
      <c r="K94" s="19">
        <v>599900</v>
      </c>
      <c r="L94" s="312">
        <f t="shared" si="10"/>
        <v>599900</v>
      </c>
    </row>
    <row r="95" spans="1:12" s="349" customFormat="1" ht="80.650000000000006" customHeight="1" x14ac:dyDescent="0.25">
      <c r="A95" s="23" t="s">
        <v>98</v>
      </c>
      <c r="B95" s="23" t="s">
        <v>78</v>
      </c>
      <c r="C95" s="23" t="s">
        <v>21</v>
      </c>
      <c r="D95" s="23" t="s">
        <v>1172</v>
      </c>
      <c r="E95" s="23" t="s">
        <v>103</v>
      </c>
      <c r="F95" s="23" t="s">
        <v>28</v>
      </c>
      <c r="G95" s="29" t="s">
        <v>1255</v>
      </c>
      <c r="H95" s="29" t="s">
        <v>1285</v>
      </c>
      <c r="I95" s="18" t="s">
        <v>1294</v>
      </c>
      <c r="J95" s="19"/>
      <c r="K95" s="19">
        <v>28647</v>
      </c>
      <c r="L95" s="312">
        <f t="shared" si="10"/>
        <v>28647</v>
      </c>
    </row>
    <row r="96" spans="1:12" s="366" customFormat="1" ht="50.25" customHeight="1" x14ac:dyDescent="0.25">
      <c r="A96" s="321" t="s">
        <v>98</v>
      </c>
      <c r="B96" s="321" t="s">
        <v>78</v>
      </c>
      <c r="C96" s="321" t="s">
        <v>21</v>
      </c>
      <c r="D96" s="321" t="s">
        <v>1172</v>
      </c>
      <c r="E96" s="321" t="s">
        <v>103</v>
      </c>
      <c r="F96" s="321" t="s">
        <v>28</v>
      </c>
      <c r="G96" s="333" t="s">
        <v>1842</v>
      </c>
      <c r="H96" s="333" t="s">
        <v>1285</v>
      </c>
      <c r="I96" s="310" t="s">
        <v>1903</v>
      </c>
      <c r="J96" s="330"/>
      <c r="K96" s="330">
        <v>270900</v>
      </c>
      <c r="L96" s="847">
        <f t="shared" si="10"/>
        <v>270900</v>
      </c>
    </row>
    <row r="97" spans="1:12" s="366" customFormat="1" ht="66" customHeight="1" x14ac:dyDescent="0.25">
      <c r="A97" s="23" t="s">
        <v>98</v>
      </c>
      <c r="B97" s="23" t="s">
        <v>78</v>
      </c>
      <c r="C97" s="23" t="s">
        <v>21</v>
      </c>
      <c r="D97" s="23" t="s">
        <v>1172</v>
      </c>
      <c r="E97" s="23" t="s">
        <v>103</v>
      </c>
      <c r="F97" s="23" t="s">
        <v>28</v>
      </c>
      <c r="G97" s="29" t="s">
        <v>1810</v>
      </c>
      <c r="H97" s="29" t="s">
        <v>1285</v>
      </c>
      <c r="I97" s="848" t="s">
        <v>1811</v>
      </c>
      <c r="J97" s="19"/>
      <c r="K97" s="19">
        <v>902639</v>
      </c>
      <c r="L97" s="312">
        <f t="shared" si="10"/>
        <v>902639</v>
      </c>
    </row>
    <row r="98" spans="1:12" s="349" customFormat="1" ht="82.5" customHeight="1" x14ac:dyDescent="0.25">
      <c r="A98" s="23" t="s">
        <v>98</v>
      </c>
      <c r="B98" s="23" t="s">
        <v>78</v>
      </c>
      <c r="C98" s="23" t="s">
        <v>21</v>
      </c>
      <c r="D98" s="23" t="s">
        <v>1168</v>
      </c>
      <c r="E98" s="23" t="s">
        <v>1253</v>
      </c>
      <c r="F98" s="23" t="s">
        <v>28</v>
      </c>
      <c r="G98" s="29" t="s">
        <v>17</v>
      </c>
      <c r="H98" s="29" t="s">
        <v>1285</v>
      </c>
      <c r="I98" s="18" t="s">
        <v>1658</v>
      </c>
      <c r="J98" s="19"/>
      <c r="K98" s="19">
        <v>13382410</v>
      </c>
      <c r="L98" s="312">
        <f t="shared" si="10"/>
        <v>13382410</v>
      </c>
    </row>
    <row r="99" spans="1:12" s="349" customFormat="1" ht="83.25" customHeight="1" x14ac:dyDescent="0.25">
      <c r="A99" s="23" t="s">
        <v>37</v>
      </c>
      <c r="B99" s="23" t="s">
        <v>78</v>
      </c>
      <c r="C99" s="23" t="s">
        <v>21</v>
      </c>
      <c r="D99" s="23" t="s">
        <v>1168</v>
      </c>
      <c r="E99" s="23" t="s">
        <v>46</v>
      </c>
      <c r="F99" s="23" t="s">
        <v>28</v>
      </c>
      <c r="G99" s="29" t="s">
        <v>17</v>
      </c>
      <c r="H99" s="29" t="s">
        <v>1285</v>
      </c>
      <c r="I99" s="18" t="s">
        <v>1179</v>
      </c>
      <c r="J99" s="19"/>
      <c r="K99" s="19">
        <v>6589</v>
      </c>
      <c r="L99" s="312">
        <f t="shared" si="10"/>
        <v>6589</v>
      </c>
    </row>
    <row r="100" spans="1:12" s="311" customFormat="1" ht="94.7" customHeight="1" x14ac:dyDescent="0.25">
      <c r="A100" s="23" t="s">
        <v>98</v>
      </c>
      <c r="B100" s="23" t="s">
        <v>78</v>
      </c>
      <c r="C100" s="23" t="s">
        <v>21</v>
      </c>
      <c r="D100" s="23" t="s">
        <v>1168</v>
      </c>
      <c r="E100" s="23" t="s">
        <v>1176</v>
      </c>
      <c r="F100" s="23" t="s">
        <v>28</v>
      </c>
      <c r="G100" s="29" t="s">
        <v>17</v>
      </c>
      <c r="H100" s="29" t="s">
        <v>1285</v>
      </c>
      <c r="I100" s="18" t="s">
        <v>126</v>
      </c>
      <c r="J100" s="19"/>
      <c r="K100" s="19">
        <v>1684035</v>
      </c>
      <c r="L100" s="312">
        <f t="shared" si="10"/>
        <v>1684035</v>
      </c>
    </row>
    <row r="101" spans="1:12" s="311" customFormat="1" ht="94.7" customHeight="1" x14ac:dyDescent="0.25">
      <c r="A101" s="23" t="s">
        <v>98</v>
      </c>
      <c r="B101" s="23" t="s">
        <v>78</v>
      </c>
      <c r="C101" s="23" t="s">
        <v>21</v>
      </c>
      <c r="D101" s="23" t="s">
        <v>1168</v>
      </c>
      <c r="E101" s="23" t="s">
        <v>1170</v>
      </c>
      <c r="F101" s="23" t="s">
        <v>28</v>
      </c>
      <c r="G101" s="29" t="s">
        <v>17</v>
      </c>
      <c r="H101" s="29" t="s">
        <v>1285</v>
      </c>
      <c r="I101" s="18" t="s">
        <v>100</v>
      </c>
      <c r="J101" s="19"/>
      <c r="K101" s="19">
        <v>6119248</v>
      </c>
      <c r="L101" s="312">
        <f t="shared" si="10"/>
        <v>6119248</v>
      </c>
    </row>
    <row r="102" spans="1:12" s="366" customFormat="1" ht="94.7" customHeight="1" x14ac:dyDescent="0.25">
      <c r="A102" s="23" t="s">
        <v>98</v>
      </c>
      <c r="B102" s="23" t="s">
        <v>78</v>
      </c>
      <c r="C102" s="23" t="s">
        <v>21</v>
      </c>
      <c r="D102" s="23" t="s">
        <v>1168</v>
      </c>
      <c r="E102" s="23" t="s">
        <v>1909</v>
      </c>
      <c r="F102" s="23" t="s">
        <v>28</v>
      </c>
      <c r="G102" s="29" t="s">
        <v>17</v>
      </c>
      <c r="H102" s="29" t="s">
        <v>1285</v>
      </c>
      <c r="I102" s="854" t="s">
        <v>1911</v>
      </c>
      <c r="J102" s="19"/>
      <c r="K102" s="19">
        <v>10100</v>
      </c>
      <c r="L102" s="312">
        <f t="shared" si="10"/>
        <v>10100</v>
      </c>
    </row>
    <row r="103" spans="1:12" s="311" customFormat="1" ht="55.5" customHeight="1" x14ac:dyDescent="0.25">
      <c r="A103" s="23" t="s">
        <v>98</v>
      </c>
      <c r="B103" s="23" t="s">
        <v>78</v>
      </c>
      <c r="C103" s="23" t="s">
        <v>21</v>
      </c>
      <c r="D103" s="23" t="s">
        <v>1168</v>
      </c>
      <c r="E103" s="23" t="s">
        <v>1169</v>
      </c>
      <c r="F103" s="23" t="s">
        <v>28</v>
      </c>
      <c r="G103" s="29" t="s">
        <v>17</v>
      </c>
      <c r="H103" s="29" t="s">
        <v>1285</v>
      </c>
      <c r="I103" s="848" t="s">
        <v>99</v>
      </c>
      <c r="J103" s="19"/>
      <c r="K103" s="19">
        <v>43459000</v>
      </c>
      <c r="L103" s="312">
        <f t="shared" si="10"/>
        <v>43459000</v>
      </c>
    </row>
    <row r="104" spans="1:12" s="36" customFormat="1" ht="67.7" customHeight="1" x14ac:dyDescent="0.25">
      <c r="A104" s="23" t="s">
        <v>94</v>
      </c>
      <c r="B104" s="23" t="s">
        <v>78</v>
      </c>
      <c r="C104" s="23" t="s">
        <v>21</v>
      </c>
      <c r="D104" s="23" t="s">
        <v>1168</v>
      </c>
      <c r="E104" s="23" t="s">
        <v>1171</v>
      </c>
      <c r="F104" s="23" t="s">
        <v>28</v>
      </c>
      <c r="G104" s="29" t="s">
        <v>17</v>
      </c>
      <c r="H104" s="29" t="s">
        <v>1285</v>
      </c>
      <c r="I104" s="18" t="s">
        <v>101</v>
      </c>
      <c r="J104" s="19"/>
      <c r="K104" s="19">
        <v>629901</v>
      </c>
      <c r="L104" s="312">
        <f t="shared" si="1"/>
        <v>629901</v>
      </c>
    </row>
    <row r="105" spans="1:12" s="36" customFormat="1" ht="115.5" customHeight="1" x14ac:dyDescent="0.25">
      <c r="A105" s="23" t="s">
        <v>98</v>
      </c>
      <c r="B105" s="23" t="s">
        <v>78</v>
      </c>
      <c r="C105" s="23" t="s">
        <v>21</v>
      </c>
      <c r="D105" s="23" t="s">
        <v>1168</v>
      </c>
      <c r="E105" s="23" t="s">
        <v>1173</v>
      </c>
      <c r="F105" s="23" t="s">
        <v>28</v>
      </c>
      <c r="G105" s="29" t="s">
        <v>17</v>
      </c>
      <c r="H105" s="29" t="s">
        <v>1285</v>
      </c>
      <c r="I105" s="18" t="s">
        <v>124</v>
      </c>
      <c r="J105" s="19"/>
      <c r="K105" s="19">
        <v>361521</v>
      </c>
      <c r="L105" s="312">
        <f t="shared" ref="L105:L165" si="11">SUM(J105:K105)</f>
        <v>361521</v>
      </c>
    </row>
    <row r="106" spans="1:12" s="366" customFormat="1" ht="63.95" customHeight="1" x14ac:dyDescent="0.25">
      <c r="A106" s="23" t="s">
        <v>98</v>
      </c>
      <c r="B106" s="23" t="s">
        <v>78</v>
      </c>
      <c r="C106" s="23" t="s">
        <v>21</v>
      </c>
      <c r="D106" s="23" t="s">
        <v>1168</v>
      </c>
      <c r="E106" s="23" t="s">
        <v>1812</v>
      </c>
      <c r="F106" s="23" t="s">
        <v>28</v>
      </c>
      <c r="G106" s="29" t="s">
        <v>17</v>
      </c>
      <c r="H106" s="29" t="s">
        <v>1285</v>
      </c>
      <c r="I106" s="848" t="s">
        <v>1813</v>
      </c>
      <c r="J106" s="19"/>
      <c r="K106" s="19">
        <v>27445344</v>
      </c>
      <c r="L106" s="312">
        <f t="shared" si="11"/>
        <v>27445344</v>
      </c>
    </row>
    <row r="107" spans="1:12" s="366" customFormat="1" ht="0.95" hidden="1" customHeight="1" x14ac:dyDescent="0.25">
      <c r="A107" s="23" t="s">
        <v>94</v>
      </c>
      <c r="B107" s="23" t="s">
        <v>78</v>
      </c>
      <c r="C107" s="23" t="s">
        <v>21</v>
      </c>
      <c r="D107" s="23" t="s">
        <v>1168</v>
      </c>
      <c r="E107" s="23" t="s">
        <v>1814</v>
      </c>
      <c r="F107" s="23" t="s">
        <v>28</v>
      </c>
      <c r="G107" s="29" t="s">
        <v>17</v>
      </c>
      <c r="H107" s="29" t="s">
        <v>1285</v>
      </c>
      <c r="I107" s="842" t="s">
        <v>1834</v>
      </c>
      <c r="J107" s="19"/>
      <c r="K107" s="19"/>
      <c r="L107" s="312">
        <f t="shared" si="11"/>
        <v>0</v>
      </c>
    </row>
    <row r="108" spans="1:12" s="366" customFormat="1" ht="101.25" customHeight="1" x14ac:dyDescent="0.25">
      <c r="A108" s="23" t="s">
        <v>94</v>
      </c>
      <c r="B108" s="23" t="s">
        <v>78</v>
      </c>
      <c r="C108" s="23" t="s">
        <v>21</v>
      </c>
      <c r="D108" s="23" t="s">
        <v>1168</v>
      </c>
      <c r="E108" s="23" t="s">
        <v>1843</v>
      </c>
      <c r="F108" s="23" t="s">
        <v>28</v>
      </c>
      <c r="G108" s="29" t="s">
        <v>17</v>
      </c>
      <c r="H108" s="29" t="s">
        <v>1285</v>
      </c>
      <c r="I108" s="848" t="s">
        <v>1844</v>
      </c>
      <c r="J108" s="19"/>
      <c r="K108" s="19">
        <v>8305616</v>
      </c>
      <c r="L108" s="312">
        <f t="shared" si="11"/>
        <v>8305616</v>
      </c>
    </row>
    <row r="109" spans="1:12" s="36" customFormat="1" ht="144.94999999999999" customHeight="1" x14ac:dyDescent="0.25">
      <c r="A109" s="23" t="s">
        <v>98</v>
      </c>
      <c r="B109" s="23" t="s">
        <v>78</v>
      </c>
      <c r="C109" s="23" t="s">
        <v>21</v>
      </c>
      <c r="D109" s="23" t="s">
        <v>1168</v>
      </c>
      <c r="E109" s="23" t="s">
        <v>1175</v>
      </c>
      <c r="F109" s="23" t="s">
        <v>28</v>
      </c>
      <c r="G109" s="29" t="s">
        <v>17</v>
      </c>
      <c r="H109" s="29" t="s">
        <v>1285</v>
      </c>
      <c r="I109" s="845" t="s">
        <v>1657</v>
      </c>
      <c r="J109" s="19"/>
      <c r="K109" s="19">
        <v>22331314</v>
      </c>
      <c r="L109" s="312">
        <f t="shared" si="11"/>
        <v>22331314</v>
      </c>
    </row>
    <row r="110" spans="1:12" s="36" customFormat="1" ht="83.25" customHeight="1" x14ac:dyDescent="0.25">
      <c r="A110" s="871" t="s">
        <v>98</v>
      </c>
      <c r="B110" s="871" t="s">
        <v>78</v>
      </c>
      <c r="C110" s="871" t="s">
        <v>21</v>
      </c>
      <c r="D110" s="871" t="s">
        <v>1168</v>
      </c>
      <c r="E110" s="871" t="s">
        <v>1904</v>
      </c>
      <c r="F110" s="871" t="s">
        <v>28</v>
      </c>
      <c r="G110" s="872" t="s">
        <v>17</v>
      </c>
      <c r="H110" s="872" t="s">
        <v>1285</v>
      </c>
      <c r="I110" s="873" t="s">
        <v>1841</v>
      </c>
      <c r="J110" s="874"/>
      <c r="K110" s="874">
        <v>5237400</v>
      </c>
      <c r="L110" s="312">
        <f t="shared" si="11"/>
        <v>5237400</v>
      </c>
    </row>
    <row r="111" spans="1:12" s="36" customFormat="1" ht="66" customHeight="1" x14ac:dyDescent="0.25">
      <c r="A111" s="31" t="s">
        <v>98</v>
      </c>
      <c r="B111" s="31" t="s">
        <v>78</v>
      </c>
      <c r="C111" s="31" t="s">
        <v>21</v>
      </c>
      <c r="D111" s="31" t="s">
        <v>1168</v>
      </c>
      <c r="E111" s="31" t="s">
        <v>1174</v>
      </c>
      <c r="F111" s="31" t="s">
        <v>28</v>
      </c>
      <c r="G111" s="39" t="s">
        <v>17</v>
      </c>
      <c r="H111" s="39" t="s">
        <v>1285</v>
      </c>
      <c r="I111" s="33" t="s">
        <v>125</v>
      </c>
      <c r="J111" s="19"/>
      <c r="K111" s="19">
        <v>1685127</v>
      </c>
      <c r="L111" s="312">
        <f>SUM(J111:K111)</f>
        <v>1685127</v>
      </c>
    </row>
    <row r="112" spans="1:12" s="366" customFormat="1" ht="51.75" customHeight="1" x14ac:dyDescent="0.25">
      <c r="A112" s="31" t="s">
        <v>37</v>
      </c>
      <c r="B112" s="31" t="s">
        <v>78</v>
      </c>
      <c r="C112" s="31" t="s">
        <v>21</v>
      </c>
      <c r="D112" s="31" t="s">
        <v>1168</v>
      </c>
      <c r="E112" s="31" t="s">
        <v>1818</v>
      </c>
      <c r="F112" s="31" t="s">
        <v>28</v>
      </c>
      <c r="G112" s="39" t="s">
        <v>17</v>
      </c>
      <c r="H112" s="39" t="s">
        <v>1285</v>
      </c>
      <c r="I112" s="33" t="s">
        <v>1819</v>
      </c>
      <c r="J112" s="19"/>
      <c r="K112" s="19">
        <v>806880</v>
      </c>
      <c r="L112" s="312">
        <f>SUM(J112:K112)</f>
        <v>806880</v>
      </c>
    </row>
    <row r="113" spans="1:12" s="366" customFormat="1" ht="79.150000000000006" customHeight="1" x14ac:dyDescent="0.25">
      <c r="A113" s="31" t="s">
        <v>98</v>
      </c>
      <c r="B113" s="31" t="s">
        <v>78</v>
      </c>
      <c r="C113" s="31" t="s">
        <v>21</v>
      </c>
      <c r="D113" s="31" t="s">
        <v>1168</v>
      </c>
      <c r="E113" s="31" t="s">
        <v>1291</v>
      </c>
      <c r="F113" s="31" t="s">
        <v>28</v>
      </c>
      <c r="G113" s="39" t="s">
        <v>17</v>
      </c>
      <c r="H113" s="39" t="s">
        <v>1285</v>
      </c>
      <c r="I113" s="33" t="s">
        <v>1292</v>
      </c>
      <c r="J113" s="19"/>
      <c r="K113" s="19">
        <v>40436400</v>
      </c>
      <c r="L113" s="312">
        <f t="shared" ref="L113:L114" si="12">SUM(J113:K113)</f>
        <v>40436400</v>
      </c>
    </row>
    <row r="114" spans="1:12" s="349" customFormat="1" ht="49.7" customHeight="1" x14ac:dyDescent="0.25">
      <c r="A114" s="31" t="s">
        <v>37</v>
      </c>
      <c r="B114" s="31" t="s">
        <v>78</v>
      </c>
      <c r="C114" s="31" t="s">
        <v>21</v>
      </c>
      <c r="D114" s="31" t="s">
        <v>1168</v>
      </c>
      <c r="E114" s="31" t="s">
        <v>1256</v>
      </c>
      <c r="F114" s="31" t="s">
        <v>28</v>
      </c>
      <c r="G114" s="39" t="s">
        <v>17</v>
      </c>
      <c r="H114" s="39" t="s">
        <v>1285</v>
      </c>
      <c r="I114" s="33" t="s">
        <v>1178</v>
      </c>
      <c r="J114" s="19"/>
      <c r="K114" s="19">
        <v>2400818</v>
      </c>
      <c r="L114" s="312">
        <f t="shared" si="12"/>
        <v>2400818</v>
      </c>
    </row>
    <row r="115" spans="1:12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1177</v>
      </c>
      <c r="E115" s="20" t="s">
        <v>14</v>
      </c>
      <c r="F115" s="20" t="s">
        <v>16</v>
      </c>
      <c r="G115" s="27" t="s">
        <v>17</v>
      </c>
      <c r="H115" s="27" t="s">
        <v>1285</v>
      </c>
      <c r="I115" s="28" t="s">
        <v>127</v>
      </c>
      <c r="J115" s="22"/>
      <c r="K115" s="22">
        <f>K120+K138</f>
        <v>22294536</v>
      </c>
      <c r="L115" s="15">
        <f t="shared" si="11"/>
        <v>22294536</v>
      </c>
    </row>
    <row r="116" spans="1:12" s="366" customFormat="1" ht="63" hidden="1" x14ac:dyDescent="0.25">
      <c r="A116" s="23" t="s">
        <v>37</v>
      </c>
      <c r="B116" s="23" t="s">
        <v>78</v>
      </c>
      <c r="C116" s="23" t="s">
        <v>21</v>
      </c>
      <c r="D116" s="23" t="s">
        <v>1177</v>
      </c>
      <c r="E116" s="23" t="s">
        <v>129</v>
      </c>
      <c r="F116" s="23" t="s">
        <v>28</v>
      </c>
      <c r="G116" s="29" t="s">
        <v>1674</v>
      </c>
      <c r="H116" s="29" t="s">
        <v>1285</v>
      </c>
      <c r="I116" s="663" t="s">
        <v>1675</v>
      </c>
      <c r="J116" s="19"/>
      <c r="K116" s="19"/>
      <c r="L116" s="312">
        <f t="shared" si="11"/>
        <v>0</v>
      </c>
    </row>
    <row r="117" spans="1:12" s="366" customFormat="1" ht="87" hidden="1" customHeight="1" x14ac:dyDescent="0.25">
      <c r="A117" s="23" t="s">
        <v>37</v>
      </c>
      <c r="B117" s="23" t="s">
        <v>78</v>
      </c>
      <c r="C117" s="23" t="s">
        <v>21</v>
      </c>
      <c r="D117" s="23" t="s">
        <v>1177</v>
      </c>
      <c r="E117" s="23" t="s">
        <v>129</v>
      </c>
      <c r="F117" s="23" t="s">
        <v>28</v>
      </c>
      <c r="G117" s="29" t="s">
        <v>1676</v>
      </c>
      <c r="H117" s="29" t="s">
        <v>1285</v>
      </c>
      <c r="I117" s="663" t="s">
        <v>1677</v>
      </c>
      <c r="J117" s="19"/>
      <c r="K117" s="22"/>
      <c r="L117" s="312">
        <f t="shared" si="11"/>
        <v>0</v>
      </c>
    </row>
    <row r="118" spans="1:12" s="366" customFormat="1" ht="81" hidden="1" customHeight="1" x14ac:dyDescent="0.25">
      <c r="A118" s="23" t="s">
        <v>37</v>
      </c>
      <c r="B118" s="23" t="s">
        <v>78</v>
      </c>
      <c r="C118" s="23" t="s">
        <v>21</v>
      </c>
      <c r="D118" s="23" t="s">
        <v>1177</v>
      </c>
      <c r="E118" s="23" t="s">
        <v>129</v>
      </c>
      <c r="F118" s="23" t="s">
        <v>28</v>
      </c>
      <c r="G118" s="29" t="s">
        <v>1835</v>
      </c>
      <c r="H118" s="29" t="s">
        <v>1285</v>
      </c>
      <c r="I118" s="843" t="s">
        <v>1838</v>
      </c>
      <c r="J118" s="19"/>
      <c r="K118" s="19"/>
      <c r="L118" s="312">
        <f t="shared" si="11"/>
        <v>0</v>
      </c>
    </row>
    <row r="119" spans="1:12" s="366" customFormat="1" ht="110.25" hidden="1" customHeight="1" x14ac:dyDescent="0.25">
      <c r="A119" s="23" t="s">
        <v>37</v>
      </c>
      <c r="B119" s="23" t="s">
        <v>78</v>
      </c>
      <c r="C119" s="23" t="s">
        <v>21</v>
      </c>
      <c r="D119" s="23" t="s">
        <v>1177</v>
      </c>
      <c r="E119" s="23" t="s">
        <v>129</v>
      </c>
      <c r="F119" s="23" t="s">
        <v>28</v>
      </c>
      <c r="G119" s="29" t="s">
        <v>1756</v>
      </c>
      <c r="H119" s="29" t="s">
        <v>1285</v>
      </c>
      <c r="I119" s="767" t="s">
        <v>1757</v>
      </c>
      <c r="J119" s="19"/>
      <c r="K119" s="19"/>
      <c r="L119" s="312">
        <f t="shared" si="11"/>
        <v>0</v>
      </c>
    </row>
    <row r="120" spans="1:12" s="36" customFormat="1" ht="83.25" customHeight="1" x14ac:dyDescent="0.25">
      <c r="A120" s="23" t="s">
        <v>83</v>
      </c>
      <c r="B120" s="23" t="s">
        <v>88</v>
      </c>
      <c r="C120" s="23" t="s">
        <v>21</v>
      </c>
      <c r="D120" s="23" t="s">
        <v>1177</v>
      </c>
      <c r="E120" s="23" t="s">
        <v>129</v>
      </c>
      <c r="F120" s="23" t="s">
        <v>28</v>
      </c>
      <c r="G120" s="29" t="s">
        <v>130</v>
      </c>
      <c r="H120" s="29" t="s">
        <v>1285</v>
      </c>
      <c r="I120" s="766" t="s">
        <v>1360</v>
      </c>
      <c r="J120" s="40"/>
      <c r="K120" s="40">
        <v>22241441</v>
      </c>
      <c r="L120" s="312">
        <f t="shared" si="11"/>
        <v>22241441</v>
      </c>
    </row>
    <row r="121" spans="1:12" s="36" customFormat="1" ht="78.75" hidden="1" customHeight="1" x14ac:dyDescent="0.25">
      <c r="A121" s="23" t="s">
        <v>45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131</v>
      </c>
      <c r="H121" s="29" t="s">
        <v>1285</v>
      </c>
      <c r="I121" s="18" t="s">
        <v>132</v>
      </c>
      <c r="J121" s="312"/>
      <c r="K121" s="40"/>
      <c r="L121" s="312">
        <f t="shared" si="11"/>
        <v>0</v>
      </c>
    </row>
    <row r="122" spans="1:12" s="366" customFormat="1" ht="63" hidden="1" x14ac:dyDescent="0.25">
      <c r="A122" s="23" t="s">
        <v>37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1495</v>
      </c>
      <c r="H122" s="29" t="s">
        <v>1285</v>
      </c>
      <c r="I122" s="766" t="s">
        <v>1496</v>
      </c>
      <c r="J122" s="312"/>
      <c r="K122" s="40"/>
      <c r="L122" s="312">
        <f t="shared" si="11"/>
        <v>0</v>
      </c>
    </row>
    <row r="123" spans="1:12" s="36" customFormat="1" ht="58.7" hidden="1" customHeight="1" x14ac:dyDescent="0.25">
      <c r="A123" s="23" t="s">
        <v>37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133</v>
      </c>
      <c r="H123" s="29" t="s">
        <v>1285</v>
      </c>
      <c r="I123" s="18" t="s">
        <v>134</v>
      </c>
      <c r="J123" s="312"/>
      <c r="K123" s="40"/>
      <c r="L123" s="312">
        <f t="shared" si="11"/>
        <v>0</v>
      </c>
    </row>
    <row r="124" spans="1:12" s="366" customFormat="1" ht="69.75" hidden="1" customHeight="1" x14ac:dyDescent="0.25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1536</v>
      </c>
      <c r="H124" s="29" t="s">
        <v>1285</v>
      </c>
      <c r="I124" s="18" t="s">
        <v>1537</v>
      </c>
      <c r="J124" s="312"/>
      <c r="K124" s="40"/>
      <c r="L124" s="312">
        <f t="shared" si="11"/>
        <v>0</v>
      </c>
    </row>
    <row r="125" spans="1:12" s="36" customFormat="1" ht="54.95" hidden="1" customHeight="1" x14ac:dyDescent="0.25">
      <c r="A125" s="23" t="s">
        <v>37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135</v>
      </c>
      <c r="H125" s="29" t="s">
        <v>1285</v>
      </c>
      <c r="I125" s="776" t="s">
        <v>136</v>
      </c>
      <c r="J125" s="312"/>
      <c r="K125" s="40"/>
      <c r="L125" s="312">
        <f t="shared" si="11"/>
        <v>0</v>
      </c>
    </row>
    <row r="126" spans="1:12" s="36" customFormat="1" ht="53.25" hidden="1" customHeight="1" x14ac:dyDescent="0.25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137</v>
      </c>
      <c r="H126" s="29" t="s">
        <v>1285</v>
      </c>
      <c r="I126" s="41" t="s">
        <v>138</v>
      </c>
      <c r="J126" s="312"/>
      <c r="K126" s="40"/>
      <c r="L126" s="312">
        <f t="shared" si="11"/>
        <v>0</v>
      </c>
    </row>
    <row r="127" spans="1:12" s="36" customFormat="1" ht="63" hidden="1" x14ac:dyDescent="0.25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139</v>
      </c>
      <c r="H127" s="29" t="s">
        <v>1285</v>
      </c>
      <c r="I127" s="18" t="s">
        <v>1497</v>
      </c>
      <c r="J127" s="312"/>
      <c r="K127" s="40"/>
      <c r="L127" s="312">
        <f t="shared" si="11"/>
        <v>0</v>
      </c>
    </row>
    <row r="128" spans="1:12" s="36" customFormat="1" ht="54" hidden="1" customHeight="1" x14ac:dyDescent="0.25">
      <c r="A128" s="23" t="s">
        <v>37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140</v>
      </c>
      <c r="H128" s="29" t="s">
        <v>1285</v>
      </c>
      <c r="I128" s="18" t="s">
        <v>1498</v>
      </c>
      <c r="J128" s="312"/>
      <c r="K128" s="40"/>
      <c r="L128" s="312">
        <f t="shared" si="11"/>
        <v>0</v>
      </c>
    </row>
    <row r="129" spans="1:12" s="366" customFormat="1" ht="41.25" hidden="1" customHeight="1" x14ac:dyDescent="0.25">
      <c r="A129" s="23" t="s">
        <v>92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1517</v>
      </c>
      <c r="H129" s="29" t="s">
        <v>1285</v>
      </c>
      <c r="I129" s="766" t="s">
        <v>1518</v>
      </c>
      <c r="J129" s="312"/>
      <c r="K129" s="40"/>
      <c r="L129" s="312">
        <f t="shared" si="11"/>
        <v>0</v>
      </c>
    </row>
    <row r="130" spans="1:12" s="366" customFormat="1" ht="42.6" hidden="1" customHeight="1" x14ac:dyDescent="0.25">
      <c r="A130" s="450" t="s">
        <v>94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1595</v>
      </c>
      <c r="H130" s="29" t="s">
        <v>1285</v>
      </c>
      <c r="I130" s="18" t="s">
        <v>1596</v>
      </c>
      <c r="J130" s="312"/>
      <c r="K130" s="40"/>
      <c r="L130" s="312">
        <f t="shared" si="11"/>
        <v>0</v>
      </c>
    </row>
    <row r="131" spans="1:12" s="36" customFormat="1" ht="39.75" hidden="1" customHeight="1" x14ac:dyDescent="0.25">
      <c r="A131" s="23" t="s">
        <v>37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141</v>
      </c>
      <c r="H131" s="29" t="s">
        <v>1285</v>
      </c>
      <c r="I131" s="776" t="s">
        <v>142</v>
      </c>
      <c r="J131" s="312"/>
      <c r="K131" s="40"/>
      <c r="L131" s="312">
        <f>SUM(J131:K131)</f>
        <v>0</v>
      </c>
    </row>
    <row r="132" spans="1:12" s="36" customFormat="1" ht="63" hidden="1" x14ac:dyDescent="0.25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143</v>
      </c>
      <c r="H132" s="29" t="s">
        <v>1285</v>
      </c>
      <c r="I132" s="41" t="s">
        <v>144</v>
      </c>
      <c r="J132" s="312"/>
      <c r="K132" s="40"/>
      <c r="L132" s="312">
        <f t="shared" si="11"/>
        <v>0</v>
      </c>
    </row>
    <row r="133" spans="1:12" s="36" customFormat="1" ht="51.75" hidden="1" customHeight="1" x14ac:dyDescent="0.25">
      <c r="A133" s="23" t="s">
        <v>37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145</v>
      </c>
      <c r="H133" s="29" t="s">
        <v>1285</v>
      </c>
      <c r="I133" s="776" t="s">
        <v>1499</v>
      </c>
      <c r="J133" s="312"/>
      <c r="K133" s="40"/>
      <c r="L133" s="312">
        <f t="shared" si="11"/>
        <v>0</v>
      </c>
    </row>
    <row r="134" spans="1:12" s="36" customFormat="1" ht="45.95" hidden="1" customHeight="1" x14ac:dyDescent="0.25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146</v>
      </c>
      <c r="H134" s="29" t="s">
        <v>1285</v>
      </c>
      <c r="I134" s="776" t="s">
        <v>1500</v>
      </c>
      <c r="J134" s="312"/>
      <c r="K134" s="40"/>
      <c r="L134" s="312">
        <f t="shared" si="11"/>
        <v>0</v>
      </c>
    </row>
    <row r="135" spans="1:12" s="36" customFormat="1" ht="82.5" hidden="1" customHeight="1" x14ac:dyDescent="0.25">
      <c r="A135" s="23" t="s">
        <v>45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147</v>
      </c>
      <c r="H135" s="29" t="s">
        <v>1285</v>
      </c>
      <c r="I135" s="18" t="s">
        <v>148</v>
      </c>
      <c r="J135" s="312"/>
      <c r="K135" s="40"/>
      <c r="L135" s="312">
        <f t="shared" si="11"/>
        <v>0</v>
      </c>
    </row>
    <row r="136" spans="1:12" s="36" customFormat="1" ht="47.25" hidden="1" x14ac:dyDescent="0.25">
      <c r="A136" s="23" t="s">
        <v>37</v>
      </c>
      <c r="B136" s="23" t="s">
        <v>88</v>
      </c>
      <c r="C136" s="23" t="s">
        <v>21</v>
      </c>
      <c r="D136" s="23" t="s">
        <v>1177</v>
      </c>
      <c r="E136" s="23" t="s">
        <v>129</v>
      </c>
      <c r="F136" s="23" t="s">
        <v>28</v>
      </c>
      <c r="G136" s="29" t="s">
        <v>149</v>
      </c>
      <c r="H136" s="29" t="s">
        <v>1285</v>
      </c>
      <c r="I136" s="18" t="s">
        <v>1501</v>
      </c>
      <c r="J136" s="312"/>
      <c r="K136" s="40"/>
      <c r="L136" s="312">
        <f t="shared" si="11"/>
        <v>0</v>
      </c>
    </row>
    <row r="137" spans="1:12" s="36" customFormat="1" ht="55.5" hidden="1" customHeight="1" x14ac:dyDescent="0.25">
      <c r="A137" s="23" t="s">
        <v>37</v>
      </c>
      <c r="B137" s="23" t="s">
        <v>78</v>
      </c>
      <c r="C137" s="23" t="s">
        <v>21</v>
      </c>
      <c r="D137" s="23" t="s">
        <v>1177</v>
      </c>
      <c r="E137" s="23" t="s">
        <v>129</v>
      </c>
      <c r="F137" s="23" t="s">
        <v>28</v>
      </c>
      <c r="G137" s="29" t="s">
        <v>1502</v>
      </c>
      <c r="H137" s="29" t="s">
        <v>1285</v>
      </c>
      <c r="I137" s="18" t="s">
        <v>1503</v>
      </c>
      <c r="J137" s="312"/>
      <c r="K137" s="40"/>
      <c r="L137" s="312">
        <f t="shared" si="11"/>
        <v>0</v>
      </c>
    </row>
    <row r="138" spans="1:12" s="366" customFormat="1" ht="55.5" customHeight="1" x14ac:dyDescent="0.25">
      <c r="A138" s="23" t="s">
        <v>83</v>
      </c>
      <c r="B138" s="23" t="s">
        <v>78</v>
      </c>
      <c r="C138" s="23" t="s">
        <v>21</v>
      </c>
      <c r="D138" s="23" t="s">
        <v>1177</v>
      </c>
      <c r="E138" s="23" t="s">
        <v>129</v>
      </c>
      <c r="F138" s="23" t="s">
        <v>28</v>
      </c>
      <c r="G138" s="29" t="s">
        <v>1361</v>
      </c>
      <c r="H138" s="29" t="s">
        <v>1285</v>
      </c>
      <c r="I138" s="18" t="s">
        <v>1363</v>
      </c>
      <c r="J138" s="312"/>
      <c r="K138" s="40">
        <v>53095</v>
      </c>
      <c r="L138" s="312">
        <f>SUM(J138:K138)</f>
        <v>53095</v>
      </c>
    </row>
    <row r="139" spans="1:12" s="366" customFormat="1" ht="66.75" hidden="1" customHeight="1" x14ac:dyDescent="0.25">
      <c r="A139" s="23" t="s">
        <v>37</v>
      </c>
      <c r="B139" s="23" t="s">
        <v>78</v>
      </c>
      <c r="C139" s="23" t="s">
        <v>21</v>
      </c>
      <c r="D139" s="23" t="s">
        <v>1177</v>
      </c>
      <c r="E139" s="23" t="s">
        <v>129</v>
      </c>
      <c r="F139" s="23" t="s">
        <v>28</v>
      </c>
      <c r="G139" s="29" t="s">
        <v>1746</v>
      </c>
      <c r="H139" s="29" t="s">
        <v>1285</v>
      </c>
      <c r="I139" s="766" t="s">
        <v>1751</v>
      </c>
      <c r="J139" s="312"/>
      <c r="K139" s="40"/>
      <c r="L139" s="312">
        <f>SUM(J139:K139)</f>
        <v>0</v>
      </c>
    </row>
    <row r="140" spans="1:12" s="366" customFormat="1" ht="55.5" hidden="1" customHeight="1" x14ac:dyDescent="0.25">
      <c r="A140" s="23" t="s">
        <v>45</v>
      </c>
      <c r="B140" s="23" t="s">
        <v>78</v>
      </c>
      <c r="C140" s="23" t="s">
        <v>21</v>
      </c>
      <c r="D140" s="23" t="s">
        <v>1177</v>
      </c>
      <c r="E140" s="23" t="s">
        <v>129</v>
      </c>
      <c r="F140" s="23" t="s">
        <v>28</v>
      </c>
      <c r="G140" s="29" t="s">
        <v>1524</v>
      </c>
      <c r="H140" s="29" t="s">
        <v>1285</v>
      </c>
      <c r="I140" s="18" t="s">
        <v>1525</v>
      </c>
      <c r="J140" s="312"/>
      <c r="K140" s="40"/>
      <c r="L140" s="312">
        <f>SUM(J140:K140)</f>
        <v>0</v>
      </c>
    </row>
    <row r="141" spans="1:12" s="366" customFormat="1" ht="78.75" hidden="1" x14ac:dyDescent="0.25">
      <c r="A141" s="23" t="s">
        <v>45</v>
      </c>
      <c r="B141" s="23" t="s">
        <v>78</v>
      </c>
      <c r="C141" s="23" t="s">
        <v>21</v>
      </c>
      <c r="D141" s="23" t="s">
        <v>1177</v>
      </c>
      <c r="E141" s="23" t="s">
        <v>129</v>
      </c>
      <c r="F141" s="23" t="s">
        <v>28</v>
      </c>
      <c r="G141" s="29" t="s">
        <v>1566</v>
      </c>
      <c r="H141" s="29" t="s">
        <v>1285</v>
      </c>
      <c r="I141" s="18" t="s">
        <v>1567</v>
      </c>
      <c r="J141" s="312"/>
      <c r="K141" s="40"/>
      <c r="L141" s="312">
        <f>SUM(J141:K141)</f>
        <v>0</v>
      </c>
    </row>
    <row r="142" spans="1:12" s="36" customFormat="1" ht="55.5" hidden="1" customHeight="1" x14ac:dyDescent="0.25">
      <c r="A142" s="23" t="s">
        <v>37</v>
      </c>
      <c r="B142" s="23" t="s">
        <v>78</v>
      </c>
      <c r="C142" s="23" t="s">
        <v>21</v>
      </c>
      <c r="D142" s="23" t="s">
        <v>1177</v>
      </c>
      <c r="E142" s="23" t="s">
        <v>129</v>
      </c>
      <c r="F142" s="23" t="s">
        <v>28</v>
      </c>
      <c r="G142" s="29" t="s">
        <v>1504</v>
      </c>
      <c r="H142" s="29" t="s">
        <v>1285</v>
      </c>
      <c r="I142" s="776" t="s">
        <v>1505</v>
      </c>
      <c r="J142" s="312"/>
      <c r="K142" s="40"/>
      <c r="L142" s="312">
        <f t="shared" si="11"/>
        <v>0</v>
      </c>
    </row>
    <row r="143" spans="1:12" s="366" customFormat="1" ht="36" hidden="1" customHeight="1" x14ac:dyDescent="0.25">
      <c r="A143" s="23" t="s">
        <v>92</v>
      </c>
      <c r="B143" s="23" t="s">
        <v>78</v>
      </c>
      <c r="C143" s="23" t="s">
        <v>21</v>
      </c>
      <c r="D143" s="23" t="s">
        <v>1177</v>
      </c>
      <c r="E143" s="23" t="s">
        <v>129</v>
      </c>
      <c r="F143" s="23" t="s">
        <v>28</v>
      </c>
      <c r="G143" s="29" t="s">
        <v>1519</v>
      </c>
      <c r="H143" s="29" t="s">
        <v>1285</v>
      </c>
      <c r="I143" s="18" t="s">
        <v>1520</v>
      </c>
      <c r="J143" s="312"/>
      <c r="K143" s="40"/>
      <c r="L143" s="312">
        <f t="shared" si="11"/>
        <v>0</v>
      </c>
    </row>
    <row r="144" spans="1:12" s="366" customFormat="1" ht="62.25" hidden="1" customHeight="1" x14ac:dyDescent="0.25">
      <c r="A144" s="23" t="s">
        <v>37</v>
      </c>
      <c r="B144" s="23" t="s">
        <v>78</v>
      </c>
      <c r="C144" s="23" t="s">
        <v>21</v>
      </c>
      <c r="D144" s="23" t="s">
        <v>1177</v>
      </c>
      <c r="E144" s="23" t="s">
        <v>129</v>
      </c>
      <c r="F144" s="23" t="s">
        <v>28</v>
      </c>
      <c r="G144" s="29" t="s">
        <v>1526</v>
      </c>
      <c r="H144" s="29" t="s">
        <v>1285</v>
      </c>
      <c r="I144" s="662" t="s">
        <v>1527</v>
      </c>
      <c r="J144" s="312"/>
      <c r="K144" s="40"/>
      <c r="L144" s="312">
        <f t="shared" si="11"/>
        <v>0</v>
      </c>
    </row>
    <row r="145" spans="1:12" s="36" customFormat="1" ht="47.25" hidden="1" x14ac:dyDescent="0.25">
      <c r="A145" s="23" t="s">
        <v>37</v>
      </c>
      <c r="B145" s="23" t="s">
        <v>78</v>
      </c>
      <c r="C145" s="23" t="s">
        <v>21</v>
      </c>
      <c r="D145" s="23" t="s">
        <v>1177</v>
      </c>
      <c r="E145" s="23" t="s">
        <v>129</v>
      </c>
      <c r="F145" s="23" t="s">
        <v>28</v>
      </c>
      <c r="G145" s="29" t="s">
        <v>1506</v>
      </c>
      <c r="H145" s="29" t="s">
        <v>1285</v>
      </c>
      <c r="I145" s="766" t="s">
        <v>1507</v>
      </c>
      <c r="J145" s="312"/>
      <c r="K145" s="40"/>
      <c r="L145" s="312">
        <f t="shared" si="11"/>
        <v>0</v>
      </c>
    </row>
    <row r="146" spans="1:12" s="366" customFormat="1" ht="47.25" hidden="1" x14ac:dyDescent="0.25">
      <c r="A146" s="23" t="s">
        <v>37</v>
      </c>
      <c r="B146" s="23" t="s">
        <v>78</v>
      </c>
      <c r="C146" s="23" t="s">
        <v>21</v>
      </c>
      <c r="D146" s="23" t="s">
        <v>1177</v>
      </c>
      <c r="E146" s="23" t="s">
        <v>129</v>
      </c>
      <c r="F146" s="23" t="s">
        <v>28</v>
      </c>
      <c r="G146" s="29" t="s">
        <v>1602</v>
      </c>
      <c r="H146" s="29" t="s">
        <v>1285</v>
      </c>
      <c r="I146" s="776" t="s">
        <v>1601</v>
      </c>
      <c r="J146" s="312"/>
      <c r="K146" s="40"/>
      <c r="L146" s="312">
        <f t="shared" si="11"/>
        <v>0</v>
      </c>
    </row>
    <row r="147" spans="1:12" s="366" customFormat="1" ht="54.95" hidden="1" customHeight="1" x14ac:dyDescent="0.25">
      <c r="A147" s="23" t="s">
        <v>45</v>
      </c>
      <c r="B147" s="23" t="s">
        <v>78</v>
      </c>
      <c r="C147" s="23" t="s">
        <v>21</v>
      </c>
      <c r="D147" s="23" t="s">
        <v>1177</v>
      </c>
      <c r="E147" s="23" t="s">
        <v>129</v>
      </c>
      <c r="F147" s="23" t="s">
        <v>28</v>
      </c>
      <c r="G147" s="29" t="s">
        <v>1529</v>
      </c>
      <c r="H147" s="29" t="s">
        <v>1285</v>
      </c>
      <c r="I147" s="18" t="s">
        <v>1528</v>
      </c>
      <c r="J147" s="312"/>
      <c r="K147" s="40"/>
      <c r="L147" s="312">
        <f t="shared" si="11"/>
        <v>0</v>
      </c>
    </row>
    <row r="148" spans="1:12" s="36" customFormat="1" ht="78.75" hidden="1" x14ac:dyDescent="0.25">
      <c r="A148" s="23" t="s">
        <v>37</v>
      </c>
      <c r="B148" s="23" t="s">
        <v>78</v>
      </c>
      <c r="C148" s="23" t="s">
        <v>21</v>
      </c>
      <c r="D148" s="23" t="s">
        <v>1177</v>
      </c>
      <c r="E148" s="23" t="s">
        <v>129</v>
      </c>
      <c r="F148" s="23" t="s">
        <v>28</v>
      </c>
      <c r="G148" s="29" t="s">
        <v>1508</v>
      </c>
      <c r="H148" s="29" t="s">
        <v>1285</v>
      </c>
      <c r="I148" s="662" t="s">
        <v>1509</v>
      </c>
      <c r="J148" s="652"/>
      <c r="K148" s="40"/>
      <c r="L148" s="312">
        <f t="shared" si="11"/>
        <v>0</v>
      </c>
    </row>
    <row r="149" spans="1:12" s="366" customFormat="1" ht="50.25" hidden="1" customHeight="1" x14ac:dyDescent="0.25">
      <c r="A149" s="23" t="s">
        <v>37</v>
      </c>
      <c r="B149" s="23" t="s">
        <v>78</v>
      </c>
      <c r="C149" s="23" t="s">
        <v>21</v>
      </c>
      <c r="D149" s="23" t="s">
        <v>1177</v>
      </c>
      <c r="E149" s="23" t="s">
        <v>129</v>
      </c>
      <c r="F149" s="23" t="s">
        <v>28</v>
      </c>
      <c r="G149" s="29" t="s">
        <v>1510</v>
      </c>
      <c r="H149" s="29" t="s">
        <v>1285</v>
      </c>
      <c r="I149" s="18" t="s">
        <v>1511</v>
      </c>
      <c r="J149" s="312"/>
      <c r="K149" s="40"/>
      <c r="L149" s="312">
        <f t="shared" si="11"/>
        <v>0</v>
      </c>
    </row>
    <row r="150" spans="1:12" s="366" customFormat="1" ht="50.25" hidden="1" customHeight="1" x14ac:dyDescent="0.25">
      <c r="A150" s="23" t="s">
        <v>92</v>
      </c>
      <c r="B150" s="23" t="s">
        <v>78</v>
      </c>
      <c r="C150" s="23" t="s">
        <v>21</v>
      </c>
      <c r="D150" s="23" t="s">
        <v>1177</v>
      </c>
      <c r="E150" s="23" t="s">
        <v>129</v>
      </c>
      <c r="F150" s="23" t="s">
        <v>28</v>
      </c>
      <c r="G150" s="29" t="s">
        <v>1521</v>
      </c>
      <c r="H150" s="29" t="s">
        <v>1285</v>
      </c>
      <c r="I150" s="18" t="s">
        <v>1522</v>
      </c>
      <c r="J150" s="312"/>
      <c r="K150" s="40"/>
      <c r="L150" s="312">
        <f t="shared" si="11"/>
        <v>0</v>
      </c>
    </row>
    <row r="151" spans="1:12" s="366" customFormat="1" ht="48" hidden="1" customHeight="1" x14ac:dyDescent="0.25">
      <c r="A151" s="23" t="s">
        <v>37</v>
      </c>
      <c r="B151" s="23" t="s">
        <v>78</v>
      </c>
      <c r="C151" s="23" t="s">
        <v>21</v>
      </c>
      <c r="D151" s="23" t="s">
        <v>1177</v>
      </c>
      <c r="E151" s="23" t="s">
        <v>129</v>
      </c>
      <c r="F151" s="23" t="s">
        <v>28</v>
      </c>
      <c r="G151" s="29" t="s">
        <v>1512</v>
      </c>
      <c r="H151" s="29" t="s">
        <v>1285</v>
      </c>
      <c r="I151" s="776" t="s">
        <v>1513</v>
      </c>
      <c r="J151" s="312"/>
      <c r="K151" s="40"/>
      <c r="L151" s="312">
        <f t="shared" si="11"/>
        <v>0</v>
      </c>
    </row>
    <row r="152" spans="1:12" s="366" customFormat="1" ht="64.5" hidden="1" customHeight="1" x14ac:dyDescent="0.25">
      <c r="A152" s="23" t="s">
        <v>98</v>
      </c>
      <c r="B152" s="23" t="s">
        <v>78</v>
      </c>
      <c r="C152" s="23" t="s">
        <v>21</v>
      </c>
      <c r="D152" s="23" t="s">
        <v>1177</v>
      </c>
      <c r="E152" s="23" t="s">
        <v>129</v>
      </c>
      <c r="F152" s="23" t="s">
        <v>28</v>
      </c>
      <c r="G152" s="29" t="s">
        <v>1514</v>
      </c>
      <c r="H152" s="29" t="s">
        <v>1285</v>
      </c>
      <c r="I152" s="18" t="s">
        <v>1515</v>
      </c>
      <c r="J152" s="312"/>
      <c r="K152" s="40"/>
      <c r="L152" s="312">
        <f t="shared" si="11"/>
        <v>0</v>
      </c>
    </row>
    <row r="153" spans="1:12" s="366" customFormat="1" ht="33" hidden="1" customHeight="1" x14ac:dyDescent="0.25">
      <c r="A153" s="23" t="s">
        <v>37</v>
      </c>
      <c r="B153" s="23" t="s">
        <v>78</v>
      </c>
      <c r="C153" s="23" t="s">
        <v>21</v>
      </c>
      <c r="D153" s="23" t="s">
        <v>1177</v>
      </c>
      <c r="E153" s="23" t="s">
        <v>129</v>
      </c>
      <c r="F153" s="23" t="s">
        <v>28</v>
      </c>
      <c r="G153" s="29" t="s">
        <v>1599</v>
      </c>
      <c r="H153" s="29" t="s">
        <v>1285</v>
      </c>
      <c r="I153" s="310" t="s">
        <v>1600</v>
      </c>
      <c r="J153" s="312"/>
      <c r="K153" s="40"/>
      <c r="L153" s="312">
        <f t="shared" si="11"/>
        <v>0</v>
      </c>
    </row>
    <row r="154" spans="1:12" s="366" customFormat="1" ht="64.5" hidden="1" customHeight="1" x14ac:dyDescent="0.25">
      <c r="A154" s="23" t="s">
        <v>37</v>
      </c>
      <c r="B154" s="23" t="s">
        <v>78</v>
      </c>
      <c r="C154" s="23" t="s">
        <v>21</v>
      </c>
      <c r="D154" s="23" t="s">
        <v>1177</v>
      </c>
      <c r="E154" s="23" t="s">
        <v>129</v>
      </c>
      <c r="F154" s="23" t="s">
        <v>28</v>
      </c>
      <c r="G154" s="29" t="s">
        <v>1839</v>
      </c>
      <c r="H154" s="29" t="s">
        <v>1285</v>
      </c>
      <c r="I154" s="310" t="s">
        <v>1840</v>
      </c>
      <c r="J154" s="312"/>
      <c r="K154" s="40"/>
      <c r="L154" s="312">
        <f t="shared" si="11"/>
        <v>0</v>
      </c>
    </row>
    <row r="155" spans="1:12" s="366" customFormat="1" ht="81.95" hidden="1" customHeight="1" x14ac:dyDescent="0.25">
      <c r="A155" s="23" t="s">
        <v>37</v>
      </c>
      <c r="B155" s="23" t="s">
        <v>78</v>
      </c>
      <c r="C155" s="23" t="s">
        <v>21</v>
      </c>
      <c r="D155" s="23" t="s">
        <v>1177</v>
      </c>
      <c r="E155" s="23" t="s">
        <v>129</v>
      </c>
      <c r="F155" s="23" t="s">
        <v>28</v>
      </c>
      <c r="G155" s="29" t="s">
        <v>1747</v>
      </c>
      <c r="H155" s="29" t="s">
        <v>1285</v>
      </c>
      <c r="I155" s="310" t="s">
        <v>1752</v>
      </c>
      <c r="J155" s="312"/>
      <c r="K155" s="40"/>
      <c r="L155" s="312">
        <f t="shared" si="11"/>
        <v>0</v>
      </c>
    </row>
    <row r="156" spans="1:12" s="366" customFormat="1" ht="50.25" hidden="1" customHeight="1" x14ac:dyDescent="0.25">
      <c r="A156" s="23" t="s">
        <v>37</v>
      </c>
      <c r="B156" s="23" t="s">
        <v>78</v>
      </c>
      <c r="C156" s="23" t="s">
        <v>21</v>
      </c>
      <c r="D156" s="23" t="s">
        <v>1177</v>
      </c>
      <c r="E156" s="23" t="s">
        <v>129</v>
      </c>
      <c r="F156" s="23" t="s">
        <v>28</v>
      </c>
      <c r="G156" s="29" t="s">
        <v>1748</v>
      </c>
      <c r="H156" s="29" t="s">
        <v>1285</v>
      </c>
      <c r="I156" s="310" t="s">
        <v>1753</v>
      </c>
      <c r="J156" s="312"/>
      <c r="K156" s="40"/>
      <c r="L156" s="312">
        <f t="shared" si="11"/>
        <v>0</v>
      </c>
    </row>
    <row r="157" spans="1:12" s="366" customFormat="1" ht="43.15" hidden="1" customHeight="1" x14ac:dyDescent="0.25">
      <c r="A157" s="23" t="s">
        <v>37</v>
      </c>
      <c r="B157" s="23" t="s">
        <v>78</v>
      </c>
      <c r="C157" s="23" t="s">
        <v>21</v>
      </c>
      <c r="D157" s="23" t="s">
        <v>1177</v>
      </c>
      <c r="E157" s="23" t="s">
        <v>129</v>
      </c>
      <c r="F157" s="23" t="s">
        <v>28</v>
      </c>
      <c r="G157" s="29" t="s">
        <v>1678</v>
      </c>
      <c r="H157" s="29" t="s">
        <v>1285</v>
      </c>
      <c r="I157" s="310" t="s">
        <v>1679</v>
      </c>
      <c r="J157" s="312"/>
      <c r="K157" s="40"/>
      <c r="L157" s="312">
        <f t="shared" si="11"/>
        <v>0</v>
      </c>
    </row>
    <row r="158" spans="1:12" s="366" customFormat="1" ht="84.75" hidden="1" customHeight="1" x14ac:dyDescent="0.25">
      <c r="A158" s="23" t="s">
        <v>37</v>
      </c>
      <c r="B158" s="23" t="s">
        <v>78</v>
      </c>
      <c r="C158" s="23" t="s">
        <v>21</v>
      </c>
      <c r="D158" s="23" t="s">
        <v>1177</v>
      </c>
      <c r="E158" s="23" t="s">
        <v>129</v>
      </c>
      <c r="F158" s="23" t="s">
        <v>28</v>
      </c>
      <c r="G158" s="29" t="s">
        <v>1680</v>
      </c>
      <c r="H158" s="29" t="s">
        <v>1285</v>
      </c>
      <c r="I158" s="310" t="s">
        <v>1681</v>
      </c>
      <c r="J158" s="312"/>
      <c r="K158" s="40"/>
      <c r="L158" s="312">
        <f t="shared" si="11"/>
        <v>0</v>
      </c>
    </row>
    <row r="159" spans="1:12" s="366" customFormat="1" ht="84.75" hidden="1" customHeight="1" x14ac:dyDescent="0.25">
      <c r="A159" s="23" t="s">
        <v>37</v>
      </c>
      <c r="B159" s="23" t="s">
        <v>78</v>
      </c>
      <c r="C159" s="23" t="s">
        <v>21</v>
      </c>
      <c r="D159" s="23" t="s">
        <v>1177</v>
      </c>
      <c r="E159" s="23" t="s">
        <v>129</v>
      </c>
      <c r="F159" s="23" t="s">
        <v>28</v>
      </c>
      <c r="G159" s="29" t="s">
        <v>1837</v>
      </c>
      <c r="H159" s="29" t="s">
        <v>1285</v>
      </c>
      <c r="I159" s="310" t="s">
        <v>1836</v>
      </c>
      <c r="J159" s="312"/>
      <c r="K159" s="40"/>
      <c r="L159" s="312">
        <f t="shared" si="11"/>
        <v>0</v>
      </c>
    </row>
    <row r="160" spans="1:12" s="366" customFormat="1" ht="93.75" hidden="1" customHeight="1" x14ac:dyDescent="0.25">
      <c r="A160" s="23" t="s">
        <v>83</v>
      </c>
      <c r="B160" s="23" t="s">
        <v>78</v>
      </c>
      <c r="C160" s="23" t="s">
        <v>21</v>
      </c>
      <c r="D160" s="23" t="s">
        <v>1516</v>
      </c>
      <c r="E160" s="23" t="s">
        <v>1588</v>
      </c>
      <c r="F160" s="23" t="s">
        <v>28</v>
      </c>
      <c r="G160" s="29" t="s">
        <v>1589</v>
      </c>
      <c r="H160" s="29" t="s">
        <v>1285</v>
      </c>
      <c r="I160" s="18" t="s">
        <v>1590</v>
      </c>
      <c r="J160" s="312"/>
      <c r="K160" s="451"/>
      <c r="L160" s="312">
        <f t="shared" si="11"/>
        <v>0</v>
      </c>
    </row>
    <row r="161" spans="1:12" s="366" customFormat="1" ht="97.5" hidden="1" customHeight="1" x14ac:dyDescent="0.25">
      <c r="A161" s="23" t="s">
        <v>94</v>
      </c>
      <c r="B161" s="23" t="s">
        <v>78</v>
      </c>
      <c r="C161" s="23" t="s">
        <v>21</v>
      </c>
      <c r="D161" s="23" t="s">
        <v>1516</v>
      </c>
      <c r="E161" s="23" t="s">
        <v>1814</v>
      </c>
      <c r="F161" s="23" t="s">
        <v>28</v>
      </c>
      <c r="G161" s="29" t="s">
        <v>17</v>
      </c>
      <c r="H161" s="29" t="s">
        <v>1285</v>
      </c>
      <c r="I161" s="785" t="s">
        <v>1815</v>
      </c>
      <c r="J161" s="312"/>
      <c r="K161" s="844"/>
      <c r="L161" s="312">
        <f t="shared" si="11"/>
        <v>0</v>
      </c>
    </row>
    <row r="162" spans="1:12" s="366" customFormat="1" ht="53.25" hidden="1" customHeight="1" x14ac:dyDescent="0.25">
      <c r="A162" s="23" t="s">
        <v>37</v>
      </c>
      <c r="B162" s="23" t="s">
        <v>78</v>
      </c>
      <c r="C162" s="23" t="s">
        <v>21</v>
      </c>
      <c r="D162" s="23" t="s">
        <v>1556</v>
      </c>
      <c r="E162" s="23" t="s">
        <v>93</v>
      </c>
      <c r="F162" s="23" t="s">
        <v>28</v>
      </c>
      <c r="G162" s="29" t="s">
        <v>1557</v>
      </c>
      <c r="H162" s="29" t="s">
        <v>1285</v>
      </c>
      <c r="I162" s="18" t="s">
        <v>1558</v>
      </c>
      <c r="J162" s="312"/>
      <c r="K162" s="409"/>
      <c r="L162" s="312">
        <f t="shared" si="11"/>
        <v>0</v>
      </c>
    </row>
    <row r="163" spans="1:12" s="366" customFormat="1" ht="96.75" hidden="1" customHeight="1" x14ac:dyDescent="0.25">
      <c r="A163" s="23" t="s">
        <v>98</v>
      </c>
      <c r="B163" s="23" t="s">
        <v>78</v>
      </c>
      <c r="C163" s="23" t="s">
        <v>21</v>
      </c>
      <c r="D163" s="23" t="s">
        <v>1556</v>
      </c>
      <c r="E163" s="23" t="s">
        <v>93</v>
      </c>
      <c r="F163" s="23" t="s">
        <v>28</v>
      </c>
      <c r="G163" s="29" t="s">
        <v>1816</v>
      </c>
      <c r="H163" s="29" t="s">
        <v>1285</v>
      </c>
      <c r="I163" s="785" t="s">
        <v>1817</v>
      </c>
      <c r="J163" s="312"/>
      <c r="K163" s="409"/>
      <c r="L163" s="312">
        <f t="shared" si="11"/>
        <v>0</v>
      </c>
    </row>
    <row r="164" spans="1:12" s="366" customFormat="1" ht="21.75" hidden="1" customHeight="1" x14ac:dyDescent="0.25">
      <c r="A164" s="20" t="s">
        <v>14</v>
      </c>
      <c r="B164" s="20" t="s">
        <v>78</v>
      </c>
      <c r="C164" s="20" t="s">
        <v>38</v>
      </c>
      <c r="D164" s="20" t="s">
        <v>16</v>
      </c>
      <c r="E164" s="20" t="s">
        <v>14</v>
      </c>
      <c r="F164" s="20" t="s">
        <v>16</v>
      </c>
      <c r="G164" s="27" t="s">
        <v>17</v>
      </c>
      <c r="H164" s="27" t="s">
        <v>14</v>
      </c>
      <c r="I164" s="14" t="s">
        <v>1591</v>
      </c>
      <c r="J164" s="15"/>
      <c r="K164" s="15">
        <f>K165</f>
        <v>0</v>
      </c>
      <c r="L164" s="312">
        <f t="shared" si="11"/>
        <v>0</v>
      </c>
    </row>
    <row r="165" spans="1:12" s="366" customFormat="1" ht="31.7" hidden="1" customHeight="1" x14ac:dyDescent="0.25">
      <c r="A165" s="23" t="s">
        <v>14</v>
      </c>
      <c r="B165" s="23" t="s">
        <v>78</v>
      </c>
      <c r="C165" s="23" t="s">
        <v>38</v>
      </c>
      <c r="D165" s="23" t="s">
        <v>28</v>
      </c>
      <c r="E165" s="23" t="s">
        <v>1592</v>
      </c>
      <c r="F165" s="23" t="s">
        <v>28</v>
      </c>
      <c r="G165" s="29" t="s">
        <v>17</v>
      </c>
      <c r="H165" s="29" t="s">
        <v>1285</v>
      </c>
      <c r="I165" s="18" t="s">
        <v>1593</v>
      </c>
      <c r="J165" s="312"/>
      <c r="K165" s="409"/>
      <c r="L165" s="312">
        <f t="shared" si="11"/>
        <v>0</v>
      </c>
    </row>
    <row r="166" spans="1:12" s="36" customFormat="1" ht="15.75" x14ac:dyDescent="0.25">
      <c r="A166" s="23"/>
      <c r="B166" s="23"/>
      <c r="C166" s="23"/>
      <c r="D166" s="23"/>
      <c r="E166" s="23"/>
      <c r="F166" s="23"/>
      <c r="G166" s="29"/>
      <c r="H166" s="29"/>
      <c r="I166" s="14" t="s">
        <v>150</v>
      </c>
      <c r="J166" s="22"/>
      <c r="K166" s="22">
        <f>K11+K44</f>
        <v>1938584708</v>
      </c>
      <c r="L166" s="15">
        <f>SUM(J166:K166)</f>
        <v>1938584708</v>
      </c>
    </row>
    <row r="167" spans="1:12" ht="0.95" customHeight="1" x14ac:dyDescent="0.2">
      <c r="A167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1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1" t="s">
        <v>365</v>
      </c>
      <c r="C1" s="961"/>
      <c r="D1" s="961"/>
      <c r="E1" s="962"/>
      <c r="F1" s="962"/>
    </row>
    <row r="2" spans="1:6" ht="15.75" x14ac:dyDescent="0.25">
      <c r="B2" s="961" t="s">
        <v>1</v>
      </c>
      <c r="C2" s="961"/>
      <c r="D2" s="961"/>
      <c r="E2" s="962"/>
      <c r="F2" s="962"/>
    </row>
    <row r="3" spans="1:6" ht="15.75" x14ac:dyDescent="0.25">
      <c r="B3" s="961" t="s">
        <v>2</v>
      </c>
      <c r="C3" s="961"/>
      <c r="D3" s="961"/>
      <c r="E3" s="962"/>
      <c r="F3" s="962"/>
    </row>
    <row r="4" spans="1:6" ht="15.75" x14ac:dyDescent="0.25">
      <c r="B4" s="961" t="s">
        <v>1764</v>
      </c>
      <c r="C4" s="961"/>
      <c r="D4" s="961"/>
      <c r="E4" s="962"/>
      <c r="F4" s="962"/>
    </row>
    <row r="5" spans="1:6" ht="15.75" x14ac:dyDescent="0.25">
      <c r="B5" s="961"/>
      <c r="C5" s="962"/>
      <c r="D5" s="962"/>
      <c r="E5" s="962"/>
      <c r="F5" s="962"/>
    </row>
    <row r="6" spans="1:6" hidden="1" x14ac:dyDescent="0.2">
      <c r="B6" s="778"/>
      <c r="C6" s="778"/>
      <c r="D6" s="778"/>
      <c r="E6" s="778"/>
      <c r="F6" s="96"/>
    </row>
    <row r="7" spans="1:6" ht="52.5" customHeight="1" x14ac:dyDescent="0.2">
      <c r="A7" s="960" t="s">
        <v>1871</v>
      </c>
      <c r="B7" s="960"/>
      <c r="C7" s="960"/>
      <c r="D7" s="960"/>
      <c r="E7" s="960"/>
      <c r="F7" s="96"/>
    </row>
    <row r="8" spans="1:6" ht="48" customHeight="1" x14ac:dyDescent="0.2">
      <c r="A8" s="777" t="s">
        <v>1766</v>
      </c>
      <c r="B8" s="370" t="s">
        <v>1765</v>
      </c>
      <c r="C8" s="777" t="s">
        <v>1767</v>
      </c>
      <c r="D8" s="777" t="s">
        <v>1763</v>
      </c>
      <c r="E8" s="777" t="s">
        <v>1762</v>
      </c>
      <c r="F8" s="96"/>
    </row>
    <row r="9" spans="1:6" ht="155.25" customHeight="1" x14ac:dyDescent="0.2">
      <c r="A9" s="779" t="s">
        <v>1768</v>
      </c>
      <c r="B9" s="780" t="s">
        <v>1670</v>
      </c>
      <c r="C9" s="779">
        <v>100</v>
      </c>
      <c r="D9" s="779"/>
      <c r="E9" s="779"/>
      <c r="F9" s="96"/>
    </row>
    <row r="10" spans="1:6" ht="153" x14ac:dyDescent="0.2">
      <c r="A10" s="779" t="s">
        <v>1769</v>
      </c>
      <c r="B10" s="204" t="s">
        <v>1770</v>
      </c>
      <c r="C10" s="779"/>
      <c r="D10" s="779">
        <v>100</v>
      </c>
      <c r="E10" s="779"/>
      <c r="F10" s="96"/>
    </row>
    <row r="11" spans="1:6" ht="153" x14ac:dyDescent="0.2">
      <c r="A11" s="779" t="s">
        <v>1772</v>
      </c>
      <c r="B11" s="204" t="s">
        <v>1771</v>
      </c>
      <c r="C11" s="779"/>
      <c r="D11" s="779"/>
      <c r="E11" s="779">
        <v>100</v>
      </c>
      <c r="F11" s="96"/>
    </row>
    <row r="12" spans="1:6" ht="140.25" x14ac:dyDescent="0.2">
      <c r="A12" s="779" t="s">
        <v>1773</v>
      </c>
      <c r="B12" s="204" t="s">
        <v>1671</v>
      </c>
      <c r="C12" s="779">
        <v>100</v>
      </c>
      <c r="D12" s="779"/>
      <c r="E12" s="779"/>
      <c r="F12" s="96"/>
    </row>
    <row r="13" spans="1:6" ht="140.25" x14ac:dyDescent="0.2">
      <c r="A13" s="779" t="s">
        <v>1774</v>
      </c>
      <c r="B13" s="204" t="s">
        <v>1775</v>
      </c>
      <c r="C13" s="779"/>
      <c r="D13" s="779">
        <v>100</v>
      </c>
      <c r="E13" s="779"/>
      <c r="F13" s="96"/>
    </row>
    <row r="14" spans="1:6" ht="140.25" x14ac:dyDescent="0.2">
      <c r="A14" s="779" t="s">
        <v>1776</v>
      </c>
      <c r="B14" s="204" t="s">
        <v>1777</v>
      </c>
      <c r="C14" s="779"/>
      <c r="D14" s="779"/>
      <c r="E14" s="779">
        <v>100</v>
      </c>
      <c r="F14" s="96"/>
    </row>
    <row r="15" spans="1:6" ht="103.7" customHeight="1" x14ac:dyDescent="0.2">
      <c r="A15" s="779" t="s">
        <v>1778</v>
      </c>
      <c r="B15" s="780" t="s">
        <v>1635</v>
      </c>
      <c r="C15" s="779">
        <v>100</v>
      </c>
      <c r="D15" s="779"/>
      <c r="E15" s="779"/>
      <c r="F15" s="96"/>
    </row>
    <row r="16" spans="1:6" ht="102" x14ac:dyDescent="0.2">
      <c r="A16" s="779" t="s">
        <v>1779</v>
      </c>
      <c r="B16" s="204" t="s">
        <v>1780</v>
      </c>
      <c r="C16" s="779"/>
      <c r="D16" s="779">
        <v>100</v>
      </c>
      <c r="E16" s="779"/>
      <c r="F16" s="96"/>
    </row>
    <row r="17" spans="1:6" ht="102" x14ac:dyDescent="0.2">
      <c r="A17" s="779" t="s">
        <v>1781</v>
      </c>
      <c r="B17" s="204" t="s">
        <v>1782</v>
      </c>
      <c r="C17" s="779"/>
      <c r="D17" s="779"/>
      <c r="E17" s="779">
        <v>100</v>
      </c>
      <c r="F17" s="96"/>
    </row>
    <row r="18" spans="1:6" s="281" customFormat="1" ht="67.7" customHeight="1" x14ac:dyDescent="0.2">
      <c r="A18" s="779" t="s">
        <v>1788</v>
      </c>
      <c r="B18" s="204" t="s">
        <v>1636</v>
      </c>
      <c r="C18" s="779">
        <v>100</v>
      </c>
      <c r="D18" s="779"/>
      <c r="E18" s="779"/>
      <c r="F18" s="96"/>
    </row>
    <row r="19" spans="1:6" s="281" customFormat="1" ht="67.7" customHeight="1" x14ac:dyDescent="0.2">
      <c r="A19" s="779" t="s">
        <v>1789</v>
      </c>
      <c r="B19" s="204" t="s">
        <v>1790</v>
      </c>
      <c r="C19" s="779"/>
      <c r="D19" s="779">
        <v>100</v>
      </c>
      <c r="E19" s="779"/>
      <c r="F19" s="96"/>
    </row>
    <row r="20" spans="1:6" s="281" customFormat="1" ht="69" customHeight="1" x14ac:dyDescent="0.2">
      <c r="A20" s="779" t="s">
        <v>1791</v>
      </c>
      <c r="B20" s="204" t="s">
        <v>1792</v>
      </c>
      <c r="C20" s="779"/>
      <c r="D20" s="779"/>
      <c r="E20" s="779">
        <v>100</v>
      </c>
      <c r="F20" s="96"/>
    </row>
    <row r="21" spans="1:6" ht="51" x14ac:dyDescent="0.2">
      <c r="A21" s="779" t="s">
        <v>1783</v>
      </c>
      <c r="B21" s="204" t="s">
        <v>1734</v>
      </c>
      <c r="C21" s="779">
        <v>100</v>
      </c>
      <c r="D21" s="779"/>
      <c r="E21" s="779"/>
      <c r="F21" s="96"/>
    </row>
    <row r="22" spans="1:6" ht="51" x14ac:dyDescent="0.2">
      <c r="A22" s="779" t="s">
        <v>1784</v>
      </c>
      <c r="B22" s="204" t="s">
        <v>1785</v>
      </c>
      <c r="C22" s="779"/>
      <c r="D22" s="779">
        <v>100</v>
      </c>
      <c r="E22" s="779"/>
      <c r="F22" s="96"/>
    </row>
    <row r="23" spans="1:6" ht="51" x14ac:dyDescent="0.2">
      <c r="A23" s="779" t="s">
        <v>1786</v>
      </c>
      <c r="B23" s="204" t="s">
        <v>1787</v>
      </c>
      <c r="C23" s="779"/>
      <c r="D23" s="779"/>
      <c r="E23" s="779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showGridLines="0" view="pageBreakPreview" zoomScaleSheetLayoutView="100" workbookViewId="0">
      <selection sqref="A1:C1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87" t="s">
        <v>1856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1859</v>
      </c>
      <c r="B4" s="887"/>
      <c r="C4" s="887"/>
    </row>
    <row r="5" spans="1:3" ht="15.75" x14ac:dyDescent="0.25">
      <c r="A5" s="36"/>
      <c r="B5" s="1"/>
      <c r="C5" s="1"/>
    </row>
    <row r="6" spans="1:3" ht="48" customHeight="1" x14ac:dyDescent="0.2">
      <c r="A6" s="888" t="s">
        <v>1362</v>
      </c>
      <c r="B6" s="888"/>
      <c r="C6" s="888"/>
    </row>
    <row r="7" spans="1:3" ht="18.75" x14ac:dyDescent="0.3">
      <c r="A7" s="963"/>
      <c r="B7" s="963"/>
      <c r="C7" s="963"/>
    </row>
    <row r="8" spans="1:3" ht="15.75" x14ac:dyDescent="0.2">
      <c r="A8" s="964" t="s">
        <v>361</v>
      </c>
      <c r="B8" s="964"/>
      <c r="C8" s="964"/>
    </row>
    <row r="9" spans="1:3" ht="47.25" x14ac:dyDescent="0.2">
      <c r="A9" s="91">
        <v>955</v>
      </c>
      <c r="B9" s="91" t="s">
        <v>366</v>
      </c>
      <c r="C9" s="92" t="s">
        <v>307</v>
      </c>
    </row>
    <row r="10" spans="1:3" ht="47.25" x14ac:dyDescent="0.2">
      <c r="A10" s="91">
        <v>955</v>
      </c>
      <c r="B10" s="91" t="s">
        <v>367</v>
      </c>
      <c r="C10" s="92" t="s">
        <v>308</v>
      </c>
    </row>
    <row r="11" spans="1:3" ht="63" x14ac:dyDescent="0.2">
      <c r="A11" s="91">
        <v>955</v>
      </c>
      <c r="B11" s="91" t="s">
        <v>368</v>
      </c>
      <c r="C11" s="92" t="s">
        <v>369</v>
      </c>
    </row>
    <row r="12" spans="1:3" ht="63" x14ac:dyDescent="0.2">
      <c r="A12" s="91">
        <v>955</v>
      </c>
      <c r="B12" s="91" t="s">
        <v>370</v>
      </c>
      <c r="C12" s="92" t="s">
        <v>371</v>
      </c>
    </row>
    <row r="13" spans="1:3" ht="31.5" x14ac:dyDescent="0.2">
      <c r="A13" s="91">
        <v>955</v>
      </c>
      <c r="B13" s="91" t="s">
        <v>372</v>
      </c>
      <c r="C13" s="92" t="s">
        <v>312</v>
      </c>
    </row>
    <row r="14" spans="1:3" ht="31.5" x14ac:dyDescent="0.2">
      <c r="A14" s="91">
        <v>955</v>
      </c>
      <c r="B14" s="91" t="s">
        <v>373</v>
      </c>
      <c r="C14" s="92" t="s">
        <v>313</v>
      </c>
    </row>
    <row r="15" spans="1:3" ht="63" x14ac:dyDescent="0.2">
      <c r="A15" s="91">
        <v>955</v>
      </c>
      <c r="B15" s="91" t="s">
        <v>374</v>
      </c>
      <c r="C15" s="92" t="s">
        <v>375</v>
      </c>
    </row>
    <row r="16" spans="1:3" ht="78.75" x14ac:dyDescent="0.2">
      <c r="A16" s="91">
        <v>955</v>
      </c>
      <c r="B16" s="91" t="s">
        <v>376</v>
      </c>
      <c r="C16" s="92" t="s">
        <v>377</v>
      </c>
    </row>
    <row r="17" spans="1:3" ht="63" x14ac:dyDescent="0.25">
      <c r="A17" s="93">
        <v>955</v>
      </c>
      <c r="B17" s="93" t="s">
        <v>378</v>
      </c>
      <c r="C17" s="94" t="s">
        <v>379</v>
      </c>
    </row>
    <row r="18" spans="1:3" ht="63" x14ac:dyDescent="0.25">
      <c r="A18" s="93">
        <v>955</v>
      </c>
      <c r="B18" s="93" t="s">
        <v>380</v>
      </c>
      <c r="C18" s="94" t="s">
        <v>381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093"/>
  <sheetViews>
    <sheetView showGridLines="0" tabSelected="1" view="pageBreakPreview" topLeftCell="A86" zoomScaleSheetLayoutView="100" workbookViewId="0">
      <selection activeCell="H97" sqref="H97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870" customWidth="1"/>
    <col min="9" max="9" width="14.28515625" style="98" hidden="1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87" t="s">
        <v>385</v>
      </c>
      <c r="B1" s="887"/>
      <c r="C1" s="887"/>
      <c r="D1" s="887"/>
      <c r="E1" s="887"/>
      <c r="F1" s="887"/>
      <c r="G1" s="887"/>
      <c r="H1" s="887"/>
      <c r="I1" s="887"/>
    </row>
    <row r="2" spans="1:9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</row>
    <row r="3" spans="1:9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</row>
    <row r="4" spans="1:9" x14ac:dyDescent="0.25">
      <c r="A4" s="887" t="s">
        <v>1859</v>
      </c>
      <c r="B4" s="887"/>
      <c r="C4" s="887"/>
      <c r="D4" s="887"/>
      <c r="E4" s="887"/>
      <c r="F4" s="887"/>
      <c r="G4" s="887"/>
      <c r="H4" s="887"/>
      <c r="I4" s="887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67" t="s">
        <v>1872</v>
      </c>
      <c r="B6" s="967"/>
      <c r="C6" s="967"/>
      <c r="D6" s="967"/>
      <c r="E6" s="967"/>
      <c r="F6" s="967"/>
      <c r="G6" s="967"/>
      <c r="H6" s="967"/>
      <c r="I6" s="967"/>
    </row>
    <row r="7" spans="1:9" ht="18.75" x14ac:dyDescent="0.3">
      <c r="A7" s="770"/>
      <c r="B7" s="107"/>
      <c r="C7" s="107"/>
      <c r="D7" s="107"/>
      <c r="E7" s="107"/>
      <c r="F7" s="107"/>
    </row>
    <row r="8" spans="1:9" x14ac:dyDescent="0.25">
      <c r="A8" s="969" t="s">
        <v>161</v>
      </c>
      <c r="B8" s="970" t="s">
        <v>386</v>
      </c>
      <c r="C8" s="970" t="s">
        <v>387</v>
      </c>
      <c r="D8" s="971" t="s">
        <v>388</v>
      </c>
      <c r="E8" s="971"/>
      <c r="F8" s="970" t="s">
        <v>389</v>
      </c>
      <c r="G8" s="968" t="s">
        <v>162</v>
      </c>
      <c r="H8" s="965" t="s">
        <v>162</v>
      </c>
      <c r="I8" s="966" t="s">
        <v>162</v>
      </c>
    </row>
    <row r="9" spans="1:9" s="108" customFormat="1" x14ac:dyDescent="0.2">
      <c r="A9" s="969"/>
      <c r="B9" s="970"/>
      <c r="C9" s="970"/>
      <c r="D9" s="534" t="s">
        <v>390</v>
      </c>
      <c r="E9" s="535" t="s">
        <v>391</v>
      </c>
      <c r="F9" s="970"/>
      <c r="G9" s="968"/>
      <c r="H9" s="965"/>
      <c r="I9" s="966"/>
    </row>
    <row r="10" spans="1:9" s="109" customFormat="1" ht="31.5" x14ac:dyDescent="0.25">
      <c r="A10" s="771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4"/>
      <c r="H10" s="338">
        <f>H11+H15+H25+H29+H33+H133+H154+H216+H242+H343+H323+H125+H165+H339+H234+H287+H355+H333</f>
        <v>182334647</v>
      </c>
      <c r="I10" s="384">
        <f>I11+I15+I25+I29+I33+I133+I154+I216+I242+I343+I323+I125+I165+I339+I234+I287+I355+I333</f>
        <v>182334647</v>
      </c>
    </row>
    <row r="11" spans="1:9" s="109" customFormat="1" ht="63" x14ac:dyDescent="0.25">
      <c r="A11" s="772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5"/>
      <c r="H11" s="284">
        <f t="shared" ref="H11:H13" si="0">H12</f>
        <v>1647072</v>
      </c>
      <c r="I11" s="120">
        <f t="shared" ref="I11:I13" si="1">SUM(G11:H11)</f>
        <v>1647072</v>
      </c>
    </row>
    <row r="12" spans="1:9" s="109" customFormat="1" x14ac:dyDescent="0.25">
      <c r="A12" s="772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295"/>
      <c r="H12" s="284">
        <f t="shared" si="0"/>
        <v>1647072</v>
      </c>
      <c r="I12" s="120">
        <f t="shared" si="1"/>
        <v>1647072</v>
      </c>
    </row>
    <row r="13" spans="1:9" s="109" customFormat="1" ht="31.5" x14ac:dyDescent="0.25">
      <c r="A13" s="772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5"/>
      <c r="H13" s="284">
        <f t="shared" si="0"/>
        <v>1647072</v>
      </c>
      <c r="I13" s="120">
        <f t="shared" si="1"/>
        <v>1647072</v>
      </c>
    </row>
    <row r="14" spans="1:9" s="109" customFormat="1" ht="94.5" x14ac:dyDescent="0.25">
      <c r="A14" s="772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5"/>
      <c r="H14" s="284">
        <f>1647072</f>
        <v>1647072</v>
      </c>
      <c r="I14" s="120">
        <f t="shared" ref="I14:I111" si="2">SUM(G14:H14)</f>
        <v>1647072</v>
      </c>
    </row>
    <row r="15" spans="1:9" s="109" customFormat="1" ht="94.5" x14ac:dyDescent="0.25">
      <c r="A15" s="772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77"/>
      <c r="H15" s="339">
        <f>H16</f>
        <v>42505522</v>
      </c>
      <c r="I15" s="277">
        <f>I16</f>
        <v>42505522</v>
      </c>
    </row>
    <row r="16" spans="1:9" s="109" customFormat="1" x14ac:dyDescent="0.25">
      <c r="A16" s="772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277"/>
      <c r="H16" s="339">
        <f>H17+H22</f>
        <v>42505522</v>
      </c>
      <c r="I16" s="120">
        <f t="shared" si="2"/>
        <v>42505522</v>
      </c>
    </row>
    <row r="17" spans="1:9" s="109" customFormat="1" x14ac:dyDescent="0.25">
      <c r="A17" s="772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77"/>
      <c r="H17" s="339">
        <f t="shared" ref="H17:I17" si="3">H18+H19+H21+H20</f>
        <v>20264081</v>
      </c>
      <c r="I17" s="277">
        <f t="shared" si="3"/>
        <v>20264081</v>
      </c>
    </row>
    <row r="18" spans="1:9" s="109" customFormat="1" ht="94.5" x14ac:dyDescent="0.25">
      <c r="A18" s="772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5"/>
      <c r="H18" s="284">
        <f>29818987+9005334-22241441-210708</f>
        <v>16372172</v>
      </c>
      <c r="I18" s="120">
        <f t="shared" si="2"/>
        <v>16372172</v>
      </c>
    </row>
    <row r="19" spans="1:9" s="109" customFormat="1" ht="47.25" x14ac:dyDescent="0.25">
      <c r="A19" s="772" t="str">
        <f>IF(B19&gt;0,VLOOKUP(B19,КВСР!A11:B1176,2),IF(C19&gt;0,VLOOKUP(C19,КФСР!A11:B1523,2),IF(D19&gt;0,VLOOKUP(D19,Программа!A$1:B$5110,2),IF(F19&gt;0,VLOOKUP(F19,КВР!A$1:B$5001,2),IF(E19&gt;0,VLOOKUP(E19,Направление!A$1:B$4783,2))))))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5"/>
      <c r="H19" s="284">
        <v>3613282</v>
      </c>
      <c r="I19" s="120">
        <f t="shared" si="2"/>
        <v>3613282</v>
      </c>
    </row>
    <row r="20" spans="1:9" s="109" customFormat="1" ht="31.5" hidden="1" x14ac:dyDescent="0.25">
      <c r="A20" s="772" t="str">
        <f>IF(B20&gt;0,VLOOKUP(B20,КВСР!A12:B1177,2),IF(C20&gt;0,VLOOKUP(C20,КФСР!A12:B1524,2),IF(D20&gt;0,VLOOKUP(D20,Программа!A$1:B$5110,2),IF(F20&gt;0,VLOOKUP(F20,КВР!A$1:B$5001,2),IF(E20&gt;0,VLOOKUP(E20,Направление!A$1:B$4783,2))))))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5"/>
      <c r="H20" s="284"/>
      <c r="I20" s="120">
        <f t="shared" si="2"/>
        <v>0</v>
      </c>
    </row>
    <row r="21" spans="1:9" s="109" customFormat="1" x14ac:dyDescent="0.25">
      <c r="A21" s="772" t="str">
        <f>IF(B21&gt;0,VLOOKUP(B21,КВСР!A12:B1177,2),IF(C21&gt;0,VLOOKUP(C21,КФСР!A12:B1524,2),IF(D21&gt;0,VLOOKUP(D21,Программа!A$1:B$5110,2),IF(F21&gt;0,VLOOKUP(F21,КВР!A$1:B$5001,2),IF(E21&gt;0,VLOOKUP(E21,Направление!A$1:B$4783,2))))))</f>
        <v>Иные бюджетные ассигнования</v>
      </c>
      <c r="B21" s="117"/>
      <c r="C21" s="112"/>
      <c r="D21" s="114"/>
      <c r="E21" s="112"/>
      <c r="F21" s="114">
        <v>800</v>
      </c>
      <c r="G21" s="295"/>
      <c r="H21" s="284">
        <f>156500+30000+92127</f>
        <v>278627</v>
      </c>
      <c r="I21" s="120">
        <f t="shared" si="2"/>
        <v>278627</v>
      </c>
    </row>
    <row r="22" spans="1:9" s="109" customFormat="1" ht="47.25" x14ac:dyDescent="0.25">
      <c r="A22" s="772" t="str">
        <f>IF(B22&gt;0,VLOOKUP(B22,КВСР!A13:B1178,2),IF(C22&gt;0,VLOOKUP(C22,КФСР!A13:B1525,2),IF(D22&gt;0,VLOOKUP(D22,Программа!A$1:B$5110,2),IF(F22&gt;0,VLOOKUP(F22,КВР!A$1:B$5001,2),IF(E22&gt;0,VLOOKUP(E22,Направление!A$1:B$4783,2))))))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5"/>
      <c r="H22" s="284">
        <f>H23+H24</f>
        <v>22241441</v>
      </c>
      <c r="I22" s="120">
        <f t="shared" si="2"/>
        <v>22241441</v>
      </c>
    </row>
    <row r="23" spans="1:9" s="109" customFormat="1" ht="94.5" x14ac:dyDescent="0.25">
      <c r="A23" s="772" t="str">
        <f>IF(B23&gt;0,VLOOKUP(B23,КВСР!A14:B1179,2),IF(C23&gt;0,VLOOKUP(C23,КФСР!A14:B1526,2),IF(D23&gt;0,VLOOKUP(D23,Программа!A$1:B$5110,2),IF(F23&gt;0,VLOOKUP(F23,КВР!A$1:B$5001,2),IF(E23&gt;0,VLOOKUP(E23,Направление!A$1:B$4783,2))))))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5"/>
      <c r="H23" s="284">
        <v>22241441</v>
      </c>
      <c r="I23" s="120">
        <f t="shared" si="2"/>
        <v>22241441</v>
      </c>
    </row>
    <row r="24" spans="1:9" s="109" customFormat="1" ht="47.25" hidden="1" x14ac:dyDescent="0.25">
      <c r="A24" s="772" t="str">
        <f>IF(B24&gt;0,VLOOKUP(B24,КВСР!A15:B1180,2),IF(C24&gt;0,VLOOKUP(C24,КФСР!A15:B1527,2),IF(D24&gt;0,VLOOKUP(D24,Программа!A$1:B$5110,2),IF(F24&gt;0,VLOOKUP(F24,КВР!A$1:B$5001,2),IF(E24&gt;0,VLOOKUP(E24,Направление!A$1:B$4783,2))))))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5"/>
      <c r="H24" s="284"/>
      <c r="I24" s="120">
        <f t="shared" si="2"/>
        <v>0</v>
      </c>
    </row>
    <row r="25" spans="1:9" s="109" customFormat="1" x14ac:dyDescent="0.25">
      <c r="A25" s="772" t="str">
        <f>IF(B25&gt;0,VLOOKUP(B25,КВСР!A16:B1181,2),IF(C25&gt;0,VLOOKUP(C25,КФСР!A16:B1528,2),IF(D25&gt;0,VLOOKUP(D25,Программа!A$1:B$5110,2),IF(F25&gt;0,VLOOKUP(F25,КВР!A$1:B$5001,2),IF(E25&gt;0,VLOOKUP(E25,Направление!A$1:B$4783,2))))))</f>
        <v>Судебная система</v>
      </c>
      <c r="B25" s="117"/>
      <c r="C25" s="112">
        <v>105</v>
      </c>
      <c r="D25" s="114"/>
      <c r="E25" s="112"/>
      <c r="F25" s="114"/>
      <c r="G25" s="295"/>
      <c r="H25" s="284">
        <f t="shared" ref="H25:H27" si="4">H26</f>
        <v>6589</v>
      </c>
      <c r="I25" s="120">
        <f t="shared" si="2"/>
        <v>6589</v>
      </c>
    </row>
    <row r="26" spans="1:9" s="109" customFormat="1" x14ac:dyDescent="0.25">
      <c r="A26" s="772" t="str">
        <f>IF(B26&gt;0,VLOOKUP(B26,КВСР!A17:B1182,2),IF(C26&gt;0,VLOOKUP(C26,КФСР!A17:B1529,2),IF(D26&gt;0,VLOOKUP(D26,Программа!A$1:B$5110,2),IF(F26&gt;0,VLOOKUP(F26,КВР!A$1:B$5001,2),IF(E26&gt;0,VLOOKUP(E26,Направление!A$1:B$4783,2))))))</f>
        <v>Непрограммные расходы бюджета</v>
      </c>
      <c r="B26" s="117"/>
      <c r="C26" s="112"/>
      <c r="D26" s="114" t="s">
        <v>394</v>
      </c>
      <c r="E26" s="112"/>
      <c r="F26" s="114"/>
      <c r="G26" s="295"/>
      <c r="H26" s="284">
        <f t="shared" si="4"/>
        <v>6589</v>
      </c>
      <c r="I26" s="120">
        <f t="shared" si="2"/>
        <v>6589</v>
      </c>
    </row>
    <row r="27" spans="1:9" s="109" customFormat="1" ht="78.75" x14ac:dyDescent="0.25">
      <c r="A27" s="772" t="str">
        <f>IF(B27&gt;0,VLOOKUP(B27,КВСР!A18:B1183,2),IF(C27&gt;0,VLOOKUP(C27,КФСР!A18:B1530,2),IF(D27&gt;0,VLOOKUP(D27,Программа!A$1:B$5110,2),IF(F27&gt;0,VLOOKUP(F27,КВР!A$1:B$5001,2),IF(E27&gt;0,VLOOKUP(E27,Направление!A$1:B$4783,2))))))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5"/>
      <c r="H27" s="284">
        <f t="shared" si="4"/>
        <v>6589</v>
      </c>
      <c r="I27" s="120">
        <f t="shared" si="2"/>
        <v>6589</v>
      </c>
    </row>
    <row r="28" spans="1:9" s="109" customFormat="1" ht="47.25" x14ac:dyDescent="0.25">
      <c r="A28" s="772" t="str">
        <f>IF(B28&gt;0,VLOOKUP(B28,КВСР!A19:B1184,2),IF(C28&gt;0,VLOOKUP(C28,КФСР!A19:B1531,2),IF(D28&gt;0,VLOOKUP(D28,Программа!A$1:B$5110,2),IF(F28&gt;0,VLOOKUP(F28,КВР!A$1:B$5001,2),IF(E28&gt;0,VLOOKUP(E28,Направление!A$1:B$4783,2))))))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5"/>
      <c r="H28" s="284">
        <v>6589</v>
      </c>
      <c r="I28" s="120">
        <f t="shared" si="2"/>
        <v>6589</v>
      </c>
    </row>
    <row r="29" spans="1:9" s="109" customFormat="1" x14ac:dyDescent="0.25">
      <c r="A29" s="772" t="str">
        <f>IF(B29&gt;0,VLOOKUP(B29,КВСР!A21:B1186,2),IF(C29&gt;0,VLOOKUP(C29,КФСР!A21:B1533,2),IF(D29&gt;0,VLOOKUP(D29,Программа!A$1:B$5110,2),IF(F29&gt;0,VLOOKUP(F29,КВР!A$1:B$5001,2),IF(E29&gt;0,VLOOKUP(E29,Направление!A$1:B$4783,2))))))</f>
        <v>Резервные фонды</v>
      </c>
      <c r="B29" s="117"/>
      <c r="C29" s="112">
        <v>111</v>
      </c>
      <c r="D29" s="113"/>
      <c r="E29" s="112"/>
      <c r="F29" s="114"/>
      <c r="G29" s="277"/>
      <c r="H29" s="339">
        <f t="shared" ref="H29:H31" si="5">H30</f>
        <v>3000000</v>
      </c>
      <c r="I29" s="120">
        <f t="shared" si="2"/>
        <v>3000000</v>
      </c>
    </row>
    <row r="30" spans="1:9" s="109" customFormat="1" x14ac:dyDescent="0.25">
      <c r="A30" s="772" t="str">
        <f>IF(B30&gt;0,VLOOKUP(B30,КВСР!A22:B1187,2),IF(C30&gt;0,VLOOKUP(C30,КФСР!A22:B1534,2),IF(D30&gt;0,VLOOKUP(D30,Программа!A$1:B$5110,2),IF(F30&gt;0,VLOOKUP(F30,КВР!A$1:B$5001,2),IF(E30&gt;0,VLOOKUP(E30,Направление!A$1:B$4783,2))))))</f>
        <v>Непрограммные расходы бюджета</v>
      </c>
      <c r="B30" s="117"/>
      <c r="C30" s="112"/>
      <c r="D30" s="113" t="s">
        <v>394</v>
      </c>
      <c r="E30" s="112"/>
      <c r="F30" s="114"/>
      <c r="G30" s="277"/>
      <c r="H30" s="339">
        <f t="shared" si="5"/>
        <v>3000000</v>
      </c>
      <c r="I30" s="120">
        <f t="shared" si="2"/>
        <v>3000000</v>
      </c>
    </row>
    <row r="31" spans="1:9" s="109" customFormat="1" ht="31.5" x14ac:dyDescent="0.25">
      <c r="A31" s="772" t="str">
        <f>IF(B31&gt;0,VLOOKUP(B31,КВСР!A23:B1188,2),IF(C31&gt;0,VLOOKUP(C31,КФСР!A23:B1535,2),IF(D31&gt;0,VLOOKUP(D31,Программа!A$1:B$5110,2),IF(F31&gt;0,VLOOKUP(F31,КВР!A$1:B$5001,2),IF(E31&gt;0,VLOOKUP(E31,Направление!A$1:B$4783,2))))))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77"/>
      <c r="H31" s="339">
        <f t="shared" si="5"/>
        <v>3000000</v>
      </c>
      <c r="I31" s="120">
        <f t="shared" si="2"/>
        <v>3000000</v>
      </c>
    </row>
    <row r="32" spans="1:9" s="109" customFormat="1" x14ac:dyDescent="0.25">
      <c r="A32" s="772" t="str">
        <f>IF(B32&gt;0,VLOOKUP(B32,КВСР!A24:B1189,2),IF(C32&gt;0,VLOOKUP(C32,КФСР!A24:B1536,2),IF(D32&gt;0,VLOOKUP(D32,Программа!A$1:B$5110,2),IF(F32&gt;0,VLOOKUP(F32,КВР!A$1:B$5001,2),IF(E32&gt;0,VLOOKUP(E32,Направление!A$1:B$4783,2))))))</f>
        <v>Иные бюджетные ассигнования</v>
      </c>
      <c r="B32" s="117"/>
      <c r="C32" s="112"/>
      <c r="D32" s="114"/>
      <c r="E32" s="112"/>
      <c r="F32" s="114">
        <v>800</v>
      </c>
      <c r="G32" s="295"/>
      <c r="H32" s="284">
        <v>3000000</v>
      </c>
      <c r="I32" s="120">
        <f t="shared" si="2"/>
        <v>3000000</v>
      </c>
    </row>
    <row r="33" spans="1:9" s="109" customFormat="1" x14ac:dyDescent="0.25">
      <c r="A33" s="772" t="str">
        <f>IF(B33&gt;0,VLOOKUP(B33,КВСР!A25:B1190,2),IF(C33&gt;0,VLOOKUP(C33,КФСР!A25:B1537,2),IF(D33&gt;0,VLOOKUP(D33,Программа!A$1:B$5110,2),IF(F33&gt;0,VLOOKUP(F33,КВР!A$1:B$5001,2),IF(E33&gt;0,VLOOKUP(E33,Направление!A$1:B$4783,2))))))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77"/>
      <c r="H33" s="339">
        <f>H34+H38+H46+H84+H53+H74+H65+H70+H80+H120+H117</f>
        <v>60413774</v>
      </c>
      <c r="I33" s="277">
        <f>I34+I38+I46+I84+I53+I74+I65+I70+I80+I120+I117</f>
        <v>60413774</v>
      </c>
    </row>
    <row r="34" spans="1:9" s="109" customFormat="1" ht="78.75" x14ac:dyDescent="0.25">
      <c r="A34" s="772" t="str">
        <f>IF(B34&gt;0,VLOOKUP(B34,КВСР!A26:B1191,2),IF(C34&gt;0,VLOOKUP(C34,КФСР!A26:B1538,2),IF(D34&gt;0,VLOOKUP(D34,Программа!A$1:B$5110,2),IF(F34&gt;0,VLOOKUP(F34,КВР!A$1:B$5001,2),IF(E34&gt;0,VLOOKUP(E34,Направление!A$1:B$4783,2))))))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401</v>
      </c>
      <c r="E34" s="112"/>
      <c r="F34" s="114"/>
      <c r="G34" s="277"/>
      <c r="H34" s="339">
        <f>H35</f>
        <v>300000</v>
      </c>
      <c r="I34" s="120">
        <f t="shared" si="2"/>
        <v>300000</v>
      </c>
    </row>
    <row r="35" spans="1:9" s="109" customFormat="1" ht="78.75" x14ac:dyDescent="0.25">
      <c r="A35" s="772" t="str">
        <f>IF(B35&gt;0,VLOOKUP(B35,КВСР!A28:B1193,2),IF(C35&gt;0,VLOOKUP(C35,КФСР!A28:B1540,2),IF(D35&gt;0,VLOOKUP(D35,Программа!A$1:B$5110,2),IF(F35&gt;0,VLOOKUP(F35,КВР!A$1:B$5001,2),IF(E35&gt;0,VLOOKUP(E35,Направление!A$1:B$4783,2))))))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568</v>
      </c>
      <c r="E35" s="112"/>
      <c r="F35" s="114"/>
      <c r="G35" s="277"/>
      <c r="H35" s="339">
        <f>H36</f>
        <v>300000</v>
      </c>
      <c r="I35" s="120">
        <f t="shared" si="2"/>
        <v>300000</v>
      </c>
    </row>
    <row r="36" spans="1:9" s="109" customFormat="1" ht="47.25" x14ac:dyDescent="0.25">
      <c r="A36" s="772" t="str">
        <f>IF(B36&gt;0,VLOOKUP(B36,КВСР!A28:B1193,2),IF(C36&gt;0,VLOOKUP(C36,КФСР!A28:B1540,2),IF(D36&gt;0,VLOOKUP(D36,Программа!A$1:B$5110,2),IF(F36&gt;0,VLOOKUP(F36,КВР!A$1:B$5001,2),IF(E36&gt;0,VLOOKUP(E36,Направление!A$1:B$4783,2))))))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77"/>
      <c r="H36" s="339">
        <f>H37</f>
        <v>300000</v>
      </c>
      <c r="I36" s="120">
        <f t="shared" si="2"/>
        <v>300000</v>
      </c>
    </row>
    <row r="37" spans="1:9" s="109" customFormat="1" ht="47.25" x14ac:dyDescent="0.25">
      <c r="A37" s="772" t="str">
        <f>IF(B37&gt;0,VLOOKUP(B37,КВСР!A29:B1194,2),IF(C37&gt;0,VLOOKUP(C37,КФСР!A29:B1541,2),IF(D37&gt;0,VLOOKUP(D37,Программа!A$1:B$5110,2),IF(F37&gt;0,VLOOKUP(F37,КВР!A$1:B$5001,2),IF(E37&gt;0,VLOOKUP(E37,Направление!A$1:B$4783,2))))))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77"/>
      <c r="H37" s="339">
        <v>300000</v>
      </c>
      <c r="I37" s="120">
        <f t="shared" si="2"/>
        <v>300000</v>
      </c>
    </row>
    <row r="38" spans="1:9" s="109" customFormat="1" ht="94.5" x14ac:dyDescent="0.25">
      <c r="A38" s="772" t="str">
        <f>IF(B38&gt;0,VLOOKUP(B38,КВСР!A26:B1191,2),IF(C38&gt;0,VLOOKUP(C38,КФСР!A26:B1538,2),IF(D38&gt;0,VLOOKUP(D38,Программа!A$1:B$5110,2),IF(F38&gt;0,VLOOKUP(F38,КВР!A$1:B$5001,2),IF(E38&gt;0,VLOOKUP(E38,Направление!A$1:B$4783,2))))))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405</v>
      </c>
      <c r="E38" s="112"/>
      <c r="F38" s="114"/>
      <c r="G38" s="277"/>
      <c r="H38" s="339">
        <f>H39+H42</f>
        <v>250000</v>
      </c>
      <c r="I38" s="120">
        <f t="shared" si="2"/>
        <v>250000</v>
      </c>
    </row>
    <row r="39" spans="1:9" s="109" customFormat="1" ht="63" x14ac:dyDescent="0.25">
      <c r="A39" s="772" t="str">
        <f>IF(B39&gt;0,VLOOKUP(B39,КВСР!A27:B1192,2),IF(C39&gt;0,VLOOKUP(C39,КФСР!A27:B1539,2),IF(D39&gt;0,VLOOKUP(D39,Программа!A$1:B$5110,2),IF(F39&gt;0,VLOOKUP(F39,КВР!A$1:B$5001,2),IF(E39&gt;0,VLOOKUP(E39,Направление!A$1:B$4783,2))))))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406</v>
      </c>
      <c r="E39" s="112"/>
      <c r="F39" s="114"/>
      <c r="G39" s="277"/>
      <c r="H39" s="339">
        <f t="shared" ref="H39:H40" si="6">H40</f>
        <v>250000</v>
      </c>
      <c r="I39" s="120">
        <f t="shared" si="2"/>
        <v>250000</v>
      </c>
    </row>
    <row r="40" spans="1:9" s="109" customFormat="1" ht="31.5" x14ac:dyDescent="0.25">
      <c r="A40" s="772" t="str">
        <f>IF(B40&gt;0,VLOOKUP(B40,КВСР!A28:B1193,2),IF(C40&gt;0,VLOOKUP(C40,КФСР!A28:B1540,2),IF(D40&gt;0,VLOOKUP(D40,Программа!A$1:B$5110,2),IF(F40&gt;0,VLOOKUP(F40,КВР!A$1:B$5001,2),IF(E40&gt;0,VLOOKUP(E40,Направление!A$1:B$4783,2))))))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77"/>
      <c r="H40" s="339">
        <f t="shared" si="6"/>
        <v>250000</v>
      </c>
      <c r="I40" s="120">
        <f t="shared" si="2"/>
        <v>250000</v>
      </c>
    </row>
    <row r="41" spans="1:9" s="109" customFormat="1" ht="47.25" x14ac:dyDescent="0.25">
      <c r="A41" s="772" t="str">
        <f>IF(B41&gt;0,VLOOKUP(B41,КВСР!A29:B1194,2),IF(C41&gt;0,VLOOKUP(C41,КФСР!A29:B1541,2),IF(D41&gt;0,VLOOKUP(D41,Программа!A$1:B$5110,2),IF(F41&gt;0,VLOOKUP(F41,КВР!A$1:B$5001,2),IF(E41&gt;0,VLOOKUP(E41,Направление!A$1:B$4783,2))))))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77"/>
      <c r="H41" s="339">
        <v>250000</v>
      </c>
      <c r="I41" s="120">
        <f t="shared" si="2"/>
        <v>250000</v>
      </c>
    </row>
    <row r="42" spans="1:9" s="109" customFormat="1" ht="78.75" hidden="1" x14ac:dyDescent="0.25">
      <c r="A42" s="772" t="str">
        <f>IF(B42&gt;0,VLOOKUP(B42,КВСР!A30:B1195,2),IF(C42&gt;0,VLOOKUP(C42,КФСР!A30:B1542,2),IF(D42&gt;0,VLOOKUP(D42,Программа!A$1:B$5110,2),IF(F42&gt;0,VLOOKUP(F42,КВР!A$1:B$5001,2),IF(E42&gt;0,VLOOKUP(E42,Направление!A$1:B$4783,2))))))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1826</v>
      </c>
      <c r="E42" s="112"/>
      <c r="F42" s="114"/>
      <c r="G42" s="277"/>
      <c r="H42" s="339">
        <f t="shared" ref="H42:I42" si="7">H43</f>
        <v>0</v>
      </c>
      <c r="I42" s="277">
        <f t="shared" si="7"/>
        <v>0</v>
      </c>
    </row>
    <row r="43" spans="1:9" s="109" customFormat="1" ht="31.5" hidden="1" x14ac:dyDescent="0.25">
      <c r="A43" s="772" t="str">
        <f>IF(B43&gt;0,VLOOKUP(B43,КВСР!A31:B1196,2),IF(C43&gt;0,VLOOKUP(C43,КФСР!A31:B1543,2),IF(D43&gt;0,VLOOKUP(D43,Программа!A$1:B$5110,2),IF(F43&gt;0,VLOOKUP(F43,КВР!A$1:B$5001,2),IF(E43&gt;0,VLOOKUP(E43,Направление!A$1:B$4783,2))))))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77"/>
      <c r="H43" s="339">
        <f>H44+H45</f>
        <v>0</v>
      </c>
      <c r="I43" s="277">
        <f>I44+I45</f>
        <v>0</v>
      </c>
    </row>
    <row r="44" spans="1:9" s="109" customFormat="1" ht="94.5" hidden="1" x14ac:dyDescent="0.25">
      <c r="A44" s="772" t="str">
        <f>IF(B44&gt;0,VLOOKUP(B44,КВСР!A32:B1197,2),IF(C44&gt;0,VLOOKUP(C44,КФСР!A32:B1544,2),IF(D44&gt;0,VLOOKUP(D44,Программа!A$1:B$5110,2),IF(F44&gt;0,VLOOKUP(F44,КВР!A$1:B$5001,2),IF(E44&gt;0,VLOOKUP(E44,Направление!A$1:B$4783,2))))))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77"/>
      <c r="H44" s="339"/>
      <c r="I44" s="120">
        <f>G44+H44</f>
        <v>0</v>
      </c>
    </row>
    <row r="45" spans="1:9" s="109" customFormat="1" ht="47.25" hidden="1" x14ac:dyDescent="0.25">
      <c r="A45" s="772" t="str">
        <f>IF(B45&gt;0,VLOOKUP(B45,КВСР!A33:B1198,2),IF(C45&gt;0,VLOOKUP(C45,КФСР!A33:B1545,2),IF(D45&gt;0,VLOOKUP(D45,Программа!A$1:B$5110,2),IF(F45&gt;0,VLOOKUP(F45,КВР!A$1:B$5001,2),IF(E45&gt;0,VLOOKUP(E45,Направление!A$1:B$4783,2))))))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77"/>
      <c r="H45" s="339"/>
      <c r="I45" s="120">
        <f>G45+H45</f>
        <v>0</v>
      </c>
    </row>
    <row r="46" spans="1:9" s="109" customFormat="1" ht="63" x14ac:dyDescent="0.25">
      <c r="A46" s="772" t="str">
        <f>IF(B46&gt;0,VLOOKUP(B46,КВСР!A30:B1195,2),IF(C46&gt;0,VLOOKUP(C46,КФСР!A30:B1542,2),IF(D46&gt;0,VLOOKUP(D46,Программа!A$1:B$5110,2),IF(F46&gt;0,VLOOKUP(F46,КВР!A$1:B$5001,2),IF(E46&gt;0,VLOOKUP(E46,Направление!A$1:B$4783,2))))))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409</v>
      </c>
      <c r="E46" s="112"/>
      <c r="F46" s="114"/>
      <c r="G46" s="277"/>
      <c r="H46" s="339">
        <f t="shared" ref="H46:I46" si="8">H50+H47</f>
        <v>415000</v>
      </c>
      <c r="I46" s="277">
        <f t="shared" si="8"/>
        <v>415000</v>
      </c>
    </row>
    <row r="47" spans="1:9" s="109" customFormat="1" ht="31.5" x14ac:dyDescent="0.25">
      <c r="A47" s="772" t="str">
        <f>IF(B47&gt;0,VLOOKUP(B47,КВСР!A31:B1196,2),IF(C47&gt;0,VLOOKUP(C47,КФСР!A31:B1543,2),IF(D47&gt;0,VLOOKUP(D47,Программа!A$1:B$5110,2),IF(F47&gt;0,VLOOKUP(F47,КВР!A$1:B$5001,2),IF(E47&gt;0,VLOOKUP(E47,Направление!A$1:B$4783,2))))))</f>
        <v>Бесперебойное функционирование информационных систем</v>
      </c>
      <c r="B47" s="117"/>
      <c r="C47" s="112"/>
      <c r="D47" s="114" t="s">
        <v>445</v>
      </c>
      <c r="E47" s="112"/>
      <c r="F47" s="114"/>
      <c r="G47" s="277"/>
      <c r="H47" s="339">
        <f>H48</f>
        <v>415000</v>
      </c>
      <c r="I47" s="120">
        <f t="shared" si="2"/>
        <v>415000</v>
      </c>
    </row>
    <row r="48" spans="1:9" s="109" customFormat="1" ht="31.5" x14ac:dyDescent="0.25">
      <c r="A48" s="772" t="str">
        <f>IF(B48&gt;0,VLOOKUP(B48,КВСР!A32:B1197,2),IF(C48&gt;0,VLOOKUP(C48,КФСР!A32:B1544,2),IF(D48&gt;0,VLOOKUP(D48,Программа!A$1:B$5110,2),IF(F48&gt;0,VLOOKUP(F48,КВР!A$1:B$5001,2),IF(E48&gt;0,VLOOKUP(E48,Направление!A$1:B$4783,2))))))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77"/>
      <c r="H48" s="339">
        <f>H49</f>
        <v>415000</v>
      </c>
      <c r="I48" s="120">
        <f t="shared" si="2"/>
        <v>415000</v>
      </c>
    </row>
    <row r="49" spans="1:9" s="109" customFormat="1" ht="47.25" x14ac:dyDescent="0.25">
      <c r="A49" s="772" t="str">
        <f>IF(B49&gt;0,VLOOKUP(B49,КВСР!A33:B1198,2),IF(C49&gt;0,VLOOKUP(C49,КФСР!A33:B1545,2),IF(D49&gt;0,VLOOKUP(D49,Программа!A$1:B$5110,2),IF(F49&gt;0,VLOOKUP(F49,КВР!A$1:B$5001,2),IF(E49&gt;0,VLOOKUP(E49,Направление!A$1:B$4783,2))))))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4"/>
      <c r="E49" s="112"/>
      <c r="F49" s="114">
        <v>200</v>
      </c>
      <c r="G49" s="277"/>
      <c r="H49" s="339">
        <v>415000</v>
      </c>
      <c r="I49" s="120">
        <f t="shared" si="2"/>
        <v>415000</v>
      </c>
    </row>
    <row r="50" spans="1:9" s="109" customFormat="1" ht="63" hidden="1" x14ac:dyDescent="0.25">
      <c r="A50" s="772" t="str">
        <f>IF(B50&gt;0,VLOOKUP(B50,КВСР!A31:B1196,2),IF(C50&gt;0,VLOOKUP(C50,КФСР!A31:B1543,2),IF(D50&gt;0,VLOOKUP(D50,Программа!A$1:B$5110,2),IF(F50&gt;0,VLOOKUP(F50,КВР!A$1:B$5001,2),IF(E50&gt;0,VLOOKUP(E50,Направление!A$1:B$4783,2))))))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411</v>
      </c>
      <c r="E50" s="112"/>
      <c r="F50" s="114"/>
      <c r="G50" s="277"/>
      <c r="H50" s="339">
        <f t="shared" ref="H50:H51" si="9">H51</f>
        <v>0</v>
      </c>
      <c r="I50" s="120">
        <f t="shared" si="2"/>
        <v>0</v>
      </c>
    </row>
    <row r="51" spans="1:9" s="109" customFormat="1" ht="31.5" hidden="1" x14ac:dyDescent="0.25">
      <c r="A51" s="772" t="str">
        <f>IF(B51&gt;0,VLOOKUP(B51,КВСР!A32:B1197,2),IF(C51&gt;0,VLOOKUP(C51,КФСР!A32:B1544,2),IF(D51&gt;0,VLOOKUP(D51,Программа!A$1:B$5110,2),IF(F51&gt;0,VLOOKUP(F51,КВР!A$1:B$5001,2),IF(E51&gt;0,VLOOKUP(E51,Направление!A$1:B$4783,2))))))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77"/>
      <c r="H51" s="339">
        <f t="shared" si="9"/>
        <v>0</v>
      </c>
      <c r="I51" s="120">
        <f t="shared" si="2"/>
        <v>0</v>
      </c>
    </row>
    <row r="52" spans="1:9" s="109" customFormat="1" ht="47.25" hidden="1" x14ac:dyDescent="0.25">
      <c r="A52" s="772" t="str">
        <f>IF(B52&gt;0,VLOOKUP(B52,КВСР!A33:B1198,2),IF(C52&gt;0,VLOOKUP(C52,КФСР!A33:B1545,2),IF(D52&gt;0,VLOOKUP(D52,Программа!A$1:B$5110,2),IF(F52&gt;0,VLOOKUP(F52,КВР!A$1:B$5001,2),IF(E52&gt;0,VLOOKUP(E52,Направление!A$1:B$4783,2))))))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4"/>
      <c r="E52" s="112"/>
      <c r="F52" s="114">
        <v>200</v>
      </c>
      <c r="G52" s="277"/>
      <c r="H52" s="339"/>
      <c r="I52" s="120">
        <f t="shared" si="2"/>
        <v>0</v>
      </c>
    </row>
    <row r="53" spans="1:9" s="109" customFormat="1" ht="94.5" x14ac:dyDescent="0.25">
      <c r="A53" s="772" t="str">
        <f>IF(B53&gt;0,VLOOKUP(B53,КВСР!A38:B1203,2),IF(C53&gt;0,VLOOKUP(C53,КФСР!A38:B1550,2),IF(D53&gt;0,VLOOKUP(D53,Программа!A$1:B$5110,2),IF(F53&gt;0,VLOOKUP(F53,КВР!A$1:B$5001,2),IF(E53&gt;0,VLOOKUP(E53,Направление!A$1:B$4783,2))))))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413</v>
      </c>
      <c r="E53" s="112"/>
      <c r="F53" s="114"/>
      <c r="G53" s="277"/>
      <c r="H53" s="339">
        <f>H54+H62</f>
        <v>250000</v>
      </c>
      <c r="I53" s="120">
        <f>I54+I62</f>
        <v>250000</v>
      </c>
    </row>
    <row r="54" spans="1:9" s="109" customFormat="1" ht="78.75" x14ac:dyDescent="0.25">
      <c r="A54" s="772" t="str">
        <f>IF(B54&gt;0,VLOOKUP(B54,КВСР!A31:B1196,2),IF(C54&gt;0,VLOOKUP(C54,КФСР!A31:B1543,2),IF(D54&gt;0,VLOOKUP(D54,Программа!A$1:B$5110,2),IF(F54&gt;0,VLOOKUP(F54,КВР!A$1:B$5001,2),IF(E54&gt;0,VLOOKUP(E54,Направление!A$1:B$4783,2))))))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414</v>
      </c>
      <c r="E54" s="112"/>
      <c r="F54" s="114"/>
      <c r="G54" s="277"/>
      <c r="H54" s="339">
        <f t="shared" ref="H54:I54" si="10">H55+H58+H60</f>
        <v>250000</v>
      </c>
      <c r="I54" s="277">
        <f t="shared" si="10"/>
        <v>250000</v>
      </c>
    </row>
    <row r="55" spans="1:9" s="109" customFormat="1" ht="47.25" x14ac:dyDescent="0.25">
      <c r="A55" s="772" t="str">
        <f>IF(B55&gt;0,VLOOKUP(B55,КВСР!A32:B1197,2),IF(C55&gt;0,VLOOKUP(C55,КФСР!A32:B1544,2),IF(D55&gt;0,VLOOKUP(D55,Программа!A$1:B$5110,2),IF(F55&gt;0,VLOOKUP(F55,КВР!A$1:B$5001,2),IF(E55&gt;0,VLOOKUP(E55,Направление!A$1:B$4783,2))))))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77"/>
      <c r="H55" s="339">
        <f t="shared" ref="H55:I55" si="11">H57+H56</f>
        <v>250000</v>
      </c>
      <c r="I55" s="277">
        <f t="shared" si="11"/>
        <v>250000</v>
      </c>
    </row>
    <row r="56" spans="1:9" s="109" customFormat="1" ht="47.25" x14ac:dyDescent="0.25">
      <c r="A56" s="772" t="str">
        <f>IF(B56&gt;0,VLOOKUP(B56,КВСР!A33:B1198,2),IF(C56&gt;0,VLOOKUP(C56,КФСР!A33:B1545,2),IF(D56&gt;0,VLOOKUP(D56,Программа!A$1:B$5110,2),IF(F56&gt;0,VLOOKUP(F56,КВР!A$1:B$5001,2),IF(E56&gt;0,VLOOKUP(E56,Направление!A$1:B$4783,2))))))</f>
        <v>Предоставление субсидий бюджетным, автономным учреждениям и иным некоммерческим организациям</v>
      </c>
      <c r="B56" s="117"/>
      <c r="C56" s="112"/>
      <c r="D56" s="113"/>
      <c r="E56" s="112"/>
      <c r="F56" s="114">
        <v>600</v>
      </c>
      <c r="G56" s="277"/>
      <c r="H56" s="339">
        <v>250000</v>
      </c>
      <c r="I56" s="120">
        <f t="shared" si="2"/>
        <v>250000</v>
      </c>
    </row>
    <row r="57" spans="1:9" s="109" customFormat="1" ht="47.25" hidden="1" x14ac:dyDescent="0.25">
      <c r="A57" s="772" t="str">
        <f>IF(B57&gt;0,VLOOKUP(B57,КВСР!A33:B1198,2),IF(C57&gt;0,VLOOKUP(C57,КФСР!A33:B1545,2),IF(D57&gt;0,VLOOKUP(D57,Программа!A$1:B$5110,2),IF(F57&gt;0,VLOOKUP(F57,КВР!A$1:B$5001,2),IF(E57&gt;0,VLOOKUP(E57,Направление!A$1:B$4783,2))))))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77"/>
      <c r="H57" s="339"/>
      <c r="I57" s="120">
        <f t="shared" si="2"/>
        <v>0</v>
      </c>
    </row>
    <row r="58" spans="1:9" s="109" customFormat="1" ht="47.25" hidden="1" x14ac:dyDescent="0.25">
      <c r="A58" s="772" t="str">
        <f>IF(B58&gt;0,VLOOKUP(B58,КВСР!A34:B1199,2),IF(C58&gt;0,VLOOKUP(C58,КФСР!A34:B1546,2),IF(D58&gt;0,VLOOKUP(D58,Программа!A$1:B$5110,2),IF(F58&gt;0,VLOOKUP(F58,КВР!A$1:B$5001,2),IF(E58&gt;0,VLOOKUP(E58,Направление!A$1:B$4783,2))))))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77"/>
      <c r="H58" s="339">
        <f t="shared" ref="H58:I58" si="12">H59</f>
        <v>0</v>
      </c>
      <c r="I58" s="289">
        <f t="shared" si="12"/>
        <v>0</v>
      </c>
    </row>
    <row r="59" spans="1:9" s="109" customFormat="1" ht="47.25" hidden="1" x14ac:dyDescent="0.25">
      <c r="A59" s="772" t="str">
        <f>IF(B59&gt;0,VLOOKUP(B59,КВСР!A35:B1200,2),IF(C59&gt;0,VLOOKUP(C59,КФСР!A35:B1547,2),IF(D59&gt;0,VLOOKUP(D59,Программа!A$1:B$5110,2),IF(F59&gt;0,VLOOKUP(F59,КВР!A$1:B$5001,2),IF(E59&gt;0,VLOOKUP(E59,Направление!A$1:B$4783,2))))))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77"/>
      <c r="H59" s="339"/>
      <c r="I59" s="120">
        <f t="shared" si="2"/>
        <v>0</v>
      </c>
    </row>
    <row r="60" spans="1:9" s="109" customFormat="1" ht="47.25" hidden="1" x14ac:dyDescent="0.25">
      <c r="A60" s="772" t="str">
        <f>IF(B60&gt;0,VLOOKUP(B60,КВСР!A36:B1201,2),IF(C60&gt;0,VLOOKUP(C60,КФСР!A36:B1548,2),IF(D60&gt;0,VLOOKUP(D60,Программа!A$1:B$5110,2),IF(F60&gt;0,VLOOKUP(F60,КВР!A$1:B$5001,2),IF(E60&gt;0,VLOOKUP(E60,Направление!A$1:B$4783,2))))))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77"/>
      <c r="H60" s="339">
        <f t="shared" ref="H60:I60" si="13">H61</f>
        <v>0</v>
      </c>
      <c r="I60" s="277">
        <f t="shared" si="13"/>
        <v>0</v>
      </c>
    </row>
    <row r="61" spans="1:9" s="109" customFormat="1" ht="47.25" hidden="1" x14ac:dyDescent="0.25">
      <c r="A61" s="772" t="str">
        <f>IF(B61&gt;0,VLOOKUP(B61,КВСР!A37:B1202,2),IF(C61&gt;0,VLOOKUP(C61,КФСР!A37:B1549,2),IF(D61&gt;0,VLOOKUP(D61,Программа!A$1:B$5110,2),IF(F61&gt;0,VLOOKUP(F61,КВР!A$1:B$5001,2),IF(E61&gt;0,VLOOKUP(E61,Направление!A$1:B$4783,2))))))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77"/>
      <c r="H61" s="339"/>
      <c r="I61" s="120">
        <f>G61+H61</f>
        <v>0</v>
      </c>
    </row>
    <row r="62" spans="1:9" s="109" customFormat="1" ht="63" hidden="1" x14ac:dyDescent="0.25">
      <c r="A62" s="772" t="str">
        <f>IF(B62&gt;0,VLOOKUP(B62,КВСР!A34:B1199,2),IF(C62&gt;0,VLOOKUP(C62,КФСР!A34:B1546,2),IF(D62&gt;0,VLOOKUP(D62,Программа!A$1:B$5110,2),IF(F62&gt;0,VLOOKUP(F62,КВР!A$1:B$5001,2),IF(E62&gt;0,VLOOKUP(E62,Направление!A$1:B$4783,2))))))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707</v>
      </c>
      <c r="E62" s="112"/>
      <c r="F62" s="114"/>
      <c r="G62" s="277"/>
      <c r="H62" s="339">
        <f t="shared" ref="H62:I62" si="14">H63</f>
        <v>0</v>
      </c>
      <c r="I62" s="289">
        <f t="shared" si="14"/>
        <v>0</v>
      </c>
    </row>
    <row r="63" spans="1:9" s="109" customFormat="1" ht="47.25" hidden="1" x14ac:dyDescent="0.25">
      <c r="A63" s="772" t="str">
        <f>IF(B63&gt;0,VLOOKUP(B63,КВСР!A34:B1199,2),IF(C63&gt;0,VLOOKUP(C63,КФСР!A34:B1546,2),IF(D63&gt;0,VLOOKUP(D63,Программа!A$1:B$5110,2),IF(F63&gt;0,VLOOKUP(F63,КВР!A$1:B$5001,2),IF(E63&gt;0,VLOOKUP(E63,Направление!A$1:B$4783,2))))))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77"/>
      <c r="H63" s="339">
        <f t="shared" ref="H63:I63" si="15">H64</f>
        <v>0</v>
      </c>
      <c r="I63" s="289">
        <f t="shared" si="15"/>
        <v>0</v>
      </c>
    </row>
    <row r="64" spans="1:9" s="109" customFormat="1" ht="47.25" hidden="1" x14ac:dyDescent="0.25">
      <c r="A64" s="772" t="str">
        <f>IF(B64&gt;0,VLOOKUP(B64,КВСР!A35:B1200,2),IF(C64&gt;0,VLOOKUP(C64,КФСР!A35:B1547,2),IF(D64&gt;0,VLOOKUP(D64,Программа!A$1:B$5110,2),IF(F64&gt;0,VLOOKUP(F64,КВР!A$1:B$5001,2),IF(E64&gt;0,VLOOKUP(E64,Направление!A$1:B$4783,2))))))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77"/>
      <c r="H64" s="339"/>
      <c r="I64" s="120">
        <f>G64+H64</f>
        <v>0</v>
      </c>
    </row>
    <row r="65" spans="1:9" s="109" customFormat="1" ht="63" hidden="1" x14ac:dyDescent="0.25">
      <c r="A65" s="772" t="str">
        <f>IF(B65&gt;0,VLOOKUP(B65,КВСР!A34:B1199,2),IF(C65&gt;0,VLOOKUP(C65,КФСР!A34:B1546,2),IF(D65&gt;0,VLOOKUP(D65,Программа!A$1:B$5110,2),IF(F65&gt;0,VLOOKUP(F65,КВР!A$1:B$5001,2),IF(E65&gt;0,VLOOKUP(E65,Направление!A$1:B$4783,2))))))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513</v>
      </c>
      <c r="E65" s="112"/>
      <c r="F65" s="114"/>
      <c r="G65" s="277"/>
      <c r="H65" s="339">
        <f>H66</f>
        <v>0</v>
      </c>
      <c r="I65" s="120">
        <f t="shared" si="2"/>
        <v>0</v>
      </c>
    </row>
    <row r="66" spans="1:9" s="109" customFormat="1" ht="31.5" hidden="1" x14ac:dyDescent="0.25">
      <c r="A66" s="772" t="str">
        <f>IF(B66&gt;0,VLOOKUP(B66,КВСР!A35:B1200,2),IF(C66&gt;0,VLOOKUP(C66,КФСР!A35:B1547,2),IF(D66&gt;0,VLOOKUP(D66,Программа!A$1:B$5110,2),IF(F66&gt;0,VLOOKUP(F66,КВР!A$1:B$5001,2),IF(E66&gt;0,VLOOKUP(E66,Направление!A$1:B$4783,2))))))</f>
        <v>Реализация мероприятий по профилактике правонарушений</v>
      </c>
      <c r="B66" s="117"/>
      <c r="C66" s="112"/>
      <c r="D66" s="114" t="s">
        <v>515</v>
      </c>
      <c r="E66" s="112"/>
      <c r="F66" s="114"/>
      <c r="G66" s="277"/>
      <c r="H66" s="339">
        <f>H67</f>
        <v>0</v>
      </c>
      <c r="I66" s="120">
        <f t="shared" si="2"/>
        <v>0</v>
      </c>
    </row>
    <row r="67" spans="1:9" s="109" customFormat="1" ht="47.25" hidden="1" x14ac:dyDescent="0.25">
      <c r="A67" s="772" t="str">
        <f>IF(B67&gt;0,VLOOKUP(B67,КВСР!A36:B1201,2),IF(C67&gt;0,VLOOKUP(C67,КФСР!A36:B1548,2),IF(D67&gt;0,VLOOKUP(D67,Программа!A$1:B$5110,2),IF(F67&gt;0,VLOOKUP(F67,КВР!A$1:B$5001,2),IF(E67&gt;0,VLOOKUP(E67,Направление!A$1:B$4783,2))))))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77"/>
      <c r="H67" s="339">
        <f>H68+H69</f>
        <v>0</v>
      </c>
      <c r="I67" s="120">
        <f t="shared" si="2"/>
        <v>0</v>
      </c>
    </row>
    <row r="68" spans="1:9" s="109" customFormat="1" ht="47.25" hidden="1" x14ac:dyDescent="0.25">
      <c r="A68" s="772" t="str">
        <f>IF(B68&gt;0,VLOOKUP(B68,КВСР!A37:B1202,2),IF(C68&gt;0,VLOOKUP(C68,КФСР!A37:B1549,2),IF(D68&gt;0,VLOOKUP(D68,Программа!A$1:B$5110,2),IF(F68&gt;0,VLOOKUP(F68,КВР!A$1:B$5001,2),IF(E68&gt;0,VLOOKUP(E68,Направление!A$1:B$4783,2))))))</f>
        <v xml:space="preserve">Закупка товаров, работ и услуг для обеспечения государственных (муниципальных) нужд
</v>
      </c>
      <c r="B68" s="117"/>
      <c r="C68" s="112"/>
      <c r="D68" s="114"/>
      <c r="E68" s="112"/>
      <c r="F68" s="114">
        <v>200</v>
      </c>
      <c r="G68" s="277"/>
      <c r="H68" s="339"/>
      <c r="I68" s="120">
        <f t="shared" si="2"/>
        <v>0</v>
      </c>
    </row>
    <row r="69" spans="1:9" s="109" customFormat="1" hidden="1" x14ac:dyDescent="0.25">
      <c r="A69" s="772" t="str">
        <f>IF(B69&gt;0,VLOOKUP(B69,КВСР!A37:B1202,2),IF(C69&gt;0,VLOOKUP(C69,КФСР!A37:B1549,2),IF(D69&gt;0,VLOOKUP(D69,Программа!A$1:B$5110,2),IF(F69&gt;0,VLOOKUP(F69,КВР!A$1:B$5001,2),IF(E69&gt;0,VLOOKUP(E69,Направление!A$1:B$4783,2))))))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4"/>
      <c r="E69" s="112"/>
      <c r="F69" s="114">
        <v>800</v>
      </c>
      <c r="G69" s="277"/>
      <c r="H69" s="339"/>
      <c r="I69" s="120">
        <f t="shared" si="2"/>
        <v>0</v>
      </c>
    </row>
    <row r="70" spans="1:9" s="109" customFormat="1" ht="47.25" hidden="1" x14ac:dyDescent="0.25">
      <c r="A70" s="772" t="str">
        <f>IF(B70&gt;0,VLOOKUP(B70,КВСР!A38:B1203,2),IF(C70&gt;0,VLOOKUP(C70,КФСР!A38:B1550,2),IF(D70&gt;0,VLOOKUP(D70,Программа!A$1:B$5110,2),IF(F70&gt;0,VLOOKUP(F70,КВР!A$1:B$5001,2),IF(E70&gt;0,VLOOKUP(E70,Направление!A$1:B$4783,2))))))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1133</v>
      </c>
      <c r="E70" s="112"/>
      <c r="F70" s="114"/>
      <c r="G70" s="277"/>
      <c r="H70" s="339">
        <f t="shared" ref="H70:H72" si="16">H71</f>
        <v>0</v>
      </c>
      <c r="I70" s="120">
        <f>I71</f>
        <v>0</v>
      </c>
    </row>
    <row r="71" spans="1:9" s="109" customFormat="1" ht="63" hidden="1" x14ac:dyDescent="0.25">
      <c r="A71" s="772" t="str">
        <f>IF(B71&gt;0,VLOOKUP(B71,КВСР!A39:B1204,2),IF(C71&gt;0,VLOOKUP(C71,КФСР!A39:B1551,2),IF(D71&gt;0,VLOOKUP(D71,Программа!A$1:B$5110,2),IF(F71&gt;0,VLOOKUP(F71,КВР!A$1:B$5001,2),IF(E71&gt;0,VLOOKUP(E71,Направление!A$1:B$4783,2))))))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1135</v>
      </c>
      <c r="E71" s="112"/>
      <c r="F71" s="114"/>
      <c r="G71" s="277"/>
      <c r="H71" s="339">
        <f t="shared" si="16"/>
        <v>0</v>
      </c>
      <c r="I71" s="120">
        <f>I72</f>
        <v>0</v>
      </c>
    </row>
    <row r="72" spans="1:9" s="109" customFormat="1" ht="47.25" hidden="1" x14ac:dyDescent="0.25">
      <c r="A72" s="772" t="str">
        <f>IF(B72&gt;0,VLOOKUP(B72,КВСР!A40:B1205,2),IF(C72&gt;0,VLOOKUP(C72,КФСР!A40:B1552,2),IF(D72&gt;0,VLOOKUP(D72,Программа!A$1:B$5110,2),IF(F72&gt;0,VLOOKUP(F72,КВР!A$1:B$5001,2),IF(E72&gt;0,VLOOKUP(E72,Направление!A$1:B$4783,2))))))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1270</v>
      </c>
      <c r="F72" s="114"/>
      <c r="G72" s="277"/>
      <c r="H72" s="339">
        <f t="shared" si="16"/>
        <v>0</v>
      </c>
      <c r="I72" s="120">
        <f>I73</f>
        <v>0</v>
      </c>
    </row>
    <row r="73" spans="1:9" s="109" customFormat="1" ht="47.25" hidden="1" x14ac:dyDescent="0.25">
      <c r="A73" s="772" t="str">
        <f>IF(B73&gt;0,VLOOKUP(B73,КВСР!A41:B1206,2),IF(C73&gt;0,VLOOKUP(C73,КФСР!A41:B1553,2),IF(D73&gt;0,VLOOKUP(D73,Программа!A$1:B$5110,2),IF(F73&gt;0,VLOOKUP(F73,КВР!A$1:B$5001,2),IF(E73&gt;0,VLOOKUP(E73,Направление!A$1:B$4783,2))))))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77"/>
      <c r="H73" s="339"/>
      <c r="I73" s="120">
        <f>G73+H73</f>
        <v>0</v>
      </c>
    </row>
    <row r="74" spans="1:9" s="109" customFormat="1" ht="78.75" x14ac:dyDescent="0.25">
      <c r="A74" s="772" t="str">
        <f>IF(B74&gt;0,VLOOKUP(B74,КВСР!A34:B1199,2),IF(C74&gt;0,VLOOKUP(C74,КФСР!A34:B1546,2),IF(D74&gt;0,VLOOKUP(D74,Программа!A$1:B$5110,2),IF(F74&gt;0,VLOOKUP(F74,КВР!A$1:B$5001,2),IF(E74&gt;0,VLOOKUP(E74,Направление!A$1:B$4783,2))))))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1248</v>
      </c>
      <c r="E74" s="112"/>
      <c r="F74" s="114"/>
      <c r="G74" s="277"/>
      <c r="H74" s="339">
        <f t="shared" ref="H74:I74" si="17">H75</f>
        <v>30000</v>
      </c>
      <c r="I74" s="339">
        <f t="shared" si="17"/>
        <v>30000</v>
      </c>
    </row>
    <row r="75" spans="1:9" s="109" customFormat="1" ht="31.5" x14ac:dyDescent="0.25">
      <c r="A75" s="772" t="str">
        <f>IF(B75&gt;0,VLOOKUP(B75,КВСР!A35:B1200,2),IF(C75&gt;0,VLOOKUP(C75,КФСР!A35:B1547,2),IF(D75&gt;0,VLOOKUP(D75,Программа!A$1:B$5110,2),IF(F75&gt;0,VLOOKUP(F75,КВР!A$1:B$5001,2),IF(E75&gt;0,VLOOKUP(E75,Направление!A$1:B$4783,2))))))</f>
        <v>Мероприятия по обеспечению безопасности жителей района</v>
      </c>
      <c r="B75" s="117"/>
      <c r="C75" s="112"/>
      <c r="D75" s="114" t="s">
        <v>1249</v>
      </c>
      <c r="E75" s="112"/>
      <c r="F75" s="114"/>
      <c r="G75" s="277"/>
      <c r="H75" s="339">
        <f t="shared" ref="H75:I75" si="18">H76+H78</f>
        <v>30000</v>
      </c>
      <c r="I75" s="277">
        <f t="shared" si="18"/>
        <v>30000</v>
      </c>
    </row>
    <row r="76" spans="1:9" s="109" customFormat="1" ht="31.5" x14ac:dyDescent="0.25">
      <c r="A76" s="772" t="str">
        <f>IF(B76&gt;0,VLOOKUP(B76,КВСР!A36:B1201,2),IF(C76&gt;0,VLOOKUP(C76,КФСР!A36:B1548,2),IF(D76&gt;0,VLOOKUP(D76,Программа!A$1:B$5110,2),IF(F76&gt;0,VLOOKUP(F76,КВР!A$1:B$5001,2),IF(E76&gt;0,VLOOKUP(E76,Направление!A$1:B$4783,2))))))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77"/>
      <c r="H76" s="339">
        <f>H77</f>
        <v>30000</v>
      </c>
      <c r="I76" s="120">
        <f t="shared" si="2"/>
        <v>30000</v>
      </c>
    </row>
    <row r="77" spans="1:9" s="109" customFormat="1" ht="47.25" x14ac:dyDescent="0.25">
      <c r="A77" s="772" t="str">
        <f>IF(B77&gt;0,VLOOKUP(B77,КВСР!A37:B1202,2),IF(C77&gt;0,VLOOKUP(C77,КФСР!A37:B1549,2),IF(D77&gt;0,VLOOKUP(D77,Программа!A$1:B$5110,2),IF(F77&gt;0,VLOOKUP(F77,КВР!A$1:B$5001,2),IF(E77&gt;0,VLOOKUP(E77,Направление!A$1:B$4783,2))))))</f>
        <v xml:space="preserve">Закупка товаров, работ и услуг для обеспечения государственных (муниципальных) нужд
</v>
      </c>
      <c r="B77" s="117"/>
      <c r="C77" s="112"/>
      <c r="D77" s="114"/>
      <c r="E77" s="112"/>
      <c r="F77" s="114">
        <v>200</v>
      </c>
      <c r="G77" s="277"/>
      <c r="H77" s="339">
        <v>30000</v>
      </c>
      <c r="I77" s="120">
        <f t="shared" si="2"/>
        <v>30000</v>
      </c>
    </row>
    <row r="78" spans="1:9" s="109" customFormat="1" ht="31.5" hidden="1" x14ac:dyDescent="0.25">
      <c r="A78" s="772" t="str">
        <f>IF(B78&gt;0,VLOOKUP(B78,КВСР!A38:B1203,2),IF(C78&gt;0,VLOOKUP(C78,КФСР!A38:B1550,2),IF(D78&gt;0,VLOOKUP(D78,Программа!A$1:B$5110,2),IF(F78&gt;0,VLOOKUP(F78,КВР!A$1:B$5001,2),IF(E78&gt;0,VLOOKUP(E78,Направление!A$1:B$4783,2))))))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77"/>
      <c r="H78" s="339">
        <f t="shared" ref="H78:I78" si="19">H79</f>
        <v>0</v>
      </c>
      <c r="I78" s="277">
        <f t="shared" si="19"/>
        <v>0</v>
      </c>
    </row>
    <row r="79" spans="1:9" s="109" customFormat="1" ht="47.25" hidden="1" x14ac:dyDescent="0.25">
      <c r="A79" s="772" t="str">
        <f>IF(B79&gt;0,VLOOKUP(B79,КВСР!A39:B1204,2),IF(C79&gt;0,VLOOKUP(C79,КФСР!A39:B1551,2),IF(D79&gt;0,VLOOKUP(D79,Программа!A$1:B$5110,2),IF(F79&gt;0,VLOOKUP(F79,КВР!A$1:B$5001,2),IF(E79&gt;0,VLOOKUP(E79,Направление!A$1:B$4783,2))))))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77"/>
      <c r="H79" s="339"/>
      <c r="I79" s="120">
        <f>G79+H79</f>
        <v>0</v>
      </c>
    </row>
    <row r="80" spans="1:9" s="109" customFormat="1" ht="78.75" x14ac:dyDescent="0.25">
      <c r="A80" s="772" t="str">
        <f>IF(B80&gt;0,VLOOKUP(B80,КВСР!A38:B1203,2),IF(C80&gt;0,VLOOKUP(C80,КФСР!A38:B1550,2),IF(D80&gt;0,VLOOKUP(D80,Программа!A$1:B$5110,2),IF(F80&gt;0,VLOOKUP(F80,КВР!A$1:B$5001,2),IF(E80&gt;0,VLOOKUP(E80,Направление!A$1:B$4783,2))))))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1367</v>
      </c>
      <c r="E80" s="112"/>
      <c r="F80" s="114"/>
      <c r="G80" s="277"/>
      <c r="H80" s="339">
        <f t="shared" ref="H80:I82" si="20">H81</f>
        <v>70000</v>
      </c>
      <c r="I80" s="277">
        <f t="shared" si="20"/>
        <v>70000</v>
      </c>
    </row>
    <row r="81" spans="1:9" s="109" customFormat="1" ht="47.25" x14ac:dyDescent="0.25">
      <c r="A81" s="772" t="str">
        <f>IF(B81&gt;0,VLOOKUP(B81,КВСР!A39:B1204,2),IF(C81&gt;0,VLOOKUP(C81,КФСР!A39:B1551,2),IF(D81&gt;0,VLOOKUP(D81,Программа!A$1:B$5110,2),IF(F81&gt;0,VLOOKUP(F81,КВР!A$1:B$5001,2),IF(E81&gt;0,VLOOKUP(E81,Направление!A$1:B$4783,2))))))</f>
        <v>Проведение историко-культурной экспертизы объектов культурного наследия</v>
      </c>
      <c r="B81" s="117"/>
      <c r="C81" s="112"/>
      <c r="D81" s="114" t="s">
        <v>1371</v>
      </c>
      <c r="E81" s="112"/>
      <c r="F81" s="114"/>
      <c r="G81" s="277"/>
      <c r="H81" s="339">
        <f t="shared" si="20"/>
        <v>70000</v>
      </c>
      <c r="I81" s="277">
        <f t="shared" si="20"/>
        <v>70000</v>
      </c>
    </row>
    <row r="82" spans="1:9" s="109" customFormat="1" ht="31.5" x14ac:dyDescent="0.25">
      <c r="A82" s="772" t="str">
        <f>IF(B82&gt;0,VLOOKUP(B82,КВСР!A40:B1205,2),IF(C82&gt;0,VLOOKUP(C82,КФСР!A40:B1552,2),IF(D82&gt;0,VLOOKUP(D82,Программа!A$1:B$5110,2),IF(F82&gt;0,VLOOKUP(F82,КВР!A$1:B$5001,2),IF(E82&gt;0,VLOOKUP(E82,Направление!A$1:B$4783,2))))))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77"/>
      <c r="H82" s="339">
        <f t="shared" si="20"/>
        <v>70000</v>
      </c>
      <c r="I82" s="277">
        <f t="shared" si="20"/>
        <v>70000</v>
      </c>
    </row>
    <row r="83" spans="1:9" s="109" customFormat="1" ht="47.25" x14ac:dyDescent="0.25">
      <c r="A83" s="772" t="str">
        <f>IF(B83&gt;0,VLOOKUP(B83,КВСР!A41:B1206,2),IF(C83&gt;0,VLOOKUP(C83,КФСР!A41:B1553,2),IF(D83&gt;0,VLOOKUP(D83,Программа!A$1:B$5110,2),IF(F83&gt;0,VLOOKUP(F83,КВР!A$1:B$5001,2),IF(E83&gt;0,VLOOKUP(E83,Направление!A$1:B$4783,2))))))</f>
        <v xml:space="preserve">Закупка товаров, работ и услуг для обеспечения государственных (муниципальных) нужд
</v>
      </c>
      <c r="B83" s="117"/>
      <c r="C83" s="112"/>
      <c r="D83" s="114"/>
      <c r="E83" s="112"/>
      <c r="F83" s="114">
        <v>200</v>
      </c>
      <c r="G83" s="277"/>
      <c r="H83" s="339">
        <v>70000</v>
      </c>
      <c r="I83" s="120">
        <f>G83+H83</f>
        <v>70000</v>
      </c>
    </row>
    <row r="84" spans="1:9" s="109" customFormat="1" x14ac:dyDescent="0.25">
      <c r="A84" s="772" t="str">
        <f>IF(B84&gt;0,VLOOKUP(B84,КВСР!A26:B1191,2),IF(C84&gt;0,VLOOKUP(C84,КФСР!A26:B1538,2),IF(D84&gt;0,VLOOKUP(D84,Программа!A$1:B$5110,2),IF(F84&gt;0,VLOOKUP(F84,КВР!A$1:B$5001,2),IF(E84&gt;0,VLOOKUP(E84,Направление!A$1:B$4783,2))))))</f>
        <v>Непрограммные расходы бюджета</v>
      </c>
      <c r="B84" s="117"/>
      <c r="C84" s="112"/>
      <c r="D84" s="113" t="s">
        <v>394</v>
      </c>
      <c r="E84" s="112"/>
      <c r="F84" s="114"/>
      <c r="G84" s="339"/>
      <c r="H84" s="339">
        <f>H111+H114+H105+H85+H89+H97+H94+H99+H101+H103+H108</f>
        <v>58888066</v>
      </c>
      <c r="I84" s="277">
        <f>I111+I114+I105+I85+I89+I97+I94+I99+I101+I103+I108</f>
        <v>58888066</v>
      </c>
    </row>
    <row r="85" spans="1:9" s="109" customFormat="1" ht="31.5" x14ac:dyDescent="0.25">
      <c r="A85" s="772" t="str">
        <f>IF(B85&gt;0,VLOOKUP(B85,КВСР!A27:B1192,2),IF(C85&gt;0,VLOOKUP(C85,КФСР!A27:B1539,2),IF(D85&gt;0,VLOOKUP(D85,Программа!A$1:B$5110,2),IF(F85&gt;0,VLOOKUP(F85,КВР!A$1:B$5001,2),IF(E85&gt;0,VLOOKUP(E85,Направление!A$1:B$4783,2))))))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77"/>
      <c r="H85" s="339">
        <f>H86+H88+H87</f>
        <v>17700000</v>
      </c>
      <c r="I85" s="277">
        <f>I86+I88+I87</f>
        <v>17700000</v>
      </c>
    </row>
    <row r="86" spans="1:9" s="109" customFormat="1" ht="47.25" x14ac:dyDescent="0.25">
      <c r="A86" s="772" t="str">
        <f>IF(B86&gt;0,VLOOKUP(B86,КВСР!A28:B1193,2),IF(C86&gt;0,VLOOKUP(C86,КФСР!A28:B1540,2),IF(D86&gt;0,VLOOKUP(D86,Программа!A$1:B$5110,2),IF(F86&gt;0,VLOOKUP(F86,КВР!A$1:B$5001,2),IF(E86&gt;0,VLOOKUP(E86,Направление!A$1:B$4783,2))))))</f>
        <v xml:space="preserve">Закупка товаров, работ и услуг для обеспечения государственных (муниципальных) нужд
</v>
      </c>
      <c r="B86" s="117"/>
      <c r="C86" s="112"/>
      <c r="D86" s="113"/>
      <c r="E86" s="112"/>
      <c r="F86" s="114">
        <v>200</v>
      </c>
      <c r="G86" s="277"/>
      <c r="H86" s="339">
        <f>500000+9200000</f>
        <v>9700000</v>
      </c>
      <c r="I86" s="120">
        <f t="shared" si="2"/>
        <v>9700000</v>
      </c>
    </row>
    <row r="87" spans="1:9" s="109" customFormat="1" ht="47.25" hidden="1" x14ac:dyDescent="0.25">
      <c r="A87" s="772" t="str">
        <f>IF(B87&gt;0,VLOOKUP(B87,КВСР!A29:B1194,2),IF(C87&gt;0,VLOOKUP(C87,КФСР!A29:B1541,2),IF(D87&gt;0,VLOOKUP(D87,Программа!A$1:B$5110,2),IF(F87&gt;0,VLOOKUP(F87,КВР!A$1:B$5001,2),IF(E87&gt;0,VLOOKUP(E87,Направление!A$1:B$4783,2))))))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77"/>
      <c r="H87" s="339"/>
      <c r="I87" s="120">
        <f t="shared" si="2"/>
        <v>0</v>
      </c>
    </row>
    <row r="88" spans="1:9" s="109" customFormat="1" x14ac:dyDescent="0.25">
      <c r="A88" s="772" t="str">
        <f>IF(B88&gt;0,VLOOKUP(B88,КВСР!A30:B1195,2),IF(C88&gt;0,VLOOKUP(C88,КФСР!A30:B1542,2),IF(D88&gt;0,VLOOKUP(D88,Программа!A$1:B$5110,2),IF(F88&gt;0,VLOOKUP(F88,КВР!A$1:B$5001,2),IF(E88&gt;0,VLOOKUP(E88,Направление!A$1:B$4783,2))))))</f>
        <v>Иные бюджетные ассигнования</v>
      </c>
      <c r="B88" s="117"/>
      <c r="C88" s="112"/>
      <c r="D88" s="113"/>
      <c r="E88" s="112"/>
      <c r="F88" s="114">
        <v>800</v>
      </c>
      <c r="G88" s="277"/>
      <c r="H88" s="339">
        <v>8000000</v>
      </c>
      <c r="I88" s="120">
        <f t="shared" si="2"/>
        <v>8000000</v>
      </c>
    </row>
    <row r="89" spans="1:9" s="109" customFormat="1" ht="47.25" x14ac:dyDescent="0.25">
      <c r="A89" s="772" t="str">
        <f>IF(B89&gt;0,VLOOKUP(B89,КВСР!A29:B1194,2),IF(C89&gt;0,VLOOKUP(C89,КФСР!A29:B1541,2),IF(D89&gt;0,VLOOKUP(D89,Программа!A$1:B$5110,2),IF(F89&gt;0,VLOOKUP(F89,КВР!A$1:B$5001,2),IF(E89&gt;0,VLOOKUP(E89,Направление!A$1:B$4783,2))))))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77"/>
      <c r="H89" s="339">
        <f t="shared" ref="H89:I89" si="21">H90+H91+H93+H92</f>
        <v>34802563</v>
      </c>
      <c r="I89" s="339">
        <f t="shared" si="21"/>
        <v>34802563</v>
      </c>
    </row>
    <row r="90" spans="1:9" s="109" customFormat="1" ht="94.5" x14ac:dyDescent="0.25">
      <c r="A90" s="772" t="str">
        <f>IF(B90&gt;0,VLOOKUP(B90,КВСР!A28:B1193,2),IF(C90&gt;0,VLOOKUP(C90,КФСР!A28:B1540,2),IF(D90&gt;0,VLOOKUP(D90,Программа!A$1:B$5110,2),IF(F90&gt;0,VLOOKUP(F90,КВР!A$1:B$5001,2),IF(E90&gt;0,VLOOKUP(E90,Направление!A$1:B$4783,2))))))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7"/>
      <c r="C90" s="112"/>
      <c r="D90" s="113"/>
      <c r="E90" s="112"/>
      <c r="F90" s="114">
        <v>100</v>
      </c>
      <c r="G90" s="277"/>
      <c r="H90" s="339">
        <f>7747920+2339872+9203317+363641+55800</f>
        <v>19710550</v>
      </c>
      <c r="I90" s="120">
        <f t="shared" si="2"/>
        <v>19710550</v>
      </c>
    </row>
    <row r="91" spans="1:9" s="109" customFormat="1" ht="47.25" x14ac:dyDescent="0.25">
      <c r="A91" s="772" t="str">
        <f>IF(B91&gt;0,VLOOKUP(B91,КВСР!A29:B1194,2),IF(C91&gt;0,VLOOKUP(C91,КФСР!A29:B1541,2),IF(D91&gt;0,VLOOKUP(D91,Программа!A$1:B$5110,2),IF(F91&gt;0,VLOOKUP(F91,КВР!A$1:B$5001,2),IF(E91&gt;0,VLOOKUP(E91,Направление!A$1:B$4783,2))))))</f>
        <v xml:space="preserve">Закупка товаров, работ и услуг для обеспечения государственных (муниципальных) нужд
</v>
      </c>
      <c r="B91" s="117"/>
      <c r="C91" s="112"/>
      <c r="D91" s="113"/>
      <c r="E91" s="112"/>
      <c r="F91" s="114">
        <v>200</v>
      </c>
      <c r="G91" s="277"/>
      <c r="H91" s="339">
        <f>1370000+3485200</f>
        <v>4855200</v>
      </c>
      <c r="I91" s="120">
        <f t="shared" si="2"/>
        <v>4855200</v>
      </c>
    </row>
    <row r="92" spans="1:9" s="109" customFormat="1" ht="47.25" x14ac:dyDescent="0.25">
      <c r="A92" s="772" t="str">
        <f>IF(B92&gt;0,VLOOKUP(B92,КВСР!A30:B1195,2),IF(C92&gt;0,VLOOKUP(C92,КФСР!A30:B1542,2),IF(D92&gt;0,VLOOKUP(D92,Программа!A$1:B$5110,2),IF(F92&gt;0,VLOOKUP(F92,КВР!A$1:B$5001,2),IF(E92&gt;0,VLOOKUP(E92,Направление!A$1:B$4783,2))))))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77"/>
      <c r="H92" s="339">
        <f>3577740+6611773</f>
        <v>10189513</v>
      </c>
      <c r="I92" s="120">
        <f t="shared" si="2"/>
        <v>10189513</v>
      </c>
    </row>
    <row r="93" spans="1:9" s="109" customFormat="1" x14ac:dyDescent="0.25">
      <c r="A93" s="772" t="str">
        <f>IF(B93&gt;0,VLOOKUP(B93,КВСР!A30:B1195,2),IF(C93&gt;0,VLOOKUP(C93,КФСР!A30:B1542,2),IF(D93&gt;0,VLOOKUP(D93,Программа!A$1:B$5110,2),IF(F93&gt;0,VLOOKUP(F93,КВР!A$1:B$5001,2),IF(E93&gt;0,VLOOKUP(E93,Направление!A$1:B$4783,2))))))</f>
        <v>Иные бюджетные ассигнования</v>
      </c>
      <c r="B93" s="117"/>
      <c r="C93" s="112"/>
      <c r="D93" s="113"/>
      <c r="E93" s="112"/>
      <c r="F93" s="114">
        <v>800</v>
      </c>
      <c r="G93" s="277"/>
      <c r="H93" s="339">
        <f>10450+36850</f>
        <v>47300</v>
      </c>
      <c r="I93" s="120">
        <f t="shared" si="2"/>
        <v>47300</v>
      </c>
    </row>
    <row r="94" spans="1:9" s="109" customFormat="1" ht="47.25" x14ac:dyDescent="0.25">
      <c r="A94" s="772" t="str">
        <f>IF(B94&gt;0,VLOOKUP(B94,КВСР!A31:B1196,2),IF(C94&gt;0,VLOOKUP(C94,КФСР!A31:B1543,2),IF(D94&gt;0,VLOOKUP(D94,Программа!A$1:B$5110,2),IF(F94&gt;0,VLOOKUP(F94,КВР!A$1:B$5001,2),IF(E94&gt;0,VLOOKUP(E94,Направление!A$1:B$4783,2))))))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77"/>
      <c r="H94" s="339">
        <f t="shared" ref="H94:I94" si="22">H96+H95</f>
        <v>28000</v>
      </c>
      <c r="I94" s="277">
        <f t="shared" si="22"/>
        <v>28000</v>
      </c>
    </row>
    <row r="95" spans="1:9" s="109" customFormat="1" ht="47.25" hidden="1" x14ac:dyDescent="0.25">
      <c r="A95" s="772" t="str">
        <f>IF(B95&gt;0,VLOOKUP(B95,КВСР!A32:B1197,2),IF(C95&gt;0,VLOOKUP(C95,КФСР!A32:B1544,2),IF(D95&gt;0,VLOOKUP(D95,Программа!A$1:B$5110,2),IF(F95&gt;0,VLOOKUP(F95,КВР!A$1:B$5001,2),IF(E95&gt;0,VLOOKUP(E95,Направление!A$1:B$4783,2))))))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77"/>
      <c r="H95" s="339"/>
      <c r="I95" s="120">
        <f t="shared" si="2"/>
        <v>0</v>
      </c>
    </row>
    <row r="96" spans="1:9" s="109" customFormat="1" x14ac:dyDescent="0.25">
      <c r="A96" s="772" t="str">
        <f>IF(B96&gt;0,VLOOKUP(B96,КВСР!A32:B1197,2),IF(C96&gt;0,VLOOKUP(C96,КФСР!A32:B1544,2),IF(D96&gt;0,VLOOKUP(D96,Программа!A$1:B$5110,2),IF(F96&gt;0,VLOOKUP(F96,КВР!A$1:B$5001,2),IF(E96&gt;0,VLOOKUP(E96,Направление!A$1:B$4783,2))))))</f>
        <v>Иные бюджетные ассигнования</v>
      </c>
      <c r="B96" s="117"/>
      <c r="C96" s="112"/>
      <c r="D96" s="113"/>
      <c r="E96" s="112"/>
      <c r="F96" s="114">
        <v>800</v>
      </c>
      <c r="G96" s="277"/>
      <c r="H96" s="339">
        <f>220000-60000-132000</f>
        <v>28000</v>
      </c>
      <c r="I96" s="120">
        <f t="shared" si="2"/>
        <v>28000</v>
      </c>
    </row>
    <row r="97" spans="1:9" s="109" customFormat="1" ht="31.5" x14ac:dyDescent="0.25">
      <c r="A97" s="772" t="str">
        <f>IF(B97&gt;0,VLOOKUP(B97,КВСР!A30:B1195,2),IF(C97&gt;0,VLOOKUP(C97,КФСР!A30:B1542,2),IF(D97&gt;0,VLOOKUP(D97,Программа!A$1:B$5110,2),IF(F97&gt;0,VLOOKUP(F97,КВР!A$1:B$5001,2),IF(E97&gt;0,VLOOKUP(E97,Направление!A$1:B$4783,2))))))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77"/>
      <c r="H97" s="339">
        <f>H98</f>
        <v>250000</v>
      </c>
      <c r="I97" s="120">
        <f t="shared" si="2"/>
        <v>250000</v>
      </c>
    </row>
    <row r="98" spans="1:9" s="109" customFormat="1" ht="47.25" x14ac:dyDescent="0.25">
      <c r="A98" s="772" t="str">
        <f>IF(B98&gt;0,VLOOKUP(B98,КВСР!A32:B1197,2),IF(C98&gt;0,VLOOKUP(C98,КФСР!A32:B1544,2),IF(D98&gt;0,VLOOKUP(D98,Программа!A$1:B$5110,2),IF(F98&gt;0,VLOOKUP(F98,КВР!A$1:B$5001,2),IF(E98&gt;0,VLOOKUP(E98,Направление!A$1:B$4783,2))))))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77"/>
      <c r="H98" s="339">
        <v>250000</v>
      </c>
      <c r="I98" s="120">
        <f t="shared" si="2"/>
        <v>250000</v>
      </c>
    </row>
    <row r="99" spans="1:9" s="109" customFormat="1" ht="94.5" hidden="1" x14ac:dyDescent="0.25">
      <c r="A99" s="772" t="str">
        <f>IF(B99&gt;0,VLOOKUP(B99,КВСР!A33:B1198,2),IF(C99&gt;0,VLOOKUP(C99,КФСР!A33:B1545,2),IF(D99&gt;0,VLOOKUP(D99,Программа!A$1:B$5110,2),IF(F99&gt;0,VLOOKUP(F99,КВР!A$1:B$5001,2),IF(E99&gt;0,VLOOKUP(E99,Направление!A$1:B$4783,2))))))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77"/>
      <c r="H99" s="339">
        <f t="shared" ref="H99" si="23">H100</f>
        <v>0</v>
      </c>
      <c r="I99" s="120">
        <f t="shared" si="2"/>
        <v>0</v>
      </c>
    </row>
    <row r="100" spans="1:9" s="109" customFormat="1" ht="47.25" hidden="1" x14ac:dyDescent="0.25">
      <c r="A100" s="772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IF(B100&gt;0,VLOOKUP(B100,КВСР!A34:B1199,2),IF(C100&gt;0,VLOOKUP(C100,КФСР!A34:B1546,2),IF(D100&gt;0,VLOOKUP(D100,Программа!A$1:B$5110,2),IF(F100&gt;0,VLOOKUP(F100,КВР!A$1:B$5001,2),IF(E100&gt;0,VLOOKUP(E100,Направление!A$1:B$4783,2))))))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77"/>
      <c r="H100" s="339"/>
      <c r="I100" s="120">
        <f t="shared" si="2"/>
        <v>0</v>
      </c>
    </row>
    <row r="101" spans="1:9" s="109" customFormat="1" ht="78.75" hidden="1" x14ac:dyDescent="0.25">
      <c r="A101" s="772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IF(B101&gt;0,VLOOKUP(B101,КВСР!A35:B1200,2),IF(C101&gt;0,VLOOKUP(C101,КФСР!A35:B1547,2),IF(D101&gt;0,VLOOKUP(D101,Программа!A$1:B$5110,2),IF(F101&gt;0,VLOOKUP(F101,КВР!A$1:B$5001,2),IF(E101&gt;0,VLOOKUP(E101,Направление!A$1:B$4783,2))))))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77"/>
      <c r="H101" s="339">
        <f t="shared" ref="H101:I101" si="24">H102</f>
        <v>0</v>
      </c>
      <c r="I101" s="277">
        <f t="shared" si="24"/>
        <v>0</v>
      </c>
    </row>
    <row r="102" spans="1:9" s="109" customFormat="1" ht="47.25" hidden="1" x14ac:dyDescent="0.25">
      <c r="A102" s="772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277"/>
      <c r="H102" s="339"/>
      <c r="I102" s="120">
        <f>G102+H102</f>
        <v>0</v>
      </c>
    </row>
    <row r="103" spans="1:9" s="109" customFormat="1" ht="47.25" x14ac:dyDescent="0.25">
      <c r="A103" s="772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IF(B103&gt;0,VLOOKUP(B103,КВСР!A37:B1202,2),IF(C103&gt;0,VLOOKUP(C103,КФСР!A37:B1549,2),IF(D103&gt;0,VLOOKUP(D103,Программа!A$1:B$5110,2),IF(F103&gt;0,VLOOKUP(F103,КВР!A$1:B$5001,2),IF(E103&gt;0,VLOOKUP(E103,Направление!A$1:B$4783,2))))))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77"/>
      <c r="H103" s="339">
        <f t="shared" ref="H103:I103" si="25">H104</f>
        <v>806880</v>
      </c>
      <c r="I103" s="277">
        <f t="shared" si="25"/>
        <v>806880</v>
      </c>
    </row>
    <row r="104" spans="1:9" s="109" customFormat="1" x14ac:dyDescent="0.25">
      <c r="A104" s="772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IF(B104&gt;0,VLOOKUP(B104,КВСР!A38:B1203,2),IF(C104&gt;0,VLOOKUP(C104,КФСР!A38:B1550,2),IF(D104&gt;0,VLOOKUP(D104,Программа!A$1:B$5110,2),IF(F104&gt;0,VLOOKUP(F104,КВР!A$1:B$5001,2),IF(E104&gt;0,VLOOKUP(E104,Направление!A$1:B$4783,2))))))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77"/>
      <c r="H104" s="339">
        <v>806880</v>
      </c>
      <c r="I104" s="120">
        <f>G104+H104</f>
        <v>806880</v>
      </c>
    </row>
    <row r="105" spans="1:9" s="109" customFormat="1" ht="47.25" x14ac:dyDescent="0.25">
      <c r="A105" s="772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IF(B105&gt;0,VLOOKUP(B105,КВСР!A30:B1195,2),IF(C105&gt;0,VLOOKUP(C105,КФСР!A30:B1542,2),IF(D105&gt;0,VLOOKUP(D105,Программа!A$1:B$5110,2),IF(F105&gt;0,VLOOKUP(F105,КВР!A$1:B$5001,2),IF(E105&gt;0,VLOOKUP(E105,Направление!A$1:B$4783,2))))))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77"/>
      <c r="H105" s="339">
        <f>H106+H107</f>
        <v>2400818</v>
      </c>
      <c r="I105" s="120">
        <f t="shared" si="2"/>
        <v>2400818</v>
      </c>
    </row>
    <row r="106" spans="1:9" s="109" customFormat="1" ht="94.5" x14ac:dyDescent="0.25">
      <c r="A106" s="772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277"/>
      <c r="H106" s="339">
        <f>1750430+528629</f>
        <v>2279059</v>
      </c>
      <c r="I106" s="120">
        <f t="shared" si="2"/>
        <v>2279059</v>
      </c>
    </row>
    <row r="107" spans="1:9" s="109" customFormat="1" ht="47.25" x14ac:dyDescent="0.25">
      <c r="A107" s="772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IF(B107&gt;0,VLOOKUP(B107,КВСР!A31:B1196,2),IF(C107&gt;0,VLOOKUP(C107,КФСР!A31:B1543,2),IF(D107&gt;0,VLOOKUP(D107,Программа!A$1:B$5110,2),IF(F107&gt;0,VLOOKUP(F107,КВР!A$1:B$5001,2),IF(E107&gt;0,VLOOKUP(E107,Направление!A$1:B$4783,2))))))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77"/>
      <c r="H107" s="339">
        <f>40400+39063+42296</f>
        <v>121759</v>
      </c>
      <c r="I107" s="120">
        <f t="shared" si="2"/>
        <v>121759</v>
      </c>
    </row>
    <row r="108" spans="1:9" s="109" customFormat="1" ht="78.75" hidden="1" x14ac:dyDescent="0.25">
      <c r="A108" s="772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IF(B108&gt;0,VLOOKUP(B108,КВСР!A32:B1197,2),IF(C108&gt;0,VLOOKUP(C108,КФСР!A32:B1544,2),IF(D108&gt;0,VLOOKUP(D108,Программа!A$1:B$5110,2),IF(F108&gt;0,VLOOKUP(F108,КВР!A$1:B$5001,2),IF(E108&gt;0,VLOOKUP(E108,Направление!A$1:B$4783,2))))))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1846</v>
      </c>
      <c r="F108" s="114"/>
      <c r="G108" s="277"/>
      <c r="H108" s="339">
        <f t="shared" ref="H108:I108" si="26">H109+H110</f>
        <v>0</v>
      </c>
      <c r="I108" s="277">
        <f t="shared" si="26"/>
        <v>0</v>
      </c>
    </row>
    <row r="109" spans="1:9" s="109" customFormat="1" ht="94.5" hidden="1" x14ac:dyDescent="0.25">
      <c r="A109" s="772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7"/>
      <c r="C109" s="112"/>
      <c r="D109" s="114"/>
      <c r="E109" s="112"/>
      <c r="F109" s="114">
        <v>100</v>
      </c>
      <c r="G109" s="277"/>
      <c r="H109" s="339"/>
      <c r="I109" s="120">
        <f>G109+H109</f>
        <v>0</v>
      </c>
    </row>
    <row r="110" spans="1:9" s="109" customFormat="1" ht="47.25" hidden="1" x14ac:dyDescent="0.25">
      <c r="A110" s="772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IF(B110&gt;0,VLOOKUP(B110,КВСР!A34:B1199,2),IF(C110&gt;0,VLOOKUP(C110,КФСР!A34:B1546,2),IF(D110&gt;0,VLOOKUP(D110,Программа!A$1:B$5110,2),IF(F110&gt;0,VLOOKUP(F110,КВР!A$1:B$5001,2),IF(E110&gt;0,VLOOKUP(E110,Направление!A$1:B$4783,2))))))</f>
        <v xml:space="preserve">Закупка товаров, работ и услуг для обеспечения государственных (муниципальных) нужд
</v>
      </c>
      <c r="B110" s="117"/>
      <c r="C110" s="112"/>
      <c r="D110" s="114"/>
      <c r="E110" s="112"/>
      <c r="F110" s="114">
        <v>200</v>
      </c>
      <c r="G110" s="277"/>
      <c r="H110" s="339"/>
      <c r="I110" s="120">
        <f>G110+H110</f>
        <v>0</v>
      </c>
    </row>
    <row r="111" spans="1:9" s="109" customFormat="1" ht="63" x14ac:dyDescent="0.25">
      <c r="A111" s="772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77"/>
      <c r="H111" s="339">
        <f>H112+H113</f>
        <v>2648473</v>
      </c>
      <c r="I111" s="120">
        <f t="shared" si="2"/>
        <v>2648473</v>
      </c>
    </row>
    <row r="112" spans="1:9" s="109" customFormat="1" ht="94.5" x14ac:dyDescent="0.25">
      <c r="A112" s="772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7"/>
      <c r="C112" s="112"/>
      <c r="D112" s="114"/>
      <c r="E112" s="112"/>
      <c r="F112" s="114">
        <v>100</v>
      </c>
      <c r="G112" s="295"/>
      <c r="H112" s="284">
        <f>1807438+545846</f>
        <v>2353284</v>
      </c>
      <c r="I112" s="120">
        <f t="shared" ref="I112:I384" si="27">SUM(G112:H112)</f>
        <v>2353284</v>
      </c>
    </row>
    <row r="113" spans="1:9" s="109" customFormat="1" ht="47.25" x14ac:dyDescent="0.25">
      <c r="A113" s="772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IF(B113&gt;0,VLOOKUP(B113,КВСР!A29:B1194,2),IF(C113&gt;0,VLOOKUP(C113,КФСР!A29:B1541,2),IF(D113&gt;0,VLOOKUP(D113,Программа!A$1:B$5110,2),IF(F113&gt;0,VLOOKUP(F113,КВР!A$1:B$5001,2),IF(E113&gt;0,VLOOKUP(E113,Направление!A$1:B$4783,2))))))</f>
        <v xml:space="preserve">Закупка товаров, работ и услуг для обеспечения государственных (муниципальных) нужд
</v>
      </c>
      <c r="B113" s="117"/>
      <c r="C113" s="112"/>
      <c r="D113" s="114"/>
      <c r="E113" s="112"/>
      <c r="F113" s="114">
        <v>200</v>
      </c>
      <c r="G113" s="295"/>
      <c r="H113" s="284">
        <f>122000+173189</f>
        <v>295189</v>
      </c>
      <c r="I113" s="120">
        <f t="shared" si="27"/>
        <v>295189</v>
      </c>
    </row>
    <row r="114" spans="1:9" s="109" customFormat="1" ht="63" x14ac:dyDescent="0.25">
      <c r="A114" s="772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5"/>
      <c r="H114" s="284">
        <f>H115+H116</f>
        <v>251332</v>
      </c>
      <c r="I114" s="120">
        <f t="shared" si="27"/>
        <v>251332</v>
      </c>
    </row>
    <row r="115" spans="1:9" s="109" customFormat="1" ht="94.5" x14ac:dyDescent="0.25">
      <c r="A115" s="772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7"/>
      <c r="C115" s="112"/>
      <c r="D115" s="114"/>
      <c r="E115" s="112"/>
      <c r="F115" s="114">
        <v>100</v>
      </c>
      <c r="G115" s="295"/>
      <c r="H115" s="284">
        <f>180000+54360</f>
        <v>234360</v>
      </c>
      <c r="I115" s="120">
        <f t="shared" si="27"/>
        <v>234360</v>
      </c>
    </row>
    <row r="116" spans="1:9" s="109" customFormat="1" ht="47.25" x14ac:dyDescent="0.25">
      <c r="A116" s="772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IF(B116&gt;0,VLOOKUP(B116,КВСР!A32:B1197,2),IF(C116&gt;0,VLOOKUP(C116,КФСР!A32:B1544,2),IF(D116&gt;0,VLOOKUP(D116,Программа!A$1:B$5110,2),IF(F116&gt;0,VLOOKUP(F116,КВР!A$1:B$5001,2),IF(E116&gt;0,VLOOKUP(E116,Направление!A$1:B$4783,2))))))</f>
        <v xml:space="preserve">Закупка товаров, работ и услуг для обеспечения государственных (муниципальных) нужд
</v>
      </c>
      <c r="B116" s="117"/>
      <c r="C116" s="112"/>
      <c r="D116" s="114"/>
      <c r="E116" s="112"/>
      <c r="F116" s="114">
        <v>200</v>
      </c>
      <c r="G116" s="277"/>
      <c r="H116" s="339">
        <f>11000+2972+3000</f>
        <v>16972</v>
      </c>
      <c r="I116" s="120">
        <f t="shared" si="27"/>
        <v>16972</v>
      </c>
    </row>
    <row r="117" spans="1:9" s="109" customFormat="1" hidden="1" x14ac:dyDescent="0.25">
      <c r="A117" s="772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IF(B117&gt;0,VLOOKUP(B117,КВСР!A33:B1198,2),IF(C117&gt;0,VLOOKUP(C117,КФСР!A33:B1545,2),IF(D117&gt;0,VLOOKUP(D117,Программа!A$1:B$5110,2),IF(F117&gt;0,VLOOKUP(F117,КВР!A$1:B$5001,2),IF(E117&gt;0,VLOOKUP(E117,Направление!A$1:B$4783,2))))))</f>
        <v>Непрограммные расходы бюджета</v>
      </c>
      <c r="B117" s="117"/>
      <c r="C117" s="112"/>
      <c r="D117" s="114" t="s">
        <v>1848</v>
      </c>
      <c r="E117" s="112"/>
      <c r="F117" s="114"/>
      <c r="G117" s="277"/>
      <c r="H117" s="339">
        <f t="shared" ref="H117:I117" si="28">H118</f>
        <v>0</v>
      </c>
      <c r="I117" s="277">
        <f t="shared" si="28"/>
        <v>0</v>
      </c>
    </row>
    <row r="118" spans="1:9" s="109" customFormat="1" ht="47.25" hidden="1" x14ac:dyDescent="0.25">
      <c r="A118" s="772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IF(B118&gt;0,VLOOKUP(B118,КВСР!A34:B1199,2),IF(C118&gt;0,VLOOKUP(C118,КФСР!A34:B1546,2),IF(D118&gt;0,VLOOKUP(D118,Программа!A$1:B$5110,2),IF(F118&gt;0,VLOOKUP(F118,КВР!A$1:B$5001,2),IF(E118&gt;0,VLOOKUP(E118,Направление!A$1:B$4783,2))))))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77"/>
      <c r="H118" s="339">
        <f t="shared" ref="H118:I118" si="29">H119</f>
        <v>0</v>
      </c>
      <c r="I118" s="277">
        <f t="shared" si="29"/>
        <v>0</v>
      </c>
    </row>
    <row r="119" spans="1:9" s="109" customFormat="1" ht="47.25" hidden="1" x14ac:dyDescent="0.25">
      <c r="A119" s="772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IF(B119&gt;0,VLOOKUP(B119,КВСР!A35:B1200,2),IF(C119&gt;0,VLOOKUP(C119,КФСР!A35:B1547,2),IF(D119&gt;0,VLOOKUP(D119,Программа!A$1:B$5110,2),IF(F119&gt;0,VLOOKUP(F119,КВР!A$1:B$5001,2),IF(E119&gt;0,VLOOKUP(E119,Направление!A$1:B$4783,2))))))</f>
        <v xml:space="preserve">Закупка товаров, работ и услуг для обеспечения государственных (муниципальных) нужд
</v>
      </c>
      <c r="B119" s="117"/>
      <c r="C119" s="112"/>
      <c r="D119" s="114"/>
      <c r="E119" s="112"/>
      <c r="F119" s="114">
        <v>200</v>
      </c>
      <c r="G119" s="277"/>
      <c r="H119" s="339"/>
      <c r="I119" s="120">
        <f>G119+H119</f>
        <v>0</v>
      </c>
    </row>
    <row r="120" spans="1:9" s="109" customFormat="1" ht="31.5" x14ac:dyDescent="0.25">
      <c r="A120" s="772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IF(B120&gt;0,VLOOKUP(B120,КВСР!A33:B1198,2),IF(C120&gt;0,VLOOKUP(C120,КФСР!A33:B1545,2),IF(D120&gt;0,VLOOKUP(D120,Программа!A$1:B$5110,2),IF(F120&gt;0,VLOOKUP(F120,КВР!A$1:B$5001,2),IF(E120&gt;0,VLOOKUP(E120,Направление!A$1:B$4783,2))))))</f>
        <v>Межбюджетные трансферты  поселениям района</v>
      </c>
      <c r="B120" s="117"/>
      <c r="C120" s="112"/>
      <c r="D120" s="114" t="s">
        <v>565</v>
      </c>
      <c r="E120" s="112"/>
      <c r="F120" s="114"/>
      <c r="G120" s="277"/>
      <c r="H120" s="339">
        <f t="shared" ref="H120:I120" si="30">H121+H123</f>
        <v>210708</v>
      </c>
      <c r="I120" s="277">
        <f t="shared" si="30"/>
        <v>210708</v>
      </c>
    </row>
    <row r="121" spans="1:9" s="109" customFormat="1" x14ac:dyDescent="0.25">
      <c r="A121" s="772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IF(B121&gt;0,VLOOKUP(B121,КВСР!A34:B1199,2),IF(C121&gt;0,VLOOKUP(C121,КФСР!A34:B1546,2),IF(D121&gt;0,VLOOKUP(D121,Программа!A$1:B$5110,2),IF(F121&gt;0,VLOOKUP(F121,КВР!A$1:B$5001,2),IF(E121&gt;0,VLOOKUP(E121,Направление!A$1:B$4783,2))))))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77"/>
      <c r="H121" s="339">
        <f t="shared" ref="H121:I121" si="31">H122</f>
        <v>210708</v>
      </c>
      <c r="I121" s="277">
        <f t="shared" si="31"/>
        <v>210708</v>
      </c>
    </row>
    <row r="122" spans="1:9" s="109" customFormat="1" x14ac:dyDescent="0.25">
      <c r="A122" s="772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IF(B122&gt;0,VLOOKUP(B122,КВСР!A35:B1200,2),IF(C122&gt;0,VLOOKUP(C122,КФСР!A35:B1547,2),IF(D122&gt;0,VLOOKUP(D122,Программа!A$1:B$5110,2),IF(F122&gt;0,VLOOKUP(F122,КВР!A$1:B$5001,2),IF(E122&gt;0,VLOOKUP(E122,Направление!A$1:B$4783,2))))))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77"/>
      <c r="H122" s="339">
        <v>210708</v>
      </c>
      <c r="I122" s="120">
        <f>G122+H122</f>
        <v>210708</v>
      </c>
    </row>
    <row r="123" spans="1:9" s="109" customFormat="1" ht="78.75" hidden="1" x14ac:dyDescent="0.25">
      <c r="A123" s="772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77"/>
      <c r="H123" s="339">
        <f t="shared" ref="H123:I123" si="32">H124</f>
        <v>0</v>
      </c>
      <c r="I123" s="277">
        <f t="shared" si="32"/>
        <v>0</v>
      </c>
    </row>
    <row r="124" spans="1:9" s="109" customFormat="1" hidden="1" x14ac:dyDescent="0.25">
      <c r="A124" s="772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IF(B124&gt;0,VLOOKUP(B124,КВСР!A37:B1202,2),IF(C124&gt;0,VLOOKUP(C124,КФСР!A37:B1549,2),IF(D124&gt;0,VLOOKUP(D124,Программа!A$1:B$5110,2),IF(F124&gt;0,VLOOKUP(F124,КВР!A$1:B$5001,2),IF(E124&gt;0,VLOOKUP(E124,Направление!A$1:B$4783,2))))))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77"/>
      <c r="H124" s="339"/>
      <c r="I124" s="120">
        <f>G124+H124</f>
        <v>0</v>
      </c>
    </row>
    <row r="125" spans="1:9" s="109" customFormat="1" ht="63" hidden="1" x14ac:dyDescent="0.25">
      <c r="A125" s="772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125" s="117"/>
      <c r="C125" s="112">
        <v>310</v>
      </c>
      <c r="D125" s="114"/>
      <c r="E125" s="112"/>
      <c r="F125" s="114"/>
      <c r="G125" s="277"/>
      <c r="H125" s="339">
        <f t="shared" ref="H125:I125" si="33">H126+H130</f>
        <v>0</v>
      </c>
      <c r="I125" s="289">
        <f t="shared" si="33"/>
        <v>0</v>
      </c>
    </row>
    <row r="126" spans="1:9" s="109" customFormat="1" hidden="1" x14ac:dyDescent="0.25">
      <c r="A126" s="772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IF(B126&gt;0,VLOOKUP(B126,КВСР!A34:B1199,2),IF(C126&gt;0,VLOOKUP(C126,КФСР!A34:B1546,2),IF(D126&gt;0,VLOOKUP(D126,Программа!A$1:B$5110,2),IF(F126&gt;0,VLOOKUP(F126,КВР!A$1:B$5001,2),IF(E126&gt;0,VLOOKUP(E126,Направление!A$1:B$4783,2))))))</f>
        <v>Непрограммные расходы бюджета</v>
      </c>
      <c r="B126" s="117"/>
      <c r="C126" s="112"/>
      <c r="D126" s="114" t="s">
        <v>394</v>
      </c>
      <c r="E126" s="112"/>
      <c r="F126" s="114"/>
      <c r="G126" s="277"/>
      <c r="H126" s="339">
        <f>H127</f>
        <v>0</v>
      </c>
      <c r="I126" s="120">
        <f t="shared" si="27"/>
        <v>0</v>
      </c>
    </row>
    <row r="127" spans="1:9" s="109" customFormat="1" ht="47.25" hidden="1" x14ac:dyDescent="0.25">
      <c r="A127" s="772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IF(B127&gt;0,VLOOKUP(B127,КВСР!A35:B1200,2),IF(C127&gt;0,VLOOKUP(C127,КФСР!A35:B1547,2),IF(D127&gt;0,VLOOKUP(D127,Программа!A$1:B$5110,2),IF(F127&gt;0,VLOOKUP(F127,КВР!A$1:B$5001,2),IF(E127&gt;0,VLOOKUP(E127,Направление!A$1:B$4783,2))))))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77"/>
      <c r="H127" s="339">
        <f>H128+H129</f>
        <v>0</v>
      </c>
      <c r="I127" s="120">
        <f t="shared" si="27"/>
        <v>0</v>
      </c>
    </row>
    <row r="128" spans="1:9" s="109" customFormat="1" ht="94.5" hidden="1" x14ac:dyDescent="0.25">
      <c r="A128" s="772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7"/>
      <c r="C128" s="112"/>
      <c r="D128" s="114"/>
      <c r="E128" s="112"/>
      <c r="F128" s="114">
        <v>100</v>
      </c>
      <c r="G128" s="277"/>
      <c r="H128" s="339"/>
      <c r="I128" s="120">
        <f t="shared" si="27"/>
        <v>0</v>
      </c>
    </row>
    <row r="129" spans="1:9" s="109" customFormat="1" ht="47.25" hidden="1" x14ac:dyDescent="0.25">
      <c r="A129" s="772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4"/>
      <c r="E129" s="112"/>
      <c r="F129" s="114">
        <v>200</v>
      </c>
      <c r="G129" s="277"/>
      <c r="H129" s="339"/>
      <c r="I129" s="120">
        <f t="shared" si="27"/>
        <v>0</v>
      </c>
    </row>
    <row r="130" spans="1:9" s="109" customFormat="1" ht="31.5" hidden="1" x14ac:dyDescent="0.25">
      <c r="A130" s="772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4" t="s">
        <v>565</v>
      </c>
      <c r="E130" s="112"/>
      <c r="F130" s="114"/>
      <c r="G130" s="277"/>
      <c r="H130" s="339">
        <f>H131</f>
        <v>0</v>
      </c>
      <c r="I130" s="277">
        <f t="shared" ref="I130:I131" si="34">I131</f>
        <v>0</v>
      </c>
    </row>
    <row r="131" spans="1:9" s="109" customFormat="1" ht="47.25" hidden="1" x14ac:dyDescent="0.25">
      <c r="A131" s="772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IF(B131&gt;0,VLOOKUP(B131,КВСР!A39:B1204,2),IF(C131&gt;0,VLOOKUP(C131,КФСР!A39:B1551,2),IF(D131&gt;0,VLOOKUP(D131,Программа!A$1:B$5110,2),IF(F131&gt;0,VLOOKUP(F131,КВР!A$1:B$5001,2),IF(E131&gt;0,VLOOKUP(E131,Направление!A$1:B$4783,2))))))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77"/>
      <c r="H131" s="339">
        <f t="shared" ref="H131" si="35">H132</f>
        <v>0</v>
      </c>
      <c r="I131" s="277">
        <f t="shared" si="34"/>
        <v>0</v>
      </c>
    </row>
    <row r="132" spans="1:9" s="109" customFormat="1" hidden="1" x14ac:dyDescent="0.25">
      <c r="A132" s="772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77"/>
      <c r="H132" s="339"/>
      <c r="I132" s="120">
        <f>G132+H132</f>
        <v>0</v>
      </c>
    </row>
    <row r="133" spans="1:9" s="109" customFormat="1" x14ac:dyDescent="0.25">
      <c r="A133" s="772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IF(B133&gt;0,VLOOKUP(B133,КВСР!A37:B1202,2),IF(C133&gt;0,VLOOKUP(C133,КФСР!A37:B1549,2),IF(D133&gt;0,VLOOKUP(D133,Программа!A$1:B$5110,2),IF(F133&gt;0,VLOOKUP(F133,КВР!A$1:B$5001,2),IF(E133&gt;0,VLOOKUP(E133,Направление!A$1:B$4783,2))))))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5"/>
      <c r="H133" s="284">
        <f>H134+H151</f>
        <v>859444</v>
      </c>
      <c r="I133" s="120">
        <f>SUM(G133:H133)</f>
        <v>859444</v>
      </c>
    </row>
    <row r="134" spans="1:9" s="109" customFormat="1" ht="94.5" x14ac:dyDescent="0.25">
      <c r="A134" s="772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295"/>
      <c r="H134" s="284">
        <f t="shared" ref="H134:I134" si="36">H135</f>
        <v>240590</v>
      </c>
      <c r="I134" s="284">
        <f t="shared" si="36"/>
        <v>240590</v>
      </c>
    </row>
    <row r="135" spans="1:9" s="109" customFormat="1" ht="63" x14ac:dyDescent="0.25">
      <c r="A135" s="772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423</v>
      </c>
      <c r="E135" s="112"/>
      <c r="F135" s="114"/>
      <c r="G135" s="295"/>
      <c r="H135" s="284">
        <f>H136+H143+H146</f>
        <v>240590</v>
      </c>
      <c r="I135" s="120">
        <f t="shared" si="27"/>
        <v>240590</v>
      </c>
    </row>
    <row r="136" spans="1:9" s="109" customFormat="1" ht="78.75" x14ac:dyDescent="0.25">
      <c r="A136" s="772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425</v>
      </c>
      <c r="E136" s="112"/>
      <c r="F136" s="114"/>
      <c r="G136" s="295"/>
      <c r="H136" s="284">
        <f t="shared" ref="H136:I136" si="37">H137+H139+H141</f>
        <v>4590</v>
      </c>
      <c r="I136" s="295">
        <f t="shared" si="37"/>
        <v>4590</v>
      </c>
    </row>
    <row r="137" spans="1:9" s="109" customFormat="1" ht="47.25" hidden="1" x14ac:dyDescent="0.25">
      <c r="A137" s="772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IF(B137&gt;0,VLOOKUP(B137,КВСР!A55:B1220,2),IF(C137&gt;0,VLOOKUP(C137,КФСР!A55:B1567,2),IF(D137&gt;0,VLOOKUP(D137,Программа!A$1:B$5110,2),IF(F137&gt;0,VLOOKUP(F137,КВР!A$1:B$5001,2),IF(E137&gt;0,VLOOKUP(E137,Направление!A$1:B$4783,2))))))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5"/>
      <c r="H137" s="284">
        <f t="shared" ref="H137:I137" si="38">H138</f>
        <v>0</v>
      </c>
      <c r="I137" s="295">
        <f t="shared" si="38"/>
        <v>0</v>
      </c>
    </row>
    <row r="138" spans="1:9" s="109" customFormat="1" hidden="1" x14ac:dyDescent="0.25">
      <c r="A138" s="772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5"/>
      <c r="H138" s="284"/>
      <c r="I138" s="277">
        <f>SUM(G138:H138)</f>
        <v>0</v>
      </c>
    </row>
    <row r="139" spans="1:9" s="109" customFormat="1" ht="63" hidden="1" x14ac:dyDescent="0.25">
      <c r="A139" s="772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5"/>
      <c r="H139" s="284">
        <f t="shared" ref="H139:I139" si="39">H140</f>
        <v>0</v>
      </c>
      <c r="I139" s="295">
        <f t="shared" si="39"/>
        <v>0</v>
      </c>
    </row>
    <row r="140" spans="1:9" s="109" customFormat="1" hidden="1" x14ac:dyDescent="0.25">
      <c r="A140" s="772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5"/>
      <c r="H140" s="284"/>
      <c r="I140" s="277">
        <f>SUM(G140:H140)</f>
        <v>0</v>
      </c>
    </row>
    <row r="141" spans="1:9" s="109" customFormat="1" ht="78.75" x14ac:dyDescent="0.25">
      <c r="A141" s="772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5"/>
      <c r="H141" s="284">
        <f>H142</f>
        <v>4590</v>
      </c>
      <c r="I141" s="277">
        <f t="shared" si="27"/>
        <v>4590</v>
      </c>
    </row>
    <row r="142" spans="1:9" s="109" customFormat="1" ht="47.25" x14ac:dyDescent="0.25">
      <c r="A142" s="772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IF(B142&gt;0,VLOOKUP(B142,КВСР!A56:B1221,2),IF(C142&gt;0,VLOOKUP(C142,КФСР!A56:B1568,2),IF(D142&gt;0,VLOOKUP(D142,Программа!A$1:B$5110,2),IF(F142&gt;0,VLOOKUP(F142,КВР!A$1:B$5001,2),IF(E142&gt;0,VLOOKUP(E142,Направление!A$1:B$4783,2))))))</f>
        <v xml:space="preserve">Закупка товаров, работ и услуг для обеспечения государственных (муниципальных) нужд
</v>
      </c>
      <c r="B142" s="117"/>
      <c r="C142" s="112"/>
      <c r="D142" s="114"/>
      <c r="E142" s="112"/>
      <c r="F142" s="114">
        <v>200</v>
      </c>
      <c r="G142" s="295"/>
      <c r="H142" s="284">
        <v>4590</v>
      </c>
      <c r="I142" s="277">
        <f t="shared" si="27"/>
        <v>4590</v>
      </c>
    </row>
    <row r="143" spans="1:9" s="109" customFormat="1" ht="31.5" x14ac:dyDescent="0.25">
      <c r="A143" s="772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IF(B143&gt;0,VLOOKUP(B143,КВСР!A57:B1222,2),IF(C143&gt;0,VLOOKUP(C143,КФСР!A57:B1569,2),IF(D143&gt;0,VLOOKUP(D143,Программа!A$1:B$5110,2),IF(F143&gt;0,VLOOKUP(F143,КВР!A$1:B$5001,2),IF(E143&gt;0,VLOOKUP(E143,Направление!A$1:B$4783,2))))))</f>
        <v xml:space="preserve">Кадровое обеспечение агропромышленного комплекса </v>
      </c>
      <c r="B143" s="117"/>
      <c r="C143" s="112"/>
      <c r="D143" s="113" t="s">
        <v>427</v>
      </c>
      <c r="E143" s="112"/>
      <c r="F143" s="114"/>
      <c r="G143" s="295"/>
      <c r="H143" s="284">
        <f>H144</f>
        <v>36000</v>
      </c>
      <c r="I143" s="277">
        <f t="shared" si="27"/>
        <v>36000</v>
      </c>
    </row>
    <row r="144" spans="1:9" s="109" customFormat="1" ht="31.5" x14ac:dyDescent="0.25">
      <c r="A144" s="772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IF(B144&gt;0,VLOOKUP(B144,КВСР!A58:B1223,2),IF(C144&gt;0,VLOOKUP(C144,КФСР!A58:B1570,2),IF(D144&gt;0,VLOOKUP(D144,Программа!A$1:B$5110,2),IF(F144&gt;0,VLOOKUP(F144,КВР!A$1:B$5001,2),IF(E144&gt;0,VLOOKUP(E144,Направление!A$1:B$4783,2))))))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5"/>
      <c r="H144" s="284">
        <f>H145</f>
        <v>36000</v>
      </c>
      <c r="I144" s="277">
        <f t="shared" si="27"/>
        <v>36000</v>
      </c>
    </row>
    <row r="145" spans="1:9" s="109" customFormat="1" ht="31.5" x14ac:dyDescent="0.25">
      <c r="A145" s="772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IF(B145&gt;0,VLOOKUP(B145,КВСР!A59:B1224,2),IF(C145&gt;0,VLOOKUP(C145,КФСР!A59:B1571,2),IF(D145&gt;0,VLOOKUP(D145,Программа!A$1:B$5110,2),IF(F145&gt;0,VLOOKUP(F145,КВР!A$1:B$5001,2),IF(E145&gt;0,VLOOKUP(E145,Направление!A$1:B$4783,2))))))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5"/>
      <c r="H145" s="284">
        <v>36000</v>
      </c>
      <c r="I145" s="277">
        <f t="shared" si="27"/>
        <v>36000</v>
      </c>
    </row>
    <row r="146" spans="1:9" s="109" customFormat="1" ht="94.5" x14ac:dyDescent="0.25">
      <c r="A146" s="772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430</v>
      </c>
      <c r="E146" s="112"/>
      <c r="F146" s="114"/>
      <c r="G146" s="295"/>
      <c r="H146" s="284">
        <f>H147+H149</f>
        <v>200000</v>
      </c>
      <c r="I146" s="277">
        <f t="shared" si="27"/>
        <v>200000</v>
      </c>
    </row>
    <row r="147" spans="1:9" s="109" customFormat="1" ht="31.5" hidden="1" x14ac:dyDescent="0.25">
      <c r="A147" s="772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5"/>
      <c r="H147" s="284">
        <f t="shared" ref="H147:I147" si="40">H148</f>
        <v>0</v>
      </c>
      <c r="I147" s="295">
        <f t="shared" si="40"/>
        <v>0</v>
      </c>
    </row>
    <row r="148" spans="1:9" s="109" customFormat="1" ht="47.25" hidden="1" x14ac:dyDescent="0.25">
      <c r="A148" s="772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 xml:space="preserve">Закупка товаров, работ и услуг для обеспечения государственных (муниципальных) нужд
</v>
      </c>
      <c r="B148" s="117"/>
      <c r="C148" s="112"/>
      <c r="D148" s="113"/>
      <c r="E148" s="112"/>
      <c r="F148" s="114">
        <v>200</v>
      </c>
      <c r="G148" s="295"/>
      <c r="H148" s="284"/>
      <c r="I148" s="277">
        <f t="shared" si="27"/>
        <v>0</v>
      </c>
    </row>
    <row r="149" spans="1:9" s="109" customFormat="1" ht="63" x14ac:dyDescent="0.25">
      <c r="A149" s="772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149" s="117"/>
      <c r="C149" s="112"/>
      <c r="D149" s="113"/>
      <c r="E149" s="364">
        <v>10703</v>
      </c>
      <c r="F149" s="365"/>
      <c r="G149" s="385"/>
      <c r="H149" s="390">
        <f t="shared" ref="H149:I149" si="41">H150</f>
        <v>200000</v>
      </c>
      <c r="I149" s="385">
        <f t="shared" si="41"/>
        <v>200000</v>
      </c>
    </row>
    <row r="150" spans="1:9" s="109" customFormat="1" x14ac:dyDescent="0.25">
      <c r="A150" s="772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5"/>
      <c r="H150" s="284">
        <v>200000</v>
      </c>
      <c r="I150" s="277">
        <f>SUM(G150:H150)</f>
        <v>200000</v>
      </c>
    </row>
    <row r="151" spans="1:9" s="109" customFormat="1" x14ac:dyDescent="0.25">
      <c r="A151" s="772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Непрограммные расходы бюджета</v>
      </c>
      <c r="B151" s="117"/>
      <c r="C151" s="112"/>
      <c r="D151" s="113" t="s">
        <v>394</v>
      </c>
      <c r="E151" s="112"/>
      <c r="F151" s="114"/>
      <c r="G151" s="295"/>
      <c r="H151" s="284">
        <f>H152</f>
        <v>618854</v>
      </c>
      <c r="I151" s="295">
        <f t="shared" ref="H151:I152" si="42">I152</f>
        <v>618854</v>
      </c>
    </row>
    <row r="152" spans="1:9" s="109" customFormat="1" ht="47.25" x14ac:dyDescent="0.25">
      <c r="A152" s="772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5"/>
      <c r="H152" s="284">
        <f t="shared" si="42"/>
        <v>618854</v>
      </c>
      <c r="I152" s="295">
        <f t="shared" si="42"/>
        <v>618854</v>
      </c>
    </row>
    <row r="153" spans="1:9" s="109" customFormat="1" ht="47.25" x14ac:dyDescent="0.25">
      <c r="A153" s="772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5"/>
      <c r="H153" s="284">
        <v>618854</v>
      </c>
      <c r="I153" s="277">
        <f t="shared" ref="I153" si="43">SUM(G153:H153)</f>
        <v>618854</v>
      </c>
    </row>
    <row r="154" spans="1:9" s="109" customFormat="1" x14ac:dyDescent="0.25">
      <c r="A154" s="772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IF(B154&gt;0,VLOOKUP(B154,КВСР!A66:B1231,2),IF(C154&gt;0,VLOOKUP(C154,КФСР!A66:B1578,2),IF(D154&gt;0,VLOOKUP(D154,Программа!A$1:B$5110,2),IF(F154&gt;0,VLOOKUP(F154,КВР!A$1:B$5001,2),IF(E154&gt;0,VLOOKUP(E154,Направление!A$1:B$4783,2))))))</f>
        <v>Транспорт</v>
      </c>
      <c r="B154" s="117"/>
      <c r="C154" s="112">
        <v>408</v>
      </c>
      <c r="D154" s="113"/>
      <c r="E154" s="112"/>
      <c r="F154" s="114"/>
      <c r="G154" s="283"/>
      <c r="H154" s="284">
        <f t="shared" ref="H154" si="44">H155</f>
        <v>19500000</v>
      </c>
      <c r="I154" s="295">
        <f>SUM(G154:H154)</f>
        <v>19500000</v>
      </c>
    </row>
    <row r="155" spans="1:9" s="109" customFormat="1" ht="63" x14ac:dyDescent="0.25">
      <c r="A155" s="772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623</v>
      </c>
      <c r="E155" s="112"/>
      <c r="F155" s="114"/>
      <c r="G155" s="283"/>
      <c r="H155" s="284">
        <f>H156+H161</f>
        <v>19500000</v>
      </c>
      <c r="I155" s="295">
        <f t="shared" ref="I155:I287" si="45">SUM(G155:H155)</f>
        <v>19500000</v>
      </c>
    </row>
    <row r="156" spans="1:9" s="109" customFormat="1" ht="78.75" x14ac:dyDescent="0.25">
      <c r="A156" s="772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629</v>
      </c>
      <c r="E156" s="112"/>
      <c r="F156" s="114"/>
      <c r="G156" s="283"/>
      <c r="H156" s="284">
        <f>H157+H159</f>
        <v>19500000</v>
      </c>
      <c r="I156" s="295">
        <f t="shared" si="45"/>
        <v>19500000</v>
      </c>
    </row>
    <row r="157" spans="1:9" s="109" customFormat="1" ht="63" x14ac:dyDescent="0.25">
      <c r="A157" s="772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5"/>
      <c r="H157" s="284">
        <f>H158</f>
        <v>19500000</v>
      </c>
      <c r="I157" s="295">
        <f t="shared" si="45"/>
        <v>19500000</v>
      </c>
    </row>
    <row r="158" spans="1:9" s="109" customFormat="1" ht="47.25" x14ac:dyDescent="0.25">
      <c r="A158" s="772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5"/>
      <c r="H158" s="284">
        <v>19500000</v>
      </c>
      <c r="I158" s="295">
        <f t="shared" si="45"/>
        <v>19500000</v>
      </c>
    </row>
    <row r="159" spans="1:9" s="109" customFormat="1" ht="63" hidden="1" x14ac:dyDescent="0.25">
      <c r="A159" s="772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3"/>
      <c r="H159" s="284">
        <f>H160</f>
        <v>0</v>
      </c>
      <c r="I159" s="295">
        <f t="shared" si="45"/>
        <v>0</v>
      </c>
    </row>
    <row r="160" spans="1:9" s="109" customFormat="1" ht="47.25" hidden="1" x14ac:dyDescent="0.25">
      <c r="A160" s="772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5"/>
      <c r="H160" s="284"/>
      <c r="I160" s="295">
        <f t="shared" si="45"/>
        <v>0</v>
      </c>
    </row>
    <row r="161" spans="1:9" s="109" customFormat="1" ht="47.25" hidden="1" x14ac:dyDescent="0.25">
      <c r="A161" s="772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IF(B161&gt;0,VLOOKUP(B161,КВСР!A74:B1239,2),IF(C161&gt;0,VLOOKUP(C161,КФСР!A74:B1586,2),IF(D161&gt;0,VLOOKUP(D161,Программа!A$1:B$5110,2),IF(F161&gt;0,VLOOKUP(F161,КВР!A$1:B$5001,2),IF(E161&gt;0,VLOOKUP(E161,Направление!A$1:B$4783,2))))))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1374</v>
      </c>
      <c r="E161" s="112"/>
      <c r="F161" s="114"/>
      <c r="G161" s="283"/>
      <c r="H161" s="284">
        <f>H162</f>
        <v>0</v>
      </c>
      <c r="I161" s="295">
        <f t="shared" si="45"/>
        <v>0</v>
      </c>
    </row>
    <row r="162" spans="1:9" s="109" customFormat="1" ht="47.25" hidden="1" x14ac:dyDescent="0.25">
      <c r="A162" s="772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IF(B162&gt;0,VLOOKUP(B162,КВСР!A75:B1240,2),IF(C162&gt;0,VLOOKUP(C162,КФСР!A75:B1587,2),IF(D162&gt;0,VLOOKUP(D162,Программа!A$1:B$5110,2),IF(F162&gt;0,VLOOKUP(F162,КВР!A$1:B$5001,2),IF(E162&gt;0,VLOOKUP(E162,Направление!A$1:B$4783,2))))))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3"/>
      <c r="H162" s="284">
        <f>H163+H164</f>
        <v>0</v>
      </c>
      <c r="I162" s="295">
        <f t="shared" si="45"/>
        <v>0</v>
      </c>
    </row>
    <row r="163" spans="1:9" s="109" customFormat="1" ht="47.25" hidden="1" x14ac:dyDescent="0.25">
      <c r="A163" s="772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IF(B163&gt;0,VLOOKUP(B163,КВСР!A76:B1241,2),IF(C163&gt;0,VLOOKUP(C163,КФСР!A76:B1588,2),IF(D163&gt;0,VLOOKUP(D163,Программа!A$1:B$5110,2),IF(F163&gt;0,VLOOKUP(F163,КВР!A$1:B$5001,2),IF(E163&gt;0,VLOOKUP(E163,Направление!A$1:B$4783,2))))))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/>
      <c r="H163" s="284"/>
      <c r="I163" s="295">
        <f t="shared" si="45"/>
        <v>0</v>
      </c>
    </row>
    <row r="164" spans="1:9" s="109" customFormat="1" hidden="1" x14ac:dyDescent="0.25">
      <c r="A164" s="772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IF(B164&gt;0,VLOOKUP(B164,КВСР!A77:B1242,2),IF(C164&gt;0,VLOOKUP(C164,КФСР!A77:B1589,2),IF(D164&gt;0,VLOOKUP(D164,Программа!A$1:B$5110,2),IF(F164&gt;0,VLOOKUP(F164,КВР!A$1:B$5001,2),IF(E164&gt;0,VLOOKUP(E164,Направление!A$1:B$4783,2))))))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/>
      <c r="H164" s="284"/>
      <c r="I164" s="295">
        <f t="shared" si="45"/>
        <v>0</v>
      </c>
    </row>
    <row r="165" spans="1:9" s="109" customFormat="1" x14ac:dyDescent="0.25">
      <c r="A165" s="772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IF(B165&gt;0,VLOOKUP(B165,КВСР!A64:B1229,2),IF(C165&gt;0,VLOOKUP(C165,КФСР!A64:B1576,2),IF(D165&gt;0,VLOOKUP(D165,Программа!A$1:B$5110,2),IF(F165&gt;0,VLOOKUP(F165,КВР!A$1:B$5001,2),IF(E165&gt;0,VLOOKUP(E165,Направление!A$1:B$4783,2))))))</f>
        <v>Дорожное хозяйство</v>
      </c>
      <c r="B165" s="117"/>
      <c r="C165" s="112">
        <v>409</v>
      </c>
      <c r="D165" s="113"/>
      <c r="E165" s="112"/>
      <c r="F165" s="114"/>
      <c r="G165" s="283"/>
      <c r="H165" s="284">
        <f>H166+H173+H213</f>
        <v>32803237</v>
      </c>
      <c r="I165" s="295">
        <f>SUM(G165:H165)</f>
        <v>32803237</v>
      </c>
    </row>
    <row r="166" spans="1:9" s="109" customFormat="1" ht="63" hidden="1" x14ac:dyDescent="0.25">
      <c r="A166" s="772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1244</v>
      </c>
      <c r="E166" s="112"/>
      <c r="F166" s="114"/>
      <c r="G166" s="342"/>
      <c r="H166" s="390">
        <f>H167+H170</f>
        <v>0</v>
      </c>
      <c r="I166" s="385">
        <f>I167+I170</f>
        <v>0</v>
      </c>
    </row>
    <row r="167" spans="1:9" s="109" customFormat="1" ht="31.5" hidden="1" x14ac:dyDescent="0.25">
      <c r="A167" s="772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IF(B167&gt;0,VLOOKUP(B167,КВСР!A66:B1231,2),IF(C167&gt;0,VLOOKUP(C167,КФСР!A66:B1578,2),IF(D167&gt;0,VLOOKUP(D167,Программа!A$1:B$5110,2),IF(F167&gt;0,VLOOKUP(F167,КВР!A$1:B$5001,2),IF(E167&gt;0,VLOOKUP(E167,Направление!A$1:B$4783,2))))))</f>
        <v>Повышение уровня благоустройства дворовых территорий</v>
      </c>
      <c r="B167" s="117"/>
      <c r="C167" s="112"/>
      <c r="D167" s="114" t="s">
        <v>1264</v>
      </c>
      <c r="E167" s="112"/>
      <c r="F167" s="114"/>
      <c r="G167" s="283"/>
      <c r="H167" s="284">
        <f>H168</f>
        <v>0</v>
      </c>
      <c r="I167" s="295">
        <f>I168</f>
        <v>0</v>
      </c>
    </row>
    <row r="168" spans="1:9" s="109" customFormat="1" ht="47.25" hidden="1" x14ac:dyDescent="0.25">
      <c r="A168" s="772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IF(B168&gt;0,VLOOKUP(B168,КВСР!A67:B1232,2),IF(C168&gt;0,VLOOKUP(C168,КФСР!A67:B1579,2),IF(D168&gt;0,VLOOKUP(D168,Программа!A$1:B$5110,2),IF(F168&gt;0,VLOOKUP(F168,КВР!A$1:B$5001,2),IF(E168&gt;0,VLOOKUP(E168,Направление!A$1:B$4783,2))))))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3"/>
      <c r="H168" s="284">
        <f t="shared" ref="H168:I168" si="46">H169</f>
        <v>0</v>
      </c>
      <c r="I168" s="295">
        <f t="shared" si="46"/>
        <v>0</v>
      </c>
    </row>
    <row r="169" spans="1:9" s="109" customFormat="1" ht="47.25" hidden="1" x14ac:dyDescent="0.25">
      <c r="A169" s="772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IF(B169&gt;0,VLOOKUP(B169,КВСР!A68:B1233,2),IF(C169&gt;0,VLOOKUP(C169,КФСР!A68:B1580,2),IF(D169&gt;0,VLOOKUP(D169,Программа!A$1:B$5110,2),IF(F169&gt;0,VLOOKUP(F169,КВР!A$1:B$5001,2),IF(E169&gt;0,VLOOKUP(E169,Направление!A$1:B$4783,2))))))</f>
        <v xml:space="preserve">Закупка товаров, работ и услуг для обеспечения государственных (муниципальных) нужд
</v>
      </c>
      <c r="B169" s="117"/>
      <c r="C169" s="112"/>
      <c r="D169" s="114"/>
      <c r="E169" s="112"/>
      <c r="F169" s="114">
        <v>200</v>
      </c>
      <c r="G169" s="276"/>
      <c r="H169" s="284"/>
      <c r="I169" s="295">
        <f>G169+H169</f>
        <v>0</v>
      </c>
    </row>
    <row r="170" spans="1:9" s="109" customFormat="1" ht="31.5" hidden="1" x14ac:dyDescent="0.25">
      <c r="A170" s="772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IF(B170&gt;0,VLOOKUP(B170,КВСР!A71:B1236,2),IF(C170&gt;0,VLOOKUP(C170,КФСР!A71:B1583,2),IF(D170&gt;0,VLOOKUP(D170,Программа!A$1:B$5110,2),IF(F170&gt;0,VLOOKUP(F170,КВР!A$1:B$5001,2),IF(E170&gt;0,VLOOKUP(E170,Направление!A$1:B$4783,2))))))</f>
        <v>Реализация   проекта "Формирование комфортной городской среды"</v>
      </c>
      <c r="B170" s="117"/>
      <c r="C170" s="112"/>
      <c r="D170" s="114" t="s">
        <v>1534</v>
      </c>
      <c r="E170" s="112"/>
      <c r="F170" s="114"/>
      <c r="G170" s="295"/>
      <c r="H170" s="284">
        <f t="shared" ref="H170:H171" si="47">H171</f>
        <v>0</v>
      </c>
      <c r="I170" s="283">
        <f>I171</f>
        <v>0</v>
      </c>
    </row>
    <row r="171" spans="1:9" s="109" customFormat="1" ht="47.25" hidden="1" x14ac:dyDescent="0.25">
      <c r="A171" s="772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IF(B171&gt;0,VLOOKUP(B171,КВСР!A72:B1237,2),IF(C171&gt;0,VLOOKUP(C171,КФСР!A72:B1584,2),IF(D171&gt;0,VLOOKUP(D171,Программа!A$1:B$5110,2),IF(F171&gt;0,VLOOKUP(F171,КВР!A$1:B$5001,2),IF(E171&gt;0,VLOOKUP(E171,Направление!A$1:B$4783,2))))))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5"/>
      <c r="H171" s="284">
        <f t="shared" si="47"/>
        <v>0</v>
      </c>
      <c r="I171" s="283">
        <f>I172</f>
        <v>0</v>
      </c>
    </row>
    <row r="172" spans="1:9" s="109" customFormat="1" ht="47.25" hidden="1" x14ac:dyDescent="0.25">
      <c r="A172" s="772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IF(B172&gt;0,VLOOKUP(B172,КВСР!A73:B1238,2),IF(C172&gt;0,VLOOKUP(C172,КФСР!A73:B1585,2),IF(D172&gt;0,VLOOKUP(D172,Программа!A$1:B$5110,2),IF(F172&gt;0,VLOOKUP(F172,КВР!A$1:B$5001,2),IF(E172&gt;0,VLOOKUP(E172,Направление!A$1:B$4783,2))))))</f>
        <v xml:space="preserve">Закупка товаров, работ и услуг для обеспечения государственных (муниципальных) нужд
</v>
      </c>
      <c r="B172" s="117"/>
      <c r="C172" s="112"/>
      <c r="D172" s="114"/>
      <c r="E172" s="112"/>
      <c r="F172" s="114">
        <v>200</v>
      </c>
      <c r="G172" s="276"/>
      <c r="H172" s="284"/>
      <c r="I172" s="295">
        <f>SUM(G172:H172)</f>
        <v>0</v>
      </c>
    </row>
    <row r="173" spans="1:9" s="109" customFormat="1" ht="47.25" x14ac:dyDescent="0.25">
      <c r="A173" s="772" t="str">
        <f>IF(B173&gt;0,VLOOKUP(B173,КВСР!#REF!,2),IF(C173&gt;0,VLOOKUP(C173,КФСР!#REF!,2),IF(D173&gt;0,VLOOKUP(D173,Программа!A$1:B$5110,2),IF(F173&gt;0,VLOOKUP(F173,КВР!A$1:B$5001,2),IF(E173&gt;0,VLOOKUP(E173,Направление!A$1:B$4783,2))))))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1682</v>
      </c>
      <c r="E173" s="112"/>
      <c r="F173" s="114"/>
      <c r="G173" s="118"/>
      <c r="H173" s="284">
        <f>H174+H179+H200</f>
        <v>26728077</v>
      </c>
      <c r="I173" s="283">
        <f t="shared" ref="I173:I215" si="48">SUM(G173:H173)</f>
        <v>26728077</v>
      </c>
    </row>
    <row r="174" spans="1:9" s="109" customFormat="1" ht="47.25" hidden="1" x14ac:dyDescent="0.25">
      <c r="A174" s="772" t="str">
        <f>IF(B174&gt;0,VLOOKUP(B174,КВСР!#REF!,2),IF(C174&gt;0,VLOOKUP(C174,КФСР!#REF!,2),IF(D174&gt;0,VLOOKUP(D174,Программа!A$1:B$5110,2),IF(F174&gt;0,VLOOKUP(F174,КВР!A$1:B$5001,2),IF(E174&gt;0,VLOOKUP(E174,Направление!A$1:B$4783,2))))))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1683</v>
      </c>
      <c r="E174" s="112"/>
      <c r="F174" s="114"/>
      <c r="G174" s="391"/>
      <c r="H174" s="390">
        <f>H175+H177</f>
        <v>0</v>
      </c>
      <c r="I174" s="283">
        <f t="shared" si="48"/>
        <v>0</v>
      </c>
    </row>
    <row r="175" spans="1:9" s="109" customFormat="1" ht="31.5" hidden="1" x14ac:dyDescent="0.25">
      <c r="A175" s="772" t="str">
        <f>IF(B175&gt;0,VLOOKUP(B175,КВСР!#REF!,2),IF(C175&gt;0,VLOOKUP(C175,КФСР!#REF!,2),IF(D175&gt;0,VLOOKUP(D175,Программа!A$1:B$5110,2),IF(F175&gt;0,VLOOKUP(F175,КВР!A$1:B$5001,2),IF(E175&gt;0,VLOOKUP(E175,Направление!A$1:B$4783,2))))))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5"/>
      <c r="H175" s="390">
        <f t="shared" ref="H175" si="49">H176</f>
        <v>0</v>
      </c>
      <c r="I175" s="283">
        <f t="shared" si="48"/>
        <v>0</v>
      </c>
    </row>
    <row r="176" spans="1:9" s="109" customFormat="1" ht="47.25" hidden="1" x14ac:dyDescent="0.25">
      <c r="A176" s="772" t="str">
        <f>IF(B176&gt;0,VLOOKUP(B176,КВСР!#REF!,2),IF(C176&gt;0,VLOOKUP(C176,КФСР!#REF!,2),IF(D176&gt;0,VLOOKUP(D176,Программа!A$1:B$5110,2),IF(F176&gt;0,VLOOKUP(F176,КВР!A$1:B$5001,2),IF(E176&gt;0,VLOOKUP(E176,Направление!A$1:B$4783,2))))))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31">
        <v>600</v>
      </c>
      <c r="G176" s="276"/>
      <c r="H176" s="390">
        <v>0</v>
      </c>
      <c r="I176" s="119">
        <f t="shared" si="48"/>
        <v>0</v>
      </c>
    </row>
    <row r="177" spans="1:11" s="109" customFormat="1" ht="47.25" hidden="1" x14ac:dyDescent="0.25">
      <c r="A177" s="772" t="str">
        <f>IF(B177&gt;0,VLOOKUP(B177,КВСР!#REF!,2),IF(C177&gt;0,VLOOKUP(C177,КФСР!#REF!,2),IF(D177&gt;0,VLOOKUP(D177,Программа!A$1:B$5110,2),IF(F177&gt;0,VLOOKUP(F177,КВР!A$1:B$5001,2),IF(E177&gt;0,VLOOKUP(E177,Направление!A$1:B$4783,2))))))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2"/>
      <c r="H177" s="390">
        <f>H178</f>
        <v>0</v>
      </c>
      <c r="I177" s="295">
        <f t="shared" si="48"/>
        <v>0</v>
      </c>
    </row>
    <row r="178" spans="1:11" s="109" customFormat="1" ht="47.25" hidden="1" x14ac:dyDescent="0.25">
      <c r="A178" s="772" t="str">
        <f>IF(B178&gt;0,VLOOKUP(B178,КВСР!#REF!,2),IF(C178&gt;0,VLOOKUP(C178,КФСР!#REF!,2),IF(D178&gt;0,VLOOKUP(D178,Программа!A$1:B$5110,2),IF(F178&gt;0,VLOOKUP(F178,КВР!A$1:B$5001,2),IF(E178&gt;0,VLOOKUP(E178,Направление!A$1:B$4783,2))))))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31">
        <v>600</v>
      </c>
      <c r="G178" s="276"/>
      <c r="H178" s="390"/>
      <c r="I178" s="295">
        <f t="shared" si="48"/>
        <v>0</v>
      </c>
    </row>
    <row r="179" spans="1:11" s="109" customFormat="1" ht="78.75" x14ac:dyDescent="0.25">
      <c r="A179" s="772" t="str">
        <f>IF(B179&gt;0,VLOOKUP(B179,КВСР!#REF!,2),IF(C179&gt;0,VLOOKUP(C179,КФСР!#REF!,2),IF(D179&gt;0,VLOOKUP(D179,Программа!A$1:B$5110,2),IF(F179&gt;0,VLOOKUP(F179,КВР!A$1:B$5001,2),IF(E179&gt;0,VLOOKUP(E179,Направление!A$1:B$4783,2))))))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1684</v>
      </c>
      <c r="E179" s="112"/>
      <c r="F179" s="114"/>
      <c r="G179" s="391"/>
      <c r="H179" s="390">
        <f>H180+H183+H186+H189+H192+H194+H197</f>
        <v>26728077</v>
      </c>
      <c r="I179" s="385">
        <f>I180+I183+I186+I189+I192+I194+I197</f>
        <v>26728077</v>
      </c>
    </row>
    <row r="180" spans="1:11" s="109" customFormat="1" ht="31.5" x14ac:dyDescent="0.25">
      <c r="A180" s="772" t="str">
        <f>IF(B180&gt;0,VLOOKUP(B180,КВСР!#REF!,2),IF(C180&gt;0,VLOOKUP(C180,КФСР!#REF!,2),IF(D180&gt;0,VLOOKUP(D180,Программа!A$1:B$5110,2),IF(F180&gt;0,VLOOKUP(F180,КВР!A$1:B$5001,2),IF(E180&gt;0,VLOOKUP(E180,Направление!A$1:B$4783,2))))))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5"/>
      <c r="H180" s="390">
        <f>H181+H182</f>
        <v>15385590</v>
      </c>
      <c r="I180" s="295">
        <f>SUM(G180:H180)</f>
        <v>15385590</v>
      </c>
    </row>
    <row r="181" spans="1:11" s="109" customFormat="1" ht="47.25" x14ac:dyDescent="0.25">
      <c r="A181" s="772" t="str">
        <f>IF(B181&gt;0,VLOOKUP(B181,КВСР!#REF!,2),IF(C181&gt;0,VLOOKUP(C181,КФСР!#REF!,2),IF(D181&gt;0,VLOOKUP(D181,Программа!A$1:B$5110,2),IF(F181&gt;0,VLOOKUP(F181,КВР!A$1:B$5001,2),IF(E181&gt;0,VLOOKUP(E181,Направление!A$1:B$4783,2))))))</f>
        <v xml:space="preserve">Закупка товаров, работ и услуг для обеспечения государственных (муниципальных) нужд
</v>
      </c>
      <c r="B181" s="111"/>
      <c r="C181" s="112"/>
      <c r="D181" s="113"/>
      <c r="E181" s="112"/>
      <c r="F181" s="731">
        <v>200</v>
      </c>
      <c r="G181" s="276"/>
      <c r="H181" s="390">
        <f>300000+200000</f>
        <v>500000</v>
      </c>
      <c r="I181" s="295">
        <f>SUM(G181:H181)</f>
        <v>500000</v>
      </c>
    </row>
    <row r="182" spans="1:11" s="109" customFormat="1" ht="47.25" x14ac:dyDescent="0.25">
      <c r="A182" s="772" t="str">
        <f>IF(B182&gt;0,VLOOKUP(B182,КВСР!#REF!,2),IF(C182&gt;0,VLOOKUP(C182,КФСР!#REF!,2),IF(D182&gt;0,VLOOKUP(D182,Программа!A$1:B$5110,2),IF(F182&gt;0,VLOOKUP(F182,КВР!A$1:B$5001,2),IF(E182&gt;0,VLOOKUP(E182,Направление!A$1:B$4783,2))))))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31">
        <v>600</v>
      </c>
      <c r="G182" s="276"/>
      <c r="H182" s="390">
        <f>15085750-160-200000</f>
        <v>14885590</v>
      </c>
      <c r="I182" s="295">
        <f t="shared" si="48"/>
        <v>14885590</v>
      </c>
      <c r="K182" s="410"/>
    </row>
    <row r="183" spans="1:11" s="109" customFormat="1" ht="63" x14ac:dyDescent="0.25">
      <c r="A183" s="772" t="str">
        <f>IF(B183&gt;0,VLOOKUP(B183,КВСР!#REF!,2),IF(C183&gt;0,VLOOKUP(C183,КФСР!#REF!,2),IF(D183&gt;0,VLOOKUP(D183,Программа!A$1:B$5110,2),IF(F183&gt;0,VLOOKUP(F183,КВР!A$1:B$5001,2),IF(E183&gt;0,VLOOKUP(E183,Направление!A$1:B$4783,2))))))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2"/>
      <c r="H183" s="390">
        <f>H184+H185</f>
        <v>571000</v>
      </c>
      <c r="I183" s="295">
        <f>SUM(G183:H183)</f>
        <v>571000</v>
      </c>
      <c r="K183" s="410"/>
    </row>
    <row r="184" spans="1:11" s="109" customFormat="1" ht="47.25" x14ac:dyDescent="0.25">
      <c r="A184" s="772" t="str">
        <f>IF(B184&gt;0,VLOOKUP(B184,КВСР!#REF!,2),IF(C184&gt;0,VLOOKUP(C184,КФСР!#REF!,2),IF(D184&gt;0,VLOOKUP(D184,Программа!A$1:B$5110,2),IF(F184&gt;0,VLOOKUP(F184,КВР!A$1:B$5001,2),IF(E184&gt;0,VLOOKUP(E184,Направление!A$1:B$4783,2))))))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276"/>
      <c r="H184" s="390">
        <v>571000</v>
      </c>
      <c r="I184" s="295">
        <f t="shared" si="48"/>
        <v>571000</v>
      </c>
      <c r="K184" s="410"/>
    </row>
    <row r="185" spans="1:11" s="109" customFormat="1" ht="47.25" hidden="1" x14ac:dyDescent="0.25">
      <c r="A185" s="772" t="str">
        <f>IF(B185&gt;0,VLOOKUP(B185,КВСР!#REF!,2),IF(C185&gt;0,VLOOKUP(C185,КФСР!#REF!,2),IF(D185&gt;0,VLOOKUP(D185,Программа!A$1:B$5110,2),IF(F185&gt;0,VLOOKUP(F185,КВР!A$1:B$5001,2),IF(E185&gt;0,VLOOKUP(E185,Направление!A$1:B$4783,2))))))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6"/>
      <c r="H185" s="390"/>
      <c r="I185" s="295">
        <f>SUM(G185:H185)</f>
        <v>0</v>
      </c>
      <c r="K185" s="410"/>
    </row>
    <row r="186" spans="1:11" s="109" customFormat="1" ht="78.75" hidden="1" x14ac:dyDescent="0.25">
      <c r="A186" s="772" t="str">
        <f>IF(B186&gt;0,VLOOKUP(B186,КВСР!#REF!,2),IF(C186&gt;0,VLOOKUP(C186,КФСР!#REF!,2),IF(D186&gt;0,VLOOKUP(D186,Программа!A$1:B$5110,2),IF(F186&gt;0,VLOOKUP(F186,КВР!A$1:B$5001,2),IF(E186&gt;0,VLOOKUP(E186,Направление!A$1:B$4783,2))))))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2"/>
      <c r="H186" s="390">
        <f>H187+H188</f>
        <v>0</v>
      </c>
      <c r="I186" s="283">
        <f>SUM(G186:H186)</f>
        <v>0</v>
      </c>
    </row>
    <row r="187" spans="1:11" s="109" customFormat="1" ht="47.25" hidden="1" x14ac:dyDescent="0.25">
      <c r="A187" s="772" t="str">
        <f>IF(B187&gt;0,VLOOKUP(B187,КВСР!#REF!,2),IF(C187&gt;0,VLOOKUP(C187,КФСР!#REF!,2),IF(D187&gt;0,VLOOKUP(D187,Программа!A$1:B$5110,2),IF(F187&gt;0,VLOOKUP(F187,КВР!A$1:B$5001,2),IF(E187&gt;0,VLOOKUP(E187,Направление!A$1:B$4783,2))))))</f>
        <v xml:space="preserve">Закупка товаров, работ и услуг для обеспечения государственных (муниципальных) нужд
</v>
      </c>
      <c r="B187" s="111"/>
      <c r="C187" s="112"/>
      <c r="D187" s="114"/>
      <c r="E187" s="112"/>
      <c r="F187" s="114">
        <v>200</v>
      </c>
      <c r="G187" s="276"/>
      <c r="H187" s="390"/>
      <c r="I187" s="119">
        <f t="shared" si="48"/>
        <v>0</v>
      </c>
    </row>
    <row r="188" spans="1:11" s="109" customFormat="1" ht="47.25" hidden="1" x14ac:dyDescent="0.25">
      <c r="A188" s="772" t="str">
        <f>IF(B188&gt;0,VLOOKUP(B188,КВСР!#REF!,2),IF(C188&gt;0,VLOOKUP(C188,КФСР!#REF!,2),IF(D188&gt;0,VLOOKUP(D188,Программа!A$1:B$5110,2),IF(F188&gt;0,VLOOKUP(F188,КВР!A$1:B$5001,2),IF(E188&gt;0,VLOOKUP(E188,Направление!A$1:B$4783,2))))))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6"/>
      <c r="H188" s="390"/>
      <c r="I188" s="295">
        <f>SUM(G188:H188)</f>
        <v>0</v>
      </c>
    </row>
    <row r="189" spans="1:11" s="109" customFormat="1" ht="47.25" hidden="1" x14ac:dyDescent="0.25">
      <c r="A189" s="772" t="str">
        <f>IF(B189&gt;0,VLOOKUP(B189,КВСР!#REF!,2),IF(C189&gt;0,VLOOKUP(C189,КФСР!#REF!,2),IF(D189&gt;0,VLOOKUP(D189,Программа!A$1:B$5110,2),IF(F189&gt;0,VLOOKUP(F189,КВР!A$1:B$5001,2),IF(E189&gt;0,VLOOKUP(E189,Направление!A$1:B$4783,2))))))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2"/>
      <c r="H189" s="390">
        <f>H191+H190</f>
        <v>0</v>
      </c>
      <c r="I189" s="295">
        <f>SUM(G189:H189)</f>
        <v>0</v>
      </c>
    </row>
    <row r="190" spans="1:11" s="109" customFormat="1" ht="47.25" hidden="1" x14ac:dyDescent="0.25">
      <c r="A190" s="772" t="str">
        <f>IF(B190&gt;0,VLOOKUP(B190,КВСР!#REF!,2),IF(C190&gt;0,VLOOKUP(C190,КФСР!#REF!,2),IF(D190&gt;0,VLOOKUP(D190,Программа!A$1:B$5110,2),IF(F190&gt;0,VLOOKUP(F190,КВР!A$1:B$5001,2),IF(E190&gt;0,VLOOKUP(E190,Направление!A$1:B$4783,2))))))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732"/>
      <c r="H190" s="390"/>
      <c r="I190" s="295">
        <f>SUM(G190:H190)</f>
        <v>0</v>
      </c>
    </row>
    <row r="191" spans="1:11" s="109" customFormat="1" ht="47.25" hidden="1" x14ac:dyDescent="0.25">
      <c r="A191" s="772" t="str">
        <f>IF(B191&gt;0,VLOOKUP(B191,КВСР!#REF!,2),IF(C191&gt;0,VLOOKUP(C191,КФСР!#REF!,2),IF(D191&gt;0,VLOOKUP(D191,Программа!A$1:B$5110,2),IF(F191&gt;0,VLOOKUP(F191,КВР!A$1:B$5001,2),IF(E191&gt;0,VLOOKUP(E191,Направление!A$1:B$4783,2))))))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6"/>
      <c r="H191" s="390"/>
      <c r="I191" s="295">
        <f t="shared" si="48"/>
        <v>0</v>
      </c>
    </row>
    <row r="192" spans="1:11" s="109" customFormat="1" ht="31.5" hidden="1" x14ac:dyDescent="0.25">
      <c r="A192" s="772" t="str">
        <f>IF(B192&gt;0,VLOOKUP(B192,КВСР!#REF!,2),IF(C192&gt;0,VLOOKUP(C192,КФСР!#REF!,2),IF(D192&gt;0,VLOOKUP(D192,Программа!A$1:B$5110,2),IF(F192&gt;0,VLOOKUP(F192,КВР!A$1:B$5001,2),IF(E192&gt;0,VLOOKUP(E192,Направление!A$1:B$4783,2))))))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2"/>
      <c r="H192" s="390">
        <f>H193</f>
        <v>0</v>
      </c>
      <c r="I192" s="295">
        <f t="shared" si="48"/>
        <v>0</v>
      </c>
    </row>
    <row r="193" spans="1:9" s="109" customFormat="1" ht="47.25" hidden="1" x14ac:dyDescent="0.25">
      <c r="A193" s="772" t="str">
        <f>IF(B193&gt;0,VLOOKUP(B193,КВСР!#REF!,2),IF(C193&gt;0,VLOOKUP(C193,КФСР!#REF!,2),IF(D193&gt;0,VLOOKUP(D193,Программа!A$1:B$5110,2),IF(F193&gt;0,VLOOKUP(F193,КВР!A$1:B$5001,2),IF(E193&gt;0,VLOOKUP(E193,Направление!A$1:B$4783,2))))))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6"/>
      <c r="H193" s="390"/>
      <c r="I193" s="295">
        <f t="shared" si="48"/>
        <v>0</v>
      </c>
    </row>
    <row r="194" spans="1:9" s="109" customFormat="1" ht="47.25" x14ac:dyDescent="0.25">
      <c r="A194" s="772" t="str">
        <f>IF(B194&gt;0,VLOOKUP(B194,КВСР!#REF!,2),IF(C194&gt;0,VLOOKUP(C194,КФСР!#REF!,2),IF(D194&gt;0,VLOOKUP(D194,Программа!A$1:B$5110,2),IF(F194&gt;0,VLOOKUP(F194,КВР!A$1:B$5001,2),IF(E194&gt;0,VLOOKUP(E194,Направление!A$1:B$4783,2))))))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5"/>
      <c r="H194" s="390">
        <f>H195+H196</f>
        <v>10771487</v>
      </c>
      <c r="I194" s="295">
        <f t="shared" si="48"/>
        <v>10771487</v>
      </c>
    </row>
    <row r="195" spans="1:9" s="109" customFormat="1" ht="47.25" x14ac:dyDescent="0.25">
      <c r="A195" s="772" t="str">
        <f>IF(B195&gt;0,VLOOKUP(B195,КВСР!#REF!,2),IF(C195&gt;0,VLOOKUP(C195,КФСР!#REF!,2),IF(D195&gt;0,VLOOKUP(D195,Программа!A$1:B$5110,2),IF(F195&gt;0,VLOOKUP(F195,КВР!A$1:B$5001,2),IF(E195&gt;0,VLOOKUP(E195,Направление!A$1:B$4783,2))))))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6"/>
      <c r="H195" s="390">
        <v>10771487</v>
      </c>
      <c r="I195" s="295">
        <f t="shared" si="48"/>
        <v>10771487</v>
      </c>
    </row>
    <row r="196" spans="1:9" s="109" customFormat="1" ht="47.25" hidden="1" x14ac:dyDescent="0.25">
      <c r="A196" s="772" t="str">
        <f>IF(B196&gt;0,VLOOKUP(B196,КВСР!#REF!,2),IF(C196&gt;0,VLOOKUP(C196,КФСР!#REF!,2),IF(D196&gt;0,VLOOKUP(D196,Программа!A$1:B$5110,2),IF(F196&gt;0,VLOOKUP(F196,КВР!A$1:B$5001,2),IF(E196&gt;0,VLOOKUP(E196,Направление!A$1:B$4783,2))))))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6"/>
      <c r="H196" s="390"/>
      <c r="I196" s="295">
        <f>SUM(G196:H196)</f>
        <v>0</v>
      </c>
    </row>
    <row r="197" spans="1:9" s="109" customFormat="1" ht="47.25" hidden="1" x14ac:dyDescent="0.25">
      <c r="A197" s="772" t="str">
        <f>IF(B197&gt;0,VLOOKUP(B197,КВСР!#REF!,2),IF(C197&gt;0,VLOOKUP(C197,КФСР!#REF!,2),IF(D197&gt;0,VLOOKUP(D197,Программа!A$1:B$5110,2),IF(F197&gt;0,VLOOKUP(F197,КВР!A$1:B$5001,2),IF(E197&gt;0,VLOOKUP(E197,Направление!A$1:B$4783,2))))))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2"/>
      <c r="H197" s="390">
        <f>H198+H199</f>
        <v>0</v>
      </c>
      <c r="I197" s="283">
        <f>SUM(G197:H197)</f>
        <v>0</v>
      </c>
    </row>
    <row r="198" spans="1:9" s="109" customFormat="1" ht="47.25" hidden="1" x14ac:dyDescent="0.25">
      <c r="A198" s="772" t="str">
        <f>IF(B198&gt;0,VLOOKUP(B198,КВСР!#REF!,2),IF(C198&gt;0,VLOOKUP(C198,КФСР!#REF!,2),IF(D198&gt;0,VLOOKUP(D198,Программа!A$1:B$5110,2),IF(F198&gt;0,VLOOKUP(F198,КВР!A$1:B$5001,2),IF(E198&gt;0,VLOOKUP(E198,Направление!A$1:B$4783,2))))))</f>
        <v xml:space="preserve">Закупка товаров, работ и услуг для обеспечения государственных (муниципальных) нужд
</v>
      </c>
      <c r="B198" s="111"/>
      <c r="C198" s="112"/>
      <c r="D198" s="114"/>
      <c r="E198" s="112"/>
      <c r="F198" s="114">
        <v>200</v>
      </c>
      <c r="G198" s="295"/>
      <c r="H198" s="390"/>
      <c r="I198" s="283">
        <f t="shared" si="48"/>
        <v>0</v>
      </c>
    </row>
    <row r="199" spans="1:9" s="109" customFormat="1" ht="47.25" hidden="1" x14ac:dyDescent="0.25">
      <c r="A199" s="772" t="str">
        <f>IF(B199&gt;0,VLOOKUP(B199,КВСР!#REF!,2),IF(C199&gt;0,VLOOKUP(C199,КФСР!#REF!,2),IF(D199&gt;0,VLOOKUP(D199,Программа!A$1:B$5110,2),IF(F199&gt;0,VLOOKUP(F199,КВР!A$1:B$5001,2),IF(E199&gt;0,VLOOKUP(E199,Направление!A$1:B$4783,2))))))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6"/>
      <c r="H199" s="390"/>
      <c r="I199" s="295">
        <f>SUM(G199:H199)</f>
        <v>0</v>
      </c>
    </row>
    <row r="200" spans="1:9" s="109" customFormat="1" ht="31.5" hidden="1" x14ac:dyDescent="0.25">
      <c r="A200" s="772" t="str">
        <f>IF(B200&gt;0,VLOOKUP(B200,КВСР!#REF!,2),IF(C200&gt;0,VLOOKUP(C200,КФСР!#REF!,2),IF(D200&gt;0,VLOOKUP(D200,Программа!A$1:B$5110,2),IF(F200&gt;0,VLOOKUP(F200,КВР!A$1:B$5001,2),IF(E200&gt;0,VLOOKUP(E200,Направление!A$1:B$4783,2))))))</f>
        <v>Реализация федерального проекта "Дорожная сеть"</v>
      </c>
      <c r="B200" s="111"/>
      <c r="C200" s="112"/>
      <c r="D200" s="114" t="s">
        <v>1685</v>
      </c>
      <c r="E200" s="112"/>
      <c r="F200" s="114"/>
      <c r="G200" s="295"/>
      <c r="H200" s="284">
        <f>H203+H209+H201+H207</f>
        <v>0</v>
      </c>
      <c r="I200" s="295">
        <f>SUM(G200:H200)</f>
        <v>0</v>
      </c>
    </row>
    <row r="201" spans="1:9" s="109" customFormat="1" ht="78.75" hidden="1" x14ac:dyDescent="0.25">
      <c r="A201" s="772" t="str">
        <f>IF(B201&gt;0,VLOOKUP(B201,КВСР!#REF!,2),IF(C201&gt;0,VLOOKUP(C201,КФСР!#REF!,2),IF(D201&gt;0,VLOOKUP(D201,Программа!A$1:B$5110,2),IF(F201&gt;0,VLOOKUP(F201,КВР!A$1:B$5001,2),IF(E201&gt;0,VLOOKUP(E201,Направление!A$1:B$4783,2))))))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5"/>
      <c r="H201" s="284">
        <f t="shared" ref="H201:I201" si="50">H202</f>
        <v>0</v>
      </c>
      <c r="I201" s="295">
        <f t="shared" si="50"/>
        <v>0</v>
      </c>
    </row>
    <row r="202" spans="1:9" s="109" customFormat="1" ht="47.25" hidden="1" x14ac:dyDescent="0.25">
      <c r="A202" s="772" t="str">
        <f>IF(B202&gt;0,VLOOKUP(B202,КВСР!#REF!,2),IF(C202&gt;0,VLOOKUP(C202,КФСР!#REF!,2),IF(D202&gt;0,VLOOKUP(D202,Программа!A$1:B$5110,2),IF(F202&gt;0,VLOOKUP(F202,КВР!A$1:B$5001,2),IF(E202&gt;0,VLOOKUP(E202,Направление!A$1:B$4783,2))))))</f>
        <v xml:space="preserve">Закупка товаров, работ и услуг для обеспечения государственных (муниципальных) нужд
</v>
      </c>
      <c r="B202" s="111"/>
      <c r="C202" s="112"/>
      <c r="D202" s="114"/>
      <c r="E202" s="112"/>
      <c r="F202" s="114">
        <v>200</v>
      </c>
      <c r="G202" s="276"/>
      <c r="H202" s="284"/>
      <c r="I202" s="295">
        <f>SUM(G202:H202)</f>
        <v>0</v>
      </c>
    </row>
    <row r="203" spans="1:9" s="109" customFormat="1" ht="94.5" hidden="1" x14ac:dyDescent="0.25">
      <c r="A203" s="772" t="str">
        <f>IF(B203&gt;0,VLOOKUP(B203,КВСР!#REF!,2),IF(C203&gt;0,VLOOKUP(C203,КФСР!#REF!,2),IF(D203&gt;0,VLOOKUP(D203,Программа!A$1:B$5110,2),IF(F203&gt;0,VLOOKUP(F203,КВР!A$1:B$5001,2),IF(E203&gt;0,VLOOKUP(E203,Направление!A$1:B$4783,2))))))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5"/>
      <c r="H203" s="390">
        <f>H204+H205+H206</f>
        <v>0</v>
      </c>
      <c r="I203" s="295">
        <f t="shared" ref="I203:I211" si="51">SUM(G203:H203)</f>
        <v>0</v>
      </c>
    </row>
    <row r="204" spans="1:9" s="109" customFormat="1" ht="47.25" hidden="1" x14ac:dyDescent="0.25">
      <c r="A204" s="772" t="str">
        <f>IF(B204&gt;0,VLOOKUP(B204,КВСР!#REF!,2),IF(C204&gt;0,VLOOKUP(C204,КФСР!#REF!,2),IF(D204&gt;0,VLOOKUP(D204,Программа!A$1:B$5110,2),IF(F204&gt;0,VLOOKUP(F204,КВР!A$1:B$5001,2),IF(E204&gt;0,VLOOKUP(E204,Направление!A$1:B$4783,2))))))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1"/>
      <c r="C204" s="112"/>
      <c r="D204" s="114"/>
      <c r="E204" s="112"/>
      <c r="F204" s="114">
        <v>200</v>
      </c>
      <c r="G204" s="276"/>
      <c r="H204" s="390"/>
      <c r="I204" s="295">
        <f>SUM(G204:H204)</f>
        <v>0</v>
      </c>
    </row>
    <row r="205" spans="1:9" s="109" customFormat="1" ht="47.25" hidden="1" x14ac:dyDescent="0.25">
      <c r="A205" s="772" t="str">
        <f>IF(B205&gt;0,VLOOKUP(B205,КВСР!#REF!,2),IF(C205&gt;0,VLOOKUP(C205,КФСР!#REF!,2),IF(D205&gt;0,VLOOKUP(D205,Программа!A$1:B$5110,2),IF(F205&gt;0,VLOOKUP(F205,КВР!A$1:B$5001,2),IF(E205&gt;0,VLOOKUP(E205,Направление!A$1:B$4783,2))))))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6"/>
      <c r="H205" s="390"/>
      <c r="I205" s="295">
        <f t="shared" si="51"/>
        <v>0</v>
      </c>
    </row>
    <row r="206" spans="1:9" s="109" customFormat="1" ht="47.25" hidden="1" x14ac:dyDescent="0.25">
      <c r="A206" s="772" t="str">
        <f>IF(B206&gt;0,VLOOKUP(B206,КВСР!#REF!,2),IF(C206&gt;0,VLOOKUP(C206,КФСР!#REF!,2),IF(D206&gt;0,VLOOKUP(D206,Программа!A$1:B$5110,2),IF(F206&gt;0,VLOOKUP(F206,КВР!A$1:B$5001,2),IF(E206&gt;0,VLOOKUP(E206,Направление!A$1:B$4783,2))))))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6"/>
      <c r="H206" s="390"/>
      <c r="I206" s="295">
        <f t="shared" si="51"/>
        <v>0</v>
      </c>
    </row>
    <row r="207" spans="1:9" s="109" customFormat="1" ht="78.75" hidden="1" x14ac:dyDescent="0.25">
      <c r="A207" s="772" t="str">
        <f>IF(B207&gt;0,VLOOKUP(B207,КВСР!#REF!,2),IF(C207&gt;0,VLOOKUP(C207,КФСР!#REF!,2),IF(D207&gt;0,VLOOKUP(D207,Программа!A$1:B$5110,2),IF(F207&gt;0,VLOOKUP(F207,КВР!A$1:B$5001,2),IF(E207&gt;0,VLOOKUP(E207,Направление!A$1:B$4783,2))))))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41"/>
      <c r="H207" s="284">
        <f t="shared" ref="H207:I207" si="52">H208</f>
        <v>0</v>
      </c>
      <c r="I207" s="841">
        <f t="shared" si="52"/>
        <v>0</v>
      </c>
    </row>
    <row r="208" spans="1:9" s="109" customFormat="1" ht="47.25" hidden="1" x14ac:dyDescent="0.25">
      <c r="A208" s="772" t="str">
        <f>IF(B208&gt;0,VLOOKUP(B208,КВСР!#REF!,2),IF(C208&gt;0,VLOOKUP(C208,КФСР!#REF!,2),IF(D208&gt;0,VLOOKUP(D208,Программа!A$1:B$5110,2),IF(F208&gt;0,VLOOKUP(F208,КВР!A$1:B$5001,2),IF(E208&gt;0,VLOOKUP(E208,Направление!A$1:B$4783,2))))))</f>
        <v xml:space="preserve">Закупка товаров, работ и услуг для обеспечения государственных (муниципальных) нужд
</v>
      </c>
      <c r="B208" s="111"/>
      <c r="C208" s="112"/>
      <c r="D208" s="114"/>
      <c r="E208" s="112"/>
      <c r="F208" s="114">
        <v>200</v>
      </c>
      <c r="G208" s="276"/>
      <c r="H208" s="390"/>
      <c r="I208" s="295">
        <f>SUM(G208:H208)</f>
        <v>0</v>
      </c>
    </row>
    <row r="209" spans="1:9" s="109" customFormat="1" ht="94.5" hidden="1" x14ac:dyDescent="0.25">
      <c r="A209" s="772" t="str">
        <f>IF(B209&gt;0,VLOOKUP(B209,КВСР!#REF!,2),IF(C209&gt;0,VLOOKUP(C209,КФСР!#REF!,2),IF(D209&gt;0,VLOOKUP(D209,Программа!A$1:B$5110,2),IF(F209&gt;0,VLOOKUP(F209,КВР!A$1:B$5001,2),IF(E209&gt;0,VLOOKUP(E209,Направление!A$1:B$4783,2))))))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5"/>
      <c r="H209" s="390">
        <f>H210+H211+H212</f>
        <v>0</v>
      </c>
      <c r="I209" s="295">
        <f t="shared" si="51"/>
        <v>0</v>
      </c>
    </row>
    <row r="210" spans="1:9" s="109" customFormat="1" ht="47.25" hidden="1" x14ac:dyDescent="0.25">
      <c r="A210" s="772" t="str">
        <f>IF(B210&gt;0,VLOOKUP(B210,КВСР!#REF!,2),IF(C210&gt;0,VLOOKUP(C210,КФСР!#REF!,2),IF(D210&gt;0,VLOOKUP(D210,Программа!A$1:B$5110,2),IF(F210&gt;0,VLOOKUP(F210,КВР!A$1:B$5001,2),IF(E210&gt;0,VLOOKUP(E210,Направление!A$1:B$4783,2))))))</f>
        <v xml:space="preserve">Закупка товаров, работ и услуг для обеспечения государственных (муниципальных) нужд
</v>
      </c>
      <c r="B210" s="111"/>
      <c r="C210" s="112"/>
      <c r="D210" s="114"/>
      <c r="E210" s="112"/>
      <c r="F210" s="114">
        <v>200</v>
      </c>
      <c r="G210" s="276"/>
      <c r="H210" s="390"/>
      <c r="I210" s="295">
        <f>G210+H210</f>
        <v>0</v>
      </c>
    </row>
    <row r="211" spans="1:9" s="109" customFormat="1" ht="47.25" hidden="1" x14ac:dyDescent="0.25">
      <c r="A211" s="772" t="str">
        <f>IF(B211&gt;0,VLOOKUP(B211,КВСР!#REF!,2),IF(C211&gt;0,VLOOKUP(C211,КФСР!#REF!,2),IF(D211&gt;0,VLOOKUP(D211,Программа!A$1:B$5110,2),IF(F211&gt;0,VLOOKUP(F211,КВР!A$1:B$5001,2),IF(E211&gt;0,VLOOKUP(E211,Направление!A$1:B$4783,2))))))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6"/>
      <c r="H211" s="390"/>
      <c r="I211" s="119">
        <f t="shared" si="51"/>
        <v>0</v>
      </c>
    </row>
    <row r="212" spans="1:9" s="109" customFormat="1" ht="47.25" hidden="1" x14ac:dyDescent="0.25">
      <c r="A212" s="772" t="str">
        <f>IF(B212&gt;0,VLOOKUP(B212,КВСР!#REF!,2),IF(C212&gt;0,VLOOKUP(C212,КФСР!#REF!,2),IF(D212&gt;0,VLOOKUP(D212,Программа!A$1:B$5110,2),IF(F212&gt;0,VLOOKUP(F212,КВР!A$1:B$5001,2),IF(E212&gt;0,VLOOKUP(E212,Направление!A$1:B$4783,2))))))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6"/>
      <c r="H212" s="390"/>
      <c r="I212" s="119">
        <f>SUM(G212:H212)</f>
        <v>0</v>
      </c>
    </row>
    <row r="213" spans="1:9" s="109" customFormat="1" ht="31.5" x14ac:dyDescent="0.25">
      <c r="A213" s="772" t="str">
        <f>IF(B213&gt;0,VLOOKUP(B213,КВСР!#REF!,2),IF(C213&gt;0,VLOOKUP(C213,КФСР!#REF!,2),IF(D213&gt;0,VLOOKUP(D213,Программа!A$1:B$5110,2),IF(F213&gt;0,VLOOKUP(F213,КВР!A$1:B$5001,2),IF(E213&gt;0,VLOOKUP(E213,Направление!A$1:B$4783,2))))))</f>
        <v>Межбюджетные трансферты  поселениям района</v>
      </c>
      <c r="B213" s="111"/>
      <c r="C213" s="112"/>
      <c r="D213" s="114" t="s">
        <v>565</v>
      </c>
      <c r="E213" s="112"/>
      <c r="F213" s="114"/>
      <c r="G213" s="283"/>
      <c r="H213" s="284">
        <f>H214</f>
        <v>6075160</v>
      </c>
      <c r="I213" s="283">
        <f t="shared" si="48"/>
        <v>6075160</v>
      </c>
    </row>
    <row r="214" spans="1:9" s="109" customFormat="1" ht="126" x14ac:dyDescent="0.25">
      <c r="A214" s="772" t="str">
        <f>IF(B214&gt;0,VLOOKUP(B214,КВСР!#REF!,2),IF(C214&gt;0,VLOOKUP(C214,КФСР!#REF!,2),IF(D214&gt;0,VLOOKUP(D214,Программа!A$1:B$5110,2),IF(F214&gt;0,VLOOKUP(F214,КВР!A$1:B$5001,2),IF(E214&gt;0,VLOOKUP(E214,Направление!A$1:B$4783,2))))))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5"/>
      <c r="H214" s="284">
        <f t="shared" ref="H214" si="53">H215</f>
        <v>6075160</v>
      </c>
      <c r="I214" s="283">
        <f t="shared" si="48"/>
        <v>6075160</v>
      </c>
    </row>
    <row r="215" spans="1:9" s="109" customFormat="1" x14ac:dyDescent="0.25">
      <c r="A215" s="772" t="str">
        <f>IF(B215&gt;0,VLOOKUP(B215,КВСР!#REF!,2),IF(C215&gt;0,VLOOKUP(C215,КФСР!#REF!,2),IF(D215&gt;0,VLOOKUP(D215,Программа!A$1:B$5110,2),IF(F215&gt;0,VLOOKUP(F215,КВР!A$1:B$5001,2),IF(E215&gt;0,VLOOKUP(E215,Направление!A$1:B$4783,2))))))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6"/>
      <c r="H215" s="284">
        <f>160+6075000</f>
        <v>6075160</v>
      </c>
      <c r="I215" s="295">
        <f t="shared" si="48"/>
        <v>6075160</v>
      </c>
    </row>
    <row r="216" spans="1:9" s="109" customFormat="1" ht="31.5" x14ac:dyDescent="0.25">
      <c r="A216" s="772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IF(B216&gt;0,VLOOKUP(B216,КВСР!A48:B1213,2),IF(C216&gt;0,VLOOKUP(C216,КФСР!A48:B1560,2),IF(D216&gt;0,VLOOKUP(D216,Программа!A$1:B$5110,2),IF(F216&gt;0,VLOOKUP(F216,КВР!A$1:B$5001,2),IF(E216&gt;0,VLOOKUP(E216,Направление!A$1:B$4783,2))))))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4"/>
      <c r="H216" s="284">
        <f>H217+H226</f>
        <v>400000</v>
      </c>
      <c r="I216" s="283">
        <f>SUM(G216:H216)</f>
        <v>400000</v>
      </c>
    </row>
    <row r="217" spans="1:9" s="109" customFormat="1" ht="94.5" hidden="1" x14ac:dyDescent="0.25">
      <c r="A217" s="772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422</v>
      </c>
      <c r="E217" s="112"/>
      <c r="F217" s="114"/>
      <c r="G217" s="284"/>
      <c r="H217" s="284">
        <f t="shared" ref="H217" si="54">H218</f>
        <v>0</v>
      </c>
      <c r="I217" s="283">
        <f t="shared" si="45"/>
        <v>0</v>
      </c>
    </row>
    <row r="218" spans="1:9" s="109" customFormat="1" ht="47.25" hidden="1" x14ac:dyDescent="0.25">
      <c r="A218" s="772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IF(B218&gt;0,VLOOKUP(B218,КВСР!A49:B1214,2),IF(C218&gt;0,VLOOKUP(C218,КФСР!A49:B1561,2),IF(D218&gt;0,VLOOKUP(D218,Программа!A$1:B$5110,2),IF(F218&gt;0,VLOOKUP(F218,КВР!A$1:B$5001,2),IF(E218&gt;0,VLOOKUP(E218,Направление!A$1:B$4783,2))))))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438</v>
      </c>
      <c r="E218" s="112"/>
      <c r="F218" s="114"/>
      <c r="G218" s="118"/>
      <c r="H218" s="284">
        <f t="shared" ref="H218" si="55">H219</f>
        <v>0</v>
      </c>
      <c r="I218" s="283">
        <f t="shared" si="45"/>
        <v>0</v>
      </c>
    </row>
    <row r="219" spans="1:9" s="109" customFormat="1" ht="47.25" hidden="1" x14ac:dyDescent="0.25">
      <c r="A219" s="772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IF(B219&gt;0,VLOOKUP(B219,КВСР!A50:B1215,2),IF(C219&gt;0,VLOOKUP(C219,КФСР!A50:B1562,2),IF(D219&gt;0,VLOOKUP(D219,Программа!A$1:B$5110,2),IF(F219&gt;0,VLOOKUP(F219,КВР!A$1:B$5001,2),IF(E219&gt;0,VLOOKUP(E219,Направление!A$1:B$4783,2))))))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440</v>
      </c>
      <c r="E219" s="112"/>
      <c r="F219" s="114"/>
      <c r="G219" s="118"/>
      <c r="H219" s="284">
        <f>H220+H224+H222</f>
        <v>0</v>
      </c>
      <c r="I219" s="295">
        <f>I220+I224+I222</f>
        <v>0</v>
      </c>
    </row>
    <row r="220" spans="1:9" s="109" customFormat="1" ht="110.25" hidden="1" x14ac:dyDescent="0.25">
      <c r="A220" s="772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5"/>
      <c r="H220" s="284">
        <f>H221</f>
        <v>0</v>
      </c>
      <c r="I220" s="283">
        <f t="shared" si="45"/>
        <v>0</v>
      </c>
    </row>
    <row r="221" spans="1:9" s="109" customFormat="1" hidden="1" x14ac:dyDescent="0.25">
      <c r="A221" s="772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IF(B221&gt;0,VLOOKUP(B221,КВСР!A52:B1217,2),IF(C221&gt;0,VLOOKUP(C221,КФСР!A52:B1564,2),IF(D221&gt;0,VLOOKUP(D221,Программа!A$1:B$5110,2),IF(F221&gt;0,VLOOKUP(F221,КВР!A$1:B$5001,2),IF(E221&gt;0,VLOOKUP(E221,Направление!A$1:B$4783,2))))))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5"/>
      <c r="H221" s="284"/>
      <c r="I221" s="283">
        <f t="shared" si="45"/>
        <v>0</v>
      </c>
    </row>
    <row r="222" spans="1:9" s="109" customFormat="1" ht="47.25" hidden="1" x14ac:dyDescent="0.25">
      <c r="A222" s="772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5"/>
      <c r="H222" s="284">
        <f>H223</f>
        <v>0</v>
      </c>
      <c r="I222" s="295">
        <f>I223</f>
        <v>0</v>
      </c>
    </row>
    <row r="223" spans="1:9" s="109" customFormat="1" hidden="1" x14ac:dyDescent="0.25">
      <c r="A223" s="772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5"/>
      <c r="H223" s="284"/>
      <c r="I223" s="283">
        <f>SUM(G223:H223)</f>
        <v>0</v>
      </c>
    </row>
    <row r="224" spans="1:9" s="109" customFormat="1" ht="126" hidden="1" x14ac:dyDescent="0.25">
      <c r="A224" s="772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5"/>
      <c r="H224" s="284">
        <f t="shared" ref="H224:I224" si="56">H225</f>
        <v>0</v>
      </c>
      <c r="I224" s="295">
        <f t="shared" si="56"/>
        <v>0</v>
      </c>
    </row>
    <row r="225" spans="1:9" s="109" customFormat="1" hidden="1" x14ac:dyDescent="0.25">
      <c r="A225" s="772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5"/>
      <c r="H225" s="284"/>
      <c r="I225" s="283">
        <f>SUM(G225:H225)</f>
        <v>0</v>
      </c>
    </row>
    <row r="226" spans="1:9" s="109" customFormat="1" ht="63" x14ac:dyDescent="0.25">
      <c r="A226" s="772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IF(B226&gt;0,VLOOKUP(B226,КВСР!A56:B1221,2),IF(C226&gt;0,VLOOKUP(C226,КФСР!A56:B1568,2),IF(D226&gt;0,VLOOKUP(D226,Программа!A$1:B$5110,2),IF(F226&gt;0,VLOOKUP(F226,КВР!A$1:B$5001,2),IF(E226&gt;0,VLOOKUP(E226,Направление!A$1:B$4783,2))))))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1560</v>
      </c>
      <c r="E226" s="112"/>
      <c r="F226" s="114"/>
      <c r="G226" s="295"/>
      <c r="H226" s="284">
        <f>H227</f>
        <v>400000</v>
      </c>
      <c r="I226" s="295">
        <f>I227</f>
        <v>400000</v>
      </c>
    </row>
    <row r="227" spans="1:9" s="109" customFormat="1" ht="47.25" x14ac:dyDescent="0.25">
      <c r="A227" s="772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1561</v>
      </c>
      <c r="E227" s="112"/>
      <c r="F227" s="114"/>
      <c r="G227" s="295"/>
      <c r="H227" s="284">
        <f>H228+H230+H232</f>
        <v>400000</v>
      </c>
      <c r="I227" s="295">
        <f>I228+I230+I232</f>
        <v>400000</v>
      </c>
    </row>
    <row r="228" spans="1:9" s="109" customFormat="1" ht="63" x14ac:dyDescent="0.25">
      <c r="A228" s="772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5"/>
      <c r="H228" s="284">
        <f t="shared" ref="H228:I228" si="57">H229</f>
        <v>400000</v>
      </c>
      <c r="I228" s="295">
        <f t="shared" si="57"/>
        <v>400000</v>
      </c>
    </row>
    <row r="229" spans="1:9" s="109" customFormat="1" ht="47.25" x14ac:dyDescent="0.25">
      <c r="A229" s="772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 xml:space="preserve">Закупка товаров, работ и услуг для обеспечения государственных (муниципальных) нужд
</v>
      </c>
      <c r="B229" s="117"/>
      <c r="C229" s="112"/>
      <c r="D229" s="113"/>
      <c r="E229" s="112"/>
      <c r="F229" s="114">
        <v>200</v>
      </c>
      <c r="G229" s="295"/>
      <c r="H229" s="284">
        <v>400000</v>
      </c>
      <c r="I229" s="283">
        <f>SUM(G229:H229)</f>
        <v>400000</v>
      </c>
    </row>
    <row r="230" spans="1:9" s="109" customFormat="1" ht="78.75" hidden="1" x14ac:dyDescent="0.25">
      <c r="A230" s="772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5"/>
      <c r="H230" s="284">
        <f t="shared" ref="H230:I230" si="58">H231</f>
        <v>0</v>
      </c>
      <c r="I230" s="295">
        <f t="shared" si="58"/>
        <v>0</v>
      </c>
    </row>
    <row r="231" spans="1:9" s="109" customFormat="1" ht="47.25" hidden="1" x14ac:dyDescent="0.25">
      <c r="A231" s="772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 xml:space="preserve">Закупка товаров, работ и услуг для обеспечения государственных (муниципальных) нужд
</v>
      </c>
      <c r="B231" s="117"/>
      <c r="C231" s="112"/>
      <c r="D231" s="113"/>
      <c r="E231" s="112"/>
      <c r="F231" s="114">
        <v>200</v>
      </c>
      <c r="G231" s="295"/>
      <c r="H231" s="284"/>
      <c r="I231" s="283">
        <f>SUM(G231:H231)</f>
        <v>0</v>
      </c>
    </row>
    <row r="232" spans="1:9" s="109" customFormat="1" ht="63" hidden="1" x14ac:dyDescent="0.25">
      <c r="A232" s="772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5"/>
      <c r="H232" s="284">
        <f t="shared" ref="H232:I232" si="59">H233</f>
        <v>0</v>
      </c>
      <c r="I232" s="295">
        <f t="shared" si="59"/>
        <v>0</v>
      </c>
    </row>
    <row r="233" spans="1:9" s="109" customFormat="1" ht="47.25" hidden="1" x14ac:dyDescent="0.25">
      <c r="A233" s="772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295"/>
      <c r="H233" s="284"/>
      <c r="I233" s="283">
        <f>SUM(G233:H233)</f>
        <v>0</v>
      </c>
    </row>
    <row r="234" spans="1:9" s="109" customFormat="1" hidden="1" x14ac:dyDescent="0.25">
      <c r="A234" s="772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IF(B234&gt;0,VLOOKUP(B234,КВСР!A57:B1222,2),IF(C234&gt;0,VLOOKUP(C234,КФСР!A57:B1569,2),IF(D234&gt;0,VLOOKUP(D234,Программа!A$1:B$5110,2),IF(F234&gt;0,VLOOKUP(F234,КВР!A$1:B$5001,2),IF(E234&gt;0,VLOOKUP(E234,Направление!A$1:B$4783,2))))))</f>
        <v>Жилищное хозяйство</v>
      </c>
      <c r="B234" s="117"/>
      <c r="C234" s="112">
        <v>501</v>
      </c>
      <c r="D234" s="113"/>
      <c r="E234" s="112"/>
      <c r="F234" s="114"/>
      <c r="G234" s="284"/>
      <c r="H234" s="284">
        <f>H235+H239</f>
        <v>0</v>
      </c>
      <c r="I234" s="283">
        <f t="shared" si="45"/>
        <v>0</v>
      </c>
    </row>
    <row r="235" spans="1:9" s="109" customFormat="1" ht="63" hidden="1" x14ac:dyDescent="0.25">
      <c r="A235" s="772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1687</v>
      </c>
      <c r="E235" s="112"/>
      <c r="F235" s="114"/>
      <c r="G235" s="284"/>
      <c r="H235" s="284">
        <f>H236</f>
        <v>0</v>
      </c>
      <c r="I235" s="295">
        <f>I236</f>
        <v>0</v>
      </c>
    </row>
    <row r="236" spans="1:9" s="109" customFormat="1" ht="47.25" hidden="1" x14ac:dyDescent="0.25">
      <c r="A236" s="772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1689</v>
      </c>
      <c r="E236" s="112"/>
      <c r="F236" s="114"/>
      <c r="G236" s="284"/>
      <c r="H236" s="284">
        <f>H237</f>
        <v>0</v>
      </c>
      <c r="I236" s="295">
        <f>I237</f>
        <v>0</v>
      </c>
    </row>
    <row r="237" spans="1:9" s="109" customFormat="1" ht="63" hidden="1" x14ac:dyDescent="0.25">
      <c r="A237" s="772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4"/>
      <c r="H237" s="284">
        <f>H238</f>
        <v>0</v>
      </c>
      <c r="I237" s="283">
        <f t="shared" si="45"/>
        <v>0</v>
      </c>
    </row>
    <row r="238" spans="1:9" s="109" customFormat="1" ht="47.25" hidden="1" x14ac:dyDescent="0.25">
      <c r="A238" s="772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IF(B238&gt;0,VLOOKUP(B238,КВСР!A62:B1227,2),IF(C238&gt;0,VLOOKUP(C238,КФСР!A62:B1574,2),IF(D238&gt;0,VLOOKUP(D238,Программа!A$1:B$5110,2),IF(F238&gt;0,VLOOKUP(F238,КВР!A$1:B$5001,2),IF(E238&gt;0,VLOOKUP(E238,Направление!A$1:B$4783,2))))))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6"/>
      <c r="H238" s="284"/>
      <c r="I238" s="295">
        <f t="shared" si="45"/>
        <v>0</v>
      </c>
    </row>
    <row r="239" spans="1:9" s="109" customFormat="1" hidden="1" x14ac:dyDescent="0.25">
      <c r="A239" s="772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IF(B239&gt;0,VLOOKUP(B239,КВСР!A63:B1228,2),IF(C239&gt;0,VLOOKUP(C239,КФСР!A63:B1575,2),IF(D239&gt;0,VLOOKUP(D239,Программа!A$1:B$5110,2),IF(F239&gt;0,VLOOKUP(F239,КВР!A$1:B$5001,2),IF(E239&gt;0,VLOOKUP(E239,Направление!A$1:B$4783,2))))))</f>
        <v>Непрограммные расходы бюджета</v>
      </c>
      <c r="B239" s="117"/>
      <c r="C239" s="112"/>
      <c r="D239" s="113" t="s">
        <v>394</v>
      </c>
      <c r="E239" s="112"/>
      <c r="F239" s="114"/>
      <c r="G239" s="295"/>
      <c r="H239" s="284">
        <f t="shared" ref="H239:I240" si="60">H240</f>
        <v>0</v>
      </c>
      <c r="I239" s="295">
        <f t="shared" si="60"/>
        <v>0</v>
      </c>
    </row>
    <row r="240" spans="1:9" s="109" customFormat="1" ht="31.5" hidden="1" x14ac:dyDescent="0.25">
      <c r="A240" s="772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IF(B240&gt;0,VLOOKUP(B240,КВСР!A64:B1229,2),IF(C240&gt;0,VLOOKUP(C240,КФСР!A64:B1576,2),IF(D240&gt;0,VLOOKUP(D240,Программа!A$1:B$5110,2),IF(F240&gt;0,VLOOKUP(F240,КВР!A$1:B$5001,2),IF(E240&gt;0,VLOOKUP(E240,Направление!A$1:B$4783,2))))))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5"/>
      <c r="H240" s="284">
        <f t="shared" si="60"/>
        <v>0</v>
      </c>
      <c r="I240" s="295">
        <f t="shared" si="60"/>
        <v>0</v>
      </c>
    </row>
    <row r="241" spans="1:9" s="109" customFormat="1" ht="47.25" hidden="1" x14ac:dyDescent="0.25">
      <c r="A241" s="772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IF(B241&gt;0,VLOOKUP(B241,КВСР!A65:B1230,2),IF(C241&gt;0,VLOOKUP(C241,КФСР!A65:B1577,2),IF(D241&gt;0,VLOOKUP(D241,Программа!A$1:B$5110,2),IF(F241&gt;0,VLOOKUP(F241,КВР!A$1:B$5001,2),IF(E241&gt;0,VLOOKUP(E241,Направление!A$1:B$4783,2))))))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6"/>
      <c r="H241" s="284"/>
      <c r="I241" s="295">
        <f>SUM(G241:H241)</f>
        <v>0</v>
      </c>
    </row>
    <row r="242" spans="1:9" s="109" customFormat="1" x14ac:dyDescent="0.25">
      <c r="A242" s="772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IF(B242&gt;0,VLOOKUP(B242,КВСР!A52:B1217,2),IF(C242&gt;0,VLOOKUP(C242,КФСР!A52:B1564,2),IF(D242&gt;0,VLOOKUP(D242,Программа!A$1:B$5110,2),IF(F242&gt;0,VLOOKUP(F242,КВР!A$1:B$5001,2),IF(E242&gt;0,VLOOKUP(E242,Направление!A$1:B$4783,2))))))</f>
        <v>Коммунальное хозяйство</v>
      </c>
      <c r="B242" s="117"/>
      <c r="C242" s="112">
        <v>502</v>
      </c>
      <c r="D242" s="114"/>
      <c r="E242" s="112"/>
      <c r="F242" s="114"/>
      <c r="G242" s="283"/>
      <c r="H242" s="284">
        <f>H243+H284+H277+H270</f>
        <v>592000</v>
      </c>
      <c r="I242" s="283">
        <f>SUM(G242:H242)</f>
        <v>592000</v>
      </c>
    </row>
    <row r="243" spans="1:9" s="109" customFormat="1" ht="63" x14ac:dyDescent="0.25">
      <c r="A243" s="772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613</v>
      </c>
      <c r="E243" s="112"/>
      <c r="F243" s="114"/>
      <c r="G243" s="283"/>
      <c r="H243" s="284">
        <f>H244+H252+H263</f>
        <v>132000</v>
      </c>
      <c r="I243" s="283">
        <f>I244+I252+I263</f>
        <v>132000</v>
      </c>
    </row>
    <row r="244" spans="1:9" s="109" customFormat="1" ht="78.75" hidden="1" x14ac:dyDescent="0.25">
      <c r="A244" s="772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644</v>
      </c>
      <c r="E244" s="112"/>
      <c r="F244" s="114"/>
      <c r="G244" s="283"/>
      <c r="H244" s="284">
        <f t="shared" ref="H244:I244" si="61">H245</f>
        <v>0</v>
      </c>
      <c r="I244" s="283">
        <f t="shared" si="61"/>
        <v>0</v>
      </c>
    </row>
    <row r="245" spans="1:9" s="109" customFormat="1" ht="78.75" hidden="1" x14ac:dyDescent="0.25">
      <c r="A245" s="772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686</v>
      </c>
      <c r="E245" s="112"/>
      <c r="F245" s="114"/>
      <c r="G245" s="283"/>
      <c r="H245" s="284">
        <f>H246+H248+H250</f>
        <v>0</v>
      </c>
      <c r="I245" s="295">
        <f>I246+I248+I250</f>
        <v>0</v>
      </c>
    </row>
    <row r="246" spans="1:9" s="109" customFormat="1" ht="47.25" hidden="1" x14ac:dyDescent="0.25">
      <c r="A246" s="772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IF(B246&gt;0,VLOOKUP(B246,КВСР!A56:B1221,2),IF(C246&gt;0,VLOOKUP(C246,КФСР!A56:B1568,2),IF(D246&gt;0,VLOOKUP(D246,Программа!A$1:B$5110,2),IF(F246&gt;0,VLOOKUP(F246,КВР!A$1:B$5001,2),IF(E246&gt;0,VLOOKUP(E246,Направление!A$1:B$4783,2))))))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5"/>
      <c r="H246" s="284">
        <f>H247</f>
        <v>0</v>
      </c>
      <c r="I246" s="283">
        <f t="shared" si="45"/>
        <v>0</v>
      </c>
    </row>
    <row r="247" spans="1:9" s="109" customFormat="1" ht="47.25" hidden="1" x14ac:dyDescent="0.25">
      <c r="A247" s="772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IF(B247&gt;0,VLOOKUP(B247,КВСР!A58:B1223,2),IF(C247&gt;0,VLOOKUP(C247,КФСР!A58:B1570,2),IF(D247&gt;0,VLOOKUP(D247,Программа!A$1:B$5110,2),IF(F247&gt;0,VLOOKUP(F247,КВР!A$1:B$5001,2),IF(E247&gt;0,VLOOKUP(E247,Направление!A$1:B$4783,2))))))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5"/>
      <c r="H247" s="284"/>
      <c r="I247" s="283">
        <f>G247+H247</f>
        <v>0</v>
      </c>
    </row>
    <row r="248" spans="1:9" s="109" customFormat="1" ht="47.25" hidden="1" x14ac:dyDescent="0.25">
      <c r="A248" s="772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IF(B248&gt;0,VLOOKUP(B248,КВСР!A58:B1223,2),IF(C248&gt;0,VLOOKUP(C248,КФСР!A58:B1570,2),IF(D248&gt;0,VLOOKUP(D248,Программа!A$1:B$5110,2),IF(F248&gt;0,VLOOKUP(F248,КВР!A$1:B$5001,2),IF(E248&gt;0,VLOOKUP(E248,Направление!A$1:B$4783,2))))))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5"/>
      <c r="H248" s="339">
        <f>H249</f>
        <v>0</v>
      </c>
      <c r="I248" s="283">
        <f t="shared" si="45"/>
        <v>0</v>
      </c>
    </row>
    <row r="249" spans="1:9" s="109" customFormat="1" ht="47.25" hidden="1" x14ac:dyDescent="0.25">
      <c r="A249" s="772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IF(B249&gt;0,VLOOKUP(B249,КВСР!A59:B1224,2),IF(C249&gt;0,VLOOKUP(C249,КФСР!A59:B1571,2),IF(D249&gt;0,VLOOKUP(D249,Программа!A$1:B$5110,2),IF(F249&gt;0,VLOOKUP(F249,КВР!A$1:B$5001,2),IF(E249&gt;0,VLOOKUP(E249,Направление!A$1:B$4783,2))))))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5"/>
      <c r="H249" s="284"/>
      <c r="I249" s="283">
        <f t="shared" si="45"/>
        <v>0</v>
      </c>
    </row>
    <row r="250" spans="1:9" s="109" customFormat="1" ht="47.25" hidden="1" x14ac:dyDescent="0.25">
      <c r="A250" s="772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IF(B250&gt;0,VLOOKUP(B250,КВСР!A58:B1223,2),IF(C250&gt;0,VLOOKUP(C250,КФСР!A58:B1570,2),IF(D250&gt;0,VLOOKUP(D250,Программа!A$1:B$5110,2),IF(F250&gt;0,VLOOKUP(F250,КВР!A$1:B$5001,2),IF(E250&gt;0,VLOOKUP(E250,Направление!A$1:B$4783,2))))))</f>
        <v>Субсидия на мероприятия по строительству межпоселеченских газопроводов</v>
      </c>
      <c r="B250" s="117"/>
      <c r="C250" s="112"/>
      <c r="D250" s="113"/>
      <c r="E250" s="112">
        <v>75260</v>
      </c>
      <c r="F250" s="114"/>
      <c r="G250" s="295"/>
      <c r="H250" s="284">
        <f t="shared" ref="H250" si="62">H251</f>
        <v>0</v>
      </c>
      <c r="I250" s="283">
        <f t="shared" si="45"/>
        <v>0</v>
      </c>
    </row>
    <row r="251" spans="1:9" s="109" customFormat="1" ht="47.25" hidden="1" x14ac:dyDescent="0.25">
      <c r="A251" s="772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IF(B251&gt;0,VLOOKUP(B251,КВСР!A59:B1224,2),IF(C251&gt;0,VLOOKUP(C251,КФСР!A59:B1571,2),IF(D251&gt;0,VLOOKUP(D251,Программа!A$1:B$5110,2),IF(F251&gt;0,VLOOKUP(F251,КВР!A$1:B$5001,2),IF(E251&gt;0,VLOOKUP(E251,Направление!A$1:B$4783,2))))))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5"/>
      <c r="H251" s="284"/>
      <c r="I251" s="283">
        <f t="shared" si="45"/>
        <v>0</v>
      </c>
    </row>
    <row r="252" spans="1:9" s="109" customFormat="1" ht="78.75" x14ac:dyDescent="0.25">
      <c r="A252" s="772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648</v>
      </c>
      <c r="E252" s="112"/>
      <c r="F252" s="114"/>
      <c r="G252" s="283"/>
      <c r="H252" s="284">
        <f t="shared" ref="H252:I252" si="63">H253+H260</f>
        <v>132000</v>
      </c>
      <c r="I252" s="283">
        <f t="shared" si="63"/>
        <v>132000</v>
      </c>
    </row>
    <row r="253" spans="1:9" s="109" customFormat="1" ht="78.75" x14ac:dyDescent="0.25">
      <c r="A253" s="772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649</v>
      </c>
      <c r="E253" s="112"/>
      <c r="F253" s="114"/>
      <c r="G253" s="283"/>
      <c r="H253" s="284">
        <f>H254+H257</f>
        <v>132000</v>
      </c>
      <c r="I253" s="283">
        <f t="shared" si="45"/>
        <v>132000</v>
      </c>
    </row>
    <row r="254" spans="1:9" s="109" customFormat="1" ht="31.5" x14ac:dyDescent="0.25">
      <c r="A254" s="772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IF(B254&gt;0,VLOOKUP(B254,КВСР!A60:B1225,2),IF(C254&gt;0,VLOOKUP(C254,КФСР!A60:B1572,2),IF(D254&gt;0,VLOOKUP(D254,Программа!A$1:B$5110,2),IF(F254&gt;0,VLOOKUP(F254,КВР!A$1:B$5001,2),IF(E254&gt;0,VLOOKUP(E254,Направление!A$1:B$4783,2))))))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3"/>
      <c r="H254" s="284">
        <f>H255+H256</f>
        <v>132000</v>
      </c>
      <c r="I254" s="283">
        <f t="shared" si="45"/>
        <v>132000</v>
      </c>
    </row>
    <row r="255" spans="1:9" s="109" customFormat="1" ht="47.25" x14ac:dyDescent="0.25">
      <c r="A255" s="772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IF(B255&gt;0,VLOOKUP(B255,КВСР!A61:B1226,2),IF(C255&gt;0,VLOOKUP(C255,КФСР!A61:B1573,2),IF(D255&gt;0,VLOOKUP(D255,Программа!A$1:B$5110,2),IF(F255&gt;0,VLOOKUP(F255,КВР!A$1:B$5001,2),IF(E255&gt;0,VLOOKUP(E255,Направление!A$1:B$4783,2))))))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5"/>
      <c r="H255" s="284">
        <v>132000</v>
      </c>
      <c r="I255" s="283">
        <f t="shared" si="45"/>
        <v>132000</v>
      </c>
    </row>
    <row r="256" spans="1:9" s="109" customFormat="1" ht="47.25" hidden="1" x14ac:dyDescent="0.25">
      <c r="A256" s="772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IF(B256&gt;0,VLOOKUP(B256,КВСР!A62:B1227,2),IF(C256&gt;0,VLOOKUP(C256,КФСР!A62:B1574,2),IF(D256&gt;0,VLOOKUP(D256,Программа!A$1:B$5110,2),IF(F256&gt;0,VLOOKUP(F256,КВР!A$1:B$5001,2),IF(E256&gt;0,VLOOKUP(E256,Направление!A$1:B$4783,2))))))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5"/>
      <c r="H256" s="284"/>
      <c r="I256" s="283">
        <f t="shared" si="45"/>
        <v>0</v>
      </c>
    </row>
    <row r="257" spans="1:9" s="109" customFormat="1" ht="63" hidden="1" x14ac:dyDescent="0.25">
      <c r="A257" s="772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IF(B257&gt;0,VLOOKUP(B257,КВСР!A62:B1227,2),IF(C257&gt;0,VLOOKUP(C257,КФСР!A62:B1574,2),IF(D257&gt;0,VLOOKUP(D257,Программа!A$1:B$5110,2),IF(F257&gt;0,VLOOKUP(F257,КВР!A$1:B$5001,2),IF(E257&gt;0,VLOOKUP(E257,Направление!A$1:B$4783,2))))))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3"/>
      <c r="H257" s="284">
        <f>H258+H259</f>
        <v>0</v>
      </c>
      <c r="I257" s="283">
        <f>SUM(G257:H257)</f>
        <v>0</v>
      </c>
    </row>
    <row r="258" spans="1:9" s="109" customFormat="1" ht="47.25" hidden="1" x14ac:dyDescent="0.25">
      <c r="A258" s="772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283"/>
      <c r="H258" s="284"/>
      <c r="I258" s="283">
        <f>SUM(G258:H258)</f>
        <v>0</v>
      </c>
    </row>
    <row r="259" spans="1:9" s="109" customFormat="1" ht="47.25" hidden="1" x14ac:dyDescent="0.25">
      <c r="A259" s="772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IF(B259&gt;0,VLOOKUP(B259,КВСР!A63:B1228,2),IF(C259&gt;0,VLOOKUP(C259,КФСР!A63:B1575,2),IF(D259&gt;0,VLOOKUP(D259,Программа!A$1:B$5110,2),IF(F259&gt;0,VLOOKUP(F259,КВР!A$1:B$5001,2),IF(E259&gt;0,VLOOKUP(E259,Направление!A$1:B$4783,2))))))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5"/>
      <c r="H259" s="284"/>
      <c r="I259" s="283">
        <f>SUM(G259:H259)</f>
        <v>0</v>
      </c>
    </row>
    <row r="260" spans="1:9" s="109" customFormat="1" ht="31.5" hidden="1" x14ac:dyDescent="0.25">
      <c r="A260" s="772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IF(B260&gt;0,VLOOKUP(B260,КВСР!A64:B1229,2),IF(C260&gt;0,VLOOKUP(C260,КФСР!A64:B1576,2),IF(D260&gt;0,VLOOKUP(D260,Программа!A$1:B$5110,2),IF(F260&gt;0,VLOOKUP(F260,КВР!A$1:B$5001,2),IF(E260&gt;0,VLOOKUP(E260,Направление!A$1:B$4783,2))))))</f>
        <v>Федеральный проект "Оздоровление Волги"</v>
      </c>
      <c r="B260" s="117"/>
      <c r="C260" s="112"/>
      <c r="D260" s="112" t="s">
        <v>1610</v>
      </c>
      <c r="E260" s="112"/>
      <c r="F260" s="114"/>
      <c r="G260" s="295"/>
      <c r="H260" s="284">
        <f t="shared" ref="H260:I261" si="64">H261</f>
        <v>0</v>
      </c>
      <c r="I260" s="295">
        <f t="shared" si="64"/>
        <v>0</v>
      </c>
    </row>
    <row r="261" spans="1:9" s="109" customFormat="1" ht="78.75" hidden="1" x14ac:dyDescent="0.25">
      <c r="A261" s="772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5"/>
      <c r="H261" s="284">
        <f t="shared" si="64"/>
        <v>0</v>
      </c>
      <c r="I261" s="295">
        <f t="shared" si="64"/>
        <v>0</v>
      </c>
    </row>
    <row r="262" spans="1:9" s="109" customFormat="1" ht="47.25" hidden="1" x14ac:dyDescent="0.25">
      <c r="A262" s="772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IF(B262&gt;0,VLOOKUP(B262,КВСР!A66:B1231,2),IF(C262&gt;0,VLOOKUP(C262,КФСР!A66:B1578,2),IF(D262&gt;0,VLOOKUP(D262,Программа!A$1:B$5110,2),IF(F262&gt;0,VLOOKUP(F262,КВР!A$1:B$5001,2),IF(E262&gt;0,VLOOKUP(E262,Направление!A$1:B$4783,2))))))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5"/>
      <c r="H262" s="284"/>
      <c r="I262" s="283">
        <f>SUM(G262:H262)</f>
        <v>0</v>
      </c>
    </row>
    <row r="263" spans="1:9" s="109" customFormat="1" ht="78.75" hidden="1" x14ac:dyDescent="0.25">
      <c r="A263" s="772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651</v>
      </c>
      <c r="E263" s="112"/>
      <c r="F263" s="114"/>
      <c r="G263" s="295"/>
      <c r="H263" s="284">
        <f t="shared" ref="H263:I263" si="65">H264+H267</f>
        <v>0</v>
      </c>
      <c r="I263" s="295">
        <f t="shared" si="65"/>
        <v>0</v>
      </c>
    </row>
    <row r="264" spans="1:9" s="109" customFormat="1" ht="47.25" hidden="1" x14ac:dyDescent="0.25">
      <c r="A264" s="772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IF(B264&gt;0,VLOOKUP(B264,КВСР!A65:B1230,2),IF(C264&gt;0,VLOOKUP(C264,КФСР!A65:B1577,2),IF(D264&gt;0,VLOOKUP(D264,Программа!A$1:B$5110,2),IF(F264&gt;0,VLOOKUP(F264,КВР!A$1:B$5001,2),IF(E264&gt;0,VLOOKUP(E264,Направление!A$1:B$4783,2))))))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653</v>
      </c>
      <c r="E264" s="112"/>
      <c r="F264" s="114"/>
      <c r="G264" s="295"/>
      <c r="H264" s="284">
        <f t="shared" ref="H264:H265" si="66">H265</f>
        <v>0</v>
      </c>
      <c r="I264" s="283">
        <f t="shared" si="45"/>
        <v>0</v>
      </c>
    </row>
    <row r="265" spans="1:9" s="109" customFormat="1" ht="63" hidden="1" x14ac:dyDescent="0.25">
      <c r="A265" s="772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IF(B265&gt;0,VLOOKUP(B265,КВСР!A66:B1231,2),IF(C265&gt;0,VLOOKUP(C265,КФСР!A66:B1578,2),IF(D265&gt;0,VLOOKUP(D265,Программа!A$1:B$5110,2),IF(F265&gt;0,VLOOKUP(F265,КВР!A$1:B$5001,2),IF(E265&gt;0,VLOOKUP(E265,Направление!A$1:B$4783,2))))))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5"/>
      <c r="H265" s="284">
        <f t="shared" si="66"/>
        <v>0</v>
      </c>
      <c r="I265" s="283">
        <f t="shared" si="45"/>
        <v>0</v>
      </c>
    </row>
    <row r="266" spans="1:9" s="109" customFormat="1" hidden="1" x14ac:dyDescent="0.25">
      <c r="A266" s="772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IF(B266&gt;0,VLOOKUP(B266,КВСР!A67:B1232,2),IF(C266&gt;0,VLOOKUP(C266,КФСР!A67:B1579,2),IF(D266&gt;0,VLOOKUP(D266,Программа!A$1:B$5110,2),IF(F266&gt;0,VLOOKUP(F266,КВР!A$1:B$5001,2),IF(E266&gt;0,VLOOKUP(E266,Направление!A$1:B$4783,2))))))</f>
        <v>Иные бюджетные ассигнования</v>
      </c>
      <c r="B266" s="117"/>
      <c r="C266" s="112"/>
      <c r="D266" s="113"/>
      <c r="E266" s="112"/>
      <c r="F266" s="453">
        <v>800</v>
      </c>
      <c r="G266" s="385"/>
      <c r="H266" s="390"/>
      <c r="I266" s="342">
        <f>SUM(G266:H266)</f>
        <v>0</v>
      </c>
    </row>
    <row r="267" spans="1:9" s="109" customFormat="1" ht="47.25" hidden="1" x14ac:dyDescent="0.25">
      <c r="A267" s="772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IF(B267&gt;0,VLOOKUP(B267,КВСР!A68:B1233,2),IF(C267&gt;0,VLOOKUP(C267,КФСР!A68:B1580,2),IF(D267&gt;0,VLOOKUP(D267,Программа!A$1:B$5110,2),IF(F267&gt;0,VLOOKUP(F267,КВР!A$1:B$5001,2),IF(E267&gt;0,VLOOKUP(E267,Направление!A$1:B$4783,2))))))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1616</v>
      </c>
      <c r="E267" s="112"/>
      <c r="F267" s="453"/>
      <c r="G267" s="385"/>
      <c r="H267" s="390">
        <f>H268</f>
        <v>0</v>
      </c>
      <c r="I267" s="385">
        <f>I268</f>
        <v>0</v>
      </c>
    </row>
    <row r="268" spans="1:9" s="109" customFormat="1" ht="31.5" hidden="1" x14ac:dyDescent="0.25">
      <c r="A268" s="772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IF(B268&gt;0,VLOOKUP(B268,КВСР!A69:B1234,2),IF(C268&gt;0,VLOOKUP(C268,КФСР!A69:B1581,2),IF(D268&gt;0,VLOOKUP(D268,Программа!A$1:B$5110,2),IF(F268&gt;0,VLOOKUP(F268,КВР!A$1:B$5001,2),IF(E268&gt;0,VLOOKUP(E268,Направление!A$1:B$4783,2))))))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53"/>
      <c r="G268" s="385"/>
      <c r="H268" s="390">
        <f>H269</f>
        <v>0</v>
      </c>
      <c r="I268" s="385">
        <f>I269</f>
        <v>0</v>
      </c>
    </row>
    <row r="269" spans="1:9" s="109" customFormat="1" hidden="1" x14ac:dyDescent="0.25">
      <c r="A269" s="772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IF(B269&gt;0,VLOOKUP(B269,КВСР!A69:B1234,2),IF(C269&gt;0,VLOOKUP(C269,КФСР!A69:B1581,2),IF(D269&gt;0,VLOOKUP(D269,Программа!A$1:B$5110,2),IF(F269&gt;0,VLOOKUP(F269,КВР!A$1:B$5001,2),IF(E269&gt;0,VLOOKUP(E269,Направление!A$1:B$4783,2))))))</f>
        <v>Иные бюджетные ассигнования</v>
      </c>
      <c r="B269" s="117"/>
      <c r="C269" s="112"/>
      <c r="D269" s="113"/>
      <c r="E269" s="112"/>
      <c r="F269" s="453">
        <v>800</v>
      </c>
      <c r="G269" s="385"/>
      <c r="H269" s="390"/>
      <c r="I269" s="342">
        <f t="shared" ref="I269:I274" si="67">SUM(G269:H269)</f>
        <v>0</v>
      </c>
    </row>
    <row r="270" spans="1:9" s="109" customFormat="1" ht="94.5" hidden="1" x14ac:dyDescent="0.25">
      <c r="A270" s="772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422</v>
      </c>
      <c r="E270" s="112"/>
      <c r="F270" s="453"/>
      <c r="G270" s="385"/>
      <c r="H270" s="390">
        <f>H271</f>
        <v>0</v>
      </c>
      <c r="I270" s="342">
        <f t="shared" si="67"/>
        <v>0</v>
      </c>
    </row>
    <row r="271" spans="1:9" s="109" customFormat="1" ht="63" hidden="1" x14ac:dyDescent="0.25">
      <c r="A271" s="772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IF(B271&gt;0,VLOOKUP(B271,КВСР!A71:B1236,2),IF(C271&gt;0,VLOOKUP(C271,КФСР!A71:B1583,2),IF(D271&gt;0,VLOOKUP(D271,Программа!A$1:B$5110,2),IF(F271&gt;0,VLOOKUP(F271,КВР!A$1:B$5001,2),IF(E271&gt;0,VLOOKUP(E271,Направление!A$1:B$4783,2))))))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1739</v>
      </c>
      <c r="E271" s="112"/>
      <c r="F271" s="453"/>
      <c r="G271" s="385"/>
      <c r="H271" s="390">
        <f>H272</f>
        <v>0</v>
      </c>
      <c r="I271" s="342">
        <f t="shared" si="67"/>
        <v>0</v>
      </c>
    </row>
    <row r="272" spans="1:9" s="109" customFormat="1" ht="63" hidden="1" x14ac:dyDescent="0.25">
      <c r="A272" s="772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IF(B272&gt;0,VLOOKUP(B272,КВСР!A72:B1237,2),IF(C272&gt;0,VLOOKUP(C272,КФСР!A72:B1584,2),IF(D272&gt;0,VLOOKUP(D272,Программа!A$1:B$5110,2),IF(F272&gt;0,VLOOKUP(F272,КВР!A$1:B$5001,2),IF(E272&gt;0,VLOOKUP(E272,Направление!A$1:B$4783,2))))))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1740</v>
      </c>
      <c r="E272" s="112"/>
      <c r="F272" s="453"/>
      <c r="G272" s="385"/>
      <c r="H272" s="390">
        <f>H273+H275</f>
        <v>0</v>
      </c>
      <c r="I272" s="385">
        <f t="shared" si="67"/>
        <v>0</v>
      </c>
    </row>
    <row r="273" spans="1:9" s="109" customFormat="1" ht="126" hidden="1" x14ac:dyDescent="0.25">
      <c r="A273" s="772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53"/>
      <c r="G273" s="385"/>
      <c r="H273" s="390">
        <f>H274</f>
        <v>0</v>
      </c>
      <c r="I273" s="342">
        <f t="shared" si="67"/>
        <v>0</v>
      </c>
    </row>
    <row r="274" spans="1:9" s="109" customFormat="1" ht="47.25" hidden="1" x14ac:dyDescent="0.25">
      <c r="A274" s="772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IF(B274&gt;0,VLOOKUP(B274,КВСР!A74:B1239,2),IF(C274&gt;0,VLOOKUP(C274,КФСР!A74:B1586,2),IF(D274&gt;0,VLOOKUP(D274,Программа!A$1:B$5110,2),IF(F274&gt;0,VLOOKUP(F274,КВР!A$1:B$5001,2),IF(E274&gt;0,VLOOKUP(E274,Направление!A$1:B$4783,2))))))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53">
        <v>400</v>
      </c>
      <c r="G274" s="408"/>
      <c r="H274" s="390"/>
      <c r="I274" s="385">
        <f t="shared" si="67"/>
        <v>0</v>
      </c>
    </row>
    <row r="275" spans="1:9" s="109" customFormat="1" ht="94.5" hidden="1" x14ac:dyDescent="0.25">
      <c r="A275" s="772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IF(B275&gt;0,VLOOKUP(B275,КВСР!A75:B1240,2),IF(C275&gt;0,VLOOKUP(C275,КФСР!A75:B1587,2),IF(D275&gt;0,VLOOKUP(D275,Программа!A$1:B$5110,2),IF(F275&gt;0,VLOOKUP(F275,КВР!A$1:B$5001,2),IF(E275&gt;0,VLOOKUP(E275,Направление!A$1:B$4783,2))))))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53"/>
      <c r="G275" s="385"/>
      <c r="H275" s="390">
        <f>H276</f>
        <v>0</v>
      </c>
      <c r="I275" s="385">
        <f>I276</f>
        <v>0</v>
      </c>
    </row>
    <row r="276" spans="1:9" s="109" customFormat="1" ht="47.25" hidden="1" x14ac:dyDescent="0.25">
      <c r="A276" s="772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IF(B276&gt;0,VLOOKUP(B276,КВСР!A76:B1241,2),IF(C276&gt;0,VLOOKUP(C276,КФСР!A76:B1588,2),IF(D276&gt;0,VLOOKUP(D276,Программа!A$1:B$5110,2),IF(F276&gt;0,VLOOKUP(F276,КВР!A$1:B$5001,2),IF(E276&gt;0,VLOOKUP(E276,Направление!A$1:B$4783,2))))))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53">
        <v>600</v>
      </c>
      <c r="G276" s="408"/>
      <c r="H276" s="390"/>
      <c r="I276" s="732"/>
    </row>
    <row r="277" spans="1:9" s="109" customFormat="1" x14ac:dyDescent="0.25">
      <c r="A277" s="772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IF(B277&gt;0,VLOOKUP(B277,КВСР!A68:B1233,2),IF(C277&gt;0,VLOOKUP(C277,КФСР!A68:B1580,2),IF(D277&gt;0,VLOOKUP(D277,Программа!A$1:B$5110,2),IF(F277&gt;0,VLOOKUP(F277,КВР!A$1:B$5001,2),IF(E277&gt;0,VLOOKUP(E277,Направление!A$1:B$4783,2))))))</f>
        <v>Непрограммные расходы бюджета</v>
      </c>
      <c r="B277" s="117"/>
      <c r="C277" s="112"/>
      <c r="D277" s="113" t="s">
        <v>394</v>
      </c>
      <c r="E277" s="112"/>
      <c r="F277" s="114"/>
      <c r="G277" s="283"/>
      <c r="H277" s="284">
        <f>H282+H280+H278</f>
        <v>100000</v>
      </c>
      <c r="I277" s="295">
        <f>I282+I280+I278</f>
        <v>100000</v>
      </c>
    </row>
    <row r="278" spans="1:9" s="109" customFormat="1" ht="31.5" x14ac:dyDescent="0.25">
      <c r="A278" s="772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IF(B278&gt;0,VLOOKUP(B278,КВСР!A69:B1234,2),IF(C278&gt;0,VLOOKUP(C278,КФСР!A69:B1581,2),IF(D278&gt;0,VLOOKUP(D278,Программа!A$1:B$5110,2),IF(F278&gt;0,VLOOKUP(F278,КВР!A$1:B$5001,2),IF(E278&gt;0,VLOOKUP(E278,Направление!A$1:B$4783,2))))))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3"/>
      <c r="H278" s="284">
        <f t="shared" ref="H278:I278" si="68">H279</f>
        <v>100000</v>
      </c>
      <c r="I278" s="283">
        <f t="shared" si="68"/>
        <v>100000</v>
      </c>
    </row>
    <row r="279" spans="1:9" s="109" customFormat="1" ht="47.25" x14ac:dyDescent="0.25">
      <c r="A279" s="772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3"/>
      <c r="H279" s="284">
        <v>100000</v>
      </c>
      <c r="I279" s="283">
        <f>SUM(G279:H279)</f>
        <v>100000</v>
      </c>
    </row>
    <row r="280" spans="1:9" s="109" customFormat="1" ht="47.25" hidden="1" x14ac:dyDescent="0.25">
      <c r="A280" s="772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IF(B280&gt;0,VLOOKUP(B280,КВСР!A71:B1236,2),IF(C280&gt;0,VLOOKUP(C280,КФСР!A71:B1583,2),IF(D280&gt;0,VLOOKUP(D280,Программа!A$1:B$5110,2),IF(F280&gt;0,VLOOKUP(F280,КВР!A$1:B$5001,2),IF(E280&gt;0,VLOOKUP(E280,Направление!A$1:B$4783,2))))))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5"/>
      <c r="H280" s="284">
        <f>H281</f>
        <v>0</v>
      </c>
      <c r="I280" s="295">
        <f>I281</f>
        <v>0</v>
      </c>
    </row>
    <row r="281" spans="1:9" s="109" customFormat="1" ht="47.25" hidden="1" x14ac:dyDescent="0.25">
      <c r="A281" s="772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IF(B281&gt;0,VLOOKUP(B281,КВСР!A72:B1237,2),IF(C281&gt;0,VLOOKUP(C281,КФСР!A72:B1584,2),IF(D281&gt;0,VLOOKUP(D281,Программа!A$1:B$5110,2),IF(F281&gt;0,VLOOKUP(F281,КВР!A$1:B$5001,2),IF(E281&gt;0,VLOOKUP(E281,Направление!A$1:B$4783,2))))))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5"/>
      <c r="H281" s="284"/>
      <c r="I281" s="283">
        <f>G281+H281</f>
        <v>0</v>
      </c>
    </row>
    <row r="282" spans="1:9" s="109" customFormat="1" ht="47.25" hidden="1" x14ac:dyDescent="0.25">
      <c r="A282" s="772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IF(B282&gt;0,VLOOKUP(B282,КВСР!A69:B1234,2),IF(C282&gt;0,VLOOKUP(C282,КФСР!A69:B1581,2),IF(D282&gt;0,VLOOKUP(D282,Программа!A$1:B$5110,2),IF(F282&gt;0,VLOOKUP(F282,КВР!A$1:B$5001,2),IF(E282&gt;0,VLOOKUP(E282,Направление!A$1:B$4783,2))))))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3"/>
      <c r="H282" s="284">
        <f>H283</f>
        <v>0</v>
      </c>
      <c r="I282" s="283">
        <f t="shared" ref="I282" si="69">SUM(G282:H282)</f>
        <v>0</v>
      </c>
    </row>
    <row r="283" spans="1:9" s="109" customFormat="1" ht="47.25" hidden="1" x14ac:dyDescent="0.25">
      <c r="A283" s="772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IF(B283&gt;0,VLOOKUP(B283,КВСР!A70:B1235,2),IF(C283&gt;0,VLOOKUP(C283,КФСР!A70:B1582,2),IF(D283&gt;0,VLOOKUP(D283,Программа!A$1:B$5110,2),IF(F283&gt;0,VLOOKUP(F283,КВР!A$1:B$5001,2),IF(E283&gt;0,VLOOKUP(E283,Направление!A$1:B$4783,2))))))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5"/>
      <c r="H283" s="284"/>
      <c r="I283" s="283">
        <f>SUM(G283:H283)</f>
        <v>0</v>
      </c>
    </row>
    <row r="284" spans="1:9" s="109" customFormat="1" ht="31.5" x14ac:dyDescent="0.25">
      <c r="A284" s="772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IF(B284&gt;0,VLOOKUP(B284,КВСР!A68:B1233,2),IF(C284&gt;0,VLOOKUP(C284,КФСР!A68:B1580,2),IF(D284&gt;0,VLOOKUP(D284,Программа!A$1:B$5110,2),IF(F284&gt;0,VLOOKUP(F284,КВР!A$1:B$5001,2),IF(E284&gt;0,VLOOKUP(E284,Направление!A$1:B$4783,2))))))</f>
        <v>Межбюджетные трансферты  поселениям района</v>
      </c>
      <c r="B284" s="117"/>
      <c r="C284" s="112"/>
      <c r="D284" s="113" t="s">
        <v>565</v>
      </c>
      <c r="E284" s="112"/>
      <c r="F284" s="114"/>
      <c r="G284" s="295"/>
      <c r="H284" s="284">
        <f t="shared" ref="H284:H285" si="70">H285</f>
        <v>360000</v>
      </c>
      <c r="I284" s="283">
        <f t="shared" si="45"/>
        <v>360000</v>
      </c>
    </row>
    <row r="285" spans="1:9" s="109" customFormat="1" ht="47.25" x14ac:dyDescent="0.25">
      <c r="A285" s="772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IF(B285&gt;0,VLOOKUP(B285,КВСР!A69:B1234,2),IF(C285&gt;0,VLOOKUP(C285,КФСР!A69:B1581,2),IF(D285&gt;0,VLOOKUP(D285,Программа!A$1:B$5110,2),IF(F285&gt;0,VLOOKUP(F285,КВР!A$1:B$5001,2),IF(E285&gt;0,VLOOKUP(E285,Направление!A$1:B$4783,2))))))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5"/>
      <c r="H285" s="284">
        <f t="shared" si="70"/>
        <v>360000</v>
      </c>
      <c r="I285" s="283">
        <f t="shared" si="45"/>
        <v>360000</v>
      </c>
    </row>
    <row r="286" spans="1:9" s="109" customFormat="1" x14ac:dyDescent="0.25">
      <c r="A286" s="772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IF(B286&gt;0,VLOOKUP(B286,КВСР!A70:B1235,2),IF(C286&gt;0,VLOOKUP(C286,КФСР!A70:B1582,2),IF(D286&gt;0,VLOOKUP(D286,Программа!A$1:B$5110,2),IF(F286&gt;0,VLOOKUP(F286,КВР!A$1:B$5001,2),IF(E286&gt;0,VLOOKUP(E286,Направление!A$1:B$4783,2))))))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5"/>
      <c r="H286" s="284">
        <v>360000</v>
      </c>
      <c r="I286" s="283">
        <f t="shared" si="45"/>
        <v>360000</v>
      </c>
    </row>
    <row r="287" spans="1:9" s="109" customFormat="1" hidden="1" x14ac:dyDescent="0.25">
      <c r="A287" s="772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IF(B287&gt;0,VLOOKUP(B287,КВСР!A71:B1236,2),IF(C287&gt;0,VLOOKUP(C287,КФСР!A71:B1583,2),IF(D287&gt;0,VLOOKUP(D287,Программа!A$1:B$5110,2),IF(F287&gt;0,VLOOKUP(F287,КВР!A$1:B$5001,2),IF(E287&gt;0,VLOOKUP(E287,Направление!A$1:B$4783,2))))))</f>
        <v>Благоустройство</v>
      </c>
      <c r="B287" s="117"/>
      <c r="C287" s="112">
        <v>503</v>
      </c>
      <c r="D287" s="113"/>
      <c r="E287" s="112"/>
      <c r="F287" s="114"/>
      <c r="G287" s="283"/>
      <c r="H287" s="284">
        <f>H288+H313</f>
        <v>0</v>
      </c>
      <c r="I287" s="283">
        <f t="shared" si="45"/>
        <v>0</v>
      </c>
    </row>
    <row r="288" spans="1:9" s="109" customFormat="1" ht="63" hidden="1" x14ac:dyDescent="0.25">
      <c r="A288" s="772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731</v>
      </c>
      <c r="E288" s="112"/>
      <c r="F288" s="114"/>
      <c r="G288" s="283"/>
      <c r="H288" s="284">
        <f>H289+H293+H305+H309</f>
        <v>0</v>
      </c>
      <c r="I288" s="283">
        <f t="shared" ref="I288:I291" si="71">SUM(G288:H288)</f>
        <v>0</v>
      </c>
    </row>
    <row r="289" spans="1:9" s="109" customFormat="1" ht="63" hidden="1" x14ac:dyDescent="0.25">
      <c r="A289" s="772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733</v>
      </c>
      <c r="E289" s="112"/>
      <c r="F289" s="114"/>
      <c r="G289" s="283"/>
      <c r="H289" s="284">
        <f t="shared" ref="H289:H291" si="72">H290</f>
        <v>0</v>
      </c>
      <c r="I289" s="283">
        <f t="shared" si="71"/>
        <v>0</v>
      </c>
    </row>
    <row r="290" spans="1:9" s="109" customFormat="1" ht="47.25" hidden="1" x14ac:dyDescent="0.25">
      <c r="A290" s="772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IF(B290&gt;0,VLOOKUP(B290,КВСР!A74:B1239,2),IF(C290&gt;0,VLOOKUP(C290,КФСР!A74:B1586,2),IF(D290&gt;0,VLOOKUP(D290,Программа!A$1:B$5110,2),IF(F290&gt;0,VLOOKUP(F290,КВР!A$1:B$5001,2),IF(E290&gt;0,VLOOKUP(E290,Направление!A$1:B$4783,2))))))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735</v>
      </c>
      <c r="E290" s="112"/>
      <c r="F290" s="114"/>
      <c r="G290" s="283"/>
      <c r="H290" s="284">
        <f t="shared" si="72"/>
        <v>0</v>
      </c>
      <c r="I290" s="283">
        <f t="shared" si="71"/>
        <v>0</v>
      </c>
    </row>
    <row r="291" spans="1:9" s="109" customFormat="1" ht="31.5" hidden="1" x14ac:dyDescent="0.25">
      <c r="A291" s="772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IF(B291&gt;0,VLOOKUP(B291,КВСР!A75:B1240,2),IF(C291&gt;0,VLOOKUP(C291,КФСР!A75:B1587,2),IF(D291&gt;0,VLOOKUP(D291,Программа!A$1:B$5110,2),IF(F291&gt;0,VLOOKUP(F291,КВР!A$1:B$5001,2),IF(E291&gt;0,VLOOKUP(E291,Направление!A$1:B$4783,2))))))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3"/>
      <c r="H291" s="284">
        <f t="shared" si="72"/>
        <v>0</v>
      </c>
      <c r="I291" s="283">
        <f t="shared" si="71"/>
        <v>0</v>
      </c>
    </row>
    <row r="292" spans="1:9" s="109" customFormat="1" ht="47.25" hidden="1" x14ac:dyDescent="0.25">
      <c r="A292" s="772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IF(B292&gt;0,VLOOKUP(B292,КВСР!A76:B1241,2),IF(C292&gt;0,VLOOKUP(C292,КФСР!A76:B1588,2),IF(D292&gt;0,VLOOKUP(D292,Программа!A$1:B$5110,2),IF(F292&gt;0,VLOOKUP(F292,КВР!A$1:B$5001,2),IF(E292&gt;0,VLOOKUP(E292,Направление!A$1:B$4783,2))))))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5"/>
      <c r="H292" s="284"/>
      <c r="I292" s="283">
        <f>SUM(G292:H292)</f>
        <v>0</v>
      </c>
    </row>
    <row r="293" spans="1:9" s="109" customFormat="1" ht="63" hidden="1" x14ac:dyDescent="0.25">
      <c r="A293" s="772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736</v>
      </c>
      <c r="E293" s="112"/>
      <c r="F293" s="114"/>
      <c r="G293" s="283"/>
      <c r="H293" s="283">
        <f>H294+H297+H300</f>
        <v>0</v>
      </c>
      <c r="I293" s="283">
        <f>I294+I297+I300</f>
        <v>0</v>
      </c>
    </row>
    <row r="294" spans="1:9" s="109" customFormat="1" ht="63" hidden="1" x14ac:dyDescent="0.25">
      <c r="A294" s="772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738</v>
      </c>
      <c r="E294" s="112"/>
      <c r="F294" s="114"/>
      <c r="G294" s="283"/>
      <c r="H294" s="283">
        <f t="shared" ref="H294:I294" si="73">H295</f>
        <v>0</v>
      </c>
      <c r="I294" s="283">
        <f t="shared" si="73"/>
        <v>0</v>
      </c>
    </row>
    <row r="295" spans="1:9" s="109" customFormat="1" ht="47.25" hidden="1" x14ac:dyDescent="0.25">
      <c r="A295" s="772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IF(B295&gt;0,VLOOKUP(B295,КВСР!A85:B1250,2),IF(C295&gt;0,VLOOKUP(C295,КФСР!A85:B1597,2),IF(D295&gt;0,VLOOKUP(D295,Программа!A$1:B$5110,2),IF(F295&gt;0,VLOOKUP(F295,КВР!A$1:B$5001,2),IF(E295&gt;0,VLOOKUP(E295,Направление!A$1:B$4783,2))))))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3"/>
      <c r="H295" s="284">
        <f>H296</f>
        <v>0</v>
      </c>
      <c r="I295" s="283">
        <f t="shared" ref="I295:I319" si="74">SUM(G295:H295)</f>
        <v>0</v>
      </c>
    </row>
    <row r="296" spans="1:9" s="109" customFormat="1" ht="47.25" hidden="1" x14ac:dyDescent="0.25">
      <c r="A296" s="772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IF(B296&gt;0,VLOOKUP(B296,КВСР!A86:B1251,2),IF(C296&gt;0,VLOOKUP(C296,КФСР!A86:B1598,2),IF(D296&gt;0,VLOOKUP(D296,Программа!A$1:B$5110,2),IF(F296&gt;0,VLOOKUP(F296,КВР!A$1:B$5001,2),IF(E296&gt;0,VLOOKUP(E296,Направление!A$1:B$4783,2))))))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5"/>
      <c r="H296" s="284"/>
      <c r="I296" s="283">
        <f t="shared" si="74"/>
        <v>0</v>
      </c>
    </row>
    <row r="297" spans="1:9" s="109" customFormat="1" ht="47.25" hidden="1" x14ac:dyDescent="0.25">
      <c r="A297" s="772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IF(B297&gt;0,VLOOKUP(B297,КВСР!A87:B1252,2),IF(C297&gt;0,VLOOKUP(C297,КФСР!A87:B1599,2),IF(D297&gt;0,VLOOKUP(D297,Программа!A$1:B$5110,2),IF(F297&gt;0,VLOOKUP(F297,КВР!A$1:B$5001,2),IF(E297&gt;0,VLOOKUP(E297,Направление!A$1:B$4783,2))))))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740</v>
      </c>
      <c r="E297" s="112"/>
      <c r="F297" s="114"/>
      <c r="G297" s="295"/>
      <c r="H297" s="284">
        <f t="shared" ref="H297:I297" si="75">H298</f>
        <v>0</v>
      </c>
      <c r="I297" s="295">
        <f t="shared" si="75"/>
        <v>0</v>
      </c>
    </row>
    <row r="298" spans="1:9" s="109" customFormat="1" ht="31.5" hidden="1" x14ac:dyDescent="0.25">
      <c r="A298" s="772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IF(B298&gt;0,VLOOKUP(B298,КВСР!A87:B1252,2),IF(C298&gt;0,VLOOKUP(C298,КФСР!A87:B1599,2),IF(D298&gt;0,VLOOKUP(D298,Программа!A$1:B$5110,2),IF(F298&gt;0,VLOOKUP(F298,КВР!A$1:B$5001,2),IF(E298&gt;0,VLOOKUP(E298,Направление!A$1:B$4783,2))))))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3"/>
      <c r="H298" s="284">
        <f>H299</f>
        <v>0</v>
      </c>
      <c r="I298" s="283">
        <f t="shared" si="74"/>
        <v>0</v>
      </c>
    </row>
    <row r="299" spans="1:9" s="109" customFormat="1" ht="47.25" hidden="1" x14ac:dyDescent="0.25">
      <c r="A299" s="772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5"/>
      <c r="H299" s="284"/>
      <c r="I299" s="283">
        <f t="shared" si="74"/>
        <v>0</v>
      </c>
    </row>
    <row r="300" spans="1:9" s="109" customFormat="1" ht="31.5" hidden="1" x14ac:dyDescent="0.25">
      <c r="A300" s="772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IF(B300&gt;0,VLOOKUP(B300,КВСР!A89:B1254,2),IF(C300&gt;0,VLOOKUP(C300,КФСР!A89:B1601,2),IF(D300&gt;0,VLOOKUP(D300,Программа!A$1:B$5110,2),IF(F300&gt;0,VLOOKUP(F300,КВР!A$1:B$5001,2),IF(E300&gt;0,VLOOKUP(E300,Направление!A$1:B$4783,2))))))</f>
        <v>Обеспечение мероприятий по благоустройству воинских захоронений</v>
      </c>
      <c r="B300" s="117"/>
      <c r="C300" s="112"/>
      <c r="D300" s="113" t="s">
        <v>741</v>
      </c>
      <c r="E300" s="112"/>
      <c r="F300" s="114"/>
      <c r="G300" s="295"/>
      <c r="H300" s="284">
        <f>H301+H303</f>
        <v>0</v>
      </c>
      <c r="I300" s="295">
        <f>I301+I303</f>
        <v>0</v>
      </c>
    </row>
    <row r="301" spans="1:9" s="109" customFormat="1" ht="63" hidden="1" x14ac:dyDescent="0.25">
      <c r="A301" s="772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5"/>
      <c r="H301" s="284">
        <f t="shared" ref="H301:I301" si="76">H302</f>
        <v>0</v>
      </c>
      <c r="I301" s="295">
        <f t="shared" si="76"/>
        <v>0</v>
      </c>
    </row>
    <row r="302" spans="1:9" s="109" customFormat="1" ht="47.25" hidden="1" x14ac:dyDescent="0.25">
      <c r="A302" s="772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5"/>
      <c r="H302" s="284"/>
      <c r="I302" s="295">
        <f>SUM(G302:H302)</f>
        <v>0</v>
      </c>
    </row>
    <row r="303" spans="1:9" s="109" customFormat="1" ht="63" hidden="1" x14ac:dyDescent="0.25">
      <c r="A303" s="772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5"/>
      <c r="H303" s="284">
        <f t="shared" ref="H303:I303" si="77">H304</f>
        <v>0</v>
      </c>
      <c r="I303" s="295">
        <f t="shared" si="77"/>
        <v>0</v>
      </c>
    </row>
    <row r="304" spans="1:9" s="109" customFormat="1" ht="47.25" hidden="1" x14ac:dyDescent="0.25">
      <c r="A304" s="772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5"/>
      <c r="H304" s="284"/>
      <c r="I304" s="295">
        <f>SUM(G304:H304)</f>
        <v>0</v>
      </c>
    </row>
    <row r="305" spans="1:9" s="109" customFormat="1" ht="110.25" hidden="1" x14ac:dyDescent="0.25">
      <c r="A305" s="772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1645</v>
      </c>
      <c r="E305" s="112"/>
      <c r="F305" s="114"/>
      <c r="G305" s="295"/>
      <c r="H305" s="284">
        <f t="shared" ref="H305:I307" si="78">H306</f>
        <v>0</v>
      </c>
      <c r="I305" s="295">
        <f t="shared" si="78"/>
        <v>0</v>
      </c>
    </row>
    <row r="306" spans="1:9" s="109" customFormat="1" ht="47.25" hidden="1" x14ac:dyDescent="0.25">
      <c r="A306" s="772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IF(B306&gt;0,VLOOKUP(B306,КВСР!A94:B1259,2),IF(C306&gt;0,VLOOKUP(C306,КФСР!A94:B1606,2),IF(D306&gt;0,VLOOKUP(D306,Программа!A$1:B$5110,2),IF(F306&gt;0,VLOOKUP(F306,КВР!A$1:B$5001,2),IF(E306&gt;0,VLOOKUP(E306,Направление!A$1:B$4783,2))))))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1646</v>
      </c>
      <c r="E306" s="112"/>
      <c r="F306" s="114"/>
      <c r="G306" s="295"/>
      <c r="H306" s="284">
        <f t="shared" si="78"/>
        <v>0</v>
      </c>
      <c r="I306" s="295">
        <f t="shared" si="78"/>
        <v>0</v>
      </c>
    </row>
    <row r="307" spans="1:9" s="109" customFormat="1" ht="31.5" hidden="1" x14ac:dyDescent="0.25">
      <c r="A307" s="772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IF(B307&gt;0,VLOOKUP(B307,КВСР!A94:B1259,2),IF(C307&gt;0,VLOOKUP(C307,КФСР!A94:B1606,2),IF(D307&gt;0,VLOOKUP(D307,Программа!A$1:B$5110,2),IF(F307&gt;0,VLOOKUP(F307,КВР!A$1:B$5001,2),IF(E307&gt;0,VLOOKUP(E307,Направление!A$1:B$4783,2))))))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5"/>
      <c r="H307" s="284">
        <f t="shared" si="78"/>
        <v>0</v>
      </c>
      <c r="I307" s="295">
        <f t="shared" si="78"/>
        <v>0</v>
      </c>
    </row>
    <row r="308" spans="1:9" s="109" customFormat="1" ht="47.25" hidden="1" x14ac:dyDescent="0.25">
      <c r="A308" s="772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IF(B308&gt;0,VLOOKUP(B308,КВСР!A95:B1260,2),IF(C308&gt;0,VLOOKUP(C308,КФСР!A95:B1607,2),IF(D308&gt;0,VLOOKUP(D308,Программа!A$1:B$5110,2),IF(F308&gt;0,VLOOKUP(F308,КВР!A$1:B$5001,2),IF(E308&gt;0,VLOOKUP(E308,Направление!A$1:B$4783,2))))))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5"/>
      <c r="H308" s="284"/>
      <c r="I308" s="283">
        <f>G308+H308</f>
        <v>0</v>
      </c>
    </row>
    <row r="309" spans="1:9" s="109" customFormat="1" ht="63" hidden="1" x14ac:dyDescent="0.25">
      <c r="A309" s="772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1647</v>
      </c>
      <c r="E309" s="112"/>
      <c r="F309" s="114"/>
      <c r="G309" s="295"/>
      <c r="H309" s="284">
        <f t="shared" ref="H309:I311" si="79">H310</f>
        <v>0</v>
      </c>
      <c r="I309" s="295">
        <f t="shared" si="79"/>
        <v>0</v>
      </c>
    </row>
    <row r="310" spans="1:9" s="109" customFormat="1" ht="31.5" hidden="1" x14ac:dyDescent="0.25">
      <c r="A310" s="772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IF(B310&gt;0,VLOOKUP(B310,КВСР!A97:B1262,2),IF(C310&gt;0,VLOOKUP(C310,КФСР!A97:B1609,2),IF(D310&gt;0,VLOOKUP(D310,Программа!A$1:B$5110,2),IF(F310&gt;0,VLOOKUP(F310,КВР!A$1:B$5001,2),IF(E310&gt;0,VLOOKUP(E310,Направление!A$1:B$4783,2))))))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1648</v>
      </c>
      <c r="E310" s="112"/>
      <c r="F310" s="114"/>
      <c r="G310" s="295"/>
      <c r="H310" s="284">
        <f t="shared" si="79"/>
        <v>0</v>
      </c>
      <c r="I310" s="295">
        <f t="shared" si="79"/>
        <v>0</v>
      </c>
    </row>
    <row r="311" spans="1:9" s="109" customFormat="1" ht="63" hidden="1" x14ac:dyDescent="0.25">
      <c r="A311" s="772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5"/>
      <c r="H311" s="284">
        <f t="shared" si="79"/>
        <v>0</v>
      </c>
      <c r="I311" s="295">
        <f t="shared" si="79"/>
        <v>0</v>
      </c>
    </row>
    <row r="312" spans="1:9" s="109" customFormat="1" ht="47.25" hidden="1" x14ac:dyDescent="0.25">
      <c r="A312" s="772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IF(B312&gt;0,VLOOKUP(B312,КВСР!A98:B1263,2),IF(C312&gt;0,VLOOKUP(C312,КФСР!A98:B1610,2),IF(D312&gt;0,VLOOKUP(D312,Программа!A$1:B$5110,2),IF(F312&gt;0,VLOOKUP(F312,КВР!A$1:B$5001,2),IF(E312&gt;0,VLOOKUP(E312,Направление!A$1:B$4783,2))))))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5"/>
      <c r="H312" s="284"/>
      <c r="I312" s="283">
        <f>G312+H312</f>
        <v>0</v>
      </c>
    </row>
    <row r="313" spans="1:9" s="109" customFormat="1" ht="63" hidden="1" x14ac:dyDescent="0.25">
      <c r="A313" s="772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1244</v>
      </c>
      <c r="E313" s="112"/>
      <c r="F313" s="114"/>
      <c r="G313" s="283"/>
      <c r="H313" s="284">
        <f>H314+H317+H320</f>
        <v>0</v>
      </c>
      <c r="I313" s="283">
        <f>SUM(G313:H313)</f>
        <v>0</v>
      </c>
    </row>
    <row r="314" spans="1:9" s="109" customFormat="1" ht="31.5" hidden="1" x14ac:dyDescent="0.25">
      <c r="A314" s="772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IF(B314&gt;0,VLOOKUP(B314,КВСР!A90:B1255,2),IF(C314&gt;0,VLOOKUP(C314,КФСР!A90:B1602,2),IF(D314&gt;0,VLOOKUP(D314,Программа!A$1:B$5110,2),IF(F314&gt;0,VLOOKUP(F314,КВР!A$1:B$5001,2),IF(E314&gt;0,VLOOKUP(E314,Направление!A$1:B$4783,2))))))</f>
        <v>Повышение уровня благоустройства дворовых территорий</v>
      </c>
      <c r="B314" s="117"/>
      <c r="C314" s="112"/>
      <c r="D314" s="113" t="s">
        <v>1264</v>
      </c>
      <c r="E314" s="112"/>
      <c r="F314" s="114"/>
      <c r="G314" s="283"/>
      <c r="H314" s="284">
        <f>H315</f>
        <v>0</v>
      </c>
      <c r="I314" s="283">
        <f>SUM(G314:H314)</f>
        <v>0</v>
      </c>
    </row>
    <row r="315" spans="1:9" s="109" customFormat="1" ht="47.25" hidden="1" x14ac:dyDescent="0.25">
      <c r="A315" s="772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IF(B315&gt;0,VLOOKUP(B315,КВСР!A89:B1254,2),IF(C315&gt;0,VLOOKUP(C315,КФСР!A89:B1601,2),IF(D315&gt;0,VLOOKUP(D315,Программа!A$1:B$5110,2),IF(F315&gt;0,VLOOKUP(F315,КВР!A$1:B$5001,2),IF(E315&gt;0,VLOOKUP(E315,Направление!A$1:B$4783,2))))))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3"/>
      <c r="H315" s="284">
        <f>H316</f>
        <v>0</v>
      </c>
      <c r="I315" s="283">
        <f t="shared" si="74"/>
        <v>0</v>
      </c>
    </row>
    <row r="316" spans="1:9" s="109" customFormat="1" ht="47.25" hidden="1" x14ac:dyDescent="0.25">
      <c r="A316" s="772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IF(B316&gt;0,VLOOKUP(B316,КВСР!A90:B1255,2),IF(C316&gt;0,VLOOKUP(C316,КФСР!A90:B1602,2),IF(D316&gt;0,VLOOKUP(D316,Программа!A$1:B$5110,2),IF(F316&gt;0,VLOOKUP(F316,КВР!A$1:B$5001,2),IF(E316&gt;0,VLOOKUP(E316,Направление!A$1:B$4783,2))))))</f>
        <v xml:space="preserve">Закупка товаров, работ и услуг для обеспечения государственных (муниципальных) нужд
</v>
      </c>
      <c r="B316" s="117"/>
      <c r="C316" s="112"/>
      <c r="D316" s="113"/>
      <c r="E316" s="112"/>
      <c r="F316" s="114">
        <v>200</v>
      </c>
      <c r="G316" s="295"/>
      <c r="H316" s="284"/>
      <c r="I316" s="283">
        <f t="shared" si="74"/>
        <v>0</v>
      </c>
    </row>
    <row r="317" spans="1:9" s="109" customFormat="1" ht="47.25" hidden="1" x14ac:dyDescent="0.25">
      <c r="A317" s="772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IF(B317&gt;0,VLOOKUP(B317,КВСР!A91:B1256,2),IF(C317&gt;0,VLOOKUP(C317,КФСР!A91:B1603,2),IF(D317&gt;0,VLOOKUP(D317,Программа!A$1:B$5110,2),IF(F317&gt;0,VLOOKUP(F317,КВР!A$1:B$5001,2),IF(E317&gt;0,VLOOKUP(E317,Направление!A$1:B$4783,2))))))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1266</v>
      </c>
      <c r="E317" s="112"/>
      <c r="F317" s="114"/>
      <c r="G317" s="283"/>
      <c r="H317" s="284">
        <f>H318</f>
        <v>0</v>
      </c>
      <c r="I317" s="283">
        <f t="shared" si="74"/>
        <v>0</v>
      </c>
    </row>
    <row r="318" spans="1:9" s="109" customFormat="1" ht="47.25" hidden="1" x14ac:dyDescent="0.25">
      <c r="A318" s="772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IF(B318&gt;0,VLOOKUP(B318,КВСР!A92:B1257,2),IF(C318&gt;0,VLOOKUP(C318,КФСР!A92:B1604,2),IF(D318&gt;0,VLOOKUP(D318,Программа!A$1:B$5110,2),IF(F318&gt;0,VLOOKUP(F318,КВР!A$1:B$5001,2),IF(E318&gt;0,VLOOKUP(E318,Направление!A$1:B$4783,2))))))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3"/>
      <c r="H318" s="284">
        <f>H319</f>
        <v>0</v>
      </c>
      <c r="I318" s="283">
        <f t="shared" si="74"/>
        <v>0</v>
      </c>
    </row>
    <row r="319" spans="1:9" s="109" customFormat="1" ht="47.25" hidden="1" x14ac:dyDescent="0.25">
      <c r="A319" s="772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IF(B319&gt;0,VLOOKUP(B319,КВСР!A93:B1258,2),IF(C319&gt;0,VLOOKUP(C319,КФСР!A93:B1605,2),IF(D319&gt;0,VLOOKUP(D319,Программа!A$1:B$5110,2),IF(F319&gt;0,VLOOKUP(F319,КВР!A$1:B$5001,2),IF(E319&gt;0,VLOOKUP(E319,Направление!A$1:B$4783,2))))))</f>
        <v xml:space="preserve">Закупка товаров, работ и услуг для обеспечения государственных (муниципальных) нужд
</v>
      </c>
      <c r="B319" s="117"/>
      <c r="C319" s="112"/>
      <c r="D319" s="113"/>
      <c r="E319" s="112"/>
      <c r="F319" s="114">
        <v>200</v>
      </c>
      <c r="G319" s="295"/>
      <c r="H319" s="284"/>
      <c r="I319" s="283">
        <f t="shared" si="74"/>
        <v>0</v>
      </c>
    </row>
    <row r="320" spans="1:9" s="109" customFormat="1" ht="31.5" hidden="1" x14ac:dyDescent="0.25">
      <c r="A320" s="772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IF(B320&gt;0,VLOOKUP(B320,КВСР!A94:B1259,2),IF(C320&gt;0,VLOOKUP(C320,КФСР!A94:B1606,2),IF(D320&gt;0,VLOOKUP(D320,Программа!A$1:B$5110,2),IF(F320&gt;0,VLOOKUP(F320,КВР!A$1:B$5001,2),IF(E320&gt;0,VLOOKUP(E320,Направление!A$1:B$4783,2))))))</f>
        <v>Реализация   проекта "Формирование комфортной городской среды"</v>
      </c>
      <c r="B320" s="117"/>
      <c r="C320" s="112"/>
      <c r="D320" s="113" t="s">
        <v>1534</v>
      </c>
      <c r="E320" s="112"/>
      <c r="F320" s="114"/>
      <c r="G320" s="295"/>
      <c r="H320" s="284">
        <f t="shared" ref="H320:I321" si="80">H321</f>
        <v>0</v>
      </c>
      <c r="I320" s="295">
        <f t="shared" si="80"/>
        <v>0</v>
      </c>
    </row>
    <row r="321" spans="1:9" s="109" customFormat="1" ht="47.25" hidden="1" x14ac:dyDescent="0.25">
      <c r="A321" s="772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IF(B321&gt;0,VLOOKUP(B321,КВСР!A95:B1260,2),IF(C321&gt;0,VLOOKUP(C321,КФСР!A95:B1607,2),IF(D321&gt;0,VLOOKUP(D321,Программа!A$1:B$5110,2),IF(F321&gt;0,VLOOKUP(F321,КВР!A$1:B$5001,2),IF(E321&gt;0,VLOOKUP(E321,Направление!A$1:B$4783,2))))))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5"/>
      <c r="H321" s="284">
        <f t="shared" si="80"/>
        <v>0</v>
      </c>
      <c r="I321" s="295">
        <f t="shared" si="80"/>
        <v>0</v>
      </c>
    </row>
    <row r="322" spans="1:9" s="109" customFormat="1" ht="47.25" hidden="1" x14ac:dyDescent="0.25">
      <c r="A322" s="772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IF(B322&gt;0,VLOOKUP(B322,КВСР!A96:B1261,2),IF(C322&gt;0,VLOOKUP(C322,КФСР!A96:B1608,2),IF(D322&gt;0,VLOOKUP(D322,Программа!A$1:B$5110,2),IF(F322&gt;0,VLOOKUP(F322,КВР!A$1:B$5001,2),IF(E322&gt;0,VLOOKUP(E322,Направление!A$1:B$4783,2))))))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3"/>
      <c r="E322" s="112"/>
      <c r="F322" s="114">
        <v>200</v>
      </c>
      <c r="G322" s="295"/>
      <c r="H322" s="284"/>
      <c r="I322" s="283">
        <f>SUM(G322:H322)</f>
        <v>0</v>
      </c>
    </row>
    <row r="323" spans="1:9" s="109" customFormat="1" ht="31.5" x14ac:dyDescent="0.25">
      <c r="A323" s="772" t="str">
        <f>IF(B323&gt;0,VLOOKUP(B323,КВСР!A58:B1223,2),IF(C323&gt;0,VLOOKUP(C323,КФСР!A58:B1570,2),IF(D323&gt;0,VLOOKUP(D323,Программа!A$1:B$5110,2),IF(F323&gt;0,VLOOKUP(F323,КВР!A$1:B$5001,2),IF(E323&gt;0,VLOOKUP(E323,Направление!A$1:B$4783,2))))))</f>
        <v>Другие вопросы в области охраны окружающей среды</v>
      </c>
      <c r="B323" s="117"/>
      <c r="C323" s="112">
        <v>605</v>
      </c>
      <c r="D323" s="114"/>
      <c r="E323" s="112"/>
      <c r="F323" s="114"/>
      <c r="G323" s="295"/>
      <c r="H323" s="284">
        <f t="shared" ref="H323:H324" si="81">H324</f>
        <v>700000</v>
      </c>
      <c r="I323" s="120">
        <f t="shared" si="27"/>
        <v>700000</v>
      </c>
    </row>
    <row r="324" spans="1:9" s="109" customFormat="1" ht="63" x14ac:dyDescent="0.25">
      <c r="A324" s="772" t="str">
        <f>IF(B324&gt;0,VLOOKUP(B324,КВСР!A59:B1224,2),IF(C324&gt;0,VLOOKUP(C324,КФСР!A59:B1571,2),IF(D324&gt;0,VLOOKUP(D324,Программа!A$1:B$5110,2),IF(F324&gt;0,VLOOKUP(F324,КВР!A$1:B$5001,2),IF(E324&gt;0,VLOOKUP(E324,Направление!A$1:B$4783,2))))))</f>
        <v>Муниципальная программа "Охрана окружающей среды и рациональное природопользование в Тутаевском муниципальном районе"</v>
      </c>
      <c r="B324" s="117"/>
      <c r="C324" s="112"/>
      <c r="D324" s="114" t="s">
        <v>1121</v>
      </c>
      <c r="E324" s="112"/>
      <c r="F324" s="114"/>
      <c r="G324" s="295"/>
      <c r="H324" s="284">
        <f t="shared" si="81"/>
        <v>700000</v>
      </c>
      <c r="I324" s="120">
        <f t="shared" si="27"/>
        <v>700000</v>
      </c>
    </row>
    <row r="325" spans="1:9" s="109" customFormat="1" ht="63" x14ac:dyDescent="0.25">
      <c r="A325" s="772" t="str">
        <f>IF(B325&gt;0,VLOOKUP(B325,КВСР!A60:B1225,2),IF(C325&gt;0,VLOOKUP(C325,КФСР!A60:B1572,2),IF(D325&gt;0,VLOOKUP(D325,Программа!A$1:B$5110,2),IF(F325&gt;0,VLOOKUP(F325,КВР!A$1:B$5001,2),IF(E325&gt;0,VLOOKUP(E325,Направление!A$1:B$4783,2))))))</f>
        <v>Проведение мероприятий по охране окружающей среды и природопользованию на территории Тутаевского муниципального района</v>
      </c>
      <c r="B325" s="117"/>
      <c r="C325" s="112"/>
      <c r="D325" s="114" t="s">
        <v>1163</v>
      </c>
      <c r="E325" s="112"/>
      <c r="F325" s="114"/>
      <c r="G325" s="295"/>
      <c r="H325" s="284">
        <f>H326+H329+H331</f>
        <v>700000</v>
      </c>
      <c r="I325" s="295">
        <f>I326+I329+I331</f>
        <v>700000</v>
      </c>
    </row>
    <row r="326" spans="1:9" s="109" customFormat="1" ht="31.5" x14ac:dyDescent="0.25">
      <c r="A326" s="772" t="str">
        <f>IF(B326&gt;0,VLOOKUP(B326,КВСР!A60:B1225,2),IF(C326&gt;0,VLOOKUP(C326,КФСР!A60:B1572,2),IF(D326&gt;0,VLOOKUP(D326,Программа!A$1:B$5110,2),IF(F326&gt;0,VLOOKUP(F326,КВР!A$1:B$5001,2),IF(E326&gt;0,VLOOKUP(E326,Направление!A$1:B$4783,2))))))</f>
        <v>Расходы на природоохранные мероприятия</v>
      </c>
      <c r="B326" s="117"/>
      <c r="C326" s="112"/>
      <c r="D326" s="114"/>
      <c r="E326" s="112">
        <v>10600</v>
      </c>
      <c r="F326" s="114"/>
      <c r="G326" s="295"/>
      <c r="H326" s="284">
        <f t="shared" ref="H326:I326" si="82">H327+H328</f>
        <v>550000</v>
      </c>
      <c r="I326" s="295">
        <f t="shared" si="82"/>
        <v>550000</v>
      </c>
    </row>
    <row r="327" spans="1:9" s="109" customFormat="1" ht="47.25" x14ac:dyDescent="0.25">
      <c r="A327" s="772" t="str">
        <f>IF(B327&gt;0,VLOOKUP(B327,КВСР!A61:B1226,2),IF(C327&gt;0,VLOOKUP(C327,КФСР!A61:B1573,2),IF(D327&gt;0,VLOOKUP(D327,Программа!A$1:B$5110,2),IF(F327&gt;0,VLOOKUP(F327,КВР!A$1:B$5001,2),IF(E327&gt;0,VLOOKUP(E327,Направление!A$1:B$4783,2))))))</f>
        <v xml:space="preserve">Закупка товаров, работ и услуг для обеспечения государственных (муниципальных) нужд
</v>
      </c>
      <c r="B327" s="117"/>
      <c r="C327" s="112"/>
      <c r="D327" s="114"/>
      <c r="E327" s="112"/>
      <c r="F327" s="114">
        <v>200</v>
      </c>
      <c r="G327" s="295"/>
      <c r="H327" s="284">
        <v>50000</v>
      </c>
      <c r="I327" s="120">
        <f t="shared" si="27"/>
        <v>50000</v>
      </c>
    </row>
    <row r="328" spans="1:9" s="109" customFormat="1" ht="47.25" x14ac:dyDescent="0.25">
      <c r="A328" s="772" t="str">
        <f>IF(B328&gt;0,VLOOKUP(B328,КВСР!A62:B1227,2),IF(C328&gt;0,VLOOKUP(C328,КФСР!A62:B1574,2),IF(D328&gt;0,VLOOKUP(D328,Программа!A$1:B$5110,2),IF(F328&gt;0,VLOOKUP(F328,КВР!A$1:B$5001,2),IF(E328&gt;0,VLOOKUP(E328,Направление!A$1:B$4783,2))))))</f>
        <v>Предоставление субсидий бюджетным, автономным учреждениям и иным некоммерческим организациям</v>
      </c>
      <c r="B328" s="117"/>
      <c r="C328" s="112"/>
      <c r="D328" s="114"/>
      <c r="E328" s="112"/>
      <c r="F328" s="114">
        <v>600</v>
      </c>
      <c r="G328" s="295"/>
      <c r="H328" s="284">
        <v>500000</v>
      </c>
      <c r="I328" s="120">
        <f>G328+H328</f>
        <v>500000</v>
      </c>
    </row>
    <row r="329" spans="1:9" s="109" customFormat="1" ht="31.5" x14ac:dyDescent="0.25">
      <c r="A329" s="772" t="str">
        <f>IF(B329&gt;0,VLOOKUP(B329,КВСР!A63:B1228,2),IF(C329&gt;0,VLOOKUP(C329,КФСР!A63:B1575,2),IF(D329&gt;0,VLOOKUP(D329,Программа!A$1:B$5110,2),IF(F329&gt;0,VLOOKUP(F329,КВР!A$1:B$5001,2),IF(E329&gt;0,VLOOKUP(E329,Направление!A$1:B$4783,2))))))</f>
        <v>Расходы на реализацию мероприятий по борьбе с борщевиком Сосновского</v>
      </c>
      <c r="B329" s="117"/>
      <c r="C329" s="112"/>
      <c r="D329" s="114"/>
      <c r="E329" s="112">
        <v>16900</v>
      </c>
      <c r="F329" s="114"/>
      <c r="G329" s="295"/>
      <c r="H329" s="284">
        <f>H330</f>
        <v>150000</v>
      </c>
      <c r="I329" s="295">
        <f>I330</f>
        <v>150000</v>
      </c>
    </row>
    <row r="330" spans="1:9" s="109" customFormat="1" ht="47.25" x14ac:dyDescent="0.25">
      <c r="A330" s="772" t="str">
        <f>IF(B330&gt;0,VLOOKUP(B330,КВСР!A64:B1229,2),IF(C330&gt;0,VLOOKUP(C330,КФСР!A64:B1576,2),IF(D330&gt;0,VLOOKUP(D330,Программа!A$1:B$5110,2),IF(F330&gt;0,VLOOKUP(F330,КВР!A$1:B$5001,2),IF(E330&gt;0,VLOOKUP(E330,Направление!A$1:B$4783,2))))))</f>
        <v xml:space="preserve">Закупка товаров, работ и услуг для обеспечения государственных (муниципальных) нужд
</v>
      </c>
      <c r="B330" s="117"/>
      <c r="C330" s="112"/>
      <c r="D330" s="114"/>
      <c r="E330" s="112"/>
      <c r="F330" s="114">
        <v>200</v>
      </c>
      <c r="G330" s="295"/>
      <c r="H330" s="284">
        <v>150000</v>
      </c>
      <c r="I330" s="120">
        <f>G330+H330</f>
        <v>150000</v>
      </c>
    </row>
    <row r="331" spans="1:9" s="109" customFormat="1" ht="47.25" hidden="1" x14ac:dyDescent="0.25">
      <c r="A331" s="772" t="str">
        <f>IF(B331&gt;0,VLOOKUP(B331,КВСР!A65:B1230,2),IF(C331&gt;0,VLOOKUP(C331,КФСР!A65:B1577,2),IF(D331&gt;0,VLOOKUP(D331,Программа!A$1:B$5110,2),IF(F331&gt;0,VLOOKUP(F331,КВР!A$1:B$5001,2),IF(E331&gt;0,VLOOKUP(E331,Направление!A$1:B$4783,2))))))</f>
        <v>Расходы на реализацию мероприятий по борьбе с борщевиком Сосновского на территории Ярославской области</v>
      </c>
      <c r="B331" s="117"/>
      <c r="C331" s="112"/>
      <c r="D331" s="114"/>
      <c r="E331" s="112">
        <v>76900</v>
      </c>
      <c r="F331" s="114"/>
      <c r="G331" s="295"/>
      <c r="H331" s="284">
        <f>H332</f>
        <v>0</v>
      </c>
      <c r="I331" s="295">
        <f>I332</f>
        <v>0</v>
      </c>
    </row>
    <row r="332" spans="1:9" s="109" customFormat="1" ht="47.25" hidden="1" x14ac:dyDescent="0.25">
      <c r="A332" s="772" t="str">
        <f>IF(B332&gt;0,VLOOKUP(B332,КВСР!A64:B1229,2),IF(C332&gt;0,VLOOKUP(C332,КФСР!A64:B1576,2),IF(D332&gt;0,VLOOKUP(D332,Программа!A$1:B$5110,2),IF(F332&gt;0,VLOOKUP(F332,КВР!A$1:B$5001,2),IF(E332&gt;0,VLOOKUP(E332,Направление!A$1:B$4783,2))))))</f>
        <v xml:space="preserve">Закупка товаров, работ и услуг для обеспечения государственных (муниципальных) нужд
</v>
      </c>
      <c r="B332" s="117"/>
      <c r="C332" s="112"/>
      <c r="D332" s="114"/>
      <c r="E332" s="112"/>
      <c r="F332" s="114">
        <v>200</v>
      </c>
      <c r="G332" s="295"/>
      <c r="H332" s="284"/>
      <c r="I332" s="120">
        <f>G332+H332</f>
        <v>0</v>
      </c>
    </row>
    <row r="333" spans="1:9" s="109" customFormat="1" x14ac:dyDescent="0.25">
      <c r="A333" s="772" t="str">
        <f>IF(B333&gt;0,VLOOKUP(B333,КВСР!A65:B1230,2),IF(C333&gt;0,VLOOKUP(C333,КФСР!A65:B1577,2),IF(D333&gt;0,VLOOKUP(D333,Программа!A$1:B$5110,2),IF(F333&gt;0,VLOOKUP(F333,КВР!A$1:B$5001,2),IF(E333&gt;0,VLOOKUP(E333,Направление!A$1:B$4783,2))))))</f>
        <v>Культура</v>
      </c>
      <c r="B333" s="117"/>
      <c r="C333" s="112">
        <v>801</v>
      </c>
      <c r="D333" s="114"/>
      <c r="E333" s="112"/>
      <c r="F333" s="114"/>
      <c r="G333" s="295">
        <f>G334</f>
        <v>0</v>
      </c>
      <c r="H333" s="284">
        <f t="shared" ref="H333:I337" si="83">H334</f>
        <v>14807009</v>
      </c>
      <c r="I333" s="295">
        <f t="shared" si="83"/>
        <v>14807009</v>
      </c>
    </row>
    <row r="334" spans="1:9" s="109" customFormat="1" ht="63" x14ac:dyDescent="0.25">
      <c r="A334" s="772" t="str">
        <f>IF(B334&gt;0,VLOOKUP(B334,КВСР!A66:B1231,2),IF(C334&gt;0,VLOOKUP(C334,КФСР!A66:B1578,2),IF(D334&gt;0,VLOOKUP(D334,Программа!A$1:B$5110,2),IF(F334&gt;0,VLOOKUP(F334,КВР!A$1:B$5001,2),IF(E334&gt;0,VLOOKUP(E334,Направление!A$1:B$4783,2))))))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34" s="117"/>
      <c r="C334" s="112"/>
      <c r="D334" s="114" t="s">
        <v>482</v>
      </c>
      <c r="E334" s="112"/>
      <c r="F334" s="114"/>
      <c r="G334" s="295">
        <f>G335</f>
        <v>0</v>
      </c>
      <c r="H334" s="284">
        <f t="shared" si="83"/>
        <v>14807009</v>
      </c>
      <c r="I334" s="295">
        <f t="shared" si="83"/>
        <v>14807009</v>
      </c>
    </row>
    <row r="335" spans="1:9" s="109" customFormat="1" ht="47.25" x14ac:dyDescent="0.25">
      <c r="A335" s="772" t="str">
        <f>IF(B335&gt;0,VLOOKUP(B335,КВСР!A67:B1232,2),IF(C335&gt;0,VLOOKUP(C335,КФСР!A67:B1579,2),IF(D335&gt;0,VLOOKUP(D335,Программа!A$1:B$5110,2),IF(F335&gt;0,VLOOKUP(F335,КВР!A$1:B$5001,2),IF(E335&gt;0,VLOOKUP(E335,Направление!A$1:B$4783,2))))))</f>
        <v>Ведомственная целевая программа «Сохранение и развитие культуры Тутаевского муниципального района»</v>
      </c>
      <c r="B335" s="117"/>
      <c r="C335" s="112"/>
      <c r="D335" s="113" t="s">
        <v>581</v>
      </c>
      <c r="E335" s="112"/>
      <c r="F335" s="114"/>
      <c r="G335" s="295">
        <f>G336</f>
        <v>0</v>
      </c>
      <c r="H335" s="284">
        <f t="shared" si="83"/>
        <v>14807009</v>
      </c>
      <c r="I335" s="295">
        <f t="shared" si="83"/>
        <v>14807009</v>
      </c>
    </row>
    <row r="336" spans="1:9" s="109" customFormat="1" x14ac:dyDescent="0.25">
      <c r="A336" s="772" t="str">
        <f>IF(B336&gt;0,VLOOKUP(B336,КВСР!A68:B1233,2),IF(C336&gt;0,VLOOKUP(C336,КФСР!A68:B1580,2),IF(D336&gt;0,VLOOKUP(D336,Программа!A$1:B$5110,2),IF(F336&gt;0,VLOOKUP(F336,КВР!A$1:B$5001,2),IF(E336&gt;0,VLOOKUP(E336,Направление!A$1:B$4783,2))))))</f>
        <v>Федеральный проект "Культурная среда"</v>
      </c>
      <c r="B336" s="117"/>
      <c r="C336" s="112"/>
      <c r="D336" s="114" t="s">
        <v>1927</v>
      </c>
      <c r="E336" s="112"/>
      <c r="F336" s="114"/>
      <c r="G336" s="295">
        <f>G337</f>
        <v>0</v>
      </c>
      <c r="H336" s="284">
        <f t="shared" si="83"/>
        <v>14807009</v>
      </c>
      <c r="I336" s="295">
        <f t="shared" si="83"/>
        <v>14807009</v>
      </c>
    </row>
    <row r="337" spans="1:9" s="109" customFormat="1" ht="47.25" x14ac:dyDescent="0.25">
      <c r="A337" s="772" t="str">
        <f>IF(B337&gt;0,VLOOKUP(B337,КВСР!A69:B1234,2),IF(C337&gt;0,VLOOKUP(C337,КФСР!A69:B1581,2),IF(D337&gt;0,VLOOKUP(D337,Программа!A$1:B$5110,2),IF(F337&gt;0,VLOOKUP(F337,КВР!A$1:B$5001,2),IF(E337&gt;0,VLOOKUP(E337,Направление!A$1:B$4783,2))))))</f>
        <v>Расходы на капитальный ремонт учреждений культурно-досугового типа в сельской местности</v>
      </c>
      <c r="B337" s="117"/>
      <c r="C337" s="112"/>
      <c r="D337" s="114"/>
      <c r="E337" s="112">
        <v>55196</v>
      </c>
      <c r="F337" s="114"/>
      <c r="G337" s="295">
        <f>G338</f>
        <v>0</v>
      </c>
      <c r="H337" s="284">
        <f t="shared" si="83"/>
        <v>14807009</v>
      </c>
      <c r="I337" s="295">
        <f t="shared" si="83"/>
        <v>14807009</v>
      </c>
    </row>
    <row r="338" spans="1:9" s="109" customFormat="1" ht="47.25" x14ac:dyDescent="0.25">
      <c r="A338" s="772" t="str">
        <f>IF(B338&gt;0,VLOOKUP(B338,КВСР!A70:B1235,2),IF(C338&gt;0,VLOOKUP(C338,КФСР!A70:B1582,2),IF(D338&gt;0,VLOOKUP(D338,Программа!A$1:B$5110,2),IF(F338&gt;0,VLOOKUP(F338,КВР!A$1:B$5001,2),IF(E338&gt;0,VLOOKUP(E338,Направление!A$1:B$4783,2))))))</f>
        <v xml:space="preserve">Закупка товаров, работ и услуг для обеспечения государственных (муниципальных) нужд
</v>
      </c>
      <c r="B338" s="117"/>
      <c r="C338" s="112"/>
      <c r="D338" s="114"/>
      <c r="E338" s="112"/>
      <c r="F338" s="114">
        <v>200</v>
      </c>
      <c r="G338" s="295"/>
      <c r="H338" s="284">
        <f>14064602+742407</f>
        <v>14807009</v>
      </c>
      <c r="I338" s="120">
        <f>G338+H338</f>
        <v>14807009</v>
      </c>
    </row>
    <row r="339" spans="1:9" s="109" customFormat="1" hidden="1" x14ac:dyDescent="0.25">
      <c r="A339" s="772" t="str">
        <f>IF(B339&gt;0,VLOOKUP(B339,КВСР!A62:B1227,2),IF(C339&gt;0,VLOOKUP(C339,КФСР!A62:B1574,2),IF(D339&gt;0,VLOOKUP(D339,Программа!A$1:B$5110,2),IF(F339&gt;0,VLOOKUP(F339,КВР!A$1:B$5001,2),IF(E339&gt;0,VLOOKUP(E339,Направление!A$1:B$4783,2))))))</f>
        <v>Охрана семьи и детства</v>
      </c>
      <c r="B339" s="117"/>
      <c r="C339" s="112">
        <v>1004</v>
      </c>
      <c r="D339" s="114"/>
      <c r="E339" s="112"/>
      <c r="F339" s="114"/>
      <c r="G339" s="295"/>
      <c r="H339" s="284">
        <f t="shared" ref="H339:I340" si="84">H340</f>
        <v>0</v>
      </c>
      <c r="I339" s="120">
        <f t="shared" si="27"/>
        <v>0</v>
      </c>
    </row>
    <row r="340" spans="1:9" s="109" customFormat="1" hidden="1" x14ac:dyDescent="0.25">
      <c r="A340" s="772" t="str">
        <f>IF(B340&gt;0,VLOOKUP(B340,КВСР!A63:B1228,2),IF(C340&gt;0,VLOOKUP(C340,КФСР!A63:B1575,2),IF(D340&gt;0,VLOOKUP(D340,Программа!A$1:B$5110,2),IF(F340&gt;0,VLOOKUP(F340,КВР!A$1:B$5001,2),IF(E340&gt;0,VLOOKUP(E340,Направление!A$1:B$4783,2))))))</f>
        <v>Непрограммные расходы бюджета</v>
      </c>
      <c r="B340" s="117"/>
      <c r="C340" s="112"/>
      <c r="D340" s="114" t="s">
        <v>394</v>
      </c>
      <c r="E340" s="112"/>
      <c r="F340" s="114"/>
      <c r="G340" s="295"/>
      <c r="H340" s="284">
        <f t="shared" si="84"/>
        <v>0</v>
      </c>
      <c r="I340" s="295">
        <f t="shared" si="84"/>
        <v>0</v>
      </c>
    </row>
    <row r="341" spans="1:9" s="109" customFormat="1" hidden="1" x14ac:dyDescent="0.25">
      <c r="A341" s="772" t="str">
        <f>IF(B341&gt;0,VLOOKUP(B341,КВСР!A66:B1231,2),IF(C341&gt;0,VLOOKUP(C341,КФСР!A66:B1578,2),IF(D341&gt;0,VLOOKUP(D341,Программа!A$1:B$5110,2),IF(F341&gt;0,VLOOKUP(F341,КВР!A$1:B$5001,2),IF(E341&gt;0,VLOOKUP(E341,Направление!A$1:B$4783,2))))))</f>
        <v>Содержание центрального аппарата</v>
      </c>
      <c r="B341" s="117"/>
      <c r="C341" s="112"/>
      <c r="D341" s="114"/>
      <c r="E341" s="112">
        <v>12010</v>
      </c>
      <c r="F341" s="114"/>
      <c r="G341" s="295"/>
      <c r="H341" s="284">
        <f t="shared" ref="H341" si="85">H342</f>
        <v>0</v>
      </c>
      <c r="I341" s="120">
        <f t="shared" si="27"/>
        <v>0</v>
      </c>
    </row>
    <row r="342" spans="1:9" s="109" customFormat="1" ht="94.5" hidden="1" x14ac:dyDescent="0.25">
      <c r="A342" s="772" t="str">
        <f>IF(B342&gt;0,VLOOKUP(B342,КВСР!A67:B1232,2),IF(C342&gt;0,VLOOKUP(C342,КФСР!A67:B1579,2),IF(D342&gt;0,VLOOKUP(D342,Программа!A$1:B$5110,2),IF(F342&gt;0,VLOOKUP(F342,КВР!A$1:B$5001,2),IF(E342&gt;0,VLOOKUP(E342,Направление!A$1:B$4783,2))))))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17"/>
      <c r="C342" s="112"/>
      <c r="D342" s="114"/>
      <c r="E342" s="112"/>
      <c r="F342" s="114">
        <v>100</v>
      </c>
      <c r="G342" s="295"/>
      <c r="H342" s="284"/>
      <c r="I342" s="120">
        <f t="shared" si="27"/>
        <v>0</v>
      </c>
    </row>
    <row r="343" spans="1:9" s="109" customFormat="1" hidden="1" x14ac:dyDescent="0.25">
      <c r="A343" s="772" t="str">
        <f>IF(B343&gt;0,VLOOKUP(B343,КВСР!A66:B1231,2),IF(C343&gt;0,VLOOKUP(C343,КФСР!A66:B1578,2),IF(D343&gt;0,VLOOKUP(D343,Программа!A$1:B$5110,2),IF(F343&gt;0,VLOOKUP(F343,КВР!A$1:B$5001,2),IF(E343&gt;0,VLOOKUP(E343,Направление!A$1:B$4783,2))))))</f>
        <v>Массовый спорт</v>
      </c>
      <c r="B343" s="117"/>
      <c r="C343" s="112">
        <v>1102</v>
      </c>
      <c r="D343" s="113"/>
      <c r="E343" s="112"/>
      <c r="F343" s="114"/>
      <c r="G343" s="295"/>
      <c r="H343" s="284">
        <f t="shared" ref="H343:I343" si="86">H344</f>
        <v>0</v>
      </c>
      <c r="I343" s="295">
        <f t="shared" si="86"/>
        <v>0</v>
      </c>
    </row>
    <row r="344" spans="1:9" s="109" customFormat="1" ht="63" hidden="1" x14ac:dyDescent="0.25">
      <c r="A344" s="772" t="str">
        <f>IF(B344&gt;0,VLOOKUP(B344,КВСР!A63:B1228,2),IF(C344&gt;0,VLOOKUP(C344,КФСР!A63:B1575,2),IF(D344&gt;0,VLOOKUP(D344,Программа!A$1:B$5110,2),IF(F344&gt;0,VLOOKUP(F344,КВР!A$1:B$5001,2),IF(E344&gt;0,VLOOKUP(E344,Направление!A$1:B$4783,2))))))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4" s="117"/>
      <c r="C344" s="112"/>
      <c r="D344" s="113" t="s">
        <v>452</v>
      </c>
      <c r="E344" s="112"/>
      <c r="F344" s="114"/>
      <c r="G344" s="295"/>
      <c r="H344" s="284">
        <f>H345</f>
        <v>0</v>
      </c>
      <c r="I344" s="295">
        <f>I345</f>
        <v>0</v>
      </c>
    </row>
    <row r="345" spans="1:9" s="109" customFormat="1" ht="47.25" hidden="1" x14ac:dyDescent="0.25">
      <c r="A345" s="772" t="str">
        <f>IF(B345&gt;0,VLOOKUP(B345,КВСР!A64:B1229,2),IF(C345&gt;0,VLOOKUP(C345,КФСР!A64:B1576,2),IF(D345&gt;0,VLOOKUP(D345,Программа!A$1:B$5110,2),IF(F345&gt;0,VLOOKUP(F345,КВР!A$1:B$5001,2),IF(E345&gt;0,VLOOKUP(E345,Направление!A$1:B$4783,2))))))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45" s="117"/>
      <c r="C345" s="112"/>
      <c r="D345" s="113" t="s">
        <v>472</v>
      </c>
      <c r="E345" s="112"/>
      <c r="F345" s="114"/>
      <c r="G345" s="295"/>
      <c r="H345" s="284">
        <f>H346</f>
        <v>0</v>
      </c>
      <c r="I345" s="295">
        <f>I346</f>
        <v>0</v>
      </c>
    </row>
    <row r="346" spans="1:9" s="109" customFormat="1" ht="31.5" hidden="1" x14ac:dyDescent="0.25">
      <c r="A346" s="772" t="str">
        <f>IF(B346&gt;0,VLOOKUP(B346,КВСР!A65:B1230,2),IF(C346&gt;0,VLOOKUP(C346,КФСР!A65:B1577,2),IF(D346&gt;0,VLOOKUP(D346,Программа!A$1:B$5110,2),IF(F346&gt;0,VLOOKUP(F346,КВР!A$1:B$5001,2),IF(E346&gt;0,VLOOKUP(E346,Направление!A$1:B$4783,2))))))</f>
        <v>Развитие сети плоскостных спортивных сооружений</v>
      </c>
      <c r="B346" s="117"/>
      <c r="C346" s="112"/>
      <c r="D346" s="113" t="s">
        <v>509</v>
      </c>
      <c r="E346" s="112"/>
      <c r="F346" s="114"/>
      <c r="G346" s="295"/>
      <c r="H346" s="284">
        <f>H347+H349+H351+H353</f>
        <v>0</v>
      </c>
      <c r="I346" s="295">
        <f>I347+I349+I351+I353</f>
        <v>0</v>
      </c>
    </row>
    <row r="347" spans="1:9" s="109" customFormat="1" ht="47.25" hidden="1" x14ac:dyDescent="0.25">
      <c r="A347" s="772" t="str">
        <f>IF(B347&gt;0,VLOOKUP(B347,КВСР!A65:B1230,2),IF(C347&gt;0,VLOOKUP(C347,КФСР!A65:B1577,2),IF(D347&gt;0,VLOOKUP(D347,Программа!A$1:B$5110,2),IF(F347&gt;0,VLOOKUP(F347,КВР!A$1:B$5001,2),IF(E347&gt;0,VLOOKUP(E347,Направление!A$1:B$4783,2))))))</f>
        <v>Мероприятия по строительству, реконструкции и ремонту спортивных объектов</v>
      </c>
      <c r="B347" s="117"/>
      <c r="C347" s="112"/>
      <c r="D347" s="114"/>
      <c r="E347" s="112">
        <v>14100</v>
      </c>
      <c r="F347" s="114"/>
      <c r="G347" s="295"/>
      <c r="H347" s="284">
        <f t="shared" ref="H347:I347" si="87">H348</f>
        <v>0</v>
      </c>
      <c r="I347" s="121">
        <f t="shared" si="87"/>
        <v>0</v>
      </c>
    </row>
    <row r="348" spans="1:9" s="109" customFormat="1" ht="47.25" hidden="1" x14ac:dyDescent="0.25">
      <c r="A348" s="772" t="str">
        <f>IF(B348&gt;0,VLOOKUP(B348,КВСР!A65:B1230,2),IF(C348&gt;0,VLOOKUP(C348,КФСР!A65:B1577,2),IF(D348&gt;0,VLOOKUP(D348,Программа!A$1:B$5110,2),IF(F348&gt;0,VLOOKUP(F348,КВР!A$1:B$5001,2),IF(E348&gt;0,VLOOKUP(E348,Направление!A$1:B$4783,2))))))</f>
        <v xml:space="preserve">Закупка товаров, работ и услуг для обеспечения государственных (муниципальных) нужд
</v>
      </c>
      <c r="B348" s="117"/>
      <c r="C348" s="112"/>
      <c r="D348" s="114"/>
      <c r="E348" s="112"/>
      <c r="F348" s="114">
        <v>200</v>
      </c>
      <c r="G348" s="295"/>
      <c r="H348" s="284"/>
      <c r="I348" s="120">
        <f t="shared" si="27"/>
        <v>0</v>
      </c>
    </row>
    <row r="349" spans="1:9" s="109" customFormat="1" ht="47.25" hidden="1" x14ac:dyDescent="0.25">
      <c r="A349" s="772" t="str">
        <f>IF(B349&gt;0,VLOOKUP(B349,КВСР!A66:B1231,2),IF(C349&gt;0,VLOOKUP(C349,КФСР!A66:B1578,2),IF(D349&gt;0,VLOOKUP(D349,Программа!A$1:B$5110,2),IF(F349&gt;0,VLOOKUP(F349,КВР!A$1:B$5001,2),IF(E349&gt;0,VLOOKUP(E349,Направление!A$1:B$4783,2))))))</f>
        <v>Расходы на реализацию мероприятий инициативного бюджетирования на территории Ярославской области</v>
      </c>
      <c r="B349" s="117"/>
      <c r="C349" s="112"/>
      <c r="D349" s="114"/>
      <c r="E349" s="112">
        <v>15350</v>
      </c>
      <c r="F349" s="114"/>
      <c r="G349" s="295"/>
      <c r="H349" s="284">
        <f t="shared" ref="H349:I349" si="88">H350</f>
        <v>0</v>
      </c>
      <c r="I349" s="295">
        <f t="shared" si="88"/>
        <v>0</v>
      </c>
    </row>
    <row r="350" spans="1:9" s="109" customFormat="1" ht="47.25" hidden="1" x14ac:dyDescent="0.25">
      <c r="A350" s="772" t="str">
        <f>IF(B350&gt;0,VLOOKUP(B350,КВСР!A67:B1232,2),IF(C350&gt;0,VLOOKUP(C350,КФСР!A67:B1579,2),IF(D350&gt;0,VLOOKUP(D350,Программа!A$1:B$5110,2),IF(F350&gt;0,VLOOKUP(F350,КВР!A$1:B$5001,2),IF(E350&gt;0,VLOOKUP(E350,Направление!A$1:B$4783,2))))))</f>
        <v xml:space="preserve">Закупка товаров, работ и услуг для обеспечения государственных (муниципальных) нужд
</v>
      </c>
      <c r="B350" s="117"/>
      <c r="C350" s="112"/>
      <c r="D350" s="114"/>
      <c r="E350" s="112"/>
      <c r="F350" s="114">
        <v>200</v>
      </c>
      <c r="G350" s="295"/>
      <c r="H350" s="284"/>
      <c r="I350" s="120">
        <f>G350+H350</f>
        <v>0</v>
      </c>
    </row>
    <row r="351" spans="1:9" s="109" customFormat="1" ht="47.25" hidden="1" x14ac:dyDescent="0.25">
      <c r="A351" s="772" t="str">
        <f>IF(B351&gt;0,VLOOKUP(B351,КВСР!A68:B1233,2),IF(C351&gt;0,VLOOKUP(C351,КФСР!A68:B1580,2),IF(D351&gt;0,VLOOKUP(D351,Программа!A$1:B$5110,2),IF(F351&gt;0,VLOOKUP(F351,КВР!A$1:B$5001,2),IF(E351&gt;0,VLOOKUP(E351,Направление!A$1:B$4783,2))))))</f>
        <v>Расходы на реализацию мероприятий инициативного бюджетирования на территории Ярославской области</v>
      </c>
      <c r="B351" s="117"/>
      <c r="C351" s="112"/>
      <c r="D351" s="114"/>
      <c r="E351" s="112">
        <v>75350</v>
      </c>
      <c r="F351" s="114"/>
      <c r="G351" s="295"/>
      <c r="H351" s="284">
        <f t="shared" ref="H351:I351" si="89">H352</f>
        <v>0</v>
      </c>
      <c r="I351" s="295">
        <f t="shared" si="89"/>
        <v>0</v>
      </c>
    </row>
    <row r="352" spans="1:9" s="109" customFormat="1" ht="47.25" hidden="1" x14ac:dyDescent="0.25">
      <c r="A352" s="772" t="str">
        <f>IF(B352&gt;0,VLOOKUP(B352,КВСР!A69:B1234,2),IF(C352&gt;0,VLOOKUP(C352,КФСР!A69:B1581,2),IF(D352&gt;0,VLOOKUP(D352,Программа!A$1:B$5110,2),IF(F352&gt;0,VLOOKUP(F352,КВР!A$1:B$5001,2),IF(E352&gt;0,VLOOKUP(E352,Направление!A$1:B$4783,2))))))</f>
        <v xml:space="preserve">Закупка товаров, работ и услуг для обеспечения государственных (муниципальных) нужд
</v>
      </c>
      <c r="B352" s="117"/>
      <c r="C352" s="112"/>
      <c r="D352" s="114"/>
      <c r="E352" s="112"/>
      <c r="F352" s="114">
        <v>200</v>
      </c>
      <c r="G352" s="295"/>
      <c r="H352" s="284"/>
      <c r="I352" s="120">
        <f t="shared" ref="I352" si="90">G352+H352</f>
        <v>0</v>
      </c>
    </row>
    <row r="353" spans="1:9" s="109" customFormat="1" ht="78.75" hidden="1" x14ac:dyDescent="0.25">
      <c r="A353" s="772" t="str">
        <f>IF(B353&gt;0,VLOOKUP(B353,КВСР!A70:B1235,2),IF(C353&gt;0,VLOOKUP(C353,КФСР!A70:B1582,2),IF(D353&gt;0,VLOOKUP(D353,Программа!A$1:B$5110,2),IF(F353&gt;0,VLOOKUP(F353,КВР!A$1:B$5001,2),IF(E353&gt;0,VLOOKUP(E353,Направление!A$1:B$4783,2))))))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3" s="117"/>
      <c r="C353" s="112"/>
      <c r="D353" s="114"/>
      <c r="E353" s="112">
        <v>75870</v>
      </c>
      <c r="F353" s="114"/>
      <c r="G353" s="295"/>
      <c r="H353" s="284">
        <f t="shared" ref="H353:I353" si="91">H354</f>
        <v>0</v>
      </c>
      <c r="I353" s="295">
        <f t="shared" si="91"/>
        <v>0</v>
      </c>
    </row>
    <row r="354" spans="1:9" s="109" customFormat="1" ht="47.25" hidden="1" x14ac:dyDescent="0.25">
      <c r="A354" s="772" t="str">
        <f>IF(B354&gt;0,VLOOKUP(B354,КВСР!A71:B1236,2),IF(C354&gt;0,VLOOKUP(C354,КФСР!A71:B1583,2),IF(D354&gt;0,VLOOKUP(D354,Программа!A$1:B$5110,2),IF(F354&gt;0,VLOOKUP(F354,КВР!A$1:B$5001,2),IF(E354&gt;0,VLOOKUP(E354,Направление!A$1:B$4783,2))))))</f>
        <v xml:space="preserve">Закупка товаров, работ и услуг для обеспечения государственных (муниципальных) нужд
</v>
      </c>
      <c r="B354" s="117"/>
      <c r="C354" s="112"/>
      <c r="D354" s="114"/>
      <c r="E354" s="112"/>
      <c r="F354" s="114">
        <v>200</v>
      </c>
      <c r="G354" s="295"/>
      <c r="H354" s="284"/>
      <c r="I354" s="120">
        <f>G354+H354</f>
        <v>0</v>
      </c>
    </row>
    <row r="355" spans="1:9" s="109" customFormat="1" x14ac:dyDescent="0.25">
      <c r="A355" s="772" t="str">
        <f>IF(B355&gt;0,VLOOKUP(B355,КВСР!A66:B1231,2),IF(C355&gt;0,VLOOKUP(C355,КФСР!A66:B1578,2),IF(D355&gt;0,VLOOKUP(D355,Программа!A$1:B$5110,2),IF(F355&gt;0,VLOOKUP(F355,КВР!A$1:B$5001,2),IF(E355&gt;0,VLOOKUP(E355,Направление!A$1:B$4783,2))))))</f>
        <v>Периодическая печать и издательства</v>
      </c>
      <c r="B355" s="117"/>
      <c r="C355" s="112">
        <v>1202</v>
      </c>
      <c r="D355" s="114"/>
      <c r="E355" s="112"/>
      <c r="F355" s="114"/>
      <c r="G355" s="295"/>
      <c r="H355" s="339">
        <f>H356</f>
        <v>5100000</v>
      </c>
      <c r="I355" s="295">
        <f t="shared" ref="H355:I357" si="92">I356</f>
        <v>5100000</v>
      </c>
    </row>
    <row r="356" spans="1:9" s="109" customFormat="1" x14ac:dyDescent="0.25">
      <c r="A356" s="772" t="str">
        <f>IF(B356&gt;0,VLOOKUP(B356,КВСР!A67:B1232,2),IF(C356&gt;0,VLOOKUP(C356,КФСР!A67:B1579,2),IF(D356&gt;0,VLOOKUP(D356,Программа!A$1:B$5110,2),IF(F356&gt;0,VLOOKUP(F356,КВР!A$1:B$5001,2),IF(E356&gt;0,VLOOKUP(E356,Направление!A$1:B$4783,2))))))</f>
        <v>Непрограммные расходы бюджета</v>
      </c>
      <c r="B356" s="117"/>
      <c r="C356" s="112"/>
      <c r="D356" s="114" t="s">
        <v>394</v>
      </c>
      <c r="E356" s="112"/>
      <c r="F356" s="114"/>
      <c r="G356" s="295"/>
      <c r="H356" s="284">
        <f t="shared" si="92"/>
        <v>5100000</v>
      </c>
      <c r="I356" s="295">
        <f t="shared" si="92"/>
        <v>5100000</v>
      </c>
    </row>
    <row r="357" spans="1:9" s="109" customFormat="1" x14ac:dyDescent="0.25">
      <c r="A357" s="772" t="str">
        <f>IF(B357&gt;0,VLOOKUP(B357,КВСР!A68:B1233,2),IF(C357&gt;0,VLOOKUP(C357,КФСР!A68:B1580,2),IF(D357&gt;0,VLOOKUP(D357,Программа!A$1:B$5110,2),IF(F357&gt;0,VLOOKUP(F357,КВР!A$1:B$5001,2),IF(E357&gt;0,VLOOKUP(E357,Направление!A$1:B$4783,2))))))</f>
        <v xml:space="preserve">Поддержка периодических изданий </v>
      </c>
      <c r="B357" s="117"/>
      <c r="C357" s="112"/>
      <c r="D357" s="114"/>
      <c r="E357" s="112">
        <v>12750</v>
      </c>
      <c r="F357" s="114"/>
      <c r="G357" s="295"/>
      <c r="H357" s="284">
        <f t="shared" si="92"/>
        <v>5100000</v>
      </c>
      <c r="I357" s="295">
        <f t="shared" si="92"/>
        <v>5100000</v>
      </c>
    </row>
    <row r="358" spans="1:9" s="109" customFormat="1" ht="47.25" x14ac:dyDescent="0.25">
      <c r="A358" s="772" t="str">
        <f>IF(B358&gt;0,VLOOKUP(B358,КВСР!A69:B1234,2),IF(C358&gt;0,VLOOKUP(C358,КФСР!A69:B1581,2),IF(D358&gt;0,VLOOKUP(D358,Программа!A$1:B$5110,2),IF(F358&gt;0,VLOOKUP(F358,КВР!A$1:B$5001,2),IF(E358&gt;0,VLOOKUP(E358,Направление!A$1:B$4783,2))))))</f>
        <v>Предоставление субсидий бюджетным, автономным учреждениям и иным некоммерческим организациям</v>
      </c>
      <c r="B358" s="117"/>
      <c r="C358" s="112"/>
      <c r="D358" s="114"/>
      <c r="E358" s="112"/>
      <c r="F358" s="114">
        <v>600</v>
      </c>
      <c r="G358" s="295"/>
      <c r="H358" s="284">
        <v>5100000</v>
      </c>
      <c r="I358" s="120">
        <f>G358+H358</f>
        <v>5100000</v>
      </c>
    </row>
    <row r="359" spans="1:9" s="122" customFormat="1" ht="31.5" x14ac:dyDescent="0.25">
      <c r="A359" s="771" t="str">
        <f>IF(B359&gt;0,VLOOKUP(B359,КВСР!A76:B1241,2),IF(C359&gt;0,VLOOKUP(C359,КФСР!A76:B1588,2),IF(D359&gt;0,VLOOKUP(D359,Программа!A$1:B$5110,2),IF(F359&gt;0,VLOOKUP(F359,КВР!A$1:B$5001,2),IF(E359&gt;0,VLOOKUP(E359,Направление!A$1:B$4783,2))))))</f>
        <v>Департамент муниципального имущества Администрации ТМР</v>
      </c>
      <c r="B359" s="111">
        <v>952</v>
      </c>
      <c r="C359" s="112"/>
      <c r="D359" s="113"/>
      <c r="E359" s="112"/>
      <c r="F359" s="114"/>
      <c r="G359" s="384"/>
      <c r="H359" s="338">
        <f>H360+H391+H397+H405</f>
        <v>11911280</v>
      </c>
      <c r="I359" s="384">
        <f>I360+I391+I397+I405</f>
        <v>11911280</v>
      </c>
    </row>
    <row r="360" spans="1:9" s="122" customFormat="1" x14ac:dyDescent="0.25">
      <c r="A360" s="772" t="str">
        <f>IF(B360&gt;0,VLOOKUP(B360,КВСР!A77:B1242,2),IF(C360&gt;0,VLOOKUP(C360,КФСР!A77:B1589,2),IF(D360&gt;0,VLOOKUP(D360,Программа!A$1:B$5110,2),IF(F360&gt;0,VLOOKUP(F360,КВР!A$1:B$5001,2),IF(E360&gt;0,VLOOKUP(E360,Направление!A$1:B$4783,2))))))</f>
        <v>Другие общегосударственные вопросы</v>
      </c>
      <c r="B360" s="117"/>
      <c r="C360" s="112">
        <v>113</v>
      </c>
      <c r="D360" s="113"/>
      <c r="E360" s="112"/>
      <c r="F360" s="114"/>
      <c r="G360" s="277"/>
      <c r="H360" s="339">
        <f>H375+H368+H361</f>
        <v>11086280</v>
      </c>
      <c r="I360" s="277">
        <f>I375+I368+I361</f>
        <v>11086280</v>
      </c>
    </row>
    <row r="361" spans="1:9" s="122" customFormat="1" ht="94.5" hidden="1" x14ac:dyDescent="0.25">
      <c r="A361" s="772" t="str">
        <f>IF(B361&gt;0,VLOOKUP(B361,КВСР!A78:B1243,2),IF(C361&gt;0,VLOOKUP(C361,КФСР!A78:B1590,2),IF(D361&gt;0,VLOOKUP(D361,Программа!A$1:B$5110,2),IF(F361&gt;0,VLOOKUP(F361,КВР!A$1:B$5001,2),IF(E361&gt;0,VLOOKUP(E361,Направление!A$1:B$4783,2))))))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61" s="117"/>
      <c r="C361" s="112"/>
      <c r="D361" s="113" t="s">
        <v>405</v>
      </c>
      <c r="E361" s="112"/>
      <c r="F361" s="114"/>
      <c r="G361" s="277"/>
      <c r="H361" s="339">
        <f>H362+H365</f>
        <v>0</v>
      </c>
      <c r="I361" s="120">
        <f t="shared" si="27"/>
        <v>0</v>
      </c>
    </row>
    <row r="362" spans="1:9" s="122" customFormat="1" ht="63" hidden="1" x14ac:dyDescent="0.25">
      <c r="A362" s="772" t="str">
        <f>IF(B362&gt;0,VLOOKUP(B362,КВСР!A79:B1244,2),IF(C362&gt;0,VLOOKUP(C362,КФСР!A79:B1591,2),IF(D362&gt;0,VLOOKUP(D362,Программа!A$1:B$5110,2),IF(F362&gt;0,VLOOKUP(F362,КВР!A$1:B$5001,2),IF(E362&gt;0,VLOOKUP(E362,Направление!A$1:B$4783,2))))))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62" s="117"/>
      <c r="C362" s="112"/>
      <c r="D362" s="113" t="s">
        <v>406</v>
      </c>
      <c r="E362" s="112"/>
      <c r="F362" s="114"/>
      <c r="G362" s="277"/>
      <c r="H362" s="339">
        <f t="shared" ref="H362:H363" si="93">H363</f>
        <v>0</v>
      </c>
      <c r="I362" s="120">
        <f t="shared" si="27"/>
        <v>0</v>
      </c>
    </row>
    <row r="363" spans="1:9" s="122" customFormat="1" ht="31.5" hidden="1" x14ac:dyDescent="0.25">
      <c r="A363" s="772" t="str">
        <f>IF(B363&gt;0,VLOOKUP(B363,КВСР!A80:B1245,2),IF(C363&gt;0,VLOOKUP(C363,КФСР!A80:B1592,2),IF(D363&gt;0,VLOOKUP(D363,Программа!A$1:B$5110,2),IF(F363&gt;0,VLOOKUP(F363,КВР!A$1:B$5001,2),IF(E363&gt;0,VLOOKUP(E363,Направление!A$1:B$4783,2))))))</f>
        <v>Расходы на развитие муниципальной службы</v>
      </c>
      <c r="B363" s="117"/>
      <c r="C363" s="112"/>
      <c r="D363" s="113"/>
      <c r="E363" s="112">
        <v>12200</v>
      </c>
      <c r="F363" s="114"/>
      <c r="G363" s="277"/>
      <c r="H363" s="339">
        <f t="shared" si="93"/>
        <v>0</v>
      </c>
      <c r="I363" s="120">
        <f t="shared" si="27"/>
        <v>0</v>
      </c>
    </row>
    <row r="364" spans="1:9" s="122" customFormat="1" ht="47.25" hidden="1" x14ac:dyDescent="0.25">
      <c r="A364" s="772" t="str">
        <f>IF(B364&gt;0,VLOOKUP(B364,КВСР!A81:B1246,2),IF(C364&gt;0,VLOOKUP(C364,КФСР!A81:B1593,2),IF(D364&gt;0,VLOOKUP(D364,Программа!A$1:B$5110,2),IF(F364&gt;0,VLOOKUP(F364,КВР!A$1:B$5001,2),IF(E364&gt;0,VLOOKUP(E364,Направление!A$1:B$4783,2))))))</f>
        <v xml:space="preserve">Закупка товаров, работ и услуг для обеспечения государственных (муниципальных) нужд
</v>
      </c>
      <c r="B364" s="117"/>
      <c r="C364" s="112"/>
      <c r="D364" s="113"/>
      <c r="E364" s="112"/>
      <c r="F364" s="114">
        <v>200</v>
      </c>
      <c r="G364" s="277"/>
      <c r="H364" s="339"/>
      <c r="I364" s="120">
        <f t="shared" si="27"/>
        <v>0</v>
      </c>
    </row>
    <row r="365" spans="1:9" s="122" customFormat="1" ht="78.75" hidden="1" x14ac:dyDescent="0.25">
      <c r="A365" s="772" t="str">
        <f>IF(B365&gt;0,VLOOKUP(B365,КВСР!A82:B1247,2),IF(C365&gt;0,VLOOKUP(C365,КФСР!A82:B1594,2),IF(D365&gt;0,VLOOKUP(D365,Программа!A$1:B$5110,2),IF(F365&gt;0,VLOOKUP(F365,КВР!A$1:B$5001,2),IF(E365&gt;0,VLOOKUP(E365,Направление!A$1:B$4783,2))))))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5" s="117"/>
      <c r="C365" s="112"/>
      <c r="D365" s="113" t="s">
        <v>1826</v>
      </c>
      <c r="E365" s="112"/>
      <c r="F365" s="114"/>
      <c r="G365" s="277"/>
      <c r="H365" s="339">
        <f t="shared" ref="H365:I366" si="94">H366</f>
        <v>0</v>
      </c>
      <c r="I365" s="277">
        <f t="shared" si="94"/>
        <v>0</v>
      </c>
    </row>
    <row r="366" spans="1:9" s="122" customFormat="1" ht="31.5" hidden="1" x14ac:dyDescent="0.25">
      <c r="A366" s="772" t="str">
        <f>IF(B366&gt;0,VLOOKUP(B366,КВСР!A83:B1248,2),IF(C366&gt;0,VLOOKUP(C366,КФСР!A83:B1595,2),IF(D366&gt;0,VLOOKUP(D366,Программа!A$1:B$5110,2),IF(F366&gt;0,VLOOKUP(F366,КВР!A$1:B$5001,2),IF(E366&gt;0,VLOOKUP(E366,Направление!A$1:B$4783,2))))))</f>
        <v>Внедрение проектной деятельности и бережливых технологий</v>
      </c>
      <c r="B366" s="117"/>
      <c r="C366" s="112"/>
      <c r="D366" s="113"/>
      <c r="E366" s="112">
        <v>12300</v>
      </c>
      <c r="F366" s="114"/>
      <c r="G366" s="277"/>
      <c r="H366" s="339">
        <f t="shared" si="94"/>
        <v>0</v>
      </c>
      <c r="I366" s="277">
        <f t="shared" si="94"/>
        <v>0</v>
      </c>
    </row>
    <row r="367" spans="1:9" s="122" customFormat="1" ht="94.5" hidden="1" x14ac:dyDescent="0.25">
      <c r="A367" s="772" t="str">
        <f>IF(B367&gt;0,VLOOKUP(B367,КВСР!A84:B1249,2),IF(C367&gt;0,VLOOKUP(C367,КФСР!A84:B1596,2),IF(D367&gt;0,VLOOKUP(D367,Программа!A$1:B$5110,2),IF(F367&gt;0,VLOOKUP(F367,КВР!A$1:B$5001,2),IF(E367&gt;0,VLOOKUP(E367,Направление!A$1:B$4783,2))))))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7"/>
      <c r="C367" s="112"/>
      <c r="D367" s="113"/>
      <c r="E367" s="112"/>
      <c r="F367" s="114">
        <v>100</v>
      </c>
      <c r="G367" s="277"/>
      <c r="H367" s="339"/>
      <c r="I367" s="120">
        <f>G367+H367</f>
        <v>0</v>
      </c>
    </row>
    <row r="368" spans="1:9" s="122" customFormat="1" ht="63" x14ac:dyDescent="0.25">
      <c r="A368" s="772" t="str">
        <f>IF(B368&gt;0,VLOOKUP(B368,КВСР!A78:B1243,2),IF(C368&gt;0,VLOOKUP(C368,КФСР!A78:B1590,2),IF(D368&gt;0,VLOOKUP(D368,Программа!A$1:B$5110,2),IF(F368&gt;0,VLOOKUP(F368,КВР!A$1:B$5001,2),IF(E368&gt;0,VLOOKUP(E368,Направление!A$1:B$4783,2))))))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368" s="117"/>
      <c r="C368" s="112"/>
      <c r="D368" s="113" t="s">
        <v>409</v>
      </c>
      <c r="E368" s="112"/>
      <c r="F368" s="114"/>
      <c r="G368" s="277"/>
      <c r="H368" s="339">
        <f>H369+H372</f>
        <v>150000</v>
      </c>
      <c r="I368" s="120">
        <f t="shared" si="27"/>
        <v>150000</v>
      </c>
    </row>
    <row r="369" spans="1:9" s="122" customFormat="1" ht="31.5" x14ac:dyDescent="0.25">
      <c r="A369" s="772" t="str">
        <f>IF(B369&gt;0,VLOOKUP(B369,КВСР!A79:B1244,2),IF(C369&gt;0,VLOOKUP(C369,КФСР!A79:B1591,2),IF(D369&gt;0,VLOOKUP(D369,Программа!A$1:B$5110,2),IF(F369&gt;0,VLOOKUP(F369,КВР!A$1:B$5001,2),IF(E369&gt;0,VLOOKUP(E369,Направление!A$1:B$4783,2))))))</f>
        <v>Бесперебойное функционирование информационных систем</v>
      </c>
      <c r="B369" s="117"/>
      <c r="C369" s="112"/>
      <c r="D369" s="113" t="s">
        <v>445</v>
      </c>
      <c r="E369" s="112"/>
      <c r="F369" s="114"/>
      <c r="G369" s="277"/>
      <c r="H369" s="339">
        <f>H370</f>
        <v>150000</v>
      </c>
      <c r="I369" s="120">
        <f t="shared" si="27"/>
        <v>150000</v>
      </c>
    </row>
    <row r="370" spans="1:9" s="122" customFormat="1" ht="31.5" x14ac:dyDescent="0.25">
      <c r="A370" s="772" t="str">
        <f>IF(B370&gt;0,VLOOKUP(B370,КВСР!A80:B1245,2),IF(C370&gt;0,VLOOKUP(C370,КФСР!A80:B1592,2),IF(D370&gt;0,VLOOKUP(D370,Программа!A$1:B$5110,2),IF(F370&gt;0,VLOOKUP(F370,КВР!A$1:B$5001,2),IF(E370&gt;0,VLOOKUP(E370,Направление!A$1:B$4783,2))))))</f>
        <v>Расходы на проведение мероприятий по информатизации</v>
      </c>
      <c r="B370" s="117"/>
      <c r="C370" s="112"/>
      <c r="D370" s="113"/>
      <c r="E370" s="112">
        <v>12210</v>
      </c>
      <c r="F370" s="114"/>
      <c r="G370" s="277"/>
      <c r="H370" s="339">
        <f>H371</f>
        <v>150000</v>
      </c>
      <c r="I370" s="120">
        <f t="shared" si="27"/>
        <v>150000</v>
      </c>
    </row>
    <row r="371" spans="1:9" s="122" customFormat="1" ht="47.25" x14ac:dyDescent="0.25">
      <c r="A371" s="772" t="str">
        <f>IF(B371&gt;0,VLOOKUP(B371,КВСР!A81:B1246,2),IF(C371&gt;0,VLOOKUP(C371,КФСР!A81:B1593,2),IF(D371&gt;0,VLOOKUP(D371,Программа!A$1:B$5110,2),IF(F371&gt;0,VLOOKUP(F371,КВР!A$1:B$5001,2),IF(E371&gt;0,VLOOKUP(E371,Направление!A$1:B$4783,2))))))</f>
        <v xml:space="preserve">Закупка товаров, работ и услуг для обеспечения государственных (муниципальных) нужд
</v>
      </c>
      <c r="B371" s="117"/>
      <c r="C371" s="112"/>
      <c r="D371" s="113"/>
      <c r="E371" s="112"/>
      <c r="F371" s="114">
        <v>200</v>
      </c>
      <c r="G371" s="277"/>
      <c r="H371" s="339">
        <v>150000</v>
      </c>
      <c r="I371" s="120">
        <f t="shared" si="27"/>
        <v>150000</v>
      </c>
    </row>
    <row r="372" spans="1:9" s="122" customFormat="1" ht="63" hidden="1" x14ac:dyDescent="0.25">
      <c r="A372" s="772" t="str">
        <f>IF(B372&gt;0,VLOOKUP(B372,КВСР!A82:B1247,2),IF(C372&gt;0,VLOOKUP(C372,КФСР!A82:B1594,2),IF(D372&gt;0,VLOOKUP(D372,Программа!A$1:B$5110,2),IF(F372&gt;0,VLOOKUP(F372,КВР!A$1:B$5001,2),IF(E372&gt;0,VLOOKUP(E372,Направление!A$1:B$4783,2))))))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72" s="117"/>
      <c r="C372" s="112"/>
      <c r="D372" s="113" t="s">
        <v>411</v>
      </c>
      <c r="E372" s="112"/>
      <c r="F372" s="114"/>
      <c r="G372" s="277"/>
      <c r="H372" s="339">
        <f>H373</f>
        <v>0</v>
      </c>
      <c r="I372" s="120">
        <f t="shared" si="27"/>
        <v>0</v>
      </c>
    </row>
    <row r="373" spans="1:9" s="122" customFormat="1" ht="31.5" hidden="1" x14ac:dyDescent="0.25">
      <c r="A373" s="772" t="str">
        <f>IF(B373&gt;0,VLOOKUP(B373,КВСР!A83:B1248,2),IF(C373&gt;0,VLOOKUP(C373,КФСР!A83:B1595,2),IF(D373&gt;0,VLOOKUP(D373,Программа!A$1:B$5110,2),IF(F373&gt;0,VLOOKUP(F373,КВР!A$1:B$5001,2),IF(E373&gt;0,VLOOKUP(E373,Направление!A$1:B$4783,2))))))</f>
        <v>Расходы на проведение мероприятий по информатизации</v>
      </c>
      <c r="B373" s="117"/>
      <c r="C373" s="112"/>
      <c r="D373" s="113"/>
      <c r="E373" s="112">
        <v>12210</v>
      </c>
      <c r="F373" s="114"/>
      <c r="G373" s="277"/>
      <c r="H373" s="339">
        <f>H374</f>
        <v>0</v>
      </c>
      <c r="I373" s="120">
        <f t="shared" si="27"/>
        <v>0</v>
      </c>
    </row>
    <row r="374" spans="1:9" s="122" customFormat="1" ht="47.25" hidden="1" x14ac:dyDescent="0.25">
      <c r="A374" s="772" t="str">
        <f>IF(B374&gt;0,VLOOKUP(B374,КВСР!A83:B1248,2),IF(C374&gt;0,VLOOKUP(C374,КФСР!A83:B1595,2),IF(D374&gt;0,VLOOKUP(D374,Программа!A$1:B$5110,2),IF(F374&gt;0,VLOOKUP(F374,КВР!A$1:B$5001,2),IF(E374&gt;0,VLOOKUP(E374,Направление!A$1:B$4783,2))))))</f>
        <v xml:space="preserve">Закупка товаров, работ и услуг для обеспечения государственных (муниципальных) нужд
</v>
      </c>
      <c r="B374" s="117"/>
      <c r="C374" s="112"/>
      <c r="D374" s="113"/>
      <c r="E374" s="112"/>
      <c r="F374" s="114">
        <v>200</v>
      </c>
      <c r="G374" s="277"/>
      <c r="H374" s="339"/>
      <c r="I374" s="120">
        <f t="shared" si="27"/>
        <v>0</v>
      </c>
    </row>
    <row r="375" spans="1:9" s="122" customFormat="1" x14ac:dyDescent="0.25">
      <c r="A375" s="772" t="str">
        <f>IF(B375&gt;0,VLOOKUP(B375,КВСР!A78:B1243,2),IF(C375&gt;0,VLOOKUP(C375,КФСР!A78:B1590,2),IF(D375&gt;0,VLOOKUP(D375,Программа!A$1:B$5110,2),IF(F375&gt;0,VLOOKUP(F375,КВР!A$1:B$5001,2),IF(E375&gt;0,VLOOKUP(E375,Направление!A$1:B$4783,2))))))</f>
        <v>Непрограммные расходы бюджета</v>
      </c>
      <c r="B375" s="117"/>
      <c r="C375" s="112"/>
      <c r="D375" s="113" t="s">
        <v>394</v>
      </c>
      <c r="E375" s="112"/>
      <c r="F375" s="114"/>
      <c r="G375" s="277"/>
      <c r="H375" s="339">
        <f>H376+H381+H383+H385+H1410+H387+H389</f>
        <v>10936280</v>
      </c>
      <c r="I375" s="277">
        <f>I376+I381+I383+I385+I1410+I387+I389</f>
        <v>10936280</v>
      </c>
    </row>
    <row r="376" spans="1:9" s="122" customFormat="1" x14ac:dyDescent="0.25">
      <c r="A376" s="772" t="str">
        <f>IF(B376&gt;0,VLOOKUP(B376,КВСР!A79:B1244,2),IF(C376&gt;0,VLOOKUP(C376,КФСР!A79:B1591,2),IF(D376&gt;0,VLOOKUP(D376,Программа!A$1:B$5110,2),IF(F376&gt;0,VLOOKUP(F376,КВР!A$1:B$5001,2),IF(E376&gt;0,VLOOKUP(E376,Направление!A$1:B$4783,2))))))</f>
        <v>Содержание центрального аппарата</v>
      </c>
      <c r="B376" s="117"/>
      <c r="C376" s="112"/>
      <c r="D376" s="113"/>
      <c r="E376" s="112">
        <v>12010</v>
      </c>
      <c r="F376" s="114"/>
      <c r="G376" s="277"/>
      <c r="H376" s="339">
        <f>H377+H378+H380+H379</f>
        <v>8686280</v>
      </c>
      <c r="I376" s="120">
        <f t="shared" si="27"/>
        <v>8686280</v>
      </c>
    </row>
    <row r="377" spans="1:9" s="122" customFormat="1" ht="94.5" x14ac:dyDescent="0.25">
      <c r="A377" s="772" t="str">
        <f>IF(B377&gt;0,VLOOKUP(B377,КВСР!A80:B1245,2),IF(C377&gt;0,VLOOKUP(C377,КФСР!A80:B1592,2),IF(D377&gt;0,VLOOKUP(D377,Программа!A$1:B$5110,2),IF(F377&gt;0,VLOOKUP(F377,КВР!A$1:B$5001,2),IF(E377&gt;0,VLOOKUP(E377,Направление!A$1:B$4783,2))))))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7" s="117"/>
      <c r="C377" s="112"/>
      <c r="D377" s="114"/>
      <c r="E377" s="112"/>
      <c r="F377" s="114">
        <v>100</v>
      </c>
      <c r="G377" s="295"/>
      <c r="H377" s="284">
        <f>6283625+10000+1897655</f>
        <v>8191280</v>
      </c>
      <c r="I377" s="120">
        <f t="shared" si="27"/>
        <v>8191280</v>
      </c>
    </row>
    <row r="378" spans="1:9" s="122" customFormat="1" ht="47.25" x14ac:dyDescent="0.25">
      <c r="A378" s="772" t="str">
        <f>IF(B378&gt;0,VLOOKUP(B378,КВСР!A81:B1246,2),IF(C378&gt;0,VLOOKUP(C378,КФСР!A81:B1593,2),IF(D378&gt;0,VLOOKUP(D378,Программа!A$1:B$5110,2),IF(F378&gt;0,VLOOKUP(F378,КВР!A$1:B$5001,2),IF(E378&gt;0,VLOOKUP(E378,Направление!A$1:B$4783,2))))))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4"/>
      <c r="E378" s="112"/>
      <c r="F378" s="114">
        <v>200</v>
      </c>
      <c r="G378" s="295"/>
      <c r="H378" s="284">
        <v>475000</v>
      </c>
      <c r="I378" s="120">
        <f t="shared" si="27"/>
        <v>475000</v>
      </c>
    </row>
    <row r="379" spans="1:9" s="122" customFormat="1" ht="31.5" hidden="1" x14ac:dyDescent="0.25">
      <c r="A379" s="772" t="str">
        <f>IF(B379&gt;0,VLOOKUP(B379,КВСР!A82:B1247,2),IF(C379&gt;0,VLOOKUP(C379,КФСР!A82:B1594,2),IF(D379&gt;0,VLOOKUP(D379,Программа!A$1:B$5110,2),IF(F379&gt;0,VLOOKUP(F379,КВР!A$1:B$5001,2),IF(E379&gt;0,VLOOKUP(E379,Направление!A$1:B$4783,2))))))</f>
        <v>Социальное обеспечение и иные выплаты населению</v>
      </c>
      <c r="B379" s="117"/>
      <c r="C379" s="112"/>
      <c r="D379" s="114"/>
      <c r="E379" s="112"/>
      <c r="F379" s="114">
        <v>300</v>
      </c>
      <c r="G379" s="295"/>
      <c r="H379" s="284"/>
      <c r="I379" s="120">
        <f>G379+H379</f>
        <v>0</v>
      </c>
    </row>
    <row r="380" spans="1:9" s="122" customFormat="1" x14ac:dyDescent="0.25">
      <c r="A380" s="772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IF(B380&gt;0,VLOOKUP(B380,КВСР!A83:B1248,2),IF(C380&gt;0,VLOOKUP(C380,КФСР!A83:B1595,2),IF(D380&gt;0,VLOOKUP(D380,Программа!A$1:B$5110,2),IF(F380&gt;0,VLOOKUP(F380,КВР!A$1:B$5001,2),IF(E380&gt;0,VLOOKUP(E380,Направление!A$1:B$4783,2))))))</f>
        <v>Иные бюджетные ассигнования</v>
      </c>
      <c r="B380" s="117"/>
      <c r="C380" s="112"/>
      <c r="D380" s="114"/>
      <c r="E380" s="112"/>
      <c r="F380" s="114">
        <v>800</v>
      </c>
      <c r="G380" s="295"/>
      <c r="H380" s="284">
        <v>20000</v>
      </c>
      <c r="I380" s="120">
        <f t="shared" si="27"/>
        <v>20000</v>
      </c>
    </row>
    <row r="381" spans="1:9" s="122" customFormat="1" ht="31.5" x14ac:dyDescent="0.25">
      <c r="A381" s="772" t="str">
        <f>IF(B381&gt;0,VLOOKUP(B381,КВСР!A83:B1248,2),IF(C381&gt;0,VLOOKUP(C381,КФСР!A83:B1595,2),IF(D381&gt;0,VLOOKUP(D381,Программа!A$1:B$5110,2),IF(F381&gt;0,VLOOKUP(F381,КВР!A$1:B$5001,2),IF(E381&gt;0,VLOOKUP(E381,Направление!A$1:B$4783,2))))))</f>
        <v>Выполнение других обязательств органов местного самоуправления</v>
      </c>
      <c r="B381" s="117"/>
      <c r="C381" s="112"/>
      <c r="D381" s="113"/>
      <c r="E381" s="112">
        <v>12080</v>
      </c>
      <c r="F381" s="114"/>
      <c r="G381" s="118"/>
      <c r="H381" s="284">
        <f>H382</f>
        <v>2000000</v>
      </c>
      <c r="I381" s="120">
        <f t="shared" si="27"/>
        <v>2000000</v>
      </c>
    </row>
    <row r="382" spans="1:9" s="122" customFormat="1" ht="47.25" x14ac:dyDescent="0.25">
      <c r="A382" s="772" t="str">
        <f>IF(B382&gt;0,VLOOKUP(B382,КВСР!A84:B1249,2),IF(C382&gt;0,VLOOKUP(C382,КФСР!A84:B1596,2),IF(D382&gt;0,VLOOKUP(D382,Программа!A$1:B$5110,2),IF(F382&gt;0,VLOOKUP(F382,КВР!A$1:B$5001,2),IF(E382&gt;0,VLOOKUP(E382,Направление!A$1:B$4783,2))))))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4"/>
      <c r="E382" s="112"/>
      <c r="F382" s="114">
        <v>200</v>
      </c>
      <c r="G382" s="295"/>
      <c r="H382" s="284">
        <v>2000000</v>
      </c>
      <c r="I382" s="120">
        <f t="shared" si="27"/>
        <v>2000000</v>
      </c>
    </row>
    <row r="383" spans="1:9" s="122" customFormat="1" ht="47.25" x14ac:dyDescent="0.25">
      <c r="A383" s="772" t="str">
        <f>IF(B383&gt;0,VLOOKUP(B383,КВСР!A83:B1248,2),IF(C383&gt;0,VLOOKUP(C383,КФСР!A83:B1595,2),IF(D383&gt;0,VLOOKUP(D383,Программа!A$1:B$5110,2),IF(F383&gt;0,VLOOKUP(F383,КВР!A$1:B$5001,2),IF(E383&gt;0,VLOOKUP(E383,Направление!A$1:B$4783,2))))))</f>
        <v>Оценка недвижимости, признание прав и регулирование отношений по муниципальной собственности</v>
      </c>
      <c r="B383" s="117"/>
      <c r="C383" s="112"/>
      <c r="D383" s="113"/>
      <c r="E383" s="112">
        <v>12090</v>
      </c>
      <c r="F383" s="114"/>
      <c r="G383" s="118"/>
      <c r="H383" s="284">
        <f>H384</f>
        <v>250000</v>
      </c>
      <c r="I383" s="120">
        <f t="shared" si="27"/>
        <v>250000</v>
      </c>
    </row>
    <row r="384" spans="1:9" s="122" customFormat="1" ht="47.25" x14ac:dyDescent="0.25">
      <c r="A384" s="772" t="str">
        <f>IF(B384&gt;0,VLOOKUP(B384,КВСР!A84:B1249,2),IF(C384&gt;0,VLOOKUP(C384,КФСР!A84:B1596,2),IF(D384&gt;0,VLOOKUP(D384,Программа!A$1:B$5110,2),IF(F384&gt;0,VLOOKUP(F384,КВР!A$1:B$5001,2),IF(E384&gt;0,VLOOKUP(E384,Направление!A$1:B$4783,2))))))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4"/>
      <c r="E384" s="112"/>
      <c r="F384" s="114">
        <v>200</v>
      </c>
      <c r="G384" s="295"/>
      <c r="H384" s="284">
        <v>250000</v>
      </c>
      <c r="I384" s="120">
        <f t="shared" si="27"/>
        <v>250000</v>
      </c>
    </row>
    <row r="385" spans="1:9" s="122" customFormat="1" ht="47.25" hidden="1" x14ac:dyDescent="0.25">
      <c r="A385" s="772" t="str">
        <f>IF(B385&gt;0,VLOOKUP(B385,КВСР!A90:B1255,2),IF(C385&gt;0,VLOOKUP(C385,КФСР!A90:B1602,2),IF(D385&gt;0,VLOOKUP(D385,Программа!A$1:B$5110,2),IF(F385&gt;0,VLOOKUP(F385,КВР!A$1:B$5001,2),IF(E385&gt;0,VLOOKUP(E385,Направление!A$1:B$4783,2))))))</f>
        <v>Исполнение судебных актов, актов других органов и должностных лиц, иных документов</v>
      </c>
      <c r="B385" s="117"/>
      <c r="C385" s="112"/>
      <c r="D385" s="114"/>
      <c r="E385" s="112">
        <v>12130</v>
      </c>
      <c r="F385" s="114"/>
      <c r="G385" s="121"/>
      <c r="H385" s="284">
        <f>+H386</f>
        <v>0</v>
      </c>
      <c r="I385" s="120">
        <f t="shared" ref="I385:I486" si="95">SUM(G385:H385)</f>
        <v>0</v>
      </c>
    </row>
    <row r="386" spans="1:9" s="122" customFormat="1" ht="141.75" hidden="1" x14ac:dyDescent="0.25">
      <c r="A386" s="772" t="str">
        <f>IF(B386&gt;0,VLOOKUP(B386,КВСР!A92:B1257,2),IF(C386&gt;0,VLOOKUP(C386,КФСР!A92:B1604,2),IF(D386&gt;0,VLOOKUP(D386,Программа!A$1:B$5110,2),IF(F386&gt;0,VLOOKUP(F386,КВР!A$1:B$5001,2),IF(E386&gt;0,VLOOKUP(E386,Направление!A$1:B$4783,2))))))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6" s="117"/>
      <c r="C386" s="112"/>
      <c r="D386" s="114"/>
      <c r="E386" s="112"/>
      <c r="F386" s="114">
        <v>831</v>
      </c>
      <c r="G386" s="295"/>
      <c r="H386" s="284"/>
      <c r="I386" s="120">
        <f t="shared" si="95"/>
        <v>0</v>
      </c>
    </row>
    <row r="387" spans="1:9" s="122" customFormat="1" ht="94.5" hidden="1" x14ac:dyDescent="0.25">
      <c r="A387" s="772" t="str">
        <f>IF(B387&gt;0,VLOOKUP(B387,КВСР!A93:B1258,2),IF(C387&gt;0,VLOOKUP(C387,КФСР!A93:B1605,2),IF(D387&gt;0,VLOOKUP(D387,Программа!A$1:B$5110,2),IF(F387&gt;0,VLOOKUP(F387,КВР!A$1:B$5001,2),IF(E387&gt;0,VLOOKUP(E387,Направление!A$1:B$4783,2))))))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7" s="117"/>
      <c r="C387" s="112"/>
      <c r="D387" s="113"/>
      <c r="E387" s="112">
        <v>29026</v>
      </c>
      <c r="F387" s="114"/>
      <c r="G387" s="118"/>
      <c r="H387" s="284">
        <f>H388</f>
        <v>0</v>
      </c>
      <c r="I387" s="120">
        <f t="shared" si="95"/>
        <v>0</v>
      </c>
    </row>
    <row r="388" spans="1:9" s="122" customFormat="1" ht="47.25" hidden="1" x14ac:dyDescent="0.25">
      <c r="A388" s="772" t="str">
        <f>IF(B388&gt;0,VLOOKUP(B388,КВСР!A94:B1259,2),IF(C388&gt;0,VLOOKUP(C388,КФСР!A94:B1606,2),IF(D388&gt;0,VLOOKUP(D388,Программа!A$1:B$5110,2),IF(F388&gt;0,VLOOKUP(F388,КВР!A$1:B$5001,2),IF(E388&gt;0,VLOOKUP(E388,Направление!A$1:B$4783,2))))))</f>
        <v xml:space="preserve">Закупка товаров, работ и услуг для обеспечения государственных (муниципальных) нужд
</v>
      </c>
      <c r="B388" s="117"/>
      <c r="C388" s="112"/>
      <c r="D388" s="114"/>
      <c r="E388" s="112"/>
      <c r="F388" s="114">
        <v>200</v>
      </c>
      <c r="G388" s="295"/>
      <c r="H388" s="284"/>
      <c r="I388" s="120">
        <f t="shared" si="95"/>
        <v>0</v>
      </c>
    </row>
    <row r="389" spans="1:9" s="122" customFormat="1" ht="63" hidden="1" x14ac:dyDescent="0.25">
      <c r="A389" s="772" t="str">
        <f>IF(B389&gt;0,VLOOKUP(B389,КВСР!A95:B1260,2),IF(C389&gt;0,VLOOKUP(C389,КФСР!A95:B1607,2),IF(D389&gt;0,VLOOKUP(D389,Программа!A$1:B$5110,2),IF(F389&gt;0,VLOOKUP(F389,КВР!A$1:B$5001,2),IF(E389&gt;0,VLOOKUP(E389,Направление!A$1:B$4783,2))))))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9" s="117"/>
      <c r="C389" s="112"/>
      <c r="D389" s="114"/>
      <c r="E389" s="112">
        <v>29556</v>
      </c>
      <c r="F389" s="114"/>
      <c r="G389" s="295"/>
      <c r="H389" s="284">
        <f t="shared" ref="H389:I389" si="96">H390</f>
        <v>0</v>
      </c>
      <c r="I389" s="295">
        <f t="shared" si="96"/>
        <v>0</v>
      </c>
    </row>
    <row r="390" spans="1:9" s="122" customFormat="1" ht="47.25" hidden="1" x14ac:dyDescent="0.25">
      <c r="A390" s="772" t="str">
        <f>IF(B390&gt;0,VLOOKUP(B390,КВСР!A96:B1261,2),IF(C390&gt;0,VLOOKUP(C390,КФСР!A96:B1608,2),IF(D390&gt;0,VLOOKUP(D390,Программа!A$1:B$5110,2),IF(F390&gt;0,VLOOKUP(F390,КВР!A$1:B$5001,2),IF(E390&gt;0,VLOOKUP(E390,Направление!A$1:B$4783,2))))))</f>
        <v xml:space="preserve">Закупка товаров, работ и услуг для обеспечения государственных (муниципальных) нужд
</v>
      </c>
      <c r="B390" s="117"/>
      <c r="C390" s="112"/>
      <c r="D390" s="114"/>
      <c r="E390" s="112"/>
      <c r="F390" s="114">
        <v>200</v>
      </c>
      <c r="G390" s="295"/>
      <c r="H390" s="284"/>
      <c r="I390" s="120">
        <f>G390+H390</f>
        <v>0</v>
      </c>
    </row>
    <row r="391" spans="1:9" s="122" customFormat="1" ht="31.5" x14ac:dyDescent="0.25">
      <c r="A391" s="772" t="str">
        <f>IF(B391&gt;0,VLOOKUP(B391,КВСР!A92:B1257,2),IF(C391&gt;0,VLOOKUP(C391,КФСР!A92:B1604,2),IF(D391&gt;0,VLOOKUP(D391,Программа!A$1:B$5110,2),IF(F391&gt;0,VLOOKUP(F391,КВР!A$1:B$5001,2),IF(E391&gt;0,VLOOKUP(E391,Направление!A$1:B$4783,2))))))</f>
        <v>Другие вопросы в области национальной экономики</v>
      </c>
      <c r="B391" s="117"/>
      <c r="C391" s="112">
        <v>412</v>
      </c>
      <c r="D391" s="113"/>
      <c r="E391" s="112"/>
      <c r="F391" s="114"/>
      <c r="G391" s="118"/>
      <c r="H391" s="284">
        <f t="shared" ref="H391:H393" si="97">H392</f>
        <v>500000</v>
      </c>
      <c r="I391" s="120">
        <f t="shared" si="95"/>
        <v>500000</v>
      </c>
    </row>
    <row r="392" spans="1:9" s="122" customFormat="1" x14ac:dyDescent="0.25">
      <c r="A392" s="772" t="str">
        <f>IF(B392&gt;0,VLOOKUP(B392,КВСР!A93:B1258,2),IF(C392&gt;0,VLOOKUP(C392,КФСР!A93:B1605,2),IF(D392&gt;0,VLOOKUP(D392,Программа!A$1:B$5110,2),IF(F392&gt;0,VLOOKUP(F392,КВР!A$1:B$5001,2),IF(E392&gt;0,VLOOKUP(E392,Направление!A$1:B$4783,2))))))</f>
        <v>Непрограммные расходы бюджета</v>
      </c>
      <c r="B392" s="117"/>
      <c r="C392" s="112"/>
      <c r="D392" s="113" t="s">
        <v>394</v>
      </c>
      <c r="E392" s="112"/>
      <c r="F392" s="114"/>
      <c r="G392" s="118"/>
      <c r="H392" s="284">
        <f>H393+H395</f>
        <v>500000</v>
      </c>
      <c r="I392" s="120">
        <f t="shared" si="95"/>
        <v>500000</v>
      </c>
    </row>
    <row r="393" spans="1:9" s="122" customFormat="1" ht="31.5" x14ac:dyDescent="0.25">
      <c r="A393" s="772" t="str">
        <f>IF(B393&gt;0,VLOOKUP(B393,КВСР!A94:B1259,2),IF(C393&gt;0,VLOOKUP(C393,КФСР!A94:B1606,2),IF(D393&gt;0,VLOOKUP(D393,Программа!A$1:B$5110,2),IF(F393&gt;0,VLOOKUP(F393,КВР!A$1:B$5001,2),IF(E393&gt;0,VLOOKUP(E393,Направление!A$1:B$4783,2))))))</f>
        <v>Мероприятия по землеустройству и землепользованию</v>
      </c>
      <c r="B393" s="117"/>
      <c r="C393" s="112"/>
      <c r="D393" s="113"/>
      <c r="E393" s="112">
        <v>10510</v>
      </c>
      <c r="F393" s="114"/>
      <c r="G393" s="118"/>
      <c r="H393" s="284">
        <f t="shared" si="97"/>
        <v>500000</v>
      </c>
      <c r="I393" s="120">
        <f t="shared" si="95"/>
        <v>500000</v>
      </c>
    </row>
    <row r="394" spans="1:9" s="122" customFormat="1" ht="47.25" x14ac:dyDescent="0.25">
      <c r="A394" s="772" t="str">
        <f>IF(B394&gt;0,VLOOKUP(B394,КВСР!A95:B1260,2),IF(C394&gt;0,VLOOKUP(C394,КФСР!A95:B1607,2),IF(D394&gt;0,VLOOKUP(D394,Программа!A$1:B$5110,2),IF(F394&gt;0,VLOOKUP(F394,КВР!A$1:B$5001,2),IF(E394&gt;0,VLOOKUP(E394,Направление!A$1:B$4783,2))))))</f>
        <v xml:space="preserve">Закупка товаров, работ и услуг для обеспечения государственных (муниципальных) нужд
</v>
      </c>
      <c r="B394" s="117"/>
      <c r="C394" s="112"/>
      <c r="D394" s="114"/>
      <c r="E394" s="112"/>
      <c r="F394" s="114">
        <v>200</v>
      </c>
      <c r="G394" s="295"/>
      <c r="H394" s="284">
        <v>500000</v>
      </c>
      <c r="I394" s="120">
        <f t="shared" si="95"/>
        <v>500000</v>
      </c>
    </row>
    <row r="395" spans="1:9" s="122" customFormat="1" ht="63" hidden="1" x14ac:dyDescent="0.25">
      <c r="A395" s="772" t="str">
        <f>IF(B395&gt;0,VLOOKUP(B395,КВСР!A96:B1261,2),IF(C395&gt;0,VLOOKUP(C395,КФСР!A96:B1608,2),IF(D395&gt;0,VLOOKUP(D395,Программа!A$1:B$5110,2),IF(F395&gt;0,VLOOKUP(F395,КВР!A$1:B$5001,2),IF(E395&gt;0,VLOOKUP(E395,Направление!A$1:B$4783,2))))))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5" s="117"/>
      <c r="C395" s="112"/>
      <c r="D395" s="114"/>
      <c r="E395" s="112">
        <v>29276</v>
      </c>
      <c r="F395" s="114"/>
      <c r="G395" s="283"/>
      <c r="H395" s="284">
        <f>H396</f>
        <v>0</v>
      </c>
      <c r="I395" s="120">
        <f>SUM(G395:H395)</f>
        <v>0</v>
      </c>
    </row>
    <row r="396" spans="1:9" s="122" customFormat="1" ht="47.25" hidden="1" x14ac:dyDescent="0.25">
      <c r="A396" s="772" t="str">
        <f>IF(B396&gt;0,VLOOKUP(B396,КВСР!A97:B1262,2),IF(C396&gt;0,VLOOKUP(C396,КФСР!A97:B1609,2),IF(D396&gt;0,VLOOKUP(D396,Программа!A$1:B$5110,2),IF(F396&gt;0,VLOOKUP(F396,КВР!A$1:B$5001,2),IF(E396&gt;0,VLOOKUP(E396,Направление!A$1:B$4783,2))))))</f>
        <v xml:space="preserve">Закупка товаров, работ и услуг для обеспечения государственных (муниципальных) нужд
</v>
      </c>
      <c r="B396" s="117"/>
      <c r="C396" s="112"/>
      <c r="D396" s="114"/>
      <c r="E396" s="112"/>
      <c r="F396" s="114">
        <v>200</v>
      </c>
      <c r="G396" s="295"/>
      <c r="H396" s="284"/>
      <c r="I396" s="120">
        <f>SUM(G396:H396)</f>
        <v>0</v>
      </c>
    </row>
    <row r="397" spans="1:9" s="122" customFormat="1" x14ac:dyDescent="0.25">
      <c r="A397" s="772" t="str">
        <f>IF(B397&gt;0,VLOOKUP(B397,КВСР!A100:B1265,2),IF(C397&gt;0,VLOOKUP(C397,КФСР!A100:B1612,2),IF(D397&gt;0,VLOOKUP(D397,Программа!A$1:B$5110,2),IF(F397&gt;0,VLOOKUP(F397,КВР!A$1:B$5001,2),IF(E397&gt;0,VLOOKUP(E397,Направление!A$1:B$4783,2))))))</f>
        <v>Жилищное хозяйство</v>
      </c>
      <c r="B397" s="117"/>
      <c r="C397" s="112">
        <v>501</v>
      </c>
      <c r="D397" s="114"/>
      <c r="E397" s="112"/>
      <c r="F397" s="114"/>
      <c r="G397" s="121"/>
      <c r="H397" s="284">
        <f t="shared" ref="H397:H399" si="98">H398</f>
        <v>325000</v>
      </c>
      <c r="I397" s="120">
        <f t="shared" si="95"/>
        <v>325000</v>
      </c>
    </row>
    <row r="398" spans="1:9" s="122" customFormat="1" x14ac:dyDescent="0.25">
      <c r="A398" s="772" t="str">
        <f>IF(B398&gt;0,VLOOKUP(B398,КВСР!A101:B1266,2),IF(C398&gt;0,VLOOKUP(C398,КФСР!A101:B1613,2),IF(D398&gt;0,VLOOKUP(D398,Программа!A$1:B$5110,2),IF(F398&gt;0,VLOOKUP(F398,КВР!A$1:B$5001,2),IF(E398&gt;0,VLOOKUP(E398,Направление!A$1:B$4783,2))))))</f>
        <v>Непрограммные расходы бюджета</v>
      </c>
      <c r="B398" s="117"/>
      <c r="C398" s="112"/>
      <c r="D398" s="114" t="s">
        <v>394</v>
      </c>
      <c r="E398" s="112"/>
      <c r="F398" s="114"/>
      <c r="G398" s="121"/>
      <c r="H398" s="284">
        <f>H399+H403+H401</f>
        <v>325000</v>
      </c>
      <c r="I398" s="120">
        <f>SUM(G398:H398)</f>
        <v>325000</v>
      </c>
    </row>
    <row r="399" spans="1:9" s="122" customFormat="1" ht="47.25" x14ac:dyDescent="0.25">
      <c r="A399" s="772" t="str">
        <f>IF(B399&gt;0,VLOOKUP(B399,КВСР!A102:B1267,2),IF(C399&gt;0,VLOOKUP(C399,КФСР!A102:B1614,2),IF(D399&gt;0,VLOOKUP(D399,Программа!A$1:B$5110,2),IF(F399&gt;0,VLOOKUP(F399,КВР!A$1:B$5001,2),IF(E399&gt;0,VLOOKUP(E399,Направление!A$1:B$4783,2))))))</f>
        <v>Взносы на  капитальный ремонт  жилых помещений муниципального жилищного фонда</v>
      </c>
      <c r="B399" s="117"/>
      <c r="C399" s="112"/>
      <c r="D399" s="114"/>
      <c r="E399" s="112">
        <v>10370</v>
      </c>
      <c r="F399" s="114"/>
      <c r="G399" s="121"/>
      <c r="H399" s="284">
        <f t="shared" si="98"/>
        <v>325000</v>
      </c>
      <c r="I399" s="120">
        <f t="shared" si="95"/>
        <v>325000</v>
      </c>
    </row>
    <row r="400" spans="1:9" s="122" customFormat="1" ht="47.25" x14ac:dyDescent="0.25">
      <c r="A400" s="772" t="str">
        <f>IF(B400&gt;0,VLOOKUP(B400,КВСР!A103:B1268,2),IF(C400&gt;0,VLOOKUP(C400,КФСР!A103:B1615,2),IF(D400&gt;0,VLOOKUP(D400,Программа!A$1:B$5110,2),IF(F400&gt;0,VLOOKUP(F400,КВР!A$1:B$5001,2),IF(E400&gt;0,VLOOKUP(E400,Направление!A$1:B$4783,2))))))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4"/>
      <c r="E400" s="112"/>
      <c r="F400" s="114">
        <v>200</v>
      </c>
      <c r="G400" s="295"/>
      <c r="H400" s="284">
        <v>325000</v>
      </c>
      <c r="I400" s="120">
        <f t="shared" si="95"/>
        <v>325000</v>
      </c>
    </row>
    <row r="401" spans="1:9" s="122" customFormat="1" ht="47.25" hidden="1" x14ac:dyDescent="0.25">
      <c r="A401" s="772" t="str">
        <f>IF(B401&gt;0,VLOOKUP(B401,КВСР!A104:B1269,2),IF(C401&gt;0,VLOOKUP(C401,КФСР!A104:B1616,2),IF(D401&gt;0,VLOOKUP(D401,Программа!A$1:B$5110,2),IF(F401&gt;0,VLOOKUP(F401,КВР!A$1:B$5001,2),IF(E401&gt;0,VLOOKUP(E401,Направление!A$1:B$4783,2))))))</f>
        <v xml:space="preserve">Обеспечение мероприятий по начислению и сбору платы за найм муниципального жилищного фонда </v>
      </c>
      <c r="B401" s="117"/>
      <c r="C401" s="112"/>
      <c r="D401" s="114"/>
      <c r="E401" s="112">
        <v>29436</v>
      </c>
      <c r="F401" s="114"/>
      <c r="G401" s="283"/>
      <c r="H401" s="284">
        <f>H402</f>
        <v>0</v>
      </c>
      <c r="I401" s="120">
        <f t="shared" ref="I401:I402" si="99">SUM(G401:H401)</f>
        <v>0</v>
      </c>
    </row>
    <row r="402" spans="1:9" s="122" customFormat="1" ht="47.25" hidden="1" x14ac:dyDescent="0.25">
      <c r="A402" s="772" t="str">
        <f>IF(B402&gt;0,VLOOKUP(B402,КВСР!A105:B1270,2),IF(C402&gt;0,VLOOKUP(C402,КФСР!A105:B1617,2),IF(D402&gt;0,VLOOKUP(D402,Программа!A$1:B$5110,2),IF(F402&gt;0,VLOOKUP(F402,КВР!A$1:B$5001,2),IF(E402&gt;0,VLOOKUP(E402,Направление!A$1:B$4783,2))))))</f>
        <v xml:space="preserve">Закупка товаров, работ и услуг для обеспечения государственных (муниципальных) нужд
</v>
      </c>
      <c r="B402" s="117"/>
      <c r="C402" s="112"/>
      <c r="D402" s="114"/>
      <c r="E402" s="112"/>
      <c r="F402" s="114">
        <v>200</v>
      </c>
      <c r="G402" s="295"/>
      <c r="H402" s="284"/>
      <c r="I402" s="120">
        <f t="shared" si="99"/>
        <v>0</v>
      </c>
    </row>
    <row r="403" spans="1:9" s="122" customFormat="1" ht="63" hidden="1" x14ac:dyDescent="0.25">
      <c r="A403" s="772" t="str">
        <f>IF(B403&gt;0,VLOOKUP(B403,КВСР!A104:B1269,2),IF(C403&gt;0,VLOOKUP(C403,КФСР!A104:B1616,2),IF(D403&gt;0,VLOOKUP(D403,Программа!A$1:B$5110,2),IF(F403&gt;0,VLOOKUP(F403,КВР!A$1:B$5001,2),IF(E403&gt;0,VLOOKUP(E403,Направление!A$1:B$4783,2))))))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3" s="117"/>
      <c r="C403" s="112"/>
      <c r="D403" s="114"/>
      <c r="E403" s="112">
        <v>29446</v>
      </c>
      <c r="F403" s="114"/>
      <c r="G403" s="283"/>
      <c r="H403" s="284">
        <f>H404</f>
        <v>0</v>
      </c>
      <c r="I403" s="120">
        <f t="shared" si="95"/>
        <v>0</v>
      </c>
    </row>
    <row r="404" spans="1:9" s="122" customFormat="1" ht="47.25" hidden="1" x14ac:dyDescent="0.25">
      <c r="A404" s="772" t="str">
        <f>IF(B404&gt;0,VLOOKUP(B404,КВСР!A105:B1270,2),IF(C404&gt;0,VLOOKUP(C404,КФСР!A105:B1617,2),IF(D404&gt;0,VLOOKUP(D404,Программа!A$1:B$5110,2),IF(F404&gt;0,VLOOKUP(F404,КВР!A$1:B$5001,2),IF(E404&gt;0,VLOOKUP(E404,Направление!A$1:B$4783,2))))))</f>
        <v xml:space="preserve">Закупка товаров, работ и услуг для обеспечения государственных (муниципальных) нужд
</v>
      </c>
      <c r="B404" s="117"/>
      <c r="C404" s="112"/>
      <c r="D404" s="114"/>
      <c r="E404" s="112"/>
      <c r="F404" s="114">
        <v>200</v>
      </c>
      <c r="G404" s="295"/>
      <c r="H404" s="284"/>
      <c r="I404" s="120">
        <f t="shared" si="95"/>
        <v>0</v>
      </c>
    </row>
    <row r="405" spans="1:9" s="122" customFormat="1" hidden="1" x14ac:dyDescent="0.25">
      <c r="A405" s="772" t="str">
        <f>IF(B405&gt;0,VLOOKUP(B405,КВСР!A106:B1271,2),IF(C405&gt;0,VLOOKUP(C405,КФСР!A106:B1618,2),IF(D405&gt;0,VLOOKUP(D405,Программа!A$1:B$5110,2),IF(F405&gt;0,VLOOKUP(F405,КВР!A$1:B$5001,2),IF(E405&gt;0,VLOOKUP(E405,Направление!A$1:B$4783,2))))))</f>
        <v>Охрана семьи и детства</v>
      </c>
      <c r="B405" s="117"/>
      <c r="C405" s="112">
        <v>1004</v>
      </c>
      <c r="D405" s="114"/>
      <c r="E405" s="112"/>
      <c r="F405" s="114"/>
      <c r="G405" s="295"/>
      <c r="H405" s="284">
        <f t="shared" ref="H405:I407" si="100">H406</f>
        <v>0</v>
      </c>
      <c r="I405" s="295">
        <f t="shared" si="100"/>
        <v>0</v>
      </c>
    </row>
    <row r="406" spans="1:9" s="122" customFormat="1" hidden="1" x14ac:dyDescent="0.25">
      <c r="A406" s="772" t="str">
        <f>IF(B406&gt;0,VLOOKUP(B406,КВСР!A107:B1272,2),IF(C406&gt;0,VLOOKUP(C406,КФСР!A107:B1619,2),IF(D406&gt;0,VLOOKUP(D406,Программа!A$1:B$5110,2),IF(F406&gt;0,VLOOKUP(F406,КВР!A$1:B$5001,2),IF(E406&gt;0,VLOOKUP(E406,Направление!A$1:B$4783,2))))))</f>
        <v>Непрограммные расходы бюджета</v>
      </c>
      <c r="B406" s="117"/>
      <c r="C406" s="112"/>
      <c r="D406" s="114" t="s">
        <v>394</v>
      </c>
      <c r="E406" s="112"/>
      <c r="F406" s="114"/>
      <c r="G406" s="295"/>
      <c r="H406" s="284">
        <f t="shared" si="100"/>
        <v>0</v>
      </c>
      <c r="I406" s="295">
        <f t="shared" si="100"/>
        <v>0</v>
      </c>
    </row>
    <row r="407" spans="1:9" s="122" customFormat="1" hidden="1" x14ac:dyDescent="0.25">
      <c r="A407" s="772" t="str">
        <f>IF(B407&gt;0,VLOOKUP(B407,КВСР!A108:B1273,2),IF(C407&gt;0,VLOOKUP(C407,КФСР!A108:B1620,2),IF(D407&gt;0,VLOOKUP(D407,Программа!A$1:B$5110,2),IF(F407&gt;0,VLOOKUP(F407,КВР!A$1:B$5001,2),IF(E407&gt;0,VLOOKUP(E407,Направление!A$1:B$4783,2))))))</f>
        <v>Содержание центрального аппарата</v>
      </c>
      <c r="B407" s="117"/>
      <c r="C407" s="112"/>
      <c r="D407" s="114"/>
      <c r="E407" s="112">
        <v>12010</v>
      </c>
      <c r="F407" s="114"/>
      <c r="G407" s="295"/>
      <c r="H407" s="284">
        <f t="shared" si="100"/>
        <v>0</v>
      </c>
      <c r="I407" s="295">
        <f t="shared" si="100"/>
        <v>0</v>
      </c>
    </row>
    <row r="408" spans="1:9" s="122" customFormat="1" ht="94.5" hidden="1" x14ac:dyDescent="0.25">
      <c r="A408" s="772" t="str">
        <f>IF(B408&gt;0,VLOOKUP(B408,КВСР!A109:B1274,2),IF(C408&gt;0,VLOOKUP(C408,КФСР!A109:B1621,2),IF(D408&gt;0,VLOOKUP(D408,Программа!A$1:B$5110,2),IF(F408&gt;0,VLOOKUP(F408,КВР!A$1:B$5001,2),IF(E408&gt;0,VLOOKUP(E408,Направление!A$1:B$4783,2))))))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8" s="117"/>
      <c r="C408" s="112"/>
      <c r="D408" s="114"/>
      <c r="E408" s="112"/>
      <c r="F408" s="114">
        <v>100</v>
      </c>
      <c r="G408" s="295"/>
      <c r="H408" s="284"/>
      <c r="I408" s="120">
        <f>G408+H408</f>
        <v>0</v>
      </c>
    </row>
    <row r="409" spans="1:9" ht="31.5" x14ac:dyDescent="0.25">
      <c r="A409" s="771" t="str">
        <f>IF(B409&gt;0,VLOOKUP(B409,КВСР!A106:B1271,2),IF(C409&gt;0,VLOOKUP(C409,КФСР!A106:B1618,2),IF(D409&gt;0,VLOOKUP(D409,Программа!A$1:B$5110,2),IF(F409&gt;0,VLOOKUP(F409,КВР!A$1:B$5001,2),IF(E409&gt;0,VLOOKUP(E409,Направление!A$1:B$4783,2))))))</f>
        <v>Департамент образования Администрации ТМР</v>
      </c>
      <c r="B409" s="111">
        <v>953</v>
      </c>
      <c r="C409" s="112"/>
      <c r="D409" s="113"/>
      <c r="E409" s="112"/>
      <c r="F409" s="114"/>
      <c r="G409" s="338"/>
      <c r="H409" s="338">
        <f>H416+H451+H487+H515+H540+H629+H662+H623+H509+H410</f>
        <v>1075656039</v>
      </c>
      <c r="I409" s="384">
        <f>I416+I451+I487+I515+I540+I629+I662+I623+I509+I410</f>
        <v>1075656039</v>
      </c>
    </row>
    <row r="410" spans="1:9" hidden="1" x14ac:dyDescent="0.25">
      <c r="A410" s="772" t="str">
        <f>IF(B410&gt;0,VLOOKUP(B410,КВСР!A105:B1270,2),IF(C410&gt;0,VLOOKUP(C410,КФСР!A105:B1617,2),IF(D410&gt;0,VLOOKUP(D410,Программа!A$1:B$5110,2),IF(F410&gt;0,VLOOKUP(F410,КВР!A$1:B$5001,2),IF(E410&gt;0,VLOOKUP(E410,Направление!A$1:B$4783,2))))))</f>
        <v xml:space="preserve"> Общеэкономические вопросы</v>
      </c>
      <c r="B410" s="111"/>
      <c r="C410" s="112">
        <v>401</v>
      </c>
      <c r="D410" s="113"/>
      <c r="E410" s="112"/>
      <c r="F410" s="114"/>
      <c r="G410" s="781"/>
      <c r="H410" s="781">
        <f t="shared" ref="H410:I414" si="101">H411</f>
        <v>0</v>
      </c>
      <c r="I410" s="781">
        <f t="shared" si="101"/>
        <v>0</v>
      </c>
    </row>
    <row r="411" spans="1:9" ht="63" hidden="1" x14ac:dyDescent="0.25">
      <c r="A411" s="772" t="str">
        <f>IF(B411&gt;0,VLOOKUP(B411,КВСР!A106:B1271,2),IF(C411&gt;0,VLOOKUP(C411,КФСР!A106:B1618,2),IF(D411&gt;0,VLOOKUP(D411,Программа!A$1:B$5110,2),IF(F411&gt;0,VLOOKUP(F411,КВР!A$1:B$5001,2),IF(E411&gt;0,VLOOKUP(E411,Направление!A$1:B$4783,2))))))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411" s="111"/>
      <c r="C411" s="112"/>
      <c r="D411" s="113" t="s">
        <v>482</v>
      </c>
      <c r="E411" s="112"/>
      <c r="F411" s="114"/>
      <c r="G411" s="781"/>
      <c r="H411" s="781">
        <f t="shared" si="101"/>
        <v>0</v>
      </c>
      <c r="I411" s="781">
        <f t="shared" si="101"/>
        <v>0</v>
      </c>
    </row>
    <row r="412" spans="1:9" ht="31.5" hidden="1" x14ac:dyDescent="0.25">
      <c r="A412" s="772" t="str">
        <f>IF(B412&gt;0,VLOOKUP(B412,КВСР!A107:B1272,2),IF(C412&gt;0,VLOOKUP(C412,КФСР!A107:B1619,2),IF(D412&gt;0,VLOOKUP(D412,Программа!A$1:B$5110,2),IF(F412&gt;0,VLOOKUP(F412,КВР!A$1:B$5001,2),IF(E412&gt;0,VLOOKUP(E412,Направление!A$1:B$4783,2))))))</f>
        <v>Ведомственная целевая программа «Молодежь»</v>
      </c>
      <c r="B412" s="111"/>
      <c r="C412" s="112"/>
      <c r="D412" s="113" t="s">
        <v>586</v>
      </c>
      <c r="E412" s="112"/>
      <c r="F412" s="114"/>
      <c r="G412" s="781"/>
      <c r="H412" s="781">
        <f t="shared" si="101"/>
        <v>0</v>
      </c>
      <c r="I412" s="781">
        <f t="shared" si="101"/>
        <v>0</v>
      </c>
    </row>
    <row r="413" spans="1:9" ht="47.25" hidden="1" x14ac:dyDescent="0.25">
      <c r="A413" s="772" t="str">
        <f>IF(B413&gt;0,VLOOKUP(B413,КВСР!A108:B1273,2),IF(C413&gt;0,VLOOKUP(C413,КФСР!A108:B1620,2),IF(D413&gt;0,VLOOKUP(D413,Программа!A$1:B$5110,2),IF(F413&gt;0,VLOOKUP(F413,КВР!A$1:B$5001,2),IF(E413&gt;0,VLOOKUP(E413,Направление!A$1:B$4783,2))))))</f>
        <v>Обеспечение качества и доступности услуг(работ) в сфере молодежной политики</v>
      </c>
      <c r="B413" s="111"/>
      <c r="C413" s="112"/>
      <c r="D413" s="113" t="s">
        <v>1194</v>
      </c>
      <c r="E413" s="112"/>
      <c r="F413" s="114"/>
      <c r="G413" s="781"/>
      <c r="H413" s="781">
        <f t="shared" si="101"/>
        <v>0</v>
      </c>
      <c r="I413" s="781">
        <f t="shared" si="101"/>
        <v>0</v>
      </c>
    </row>
    <row r="414" spans="1:9" ht="47.25" hidden="1" x14ac:dyDescent="0.25">
      <c r="A414" s="772" t="str">
        <f>IF(B414&gt;0,VLOOKUP(B414,КВСР!A109:B1274,2),IF(C414&gt;0,VLOOKUP(C414,КФСР!A109:B1621,2),IF(D414&gt;0,VLOOKUP(D414,Программа!A$1:B$5110,2),IF(F414&gt;0,VLOOKUP(F414,КВР!A$1:B$5001,2),IF(E414&gt;0,VLOOKUP(E414,Направление!A$1:B$4783,2))))))</f>
        <v>Расходы на обеспечение трудоустройства несовершеннолетних граждан на временные рабочие места</v>
      </c>
      <c r="B414" s="111"/>
      <c r="C414" s="112"/>
      <c r="D414" s="113"/>
      <c r="E414" s="112">
        <v>76950</v>
      </c>
      <c r="F414" s="114"/>
      <c r="G414" s="781"/>
      <c r="H414" s="781">
        <f t="shared" si="101"/>
        <v>0</v>
      </c>
      <c r="I414" s="781">
        <f t="shared" si="101"/>
        <v>0</v>
      </c>
    </row>
    <row r="415" spans="1:9" ht="47.25" hidden="1" x14ac:dyDescent="0.25">
      <c r="A415" s="772" t="str">
        <f>IF(B415&gt;0,VLOOKUP(B415,КВСР!A110:B1275,2),IF(C415&gt;0,VLOOKUP(C415,КФСР!A110:B1622,2),IF(D415&gt;0,VLOOKUP(D415,Программа!A$1:B$5110,2),IF(F415&gt;0,VLOOKUP(F415,КВР!A$1:B$5001,2),IF(E415&gt;0,VLOOKUP(E415,Направление!A$1:B$4783,2))))))</f>
        <v>Предоставление субсидий бюджетным, автономным учреждениям и иным некоммерческим организациям</v>
      </c>
      <c r="B415" s="111"/>
      <c r="C415" s="112"/>
      <c r="D415" s="113"/>
      <c r="E415" s="112"/>
      <c r="F415" s="114">
        <v>600</v>
      </c>
      <c r="G415" s="781"/>
      <c r="H415" s="781"/>
      <c r="I415" s="781">
        <f>G415+H415</f>
        <v>0</v>
      </c>
    </row>
    <row r="416" spans="1:9" x14ac:dyDescent="0.25">
      <c r="A416" s="772" t="str">
        <f>IF(B416&gt;0,VLOOKUP(B416,КВСР!A111:B1276,2),IF(C416&gt;0,VLOOKUP(C416,КФСР!A111:B1623,2),IF(D416&gt;0,VLOOKUP(D416,Программа!A$1:B$5110,2),IF(F416&gt;0,VLOOKUP(F416,КВР!A$1:B$5001,2),IF(E416&gt;0,VLOOKUP(E416,Направление!A$1:B$4783,2))))))</f>
        <v>Дошкольное образование</v>
      </c>
      <c r="B416" s="117"/>
      <c r="C416" s="112">
        <v>701</v>
      </c>
      <c r="D416" s="113"/>
      <c r="E416" s="112"/>
      <c r="F416" s="114"/>
      <c r="G416" s="120"/>
      <c r="H416" s="339">
        <f>H417+H448+H439</f>
        <v>407245068</v>
      </c>
      <c r="I416" s="120">
        <f t="shared" si="95"/>
        <v>407245068</v>
      </c>
    </row>
    <row r="417" spans="1:9" ht="63" x14ac:dyDescent="0.25">
      <c r="A417" s="772" t="str">
        <f>IF(B417&gt;0,VLOOKUP(B417,КВСР!A112:B1277,2),IF(C417&gt;0,VLOOKUP(C417,КФСР!A112:B1624,2),IF(D417&gt;0,VLOOKUP(D417,Программа!A$1:B$5110,2),IF(F417&gt;0,VLOOKUP(F417,КВР!A$1:B$5001,2),IF(E417&gt;0,VLOOKUP(E417,Направление!A$1:B$4783,2))))))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17" s="117"/>
      <c r="C417" s="112"/>
      <c r="D417" s="113" t="s">
        <v>452</v>
      </c>
      <c r="E417" s="112"/>
      <c r="F417" s="114"/>
      <c r="G417" s="120"/>
      <c r="H417" s="339">
        <f>H419</f>
        <v>407245068</v>
      </c>
      <c r="I417" s="120">
        <f t="shared" si="95"/>
        <v>407245068</v>
      </c>
    </row>
    <row r="418" spans="1:9" ht="63" x14ac:dyDescent="0.25">
      <c r="A418" s="772" t="str">
        <f>IF(B418&gt;0,VLOOKUP(B418,КВСР!A113:B1278,2),IF(C418&gt;0,VLOOKUP(C418,КФСР!A113:B1625,2),IF(D418&gt;0,VLOOKUP(D418,Программа!A$1:B$5110,2),IF(F418&gt;0,VLOOKUP(F418,КВР!A$1:B$5001,2),IF(E418&gt;0,VLOOKUP(E418,Направление!A$1:B$4783,2))))))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18" s="117"/>
      <c r="C418" s="112"/>
      <c r="D418" s="113" t="s">
        <v>454</v>
      </c>
      <c r="E418" s="112"/>
      <c r="F418" s="114"/>
      <c r="G418" s="120"/>
      <c r="H418" s="339">
        <f>H419</f>
        <v>407245068</v>
      </c>
      <c r="I418" s="120">
        <f t="shared" si="95"/>
        <v>407245068</v>
      </c>
    </row>
    <row r="419" spans="1:9" ht="47.25" x14ac:dyDescent="0.25">
      <c r="A419" s="772" t="str">
        <f>IF(B419&gt;0,VLOOKUP(B419,КВСР!A114:B1279,2),IF(C419&gt;0,VLOOKUP(C419,КФСР!A114:B1626,2),IF(D419&gt;0,VLOOKUP(D419,Программа!A$1:B$5110,2),IF(F419&gt;0,VLOOKUP(F419,КВР!A$1:B$5001,2),IF(E419&gt;0,VLOOKUP(E419,Направление!A$1:B$4783,2))))))</f>
        <v>Обеспечение качества и доступности образовательных услуг в сфере дошкольного образования</v>
      </c>
      <c r="B419" s="117"/>
      <c r="C419" s="112"/>
      <c r="D419" s="113" t="s">
        <v>455</v>
      </c>
      <c r="E419" s="112"/>
      <c r="F419" s="114"/>
      <c r="G419" s="339"/>
      <c r="H419" s="339">
        <f t="shared" ref="H419:I419" si="102">H420+H428+H432+H424+H430+H426+H437+H435</f>
        <v>407245068</v>
      </c>
      <c r="I419" s="339">
        <f t="shared" si="102"/>
        <v>407245068</v>
      </c>
    </row>
    <row r="420" spans="1:9" ht="31.5" x14ac:dyDescent="0.25">
      <c r="A420" s="772" t="str">
        <f>IF(B420&gt;0,VLOOKUP(B420,КВСР!A114:B1279,2),IF(C420&gt;0,VLOOKUP(C420,КФСР!A114:B1626,2),IF(D420&gt;0,VLOOKUP(D420,Программа!A$1:B$5110,2),IF(F420&gt;0,VLOOKUP(F420,КВР!A$1:B$5001,2),IF(E420&gt;0,VLOOKUP(E420,Направление!A$1:B$4783,2))))))</f>
        <v>Обеспечение деятельности дошкольных учреждений</v>
      </c>
      <c r="B420" s="117"/>
      <c r="C420" s="112"/>
      <c r="D420" s="113"/>
      <c r="E420" s="112">
        <v>13010</v>
      </c>
      <c r="F420" s="114"/>
      <c r="G420" s="284"/>
      <c r="H420" s="284">
        <f t="shared" ref="H420:I420" si="103">H421+H422+H423</f>
        <v>167282574</v>
      </c>
      <c r="I420" s="284">
        <f t="shared" si="103"/>
        <v>167282574</v>
      </c>
    </row>
    <row r="421" spans="1:9" ht="94.5" x14ac:dyDescent="0.25">
      <c r="A421" s="772" t="str">
        <f>IF(B421&gt;0,VLOOKUP(B421,КВСР!A115:B1280,2),IF(C421&gt;0,VLOOKUP(C421,КФСР!A115:B1627,2),IF(D421&gt;0,VLOOKUP(D421,Программа!A$1:B$5110,2),IF(F421&gt;0,VLOOKUP(F421,КВР!A$1:B$5001,2),IF(E421&gt;0,VLOOKUP(E421,Направление!A$1:B$4783,2))))))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1" s="117"/>
      <c r="C421" s="112"/>
      <c r="D421" s="114"/>
      <c r="E421" s="112"/>
      <c r="F421" s="114">
        <v>100</v>
      </c>
      <c r="G421" s="295"/>
      <c r="H421" s="284">
        <f>62309548+1223000</f>
        <v>63532548</v>
      </c>
      <c r="I421" s="120">
        <f>SUM(G421:H421)</f>
        <v>63532548</v>
      </c>
    </row>
    <row r="422" spans="1:9" ht="47.25" x14ac:dyDescent="0.25">
      <c r="A422" s="772" t="str">
        <f>IF(B422&gt;0,VLOOKUP(B422,КВСР!A116:B1281,2),IF(C422&gt;0,VLOOKUP(C422,КФСР!A116:B1628,2),IF(D422&gt;0,VLOOKUP(D422,Программа!A$1:B$5110,2),IF(F422&gt;0,VLOOKUP(F422,КВР!A$1:B$5001,2),IF(E422&gt;0,VLOOKUP(E422,Направление!A$1:B$4783,2))))))</f>
        <v xml:space="preserve">Закупка товаров, работ и услуг для обеспечения государственных (муниципальных) нужд
</v>
      </c>
      <c r="B422" s="117"/>
      <c r="C422" s="112"/>
      <c r="D422" s="114"/>
      <c r="E422" s="112"/>
      <c r="F422" s="114">
        <v>200</v>
      </c>
      <c r="G422" s="295"/>
      <c r="H422" s="284">
        <f>42751233+570000+470000+54450000</f>
        <v>98241233</v>
      </c>
      <c r="I422" s="120">
        <f t="shared" ref="I422:I423" si="104">SUM(G422:H422)</f>
        <v>98241233</v>
      </c>
    </row>
    <row r="423" spans="1:9" x14ac:dyDescent="0.25">
      <c r="A423" s="772" t="str">
        <f>IF(B423&gt;0,VLOOKUP(B423,КВСР!A117:B1282,2),IF(C423&gt;0,VLOOKUP(C423,КФСР!A117:B1629,2),IF(D423&gt;0,VLOOKUP(D423,Программа!A$1:B$5110,2),IF(F423&gt;0,VLOOKUP(F423,КВР!A$1:B$5001,2),IF(E423&gt;0,VLOOKUP(E423,Направление!A$1:B$4783,2))))))</f>
        <v>Иные бюджетные ассигнования</v>
      </c>
      <c r="B423" s="117"/>
      <c r="C423" s="112"/>
      <c r="D423" s="114"/>
      <c r="E423" s="112"/>
      <c r="F423" s="114">
        <v>800</v>
      </c>
      <c r="G423" s="295"/>
      <c r="H423" s="284">
        <v>5508793</v>
      </c>
      <c r="I423" s="120">
        <f t="shared" si="104"/>
        <v>5508793</v>
      </c>
    </row>
    <row r="424" spans="1:9" ht="31.5" x14ac:dyDescent="0.25">
      <c r="A424" s="772" t="str">
        <f>IF(B424&gt;0,VLOOKUP(B424,КВСР!A116:B1281,2),IF(C424&gt;0,VLOOKUP(C424,КФСР!A116:B1628,2),IF(D424&gt;0,VLOOKUP(D424,Программа!A$1:B$5110,2),IF(F424&gt;0,VLOOKUP(F424,КВР!A$1:B$5001,2),IF(E424&gt;0,VLOOKUP(E424,Направление!A$1:B$4783,2))))))</f>
        <v>Обеспечение деятельности общеобразовательных учреждений</v>
      </c>
      <c r="B424" s="117"/>
      <c r="C424" s="112"/>
      <c r="D424" s="114"/>
      <c r="E424" s="112">
        <v>13110</v>
      </c>
      <c r="F424" s="114"/>
      <c r="G424" s="283"/>
      <c r="H424" s="284">
        <f t="shared" ref="H424" si="105">H425</f>
        <v>15107000</v>
      </c>
      <c r="I424" s="120">
        <f t="shared" si="95"/>
        <v>15107000</v>
      </c>
    </row>
    <row r="425" spans="1:9" ht="47.25" x14ac:dyDescent="0.25">
      <c r="A425" s="772" t="str">
        <f>IF(B425&gt;0,VLOOKUP(B425,КВСР!A117:B1282,2),IF(C425&gt;0,VLOOKUP(C425,КФСР!A117:B1629,2),IF(D425&gt;0,VLOOKUP(D425,Программа!A$1:B$5110,2),IF(F425&gt;0,VLOOKUP(F425,КВР!A$1:B$5001,2),IF(E425&gt;0,VLOOKUP(E425,Направление!A$1:B$4783,2))))))</f>
        <v>Предоставление субсидий бюджетным, автономным учреждениям и иным некоммерческим организациям</v>
      </c>
      <c r="B425" s="117"/>
      <c r="C425" s="112"/>
      <c r="D425" s="114"/>
      <c r="E425" s="112"/>
      <c r="F425" s="114">
        <v>600</v>
      </c>
      <c r="G425" s="295"/>
      <c r="H425" s="284">
        <f>1224000+13883000</f>
        <v>15107000</v>
      </c>
      <c r="I425" s="120">
        <f t="shared" si="95"/>
        <v>15107000</v>
      </c>
    </row>
    <row r="426" spans="1:9" ht="47.25" hidden="1" x14ac:dyDescent="0.25">
      <c r="A426" s="772" t="str">
        <f>IF(B426&gt;0,VLOOKUP(B426,КВСР!A118:B1283,2),IF(C426&gt;0,VLOOKUP(C426,КФСР!A118:B1630,2),IF(D426&gt;0,VLOOKUP(D426,Программа!A$1:B$5110,2),IF(F426&gt;0,VLOOKUP(F426,КВР!A$1:B$5001,2),IF(E426&gt;0,VLOOKUP(E426,Направление!A$1:B$4783,2))))))</f>
        <v>Расходы на реализацию мероприятий инициативного бюджетирования на территории Ярославской области</v>
      </c>
      <c r="B426" s="117"/>
      <c r="C426" s="112"/>
      <c r="D426" s="114"/>
      <c r="E426" s="112">
        <v>15350</v>
      </c>
      <c r="F426" s="114"/>
      <c r="G426" s="295"/>
      <c r="H426" s="284">
        <f t="shared" ref="H426:I426" si="106">H427</f>
        <v>0</v>
      </c>
      <c r="I426" s="295">
        <f t="shared" si="106"/>
        <v>0</v>
      </c>
    </row>
    <row r="427" spans="1:9" ht="47.25" hidden="1" x14ac:dyDescent="0.25">
      <c r="A427" s="772" t="str">
        <f>IF(B427&gt;0,VLOOKUP(B427,КВСР!A119:B1284,2),IF(C427&gt;0,VLOOKUP(C427,КФСР!A119:B1631,2),IF(D427&gt;0,VLOOKUP(D427,Программа!A$1:B$5110,2),IF(F427&gt;0,VLOOKUP(F427,КВР!A$1:B$5001,2),IF(E427&gt;0,VLOOKUP(E427,Направление!A$1:B$4783,2))))))</f>
        <v xml:space="preserve">Закупка товаров, работ и услуг для обеспечения государственных (муниципальных) нужд
</v>
      </c>
      <c r="B427" s="117"/>
      <c r="C427" s="112"/>
      <c r="D427" s="114"/>
      <c r="E427" s="112"/>
      <c r="F427" s="114">
        <v>200</v>
      </c>
      <c r="G427" s="295"/>
      <c r="H427" s="284"/>
      <c r="I427" s="120">
        <f>G427+H427</f>
        <v>0</v>
      </c>
    </row>
    <row r="428" spans="1:9" ht="110.25" hidden="1" x14ac:dyDescent="0.25">
      <c r="A428" s="772" t="str">
        <f>IF(B428&gt;0,VLOOKUP(B428,КВСР!A118:B1283,2),IF(C428&gt;0,VLOOKUP(C428,КФСР!A118:B1630,2),IF(D428&gt;0,VLOOKUP(D428,Программа!A$1:B$5110,2),IF(F428&gt;0,VLOOKUP(F428,КВР!A$1:B$5001,2),IF(E428&gt;0,VLOOKUP(E428,Направление!A$1:B$4783,2))))))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8" s="117"/>
      <c r="C428" s="112"/>
      <c r="D428" s="113"/>
      <c r="E428" s="112">
        <v>70510</v>
      </c>
      <c r="F428" s="114"/>
      <c r="G428" s="118"/>
      <c r="H428" s="284">
        <f>H429</f>
        <v>0</v>
      </c>
      <c r="I428" s="120">
        <f t="shared" si="95"/>
        <v>0</v>
      </c>
    </row>
    <row r="429" spans="1:9" ht="47.25" hidden="1" x14ac:dyDescent="0.25">
      <c r="A429" s="772" t="str">
        <f>IF(B429&gt;0,VLOOKUP(B429,КВСР!A119:B1284,2),IF(C429&gt;0,VLOOKUP(C429,КФСР!A119:B1631,2),IF(D429&gt;0,VLOOKUP(D429,Программа!A$1:B$5110,2),IF(F429&gt;0,VLOOKUP(F429,КВР!A$1:B$5001,2),IF(E429&gt;0,VLOOKUP(E429,Направление!A$1:B$4783,2))))))</f>
        <v>Предоставление субсидий бюджетным, автономным учреждениям и иным некоммерческим организациям</v>
      </c>
      <c r="B429" s="117"/>
      <c r="C429" s="112"/>
      <c r="D429" s="114"/>
      <c r="E429" s="112"/>
      <c r="F429" s="114">
        <v>600</v>
      </c>
      <c r="G429" s="295"/>
      <c r="H429" s="284"/>
      <c r="I429" s="120">
        <f t="shared" si="95"/>
        <v>0</v>
      </c>
    </row>
    <row r="430" spans="1:9" ht="47.25" x14ac:dyDescent="0.25">
      <c r="A430" s="772" t="str">
        <f>IF(B430&gt;0,VLOOKUP(B430,КВСР!A120:B1285,2),IF(C430&gt;0,VLOOKUP(C430,КФСР!A120:B1632,2),IF(D430&gt;0,VLOOKUP(D430,Программа!A$1:B$5110,2),IF(F430&gt;0,VLOOKUP(F430,КВР!A$1:B$5001,2),IF(E430&gt;0,VLOOKUP(E430,Направление!A$1:B$4783,2))))))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30" s="117"/>
      <c r="C430" s="112"/>
      <c r="D430" s="114"/>
      <c r="E430" s="112">
        <v>70520</v>
      </c>
      <c r="F430" s="114"/>
      <c r="G430" s="283"/>
      <c r="H430" s="284">
        <f t="shared" ref="H430:I430" si="107">H431</f>
        <v>21699000</v>
      </c>
      <c r="I430" s="283">
        <f t="shared" si="107"/>
        <v>21699000</v>
      </c>
    </row>
    <row r="431" spans="1:9" ht="47.25" x14ac:dyDescent="0.25">
      <c r="A431" s="772" t="str">
        <f>IF(B431&gt;0,VLOOKUP(B431,КВСР!A121:B1286,2),IF(C431&gt;0,VLOOKUP(C431,КФСР!A121:B1633,2),IF(D431&gt;0,VLOOKUP(D431,Программа!A$1:B$5110,2),IF(F431&gt;0,VLOOKUP(F431,КВР!A$1:B$5001,2),IF(E431&gt;0,VLOOKUP(E431,Направление!A$1:B$4783,2))))))</f>
        <v>Предоставление субсидий бюджетным, автономным учреждениям и иным некоммерческим организациям</v>
      </c>
      <c r="B431" s="117"/>
      <c r="C431" s="112"/>
      <c r="D431" s="114"/>
      <c r="E431" s="112"/>
      <c r="F431" s="114">
        <v>600</v>
      </c>
      <c r="G431" s="295"/>
      <c r="H431" s="284">
        <v>21699000</v>
      </c>
      <c r="I431" s="120">
        <f>G431+H431</f>
        <v>21699000</v>
      </c>
    </row>
    <row r="432" spans="1:9" ht="63" x14ac:dyDescent="0.25">
      <c r="A432" s="772" t="str">
        <f>IF(B432&gt;0,VLOOKUP(B432,КВСР!A120:B1285,2),IF(C432&gt;0,VLOOKUP(C432,КФСР!A120:B1632,2),IF(D432&gt;0,VLOOKUP(D432,Программа!A$1:B$5110,2),IF(F432&gt;0,VLOOKUP(F432,КВР!A$1:B$5001,2),IF(E432&gt;0,VLOOKUP(E432,Направление!A$1:B$4783,2))))))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32" s="117"/>
      <c r="C432" s="112"/>
      <c r="D432" s="113"/>
      <c r="E432" s="112">
        <v>73110</v>
      </c>
      <c r="F432" s="114"/>
      <c r="G432" s="118"/>
      <c r="H432" s="284">
        <f>H433+H434</f>
        <v>203156494</v>
      </c>
      <c r="I432" s="120">
        <f t="shared" si="95"/>
        <v>203156494</v>
      </c>
    </row>
    <row r="433" spans="1:9" ht="94.5" x14ac:dyDescent="0.25">
      <c r="A433" s="772" t="str">
        <f>IF(B433&gt;0,VLOOKUP(B433,КВСР!A121:B1286,2),IF(C433&gt;0,VLOOKUP(C433,КФСР!A121:B1633,2),IF(D433&gt;0,VLOOKUP(D433,Программа!A$1:B$5110,2),IF(F433&gt;0,VLOOKUP(F433,КВР!A$1:B$5001,2),IF(E433&gt;0,VLOOKUP(E433,Направление!A$1:B$4783,2))))))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3" s="117"/>
      <c r="C433" s="112"/>
      <c r="D433" s="114"/>
      <c r="E433" s="112"/>
      <c r="F433" s="114">
        <v>100</v>
      </c>
      <c r="G433" s="295"/>
      <c r="H433" s="284">
        <v>197579092</v>
      </c>
      <c r="I433" s="120">
        <f t="shared" si="95"/>
        <v>197579092</v>
      </c>
    </row>
    <row r="434" spans="1:9" ht="47.25" x14ac:dyDescent="0.25">
      <c r="A434" s="772" t="str">
        <f>IF(B434&gt;0,VLOOKUP(B434,КВСР!A122:B1287,2),IF(C434&gt;0,VLOOKUP(C434,КФСР!A122:B1634,2),IF(D434&gt;0,VLOOKUP(D434,Программа!A$1:B$5110,2),IF(F434&gt;0,VLOOKUP(F434,КВР!A$1:B$5001,2),IF(E434&gt;0,VLOOKUP(E434,Направление!A$1:B$4783,2))))))</f>
        <v xml:space="preserve">Закупка товаров, работ и услуг для обеспечения государственных (муниципальных) нужд
</v>
      </c>
      <c r="B434" s="117"/>
      <c r="C434" s="112"/>
      <c r="D434" s="114"/>
      <c r="E434" s="112"/>
      <c r="F434" s="114">
        <v>200</v>
      </c>
      <c r="G434" s="295"/>
      <c r="H434" s="284">
        <v>5577402</v>
      </c>
      <c r="I434" s="120">
        <f t="shared" si="95"/>
        <v>5577402</v>
      </c>
    </row>
    <row r="435" spans="1:9" hidden="1" x14ac:dyDescent="0.25">
      <c r="A435" s="772" t="str">
        <f>IF(B435&gt;0,VLOOKUP(B435,КВСР!A123:B1288,2),IF(C435&gt;0,VLOOKUP(C435,КФСР!A123:B1635,2),IF(D435&gt;0,VLOOKUP(D435,Программа!A$1:B$5110,2),IF(F435&gt;0,VLOOKUP(F435,КВР!A$1:B$5001,2),IF(E435&gt;0,VLOOKUP(E435,Направление!A$1:B$4783,2))))))</f>
        <v xml:space="preserve">Иная дотация </v>
      </c>
      <c r="B435" s="117"/>
      <c r="C435" s="112"/>
      <c r="D435" s="114"/>
      <c r="E435" s="112">
        <v>73260</v>
      </c>
      <c r="F435" s="114"/>
      <c r="G435" s="295"/>
      <c r="H435" s="284">
        <f t="shared" ref="H435:I435" si="108">H436</f>
        <v>0</v>
      </c>
      <c r="I435" s="295">
        <f t="shared" si="108"/>
        <v>0</v>
      </c>
    </row>
    <row r="436" spans="1:9" ht="47.25" hidden="1" x14ac:dyDescent="0.25">
      <c r="A436" s="772" t="str">
        <f>IF(B436&gt;0,VLOOKUP(B436,КВСР!A124:B1289,2),IF(C436&gt;0,VLOOKUP(C436,КФСР!A124:B1636,2),IF(D436&gt;0,VLOOKUP(D436,Программа!A$1:B$5110,2),IF(F436&gt;0,VLOOKUP(F436,КВР!A$1:B$5001,2),IF(E436&gt;0,VLOOKUP(E436,Направление!A$1:B$4783,2))))))</f>
        <v xml:space="preserve">Закупка товаров, работ и услуг для обеспечения государственных (муниципальных) нужд
</v>
      </c>
      <c r="B436" s="117"/>
      <c r="C436" s="112"/>
      <c r="D436" s="114"/>
      <c r="E436" s="112"/>
      <c r="F436" s="114">
        <v>200</v>
      </c>
      <c r="G436" s="295"/>
      <c r="H436" s="284"/>
      <c r="I436" s="120">
        <f>G436+H436</f>
        <v>0</v>
      </c>
    </row>
    <row r="437" spans="1:9" ht="47.25" hidden="1" x14ac:dyDescent="0.25">
      <c r="A437" s="772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IF(B437&gt;0,VLOOKUP(B437,КВСР!A123:B1288,2),IF(C437&gt;0,VLOOKUP(C437,КФСР!A123:B1635,2),IF(D437&gt;0,VLOOKUP(D437,Программа!A$1:B$5110,2),IF(F437&gt;0,VLOOKUP(F437,КВР!A$1:B$5001,2),IF(E437&gt;0,VLOOKUP(E437,Направление!A$1:B$4783,2))))))</f>
        <v>Расходы на реализацию мероприятий инициативного бюджетирования на территории Ярославской области</v>
      </c>
      <c r="B437" s="117"/>
      <c r="C437" s="112"/>
      <c r="D437" s="114"/>
      <c r="E437" s="112">
        <v>75350</v>
      </c>
      <c r="F437" s="114"/>
      <c r="G437" s="295"/>
      <c r="H437" s="284">
        <f t="shared" ref="H437:I437" si="109">H438</f>
        <v>0</v>
      </c>
      <c r="I437" s="295">
        <f t="shared" si="109"/>
        <v>0</v>
      </c>
    </row>
    <row r="438" spans="1:9" ht="47.25" hidden="1" x14ac:dyDescent="0.25">
      <c r="A438" s="772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IF(B438&gt;0,VLOOKUP(B438,КВСР!A124:B1289,2),IF(C438&gt;0,VLOOKUP(C438,КФСР!A124:B1636,2),IF(D438&gt;0,VLOOKUP(D438,Программа!A$1:B$5110,2),IF(F438&gt;0,VLOOKUP(F438,КВР!A$1:B$5001,2),IF(E438&gt;0,VLOOKUP(E438,Направление!A$1:B$4783,2))))))</f>
        <v xml:space="preserve">Закупка товаров, работ и услуг для обеспечения государственных (муниципальных) нужд
</v>
      </c>
      <c r="B438" s="117"/>
      <c r="C438" s="112"/>
      <c r="D438" s="114"/>
      <c r="E438" s="112"/>
      <c r="F438" s="114">
        <v>200</v>
      </c>
      <c r="G438" s="295"/>
      <c r="H438" s="284"/>
      <c r="I438" s="120">
        <f>G438+H438</f>
        <v>0</v>
      </c>
    </row>
    <row r="439" spans="1:9" ht="47.25" hidden="1" x14ac:dyDescent="0.25">
      <c r="A439" s="772" t="str">
        <f>IF(B439&gt;0,VLOOKUP(B439,КВСР!A122:B1287,2),IF(C439&gt;0,VLOOKUP(C439,КФСР!A122:B1634,2),IF(D439&gt;0,VLOOKUP(D439,Программа!A$1:B$5110,2),IF(F439&gt;0,VLOOKUP(F439,КВР!A$1:B$5001,2),IF(E439&gt;0,VLOOKUP(E439,Направление!A$1:B$4783,2))))))</f>
        <v>Муниципальная программа "Социальная поддержка населения Тутаевского муниципального района"</v>
      </c>
      <c r="B439" s="117"/>
      <c r="C439" s="112"/>
      <c r="D439" s="113" t="s">
        <v>461</v>
      </c>
      <c r="E439" s="112"/>
      <c r="F439" s="114"/>
      <c r="G439" s="118"/>
      <c r="H439" s="284">
        <f>H440</f>
        <v>0</v>
      </c>
      <c r="I439" s="120">
        <f t="shared" si="95"/>
        <v>0</v>
      </c>
    </row>
    <row r="440" spans="1:9" ht="47.25" hidden="1" x14ac:dyDescent="0.25">
      <c r="A440" s="772" t="str">
        <f>IF(B440&gt;0,VLOOKUP(B440,КВСР!A123:B1288,2),IF(C440&gt;0,VLOOKUP(C440,КФСР!A123:B1635,2),IF(D440&gt;0,VLOOKUP(D440,Программа!A$1:B$5110,2),IF(F440&gt;0,VLOOKUP(F440,КВР!A$1:B$5001,2),IF(E440&gt;0,VLOOKUP(E440,Направление!A$1:B$4783,2))))))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40" s="117"/>
      <c r="C440" s="112"/>
      <c r="D440" s="113" t="s">
        <v>463</v>
      </c>
      <c r="E440" s="112"/>
      <c r="F440" s="114"/>
      <c r="G440" s="118"/>
      <c r="H440" s="284">
        <f>H441+H445</f>
        <v>0</v>
      </c>
      <c r="I440" s="120">
        <f t="shared" si="95"/>
        <v>0</v>
      </c>
    </row>
    <row r="441" spans="1:9" ht="63" hidden="1" x14ac:dyDescent="0.25">
      <c r="A441" s="772" t="str">
        <f>IF(B441&gt;0,VLOOKUP(B441,КВСР!A124:B1289,2),IF(C441&gt;0,VLOOKUP(C441,КФСР!A124:B1636,2),IF(D441&gt;0,VLOOKUP(D441,Программа!A$1:B$5110,2),IF(F441&gt;0,VLOOKUP(F441,КВР!A$1:B$5001,2),IF(E441&gt;0,VLOOKUP(E441,Направление!A$1:B$4783,2))))))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1" s="117"/>
      <c r="C441" s="112"/>
      <c r="D441" s="113" t="s">
        <v>464</v>
      </c>
      <c r="E441" s="112"/>
      <c r="F441" s="114"/>
      <c r="G441" s="118"/>
      <c r="H441" s="284">
        <f>H442</f>
        <v>0</v>
      </c>
      <c r="I441" s="120">
        <f t="shared" si="95"/>
        <v>0</v>
      </c>
    </row>
    <row r="442" spans="1:9" ht="31.5" hidden="1" x14ac:dyDescent="0.25">
      <c r="A442" s="772" t="str">
        <f>IF(B442&gt;0,VLOOKUP(B442,КВСР!A125:B1290,2),IF(C442&gt;0,VLOOKUP(C442,КФСР!A125:B1637,2),IF(D442&gt;0,VLOOKUP(D442,Программа!A$1:B$5110,2),IF(F442&gt;0,VLOOKUP(F442,КВР!A$1:B$5001,2),IF(E442&gt;0,VLOOKUP(E442,Направление!A$1:B$4783,2))))))</f>
        <v>Расходы на реализацию МЦП "Улучшение условий и охраны труда"</v>
      </c>
      <c r="B442" s="117"/>
      <c r="C442" s="112"/>
      <c r="D442" s="113"/>
      <c r="E442" s="112">
        <v>16150</v>
      </c>
      <c r="F442" s="114"/>
      <c r="G442" s="118"/>
      <c r="H442" s="284">
        <f>H443+H444</f>
        <v>0</v>
      </c>
      <c r="I442" s="120">
        <f t="shared" si="95"/>
        <v>0</v>
      </c>
    </row>
    <row r="443" spans="1:9" ht="47.25" hidden="1" x14ac:dyDescent="0.25">
      <c r="A443" s="772" t="str">
        <f>IF(B443&gt;0,VLOOKUP(B443,КВСР!A126:B1291,2),IF(C443&gt;0,VLOOKUP(C443,КФСР!A126:B1638,2),IF(D443&gt;0,VLOOKUP(D443,Программа!A$1:B$5110,2),IF(F443&gt;0,VLOOKUP(F443,КВР!A$1:B$5001,2),IF(E443&gt;0,VLOOKUP(E443,Направление!A$1:B$4783,2))))))</f>
        <v xml:space="preserve">Закупка товаров, работ и услуг для обеспечения государственных (муниципальных) нужд
</v>
      </c>
      <c r="B443" s="117"/>
      <c r="C443" s="112"/>
      <c r="D443" s="113"/>
      <c r="E443" s="112"/>
      <c r="F443" s="114">
        <v>200</v>
      </c>
      <c r="G443" s="295"/>
      <c r="H443" s="284"/>
      <c r="I443" s="120">
        <f t="shared" si="95"/>
        <v>0</v>
      </c>
    </row>
    <row r="444" spans="1:9" ht="47.25" hidden="1" x14ac:dyDescent="0.25">
      <c r="A444" s="772" t="str">
        <f>IF(B444&gt;0,VLOOKUP(B444,КВСР!A127:B1292,2),IF(C444&gt;0,VLOOKUP(C444,КФСР!A127:B1639,2),IF(D444&gt;0,VLOOKUP(D444,Программа!A$1:B$5110,2),IF(F444&gt;0,VLOOKUP(F444,КВР!A$1:B$5001,2),IF(E444&gt;0,VLOOKUP(E444,Направление!A$1:B$4783,2))))))</f>
        <v>Предоставление субсидий бюджетным, автономным учреждениям и иным некоммерческим организациям</v>
      </c>
      <c r="B444" s="117"/>
      <c r="C444" s="112"/>
      <c r="D444" s="113"/>
      <c r="E444" s="112"/>
      <c r="F444" s="114">
        <v>600</v>
      </c>
      <c r="G444" s="295"/>
      <c r="H444" s="284"/>
      <c r="I444" s="120">
        <f t="shared" si="95"/>
        <v>0</v>
      </c>
    </row>
    <row r="445" spans="1:9" ht="47.25" hidden="1" x14ac:dyDescent="0.25">
      <c r="A445" s="772" t="str">
        <f>IF(B445&gt;0,VLOOKUP(B445,КВСР!A127:B1292,2),IF(C445&gt;0,VLOOKUP(C445,КФСР!A127:B1639,2),IF(D445&gt;0,VLOOKUP(D445,Программа!A$1:B$5110,2),IF(F445&gt;0,VLOOKUP(F445,КВР!A$1:B$5001,2),IF(E445&gt;0,VLOOKUP(E445,Направление!A$1:B$4783,2))))))</f>
        <v>Обучение по охране труда работников организаций Тутаевского муниципального района</v>
      </c>
      <c r="B445" s="117"/>
      <c r="C445" s="112"/>
      <c r="D445" s="113" t="s">
        <v>1131</v>
      </c>
      <c r="E445" s="112"/>
      <c r="F445" s="114"/>
      <c r="G445" s="295"/>
      <c r="H445" s="284">
        <f>H446</f>
        <v>0</v>
      </c>
      <c r="I445" s="120">
        <f t="shared" si="95"/>
        <v>0</v>
      </c>
    </row>
    <row r="446" spans="1:9" ht="31.5" hidden="1" x14ac:dyDescent="0.25">
      <c r="A446" s="772" t="str">
        <f>IF(B446&gt;0,VLOOKUP(B446,КВСР!A128:B1293,2),IF(C446&gt;0,VLOOKUP(C446,КФСР!A128:B1640,2),IF(D446&gt;0,VLOOKUP(D446,Программа!A$1:B$5110,2),IF(F446&gt;0,VLOOKUP(F446,КВР!A$1:B$5001,2),IF(E446&gt;0,VLOOKUP(E446,Направление!A$1:B$4783,2))))))</f>
        <v>Расходы на реализацию МЦП "Улучшение условий и охраны труда"</v>
      </c>
      <c r="B446" s="117"/>
      <c r="C446" s="112"/>
      <c r="D446" s="113"/>
      <c r="E446" s="112">
        <v>16150</v>
      </c>
      <c r="F446" s="114"/>
      <c r="G446" s="295"/>
      <c r="H446" s="284">
        <f>H447</f>
        <v>0</v>
      </c>
      <c r="I446" s="120">
        <f t="shared" si="95"/>
        <v>0</v>
      </c>
    </row>
    <row r="447" spans="1:9" ht="47.25" hidden="1" x14ac:dyDescent="0.25">
      <c r="A447" s="772" t="str">
        <f>IF(B447&gt;0,VLOOKUP(B447,КВСР!A129:B1294,2),IF(C447&gt;0,VLOOKUP(C447,КФСР!A129:B1641,2),IF(D447&gt;0,VLOOKUP(D447,Программа!A$1:B$5110,2),IF(F447&gt;0,VLOOKUP(F447,КВР!A$1:B$5001,2),IF(E447&gt;0,VLOOKUP(E447,Направление!A$1:B$4783,2))))))</f>
        <v xml:space="preserve">Закупка товаров, работ и услуг для обеспечения государственных (муниципальных) нужд
</v>
      </c>
      <c r="B447" s="117"/>
      <c r="C447" s="112"/>
      <c r="D447" s="113"/>
      <c r="E447" s="112"/>
      <c r="F447" s="114">
        <v>200</v>
      </c>
      <c r="G447" s="295"/>
      <c r="H447" s="284"/>
      <c r="I447" s="120">
        <f t="shared" si="95"/>
        <v>0</v>
      </c>
    </row>
    <row r="448" spans="1:9" hidden="1" x14ac:dyDescent="0.25">
      <c r="A448" s="772" t="str">
        <f>IF(B448&gt;0,VLOOKUP(B448,КВСР!A125:B1290,2),IF(C448&gt;0,VLOOKUP(C448,КФСР!A125:B1637,2),IF(D448&gt;0,VLOOKUP(D448,Программа!A$1:B$5110,2),IF(F448&gt;0,VLOOKUP(F448,КВР!A$1:B$5001,2),IF(E448&gt;0,VLOOKUP(E448,Направление!A$1:B$4783,2))))))</f>
        <v>Непрограммные расходы бюджета</v>
      </c>
      <c r="B448" s="117"/>
      <c r="C448" s="112"/>
      <c r="D448" s="113" t="s">
        <v>394</v>
      </c>
      <c r="E448" s="112"/>
      <c r="F448" s="114"/>
      <c r="G448" s="120"/>
      <c r="H448" s="339">
        <f>H449</f>
        <v>0</v>
      </c>
      <c r="I448" s="120">
        <f t="shared" si="95"/>
        <v>0</v>
      </c>
    </row>
    <row r="449" spans="1:9" ht="47.25" hidden="1" x14ac:dyDescent="0.25">
      <c r="A449" s="772" t="str">
        <f>IF(B449&gt;0,VLOOKUP(B449,КВСР!A117:B1282,2),IF(C449&gt;0,VLOOKUP(C449,КФСР!A117:B1629,2),IF(D449&gt;0,VLOOKUP(D449,Программа!A$1:B$5110,2),IF(F449&gt;0,VLOOKUP(F449,КВР!A$1:B$5001,2),IF(E449&gt;0,VLOOKUP(E449,Направление!A$1:B$4783,2))))))</f>
        <v>Исполнение судебных актов, актов других органов и должностных лиц, иных документов</v>
      </c>
      <c r="B449" s="117"/>
      <c r="C449" s="112"/>
      <c r="D449" s="113"/>
      <c r="E449" s="112">
        <v>12130</v>
      </c>
      <c r="F449" s="114"/>
      <c r="G449" s="277"/>
      <c r="H449" s="339">
        <f>H450</f>
        <v>0</v>
      </c>
      <c r="I449" s="120">
        <f t="shared" si="95"/>
        <v>0</v>
      </c>
    </row>
    <row r="450" spans="1:9" ht="47.25" hidden="1" x14ac:dyDescent="0.25">
      <c r="A450" s="772" t="str">
        <f>IF(B450&gt;0,VLOOKUP(B450,КВСР!A118:B1283,2),IF(C450&gt;0,VLOOKUP(C450,КФСР!A118:B1630,2),IF(D450&gt;0,VLOOKUP(D450,Программа!A$1:B$5110,2),IF(F450&gt;0,VLOOKUP(F450,КВР!A$1:B$5001,2),IF(E450&gt;0,VLOOKUP(E450,Направление!A$1:B$4783,2))))))</f>
        <v>Предоставление субсидий бюджетным, автономным учреждениям и иным некоммерческим организациям</v>
      </c>
      <c r="B450" s="117"/>
      <c r="C450" s="112"/>
      <c r="D450" s="114"/>
      <c r="E450" s="112"/>
      <c r="F450" s="114">
        <v>600</v>
      </c>
      <c r="G450" s="277"/>
      <c r="H450" s="339"/>
      <c r="I450" s="120">
        <f t="shared" si="95"/>
        <v>0</v>
      </c>
    </row>
    <row r="451" spans="1:9" x14ac:dyDescent="0.25">
      <c r="A451" s="772" t="str">
        <f>IF(B451&gt;0,VLOOKUP(B451,КВСР!A120:B1285,2),IF(C451&gt;0,VLOOKUP(C451,КФСР!A120:B1632,2),IF(D451&gt;0,VLOOKUP(D451,Программа!A$1:B$5110,2),IF(F451&gt;0,VLOOKUP(F451,КВР!A$1:B$5001,2),IF(E451&gt;0,VLOOKUP(E451,Направление!A$1:B$4783,2))))))</f>
        <v>Общее образование</v>
      </c>
      <c r="B451" s="117"/>
      <c r="C451" s="112">
        <v>702</v>
      </c>
      <c r="D451" s="113"/>
      <c r="E451" s="112"/>
      <c r="F451" s="114"/>
      <c r="G451" s="120"/>
      <c r="H451" s="339">
        <f>H452+H479</f>
        <v>468692848</v>
      </c>
      <c r="I451" s="120">
        <f t="shared" si="95"/>
        <v>468692848</v>
      </c>
    </row>
    <row r="452" spans="1:9" ht="63" x14ac:dyDescent="0.25">
      <c r="A452" s="772" t="str">
        <f>IF(B452&gt;0,VLOOKUP(B452,КВСР!A121:B1286,2),IF(C452&gt;0,VLOOKUP(C452,КФСР!A121:B1633,2),IF(D452&gt;0,VLOOKUP(D452,Программа!A$1:B$5110,2),IF(F452&gt;0,VLOOKUP(F452,КВР!A$1:B$5001,2),IF(E452&gt;0,VLOOKUP(E452,Направление!A$1:B$4783,2))))))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52" s="117"/>
      <c r="C452" s="112"/>
      <c r="D452" s="113" t="s">
        <v>452</v>
      </c>
      <c r="E452" s="112"/>
      <c r="F452" s="114"/>
      <c r="G452" s="120"/>
      <c r="H452" s="339">
        <f>H453+H475</f>
        <v>468692848</v>
      </c>
      <c r="I452" s="120">
        <f t="shared" si="95"/>
        <v>468692848</v>
      </c>
    </row>
    <row r="453" spans="1:9" ht="63" x14ac:dyDescent="0.25">
      <c r="A453" s="772" t="str">
        <f>IF(B453&gt;0,VLOOKUP(B453,КВСР!A122:B1287,2),IF(C453&gt;0,VLOOKUP(C453,КФСР!A122:B1634,2),IF(D453&gt;0,VLOOKUP(D453,Программа!A$1:B$5110,2),IF(F453&gt;0,VLOOKUP(F453,КВР!A$1:B$5001,2),IF(E453&gt;0,VLOOKUP(E453,Направление!A$1:B$4783,2))))))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7"/>
      <c r="C453" s="112"/>
      <c r="D453" s="113" t="s">
        <v>454</v>
      </c>
      <c r="E453" s="112"/>
      <c r="F453" s="114"/>
      <c r="G453" s="120"/>
      <c r="H453" s="339">
        <f>H454+H472+H469</f>
        <v>468692848</v>
      </c>
      <c r="I453" s="277">
        <f>I454+I472+I469</f>
        <v>468692848</v>
      </c>
    </row>
    <row r="454" spans="1:9" ht="47.25" x14ac:dyDescent="0.25">
      <c r="A454" s="772" t="str">
        <f>IF(B454&gt;0,VLOOKUP(B454,КВСР!A123:B1288,2),IF(C454&gt;0,VLOOKUP(C454,КФСР!A123:B1635,2),IF(D454&gt;0,VLOOKUP(D454,Программа!A$1:B$5110,2),IF(F454&gt;0,VLOOKUP(F454,КВР!A$1:B$5001,2),IF(E454&gt;0,VLOOKUP(E454,Направление!A$1:B$4783,2))))))</f>
        <v>Обеспечение качества и доступности образовательных услуг в сфере общего образования</v>
      </c>
      <c r="B454" s="117"/>
      <c r="C454" s="112"/>
      <c r="D454" s="113" t="s">
        <v>495</v>
      </c>
      <c r="E454" s="112"/>
      <c r="F454" s="114"/>
      <c r="G454" s="120"/>
      <c r="H454" s="339">
        <f>H455+H457+H459+H461+H463+H465+H467</f>
        <v>468692848</v>
      </c>
      <c r="I454" s="277">
        <f>I455+I457+I459+I461+I463+I465+I467</f>
        <v>468692848</v>
      </c>
    </row>
    <row r="455" spans="1:9" ht="31.5" x14ac:dyDescent="0.25">
      <c r="A455" s="772" t="str">
        <f>IF(B455&gt;0,VLOOKUP(B455,КВСР!A123:B1288,2),IF(C455&gt;0,VLOOKUP(C455,КФСР!A123:B1635,2),IF(D455&gt;0,VLOOKUP(D455,Программа!A$1:B$5110,2),IF(F455&gt;0,VLOOKUP(F455,КВР!A$1:B$5001,2),IF(E455&gt;0,VLOOKUP(E455,Направление!A$1:B$4783,2))))))</f>
        <v>Обеспечение деятельности общеобразовательных учреждений</v>
      </c>
      <c r="B455" s="117"/>
      <c r="C455" s="112"/>
      <c r="D455" s="113"/>
      <c r="E455" s="112">
        <v>13110</v>
      </c>
      <c r="F455" s="114"/>
      <c r="G455" s="118"/>
      <c r="H455" s="284">
        <f>H456</f>
        <v>83136054</v>
      </c>
      <c r="I455" s="120">
        <f t="shared" si="95"/>
        <v>83136054</v>
      </c>
    </row>
    <row r="456" spans="1:9" ht="47.25" x14ac:dyDescent="0.25">
      <c r="A456" s="772" t="str">
        <f>IF(B456&gt;0,VLOOKUP(B456,КВСР!A124:B1289,2),IF(C456&gt;0,VLOOKUP(C456,КФСР!A124:B1636,2),IF(D456&gt;0,VLOOKUP(D456,Программа!A$1:B$5110,2),IF(F456&gt;0,VLOOKUP(F456,КВР!A$1:B$5001,2),IF(E456&gt;0,VLOOKUP(E456,Направление!A$1:B$4783,2))))))</f>
        <v>Предоставление субсидий бюджетным, автономным учреждениям и иным некоммерческим организациям</v>
      </c>
      <c r="B456" s="117"/>
      <c r="C456" s="112"/>
      <c r="D456" s="114"/>
      <c r="E456" s="112"/>
      <c r="F456" s="114">
        <v>600</v>
      </c>
      <c r="G456" s="295"/>
      <c r="H456" s="284">
        <f>500000+65904054+132000+30000+600000+2358000+12762000+850000</f>
        <v>83136054</v>
      </c>
      <c r="I456" s="120">
        <f t="shared" si="95"/>
        <v>83136054</v>
      </c>
    </row>
    <row r="457" spans="1:9" ht="47.25" hidden="1" x14ac:dyDescent="0.25">
      <c r="A457" s="772" t="str">
        <f>IF(B457&gt;0,VLOOKUP(B457,КВСР!A125:B1290,2),IF(C457&gt;0,VLOOKUP(C457,КФСР!A125:B1637,2),IF(D457&gt;0,VLOOKUP(D457,Программа!A$1:B$5110,2),IF(F457&gt;0,VLOOKUP(F457,КВР!A$1:B$5001,2),IF(E457&gt;0,VLOOKUP(E457,Направление!A$1:B$4783,2))))))</f>
        <v>Расходы на реализацию мероприятий инициативного бюджетирования на территории Ярославской области</v>
      </c>
      <c r="B457" s="117"/>
      <c r="C457" s="112"/>
      <c r="D457" s="113"/>
      <c r="E457" s="112">
        <v>15350</v>
      </c>
      <c r="F457" s="114"/>
      <c r="G457" s="120"/>
      <c r="H457" s="339">
        <f>H458</f>
        <v>0</v>
      </c>
      <c r="I457" s="120">
        <f t="shared" si="95"/>
        <v>0</v>
      </c>
    </row>
    <row r="458" spans="1:9" ht="47.25" hidden="1" x14ac:dyDescent="0.25">
      <c r="A458" s="772" t="str">
        <f>IF(B458&gt;0,VLOOKUP(B458,КВСР!A126:B1291,2),IF(C458&gt;0,VLOOKUP(C458,КФСР!A126:B1638,2),IF(D458&gt;0,VLOOKUP(D458,Программа!A$1:B$5110,2),IF(F458&gt;0,VLOOKUP(F458,КВР!A$1:B$5001,2),IF(E458&gt;0,VLOOKUP(E458,Направление!A$1:B$4783,2))))))</f>
        <v>Предоставление субсидий бюджетным, автономным учреждениям и иным некоммерческим организациям</v>
      </c>
      <c r="B458" s="123"/>
      <c r="C458" s="124"/>
      <c r="D458" s="125"/>
      <c r="E458" s="124"/>
      <c r="F458" s="125">
        <v>600</v>
      </c>
      <c r="G458" s="277"/>
      <c r="H458" s="339"/>
      <c r="I458" s="120">
        <f t="shared" si="95"/>
        <v>0</v>
      </c>
    </row>
    <row r="459" spans="1:9" ht="78.75" hidden="1" x14ac:dyDescent="0.25">
      <c r="A459" s="772" t="str">
        <f>IF(B459&gt;0,VLOOKUP(B459,КВСР!A129:B1294,2),IF(C459&gt;0,VLOOKUP(C459,КФСР!A129:B1641,2),IF(D459&gt;0,VLOOKUP(D459,Программа!A$1:B$5110,2),IF(F459&gt;0,VLOOKUP(F459,КВР!A$1:B$5001,2),IF(E459&gt;0,VLOOKUP(E459,Направление!A$1:B$4783,2))))))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9" s="123"/>
      <c r="C459" s="124"/>
      <c r="D459" s="126"/>
      <c r="E459" s="124">
        <v>53031</v>
      </c>
      <c r="F459" s="125"/>
      <c r="G459" s="120"/>
      <c r="H459" s="339">
        <f>H460</f>
        <v>0</v>
      </c>
      <c r="I459" s="120">
        <f t="shared" si="95"/>
        <v>0</v>
      </c>
    </row>
    <row r="460" spans="1:9" ht="47.25" hidden="1" x14ac:dyDescent="0.25">
      <c r="A460" s="772" t="str">
        <f>IF(B460&gt;0,VLOOKUP(B460,КВСР!A130:B1295,2),IF(C460&gt;0,VLOOKUP(C460,КФСР!A130:B1642,2),IF(D460&gt;0,VLOOKUP(D460,Программа!A$1:B$5110,2),IF(F460&gt;0,VLOOKUP(F460,КВР!A$1:B$5001,2),IF(E460&gt;0,VLOOKUP(E460,Направление!A$1:B$4783,2))))))</f>
        <v>Предоставление субсидий бюджетным, автономным учреждениям и иным некоммерческим организациям</v>
      </c>
      <c r="B460" s="123"/>
      <c r="C460" s="124"/>
      <c r="D460" s="125"/>
      <c r="E460" s="124"/>
      <c r="F460" s="114">
        <v>600</v>
      </c>
      <c r="G460" s="295"/>
      <c r="H460" s="284"/>
      <c r="I460" s="120">
        <f t="shared" si="95"/>
        <v>0</v>
      </c>
    </row>
    <row r="461" spans="1:9" ht="47.25" x14ac:dyDescent="0.25">
      <c r="A461" s="772" t="str">
        <f>IF(B461&gt;0,VLOOKUP(B461,КВСР!A131:B1296,2),IF(C461&gt;0,VLOOKUP(C461,КФСР!A131:B1643,2),IF(D461&gt;0,VLOOKUP(D461,Программа!A$1:B$5110,2),IF(F461&gt;0,VLOOKUP(F461,КВР!A$1:B$5001,2),IF(E461&gt;0,VLOOKUP(E461,Направление!A$1:B$4783,2))))))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61" s="123"/>
      <c r="C461" s="124"/>
      <c r="D461" s="126"/>
      <c r="E461" s="124">
        <v>70520</v>
      </c>
      <c r="F461" s="114"/>
      <c r="G461" s="120"/>
      <c r="H461" s="339">
        <f>H462</f>
        <v>358805897</v>
      </c>
      <c r="I461" s="120">
        <f t="shared" si="95"/>
        <v>358805897</v>
      </c>
    </row>
    <row r="462" spans="1:9" ht="47.25" x14ac:dyDescent="0.25">
      <c r="A462" s="772" t="str">
        <f>IF(B462&gt;0,VLOOKUP(B462,КВСР!A132:B1297,2),IF(C462&gt;0,VLOOKUP(C462,КФСР!A132:B1644,2),IF(D462&gt;0,VLOOKUP(D462,Программа!A$1:B$5110,2),IF(F462&gt;0,VLOOKUP(F462,КВР!A$1:B$5001,2),IF(E462&gt;0,VLOOKUP(E462,Направление!A$1:B$4783,2))))))</f>
        <v>Предоставление субсидий бюджетным, автономным учреждениям и иным некоммерческим организациям</v>
      </c>
      <c r="B462" s="123"/>
      <c r="C462" s="124"/>
      <c r="D462" s="125"/>
      <c r="E462" s="124"/>
      <c r="F462" s="114">
        <v>600</v>
      </c>
      <c r="G462" s="277"/>
      <c r="H462" s="339">
        <v>358805897</v>
      </c>
      <c r="I462" s="120">
        <f t="shared" si="95"/>
        <v>358805897</v>
      </c>
    </row>
    <row r="463" spans="1:9" ht="63" x14ac:dyDescent="0.25">
      <c r="A463" s="772" t="str">
        <f>IF(B463&gt;0,VLOOKUP(B463,КВСР!A133:B1298,2),IF(C463&gt;0,VLOOKUP(C463,КФСР!A133:B1645,2),IF(D463&gt;0,VLOOKUP(D463,Программа!A$1:B$5110,2),IF(F463&gt;0,VLOOKUP(F463,КВР!A$1:B$5001,2),IF(E463&gt;0,VLOOKUP(E463,Направление!A$1:B$4783,2))))))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3" s="123"/>
      <c r="C463" s="124"/>
      <c r="D463" s="125"/>
      <c r="E463" s="124">
        <v>70530</v>
      </c>
      <c r="F463" s="114"/>
      <c r="G463" s="120"/>
      <c r="H463" s="339">
        <f>H464</f>
        <v>18445281</v>
      </c>
      <c r="I463" s="120">
        <f t="shared" si="95"/>
        <v>18445281</v>
      </c>
    </row>
    <row r="464" spans="1:9" ht="47.25" x14ac:dyDescent="0.25">
      <c r="A464" s="772" t="str">
        <f>IF(B464&gt;0,VLOOKUP(B464,КВСР!A134:B1299,2),IF(C464&gt;0,VLOOKUP(C464,КФСР!A134:B1646,2),IF(D464&gt;0,VLOOKUP(D464,Программа!A$1:B$5110,2),IF(F464&gt;0,VLOOKUP(F464,КВР!A$1:B$5001,2),IF(E464&gt;0,VLOOKUP(E464,Направление!A$1:B$4783,2))))))</f>
        <v>Предоставление субсидий бюджетным, автономным учреждениям и иным некоммерческим организациям</v>
      </c>
      <c r="B464" s="123"/>
      <c r="C464" s="124"/>
      <c r="D464" s="125"/>
      <c r="E464" s="124"/>
      <c r="F464" s="114">
        <v>600</v>
      </c>
      <c r="G464" s="277"/>
      <c r="H464" s="339">
        <v>18445281</v>
      </c>
      <c r="I464" s="120">
        <f t="shared" si="95"/>
        <v>18445281</v>
      </c>
    </row>
    <row r="465" spans="1:9" ht="47.25" hidden="1" x14ac:dyDescent="0.25">
      <c r="A465" s="772" t="str">
        <f>IF(B465&gt;0,VLOOKUP(B465,КВСР!A135:B1300,2),IF(C465&gt;0,VLOOKUP(C465,КФСР!A135:B1647,2),IF(D465&gt;0,VLOOKUP(D465,Программа!A$1:B$5110,2),IF(F465&gt;0,VLOOKUP(F465,КВР!A$1:B$5001,2),IF(E465&gt;0,VLOOKUP(E465,Направление!A$1:B$4783,2))))))</f>
        <v>Расходы на реализацию мероприятий инициативного бюджетирования на территории Ярославской области</v>
      </c>
      <c r="B465" s="123"/>
      <c r="C465" s="124"/>
      <c r="D465" s="125"/>
      <c r="E465" s="124">
        <v>75350</v>
      </c>
      <c r="F465" s="114"/>
      <c r="G465" s="277"/>
      <c r="H465" s="339">
        <f t="shared" ref="H465:I465" si="110">H466</f>
        <v>0</v>
      </c>
      <c r="I465" s="277">
        <f t="shared" si="110"/>
        <v>0</v>
      </c>
    </row>
    <row r="466" spans="1:9" ht="47.25" hidden="1" x14ac:dyDescent="0.25">
      <c r="A466" s="772" t="str">
        <f>IF(B466&gt;0,VLOOKUP(B466,КВСР!A136:B1301,2),IF(C466&gt;0,VLOOKUP(C466,КФСР!A136:B1648,2),IF(D466&gt;0,VLOOKUP(D466,Программа!A$1:B$5110,2),IF(F466&gt;0,VLOOKUP(F466,КВР!A$1:B$5001,2),IF(E466&gt;0,VLOOKUP(E466,Направление!A$1:B$4783,2))))))</f>
        <v>Предоставление субсидий бюджетным, автономным учреждениям и иным некоммерческим организациям</v>
      </c>
      <c r="B466" s="123"/>
      <c r="C466" s="124"/>
      <c r="D466" s="125"/>
      <c r="E466" s="124"/>
      <c r="F466" s="114">
        <v>600</v>
      </c>
      <c r="G466" s="277"/>
      <c r="H466" s="339"/>
      <c r="I466" s="120">
        <f>G466+H466</f>
        <v>0</v>
      </c>
    </row>
    <row r="467" spans="1:9" ht="78.75" x14ac:dyDescent="0.25">
      <c r="A467" s="772" t="str">
        <f>IF(B467&gt;0,VLOOKUP(B467,КВСР!A137:B1302,2),IF(C467&gt;0,VLOOKUP(C467,КФСР!A137:B1649,2),IF(D467&gt;0,VLOOKUP(D467,Программа!A$1:B$5110,2),IF(F467&gt;0,VLOOKUP(F467,КВР!A$1:B$5001,2),IF(E467&gt;0,VLOOKUP(E467,Направление!A$1:B$4783,2))))))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7" s="123"/>
      <c r="C467" s="124"/>
      <c r="D467" s="125"/>
      <c r="E467" s="124" t="s">
        <v>1822</v>
      </c>
      <c r="F467" s="114"/>
      <c r="G467" s="277"/>
      <c r="H467" s="339">
        <f t="shared" ref="H467:I467" si="111">H468</f>
        <v>8305616</v>
      </c>
      <c r="I467" s="277">
        <f t="shared" si="111"/>
        <v>8305616</v>
      </c>
    </row>
    <row r="468" spans="1:9" ht="47.25" x14ac:dyDescent="0.25">
      <c r="A468" s="772" t="str">
        <f>IF(B468&gt;0,VLOOKUP(B468,КВСР!A138:B1303,2),IF(C468&gt;0,VLOOKUP(C468,КФСР!A138:B1650,2),IF(D468&gt;0,VLOOKUP(D468,Программа!A$1:B$5110,2),IF(F468&gt;0,VLOOKUP(F468,КВР!A$1:B$5001,2),IF(E468&gt;0,VLOOKUP(E468,Направление!A$1:B$4783,2))))))</f>
        <v>Предоставление субсидий бюджетным, автономным учреждениям и иным некоммерческим организациям</v>
      </c>
      <c r="B468" s="123"/>
      <c r="C468" s="124"/>
      <c r="D468" s="125"/>
      <c r="E468" s="124"/>
      <c r="F468" s="114">
        <v>600</v>
      </c>
      <c r="G468" s="277"/>
      <c r="H468" s="339">
        <v>8305616</v>
      </c>
      <c r="I468" s="120">
        <f>G468+H468</f>
        <v>8305616</v>
      </c>
    </row>
    <row r="469" spans="1:9" ht="31.5" hidden="1" x14ac:dyDescent="0.25">
      <c r="A469" s="772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IF(B469&gt;0,VLOOKUP(B469,КВСР!A137:B1302,2),IF(C469&gt;0,VLOOKUP(C469,КФСР!A137:B1649,2),IF(D469&gt;0,VLOOKUP(D469,Программа!A$1:B$5110,2),IF(F469&gt;0,VLOOKUP(F469,КВР!A$1:B$5001,2),IF(E469&gt;0,VLOOKUP(E469,Направление!A$1:B$4783,2))))))</f>
        <v>Федеральный проект "Успех каждого ребенка"</v>
      </c>
      <c r="B469" s="123"/>
      <c r="C469" s="124"/>
      <c r="D469" s="125" t="s">
        <v>1793</v>
      </c>
      <c r="E469" s="124"/>
      <c r="F469" s="114"/>
      <c r="G469" s="277"/>
      <c r="H469" s="339">
        <f t="shared" ref="H469:I470" si="112">H470</f>
        <v>0</v>
      </c>
      <c r="I469" s="277">
        <f t="shared" si="112"/>
        <v>0</v>
      </c>
    </row>
    <row r="470" spans="1:9" ht="110.25" hidden="1" x14ac:dyDescent="0.25">
      <c r="A470" s="772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70" s="123"/>
      <c r="C470" s="124"/>
      <c r="D470" s="125"/>
      <c r="E470" s="124">
        <v>71690</v>
      </c>
      <c r="F470" s="114"/>
      <c r="G470" s="277"/>
      <c r="H470" s="339">
        <f t="shared" si="112"/>
        <v>0</v>
      </c>
      <c r="I470" s="277">
        <f t="shared" si="112"/>
        <v>0</v>
      </c>
    </row>
    <row r="471" spans="1:9" ht="47.25" hidden="1" x14ac:dyDescent="0.25">
      <c r="A471" s="772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IF(B471&gt;0,VLOOKUP(B471,КВСР!A139:B1304,2),IF(C471&gt;0,VLOOKUP(C471,КФСР!A139:B1651,2),IF(D471&gt;0,VLOOKUP(D471,Программа!A$1:B$5110,2),IF(F471&gt;0,VLOOKUP(F471,КВР!A$1:B$5001,2),IF(E471&gt;0,VLOOKUP(E471,Направление!A$1:B$4783,2))))))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14">
        <v>600</v>
      </c>
      <c r="G471" s="277"/>
      <c r="H471" s="339"/>
      <c r="I471" s="120">
        <f>G471+H471</f>
        <v>0</v>
      </c>
    </row>
    <row r="472" spans="1:9" ht="31.5" hidden="1" x14ac:dyDescent="0.25">
      <c r="A472" s="772" t="str">
        <f>IF(B472&gt;0,VLOOKUP(B472,КВСР!A137:B1302,2),IF(C472&gt;0,VLOOKUP(C472,КФСР!A137:B1649,2),IF(D472&gt;0,VLOOKUP(D472,Программа!A$1:B$5110,2),IF(F472&gt;0,VLOOKUP(F472,КВР!A$1:B$5001,2),IF(E472&gt;0,VLOOKUP(E472,Направление!A$1:B$4783,2))))))</f>
        <v>Федеральный проект "Успех каждого ребенка"</v>
      </c>
      <c r="B472" s="123"/>
      <c r="C472" s="124"/>
      <c r="D472" s="125" t="s">
        <v>1702</v>
      </c>
      <c r="E472" s="124"/>
      <c r="F472" s="114"/>
      <c r="G472" s="277"/>
      <c r="H472" s="339">
        <f>H473</f>
        <v>0</v>
      </c>
      <c r="I472" s="277">
        <f>I473</f>
        <v>0</v>
      </c>
    </row>
    <row r="473" spans="1:9" ht="78.75" hidden="1" x14ac:dyDescent="0.25">
      <c r="A473" s="772" t="str">
        <f>IF(B473&gt;0,VLOOKUP(B473,КВСР!A138:B1303,2),IF(C473&gt;0,VLOOKUP(C473,КФСР!A138:B1650,2),IF(D473&gt;0,VLOOKUP(D473,Программа!A$1:B$5110,2),IF(F473&gt;0,VLOOKUP(F473,КВР!A$1:B$5001,2),IF(E473&gt;0,VLOOKUP(E473,Направление!A$1:B$4783,2))))))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3" s="123"/>
      <c r="C473" s="124"/>
      <c r="D473" s="125"/>
      <c r="E473" s="124">
        <v>50970</v>
      </c>
      <c r="F473" s="114"/>
      <c r="G473" s="277"/>
      <c r="H473" s="339">
        <f>H474</f>
        <v>0</v>
      </c>
      <c r="I473" s="277">
        <f>I474</f>
        <v>0</v>
      </c>
    </row>
    <row r="474" spans="1:9" ht="47.25" hidden="1" x14ac:dyDescent="0.25">
      <c r="A474" s="772" t="str">
        <f>IF(B474&gt;0,VLOOKUP(B474,КВСР!A139:B1304,2),IF(C474&gt;0,VLOOKUP(C474,КФСР!A139:B1651,2),IF(D474&gt;0,VLOOKUP(D474,Программа!A$1:B$5110,2),IF(F474&gt;0,VLOOKUP(F474,КВР!A$1:B$5001,2),IF(E474&gt;0,VLOOKUP(E474,Направление!A$1:B$4783,2))))))</f>
        <v>Предоставление субсидий бюджетным, автономным учреждениям и иным некоммерческим организациям</v>
      </c>
      <c r="B474" s="123"/>
      <c r="C474" s="124"/>
      <c r="D474" s="125"/>
      <c r="E474" s="124"/>
      <c r="F474" s="114">
        <v>600</v>
      </c>
      <c r="G474" s="277"/>
      <c r="H474" s="339"/>
      <c r="I474" s="120">
        <f>G474+H474</f>
        <v>0</v>
      </c>
    </row>
    <row r="475" spans="1:9" ht="47.25" hidden="1" x14ac:dyDescent="0.25">
      <c r="A475" s="772" t="str">
        <f>IF(B475&gt;0,VLOOKUP(B475,КВСР!A143:B1308,2),IF(C475&gt;0,VLOOKUP(C475,КФСР!A143:B1655,2),IF(D475&gt;0,VLOOKUP(D475,Программа!A$1:B$5110,2),IF(F475&gt;0,VLOOKUP(F475,КВР!A$1:B$5001,2),IF(E475&gt;0,VLOOKUP(E475,Направление!A$1:B$4783,2))))))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475" s="123"/>
      <c r="C475" s="124"/>
      <c r="D475" s="126" t="s">
        <v>472</v>
      </c>
      <c r="E475" s="124"/>
      <c r="F475" s="125"/>
      <c r="G475" s="277"/>
      <c r="H475" s="339">
        <f>H477</f>
        <v>0</v>
      </c>
      <c r="I475" s="120">
        <f t="shared" si="95"/>
        <v>0</v>
      </c>
    </row>
    <row r="476" spans="1:9" ht="47.25" hidden="1" x14ac:dyDescent="0.25">
      <c r="A476" s="772" t="str">
        <f>IF(B476&gt;0,VLOOKUP(B476,КВСР!A144:B1309,2),IF(C476&gt;0,VLOOKUP(C476,КФСР!A144:B1656,2),IF(D476&gt;0,VLOOKUP(D476,Программа!A$1:B$5110,2),IF(F476&gt;0,VLOOKUP(F476,КВР!A$1:B$5001,2),IF(E476&gt;0,VLOOKUP(E476,Направление!A$1:B$4783,2))))))</f>
        <v>Строительство и реконструкция спортивных сооружений и укрепление материальной базы</v>
      </c>
      <c r="B476" s="123"/>
      <c r="C476" s="124"/>
      <c r="D476" s="126" t="s">
        <v>473</v>
      </c>
      <c r="E476" s="124"/>
      <c r="F476" s="125"/>
      <c r="G476" s="277"/>
      <c r="H476" s="339">
        <f>H477</f>
        <v>0</v>
      </c>
      <c r="I476" s="120">
        <f t="shared" si="95"/>
        <v>0</v>
      </c>
    </row>
    <row r="477" spans="1:9" ht="31.5" hidden="1" x14ac:dyDescent="0.25">
      <c r="A477" s="772" t="str">
        <f>IF(B477&gt;0,VLOOKUP(B477,КВСР!A144:B1309,2),IF(C477&gt;0,VLOOKUP(C477,КФСР!A144:B1656,2),IF(D477&gt;0,VLOOKUP(D477,Программа!A$1:B$5110,2),IF(F477&gt;0,VLOOKUP(F477,КВР!A$1:B$5001,2),IF(E477&gt;0,VLOOKUP(E477,Направление!A$1:B$4783,2))))))</f>
        <v>Обеспечение деятельности учреждений дополнительного образования</v>
      </c>
      <c r="B477" s="123"/>
      <c r="C477" s="124"/>
      <c r="D477" s="126"/>
      <c r="E477" s="124">
        <v>13210</v>
      </c>
      <c r="F477" s="125"/>
      <c r="G477" s="277"/>
      <c r="H477" s="339">
        <f>H478</f>
        <v>0</v>
      </c>
      <c r="I477" s="120">
        <f t="shared" si="95"/>
        <v>0</v>
      </c>
    </row>
    <row r="478" spans="1:9" ht="47.25" hidden="1" x14ac:dyDescent="0.25">
      <c r="A478" s="772" t="str">
        <f>IF(B478&gt;0,VLOOKUP(B478,КВСР!A145:B1310,2),IF(C478&gt;0,VLOOKUP(C478,КФСР!A145:B1657,2),IF(D478&gt;0,VLOOKUP(D478,Программа!A$1:B$5110,2),IF(F478&gt;0,VLOOKUP(F478,КВР!A$1:B$5001,2),IF(E478&gt;0,VLOOKUP(E478,Направление!A$1:B$4783,2))))))</f>
        <v>Предоставление субсидий бюджетным, автономным учреждениям и иным некоммерческим организациям</v>
      </c>
      <c r="B478" s="123"/>
      <c r="C478" s="124"/>
      <c r="D478" s="125"/>
      <c r="E478" s="124"/>
      <c r="F478" s="125">
        <v>600</v>
      </c>
      <c r="G478" s="295"/>
      <c r="H478" s="284"/>
      <c r="I478" s="120">
        <f t="shared" si="95"/>
        <v>0</v>
      </c>
    </row>
    <row r="479" spans="1:9" ht="47.25" hidden="1" x14ac:dyDescent="0.25">
      <c r="A479" s="772" t="str">
        <f>IF(B479&gt;0,VLOOKUP(B479,КВСР!A148:B1313,2),IF(C479&gt;0,VLOOKUP(C479,КФСР!A148:B1660,2),IF(D479&gt;0,VLOOKUP(D479,Программа!A$1:B$5110,2),IF(F479&gt;0,VLOOKUP(F479,КВР!A$1:B$5001,2),IF(E479&gt;0,VLOOKUP(E479,Направление!A$1:B$4783,2))))))</f>
        <v>Муниципальная программа "Социальная поддержка населения Тутаевского муниципального района"</v>
      </c>
      <c r="B479" s="123"/>
      <c r="C479" s="124"/>
      <c r="D479" s="126" t="s">
        <v>461</v>
      </c>
      <c r="E479" s="124"/>
      <c r="F479" s="125"/>
      <c r="G479" s="118"/>
      <c r="H479" s="284">
        <f>H480</f>
        <v>0</v>
      </c>
      <c r="I479" s="120">
        <f t="shared" si="95"/>
        <v>0</v>
      </c>
    </row>
    <row r="480" spans="1:9" ht="47.25" hidden="1" x14ac:dyDescent="0.25">
      <c r="A480" s="772" t="str">
        <f>IF(B480&gt;0,VLOOKUP(B480,КВСР!A149:B1314,2),IF(C480&gt;0,VLOOKUP(C480,КФСР!A149:B1661,2),IF(D480&gt;0,VLOOKUP(D480,Программа!A$1:B$5110,2),IF(F480&gt;0,VLOOKUP(F480,КВР!A$1:B$5001,2),IF(E480&gt;0,VLOOKUP(E480,Направление!A$1:B$4783,2))))))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80" s="123"/>
      <c r="C480" s="124"/>
      <c r="D480" s="126" t="s">
        <v>463</v>
      </c>
      <c r="E480" s="124"/>
      <c r="F480" s="125"/>
      <c r="G480" s="118"/>
      <c r="H480" s="284">
        <f>H481+H484</f>
        <v>0</v>
      </c>
      <c r="I480" s="120">
        <f t="shared" si="95"/>
        <v>0</v>
      </c>
    </row>
    <row r="481" spans="1:9" ht="63" hidden="1" x14ac:dyDescent="0.25">
      <c r="A481" s="772" t="str">
        <f>IF(B481&gt;0,VLOOKUP(B481,КВСР!A150:B1315,2),IF(C481&gt;0,VLOOKUP(C481,КФСР!A150:B1662,2),IF(D481&gt;0,VLOOKUP(D481,Программа!A$1:B$5110,2),IF(F481&gt;0,VLOOKUP(F481,КВР!A$1:B$5001,2),IF(E481&gt;0,VLOOKUP(E481,Направление!A$1:B$4783,2))))))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1" s="123"/>
      <c r="C481" s="124"/>
      <c r="D481" s="126" t="s">
        <v>464</v>
      </c>
      <c r="E481" s="124"/>
      <c r="F481" s="125"/>
      <c r="G481" s="118"/>
      <c r="H481" s="284">
        <f>H482</f>
        <v>0</v>
      </c>
      <c r="I481" s="120">
        <f t="shared" si="95"/>
        <v>0</v>
      </c>
    </row>
    <row r="482" spans="1:9" ht="31.5" hidden="1" x14ac:dyDescent="0.25">
      <c r="A482" s="772" t="str">
        <f>IF(B482&gt;0,VLOOKUP(B482,КВСР!A151:B1316,2),IF(C482&gt;0,VLOOKUP(C482,КФСР!A151:B1663,2),IF(D482&gt;0,VLOOKUP(D482,Программа!A$1:B$5110,2),IF(F482&gt;0,VLOOKUP(F482,КВР!A$1:B$5001,2),IF(E482&gt;0,VLOOKUP(E482,Направление!A$1:B$4783,2))))))</f>
        <v>Расходы на реализацию МЦП "Улучшение условий и охраны труда"</v>
      </c>
      <c r="B482" s="123"/>
      <c r="C482" s="124"/>
      <c r="D482" s="126"/>
      <c r="E482" s="124">
        <v>16150</v>
      </c>
      <c r="F482" s="125"/>
      <c r="G482" s="118"/>
      <c r="H482" s="284">
        <f>H483</f>
        <v>0</v>
      </c>
      <c r="I482" s="120">
        <f t="shared" si="95"/>
        <v>0</v>
      </c>
    </row>
    <row r="483" spans="1:9" ht="47.25" hidden="1" x14ac:dyDescent="0.25">
      <c r="A483" s="772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IF(B483&gt;0,VLOOKUP(B483,КВСР!A150:B1315,2),IF(C483&gt;0,VLOOKUP(C483,КФСР!A150:B1662,2),IF(D483&gt;0,VLOOKUP(D483,Программа!A$1:B$5110,2),IF(F483&gt;0,VLOOKUP(F483,КВР!A$1:B$5001,2),IF(E483&gt;0,VLOOKUP(E483,Направление!A$1:B$4783,2))))))</f>
        <v>Предоставление субсидий бюджетным, автономным учреждениям и иным некоммерческим организациям</v>
      </c>
      <c r="B483" s="123"/>
      <c r="C483" s="124"/>
      <c r="D483" s="125"/>
      <c r="E483" s="124"/>
      <c r="F483" s="125">
        <v>600</v>
      </c>
      <c r="G483" s="295"/>
      <c r="H483" s="284"/>
      <c r="I483" s="120">
        <f t="shared" si="95"/>
        <v>0</v>
      </c>
    </row>
    <row r="484" spans="1:9" ht="47.25" hidden="1" x14ac:dyDescent="0.25">
      <c r="A484" s="772" t="str">
        <f>IF(B484&gt;0,VLOOKUP(B484,КВСР!A148:B1313,2),IF(C484&gt;0,VLOOKUP(C484,КФСР!A148:B1660,2),IF(D484&gt;0,VLOOKUP(D484,Программа!A$1:B$5110,2),IF(F484&gt;0,VLOOKUP(F484,КВР!A$1:B$5001,2),IF(E484&gt;0,VLOOKUP(E484,Направление!A$1:B$4783,2))))))</f>
        <v>Обучение по охране труда работников организаций Тутаевского муниципального района</v>
      </c>
      <c r="B484" s="123"/>
      <c r="C484" s="124"/>
      <c r="D484" s="126" t="s">
        <v>1131</v>
      </c>
      <c r="E484" s="124"/>
      <c r="F484" s="125"/>
      <c r="G484" s="118"/>
      <c r="H484" s="284">
        <f>H485</f>
        <v>0</v>
      </c>
      <c r="I484" s="120">
        <f t="shared" si="95"/>
        <v>0</v>
      </c>
    </row>
    <row r="485" spans="1:9" ht="31.5" hidden="1" x14ac:dyDescent="0.25">
      <c r="A485" s="772" t="str">
        <f>IF(B485&gt;0,VLOOKUP(B485,КВСР!A149:B1314,2),IF(C485&gt;0,VLOOKUP(C485,КФСР!A149:B1661,2),IF(D485&gt;0,VLOOKUP(D485,Программа!A$1:B$5110,2),IF(F485&gt;0,VLOOKUP(F485,КВР!A$1:B$5001,2),IF(E485&gt;0,VLOOKUP(E485,Направление!A$1:B$4783,2))))))</f>
        <v>Расходы на реализацию МЦП "Улучшение условий и охраны труда"</v>
      </c>
      <c r="B485" s="123"/>
      <c r="C485" s="124"/>
      <c r="D485" s="126"/>
      <c r="E485" s="124">
        <v>16150</v>
      </c>
      <c r="F485" s="125"/>
      <c r="G485" s="118"/>
      <c r="H485" s="284">
        <f>H486</f>
        <v>0</v>
      </c>
      <c r="I485" s="120">
        <f t="shared" si="95"/>
        <v>0</v>
      </c>
    </row>
    <row r="486" spans="1:9" ht="47.25" hidden="1" x14ac:dyDescent="0.25">
      <c r="A486" s="772" t="str">
        <f>IF(B486&gt;0,VLOOKUP(B486,КВСР!A150:B1315,2),IF(C486&gt;0,VLOOKUP(C486,КФСР!A150:B1662,2),IF(D486&gt;0,VLOOKUP(D486,Программа!A$1:B$5110,2),IF(F486&gt;0,VLOOKUP(F486,КВР!A$1:B$5001,2),IF(E486&gt;0,VLOOKUP(E486,Направление!A$1:B$4783,2))))))</f>
        <v>Предоставление субсидий бюджетным, автономным учреждениям и иным некоммерческим организациям</v>
      </c>
      <c r="B486" s="123"/>
      <c r="C486" s="124"/>
      <c r="D486" s="125"/>
      <c r="E486" s="124"/>
      <c r="F486" s="125">
        <v>600</v>
      </c>
      <c r="G486" s="295"/>
      <c r="H486" s="284"/>
      <c r="I486" s="120">
        <f t="shared" si="95"/>
        <v>0</v>
      </c>
    </row>
    <row r="487" spans="1:9" x14ac:dyDescent="0.25">
      <c r="A487" s="772" t="str">
        <f>IF(B487&gt;0,VLOOKUP(B487,КВСР!A151:B1316,2),IF(C487&gt;0,VLOOKUP(C487,КФСР!A151:B1663,2),IF(D487&gt;0,VLOOKUP(D487,Программа!A$1:B$5110,2),IF(F487&gt;0,VLOOKUP(F487,КВР!A$1:B$5001,2),IF(E487&gt;0,VLOOKUP(E487,Направление!A$1:B$4783,2))))))</f>
        <v>Дополнительное образование детей</v>
      </c>
      <c r="B487" s="123"/>
      <c r="C487" s="124">
        <v>703</v>
      </c>
      <c r="D487" s="125"/>
      <c r="E487" s="124"/>
      <c r="F487" s="125"/>
      <c r="G487" s="284"/>
      <c r="H487" s="284">
        <f>H489</f>
        <v>62434347</v>
      </c>
      <c r="I487" s="295">
        <f>I489</f>
        <v>62434347</v>
      </c>
    </row>
    <row r="488" spans="1:9" ht="63" x14ac:dyDescent="0.25">
      <c r="A488" s="772" t="str">
        <f>IF(B488&gt;0,VLOOKUP(B488,КВСР!A152:B1317,2),IF(C488&gt;0,VLOOKUP(C488,КФСР!A152:B1664,2),IF(D488&gt;0,VLOOKUP(D488,Программа!A$1:B$5110,2),IF(F488&gt;0,VLOOKUP(F488,КВР!A$1:B$5001,2),IF(E488&gt;0,VLOOKUP(E488,Направление!A$1:B$4783,2))))))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88" s="123"/>
      <c r="C488" s="124"/>
      <c r="D488" s="113" t="s">
        <v>452</v>
      </c>
      <c r="E488" s="124"/>
      <c r="F488" s="125"/>
      <c r="G488" s="295"/>
      <c r="H488" s="284">
        <f>H489</f>
        <v>62434347</v>
      </c>
      <c r="I488" s="295">
        <f>I489</f>
        <v>62434347</v>
      </c>
    </row>
    <row r="489" spans="1:9" ht="63" x14ac:dyDescent="0.25">
      <c r="A489" s="772" t="str">
        <f>IF(B489&gt;0,VLOOKUP(B489,КВСР!A152:B1317,2),IF(C489&gt;0,VLOOKUP(C489,КФСР!A152:B1664,2),IF(D489&gt;0,VLOOKUP(D489,Программа!A$1:B$5110,2),IF(F489&gt;0,VLOOKUP(F489,КВР!A$1:B$5001,2),IF(E489&gt;0,VLOOKUP(E489,Направление!A$1:B$4783,2))))))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89" s="123"/>
      <c r="C489" s="124"/>
      <c r="D489" s="113" t="s">
        <v>454</v>
      </c>
      <c r="E489" s="124"/>
      <c r="F489" s="125"/>
      <c r="G489" s="295"/>
      <c r="H489" s="284">
        <f t="shared" ref="H489:I494" si="113">H490</f>
        <v>62434347</v>
      </c>
      <c r="I489" s="295">
        <f t="shared" si="113"/>
        <v>62434347</v>
      </c>
    </row>
    <row r="490" spans="1:9" ht="47.25" x14ac:dyDescent="0.25">
      <c r="A490" s="772" t="str">
        <f>IF(B490&gt;0,VLOOKUP(B490,КВСР!A153:B1318,2),IF(C490&gt;0,VLOOKUP(C490,КФСР!A153:B1665,2),IF(D490&gt;0,VLOOKUP(D490,Программа!A$1:B$5110,2),IF(F490&gt;0,VLOOKUP(F490,КВР!A$1:B$5001,2),IF(E490&gt;0,VLOOKUP(E490,Направление!A$1:B$4783,2))))))</f>
        <v>Обеспечение качества и доступности образовательных услуг в сфере дополнительного образования</v>
      </c>
      <c r="B490" s="123"/>
      <c r="C490" s="124"/>
      <c r="D490" s="126" t="s">
        <v>518</v>
      </c>
      <c r="E490" s="124"/>
      <c r="F490" s="125"/>
      <c r="G490" s="295"/>
      <c r="H490" s="284">
        <f>H494+H496+H498+H502+H491</f>
        <v>62434347</v>
      </c>
      <c r="I490" s="295">
        <f>I494+I496+I498+I502+I491</f>
        <v>62434347</v>
      </c>
    </row>
    <row r="491" spans="1:9" ht="31.5" x14ac:dyDescent="0.25">
      <c r="A491" s="772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IF(B491&gt;0,VLOOKUP(B491,КВСР!A154:B1319,2),IF(C491&gt;0,VLOOKUP(C491,КФСР!A154:B1666,2),IF(D491&gt;0,VLOOKUP(D491,Программа!A$1:B$5110,2),IF(F491&gt;0,VLOOKUP(F491,КВР!A$1:B$5001,2),IF(E491&gt;0,VLOOKUP(E491,Направление!A$1:B$4783,2))))))</f>
        <v>Обеспечение деятельности дошкольных учреждений</v>
      </c>
      <c r="B491" s="123"/>
      <c r="C491" s="124"/>
      <c r="D491" s="126"/>
      <c r="E491" s="124">
        <v>13010</v>
      </c>
      <c r="F491" s="125"/>
      <c r="G491" s="295"/>
      <c r="H491" s="284">
        <f>H493+H492</f>
        <v>1700000</v>
      </c>
      <c r="I491" s="295">
        <f>I493+I492</f>
        <v>1700000</v>
      </c>
    </row>
    <row r="492" spans="1:9" ht="94.5" x14ac:dyDescent="0.25">
      <c r="A492" s="772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23"/>
      <c r="C492" s="124"/>
      <c r="D492" s="126"/>
      <c r="E492" s="124"/>
      <c r="F492" s="125">
        <v>100</v>
      </c>
      <c r="G492" s="295"/>
      <c r="H492" s="284">
        <v>94760</v>
      </c>
      <c r="I492" s="295">
        <f>G492+H492</f>
        <v>94760</v>
      </c>
    </row>
    <row r="493" spans="1:9" ht="47.25" x14ac:dyDescent="0.25">
      <c r="A493" s="772" t="str">
        <f>IF(B493&gt;0,VLOOKUP(B493,КВСР!A155:B1320,2),IF(C493&gt;0,VLOOKUP(C493,КФСР!A155:B1667,2),IF(D493&gt;0,VLOOKUP(D493,Программа!A$1:B$5110,2),IF(F493&gt;0,VLOOKUP(F493,КВР!A$1:B$5001,2),IF(E493&gt;0,VLOOKUP(E493,Направление!A$1:B$4783,2))))))</f>
        <v xml:space="preserve">Закупка товаров, работ и услуг для обеспечения государственных (муниципальных) нужд
</v>
      </c>
      <c r="B493" s="123"/>
      <c r="C493" s="124"/>
      <c r="D493" s="126"/>
      <c r="E493" s="124"/>
      <c r="F493" s="125">
        <v>200</v>
      </c>
      <c r="G493" s="295"/>
      <c r="H493" s="284">
        <v>1605240</v>
      </c>
      <c r="I493" s="120">
        <f>G493+H493</f>
        <v>1605240</v>
      </c>
    </row>
    <row r="494" spans="1:9" ht="31.5" x14ac:dyDescent="0.25">
      <c r="A494" s="772" t="str">
        <f>IF(B494&gt;0,VLOOKUP(B494,КВСР!A154:B1319,2),IF(C494&gt;0,VLOOKUP(C494,КФСР!A154:B1666,2),IF(D494&gt;0,VLOOKUP(D494,Программа!A$1:B$5110,2),IF(F494&gt;0,VLOOKUP(F494,КВР!A$1:B$5001,2),IF(E494&gt;0,VLOOKUP(E494,Направление!A$1:B$4783,2))))))</f>
        <v>Обеспечение деятельности учреждений дополнительного образования</v>
      </c>
      <c r="B494" s="123"/>
      <c r="C494" s="124"/>
      <c r="D494" s="125"/>
      <c r="E494" s="124">
        <v>13210</v>
      </c>
      <c r="F494" s="125"/>
      <c r="G494" s="295"/>
      <c r="H494" s="284">
        <f t="shared" si="113"/>
        <v>59877847</v>
      </c>
      <c r="I494" s="120">
        <f t="shared" ref="I494:I588" si="114">SUM(G494:H494)</f>
        <v>59877847</v>
      </c>
    </row>
    <row r="495" spans="1:9" ht="47.25" x14ac:dyDescent="0.25">
      <c r="A495" s="772" t="str">
        <f>IF(B495&gt;0,VLOOKUP(B495,КВСР!A155:B1320,2),IF(C495&gt;0,VLOOKUP(C495,КФСР!A155:B1667,2),IF(D495&gt;0,VLOOKUP(D495,Программа!A$1:B$5110,2),IF(F495&gt;0,VLOOKUP(F495,КВР!A$1:B$5001,2),IF(E495&gt;0,VLOOKUP(E495,Направление!A$1:B$4783,2))))))</f>
        <v>Предоставление субсидий бюджетным, автономным учреждениям и иным некоммерческим организациям</v>
      </c>
      <c r="B495" s="123"/>
      <c r="C495" s="124"/>
      <c r="D495" s="125"/>
      <c r="E495" s="124"/>
      <c r="F495" s="125">
        <v>600</v>
      </c>
      <c r="G495" s="295"/>
      <c r="H495" s="284">
        <f>8698429+40779418+10400000</f>
        <v>59877847</v>
      </c>
      <c r="I495" s="120">
        <f t="shared" si="114"/>
        <v>59877847</v>
      </c>
    </row>
    <row r="496" spans="1:9" ht="31.5" x14ac:dyDescent="0.25">
      <c r="A496" s="772" t="str">
        <f>IF(B496&gt;0,VLOOKUP(B496,КВСР!A156:B1321,2),IF(C496&gt;0,VLOOKUP(C496,КФСР!A156:B1668,2),IF(D496&gt;0,VLOOKUP(D496,Программа!A$1:B$5110,2),IF(F496&gt;0,VLOOKUP(F496,КВР!A$1:B$5001,2),IF(E496&gt;0,VLOOKUP(E496,Направление!A$1:B$4783,2))))))</f>
        <v>Обеспечение деятельности прочих учреждений в сфере образования</v>
      </c>
      <c r="B496" s="123"/>
      <c r="C496" s="124"/>
      <c r="D496" s="125"/>
      <c r="E496" s="124">
        <v>13310</v>
      </c>
      <c r="F496" s="125"/>
      <c r="G496" s="295"/>
      <c r="H496" s="284">
        <f>H497</f>
        <v>856500</v>
      </c>
      <c r="I496" s="295">
        <f t="shared" ref="I496" si="115">I497</f>
        <v>856500</v>
      </c>
    </row>
    <row r="497" spans="1:9" ht="47.25" x14ac:dyDescent="0.25">
      <c r="A497" s="772" t="str">
        <f>IF(B497&gt;0,VLOOKUP(B497,КВСР!A157:B1322,2),IF(C497&gt;0,VLOOKUP(C497,КФСР!A157:B1669,2),IF(D497&gt;0,VLOOKUP(D497,Программа!A$1:B$5110,2),IF(F497&gt;0,VLOOKUP(F497,КВР!A$1:B$5001,2),IF(E497&gt;0,VLOOKUP(E497,Направление!A$1:B$4783,2))))))</f>
        <v>Предоставление субсидий бюджетным, автономным учреждениям и иным некоммерческим организациям</v>
      </c>
      <c r="B497" s="123"/>
      <c r="C497" s="124"/>
      <c r="D497" s="125"/>
      <c r="E497" s="124"/>
      <c r="F497" s="125">
        <v>600</v>
      </c>
      <c r="G497" s="295"/>
      <c r="H497" s="284">
        <v>856500</v>
      </c>
      <c r="I497" s="120">
        <f>G497+H497</f>
        <v>856500</v>
      </c>
    </row>
    <row r="498" spans="1:9" ht="47.25" hidden="1" x14ac:dyDescent="0.25">
      <c r="A498" s="772" t="str">
        <f>IF(B498&gt;0,VLOOKUP(B498,КВСР!A158:B1323,2),IF(C498&gt;0,VLOOKUP(C498,КФСР!A158:B1670,2),IF(D498&gt;0,VLOOKUP(D498,Программа!A$1:B$5110,2),IF(F498&gt;0,VLOOKUP(F498,КВР!A$1:B$5001,2),IF(E498&gt;0,VLOOKUP(E498,Направление!A$1:B$4783,2))))))</f>
        <v>Расходы на реализацию мероприятий инициативного бюджетирования на территории Ярославской области</v>
      </c>
      <c r="B498" s="123"/>
      <c r="C498" s="124"/>
      <c r="D498" s="125"/>
      <c r="E498" s="124">
        <v>15350</v>
      </c>
      <c r="F498" s="125"/>
      <c r="G498" s="295"/>
      <c r="H498" s="284">
        <f t="shared" ref="H498" si="116">H499</f>
        <v>0</v>
      </c>
      <c r="I498" s="120">
        <f t="shared" ref="I498:I503" si="117">G498+H498</f>
        <v>0</v>
      </c>
    </row>
    <row r="499" spans="1:9" ht="47.25" hidden="1" x14ac:dyDescent="0.25">
      <c r="A499" s="772" t="str">
        <f>IF(B499&gt;0,VLOOKUP(B499,КВСР!A159:B1324,2),IF(C499&gt;0,VLOOKUP(C499,КФСР!A159:B1671,2),IF(D499&gt;0,VLOOKUP(D499,Программа!A$1:B$5110,2),IF(F499&gt;0,VLOOKUP(F499,КВР!A$1:B$5001,2),IF(E499&gt;0,VLOOKUP(E499,Направление!A$1:B$4783,2))))))</f>
        <v>Предоставление субсидий бюджетным, автономным учреждениям и иным некоммерческим организациям</v>
      </c>
      <c r="B499" s="123"/>
      <c r="C499" s="124"/>
      <c r="D499" s="125"/>
      <c r="E499" s="124"/>
      <c r="F499" s="125">
        <v>600</v>
      </c>
      <c r="G499" s="295"/>
      <c r="H499" s="284"/>
      <c r="I499" s="120">
        <f t="shared" si="117"/>
        <v>0</v>
      </c>
    </row>
    <row r="500" spans="1:9" hidden="1" x14ac:dyDescent="0.25">
      <c r="A500" s="772" t="str">
        <f>IF(B500&gt;0,VLOOKUP(B500,КВСР!A160:B1325,2),IF(C500&gt;0,VLOOKUP(C500,КФСР!A160:B1672,2),IF(D500&gt;0,VLOOKUP(D500,Программа!A$1:B$5110,2),IF(F500&gt;0,VLOOKUP(F500,КВР!A$1:B$5001,2),IF(E500&gt;0,VLOOKUP(E500,Направление!A$1:B$4783,2))))))</f>
        <v xml:space="preserve">Иная дотация </v>
      </c>
      <c r="B500" s="123"/>
      <c r="C500" s="124"/>
      <c r="D500" s="125"/>
      <c r="E500" s="124">
        <v>73260</v>
      </c>
      <c r="F500" s="125"/>
      <c r="G500" s="295"/>
      <c r="H500" s="284">
        <f t="shared" ref="H500:I500" si="118">H501</f>
        <v>0</v>
      </c>
      <c r="I500" s="295">
        <f t="shared" si="118"/>
        <v>0</v>
      </c>
    </row>
    <row r="501" spans="1:9" ht="47.25" hidden="1" x14ac:dyDescent="0.25">
      <c r="A501" s="772" t="str">
        <f>IF(B501&gt;0,VLOOKUP(B501,КВСР!A161:B1326,2),IF(C501&gt;0,VLOOKUP(C501,КФСР!A161:B1673,2),IF(D501&gt;0,VLOOKUP(D501,Программа!A$1:B$5110,2),IF(F501&gt;0,VLOOKUP(F501,КВР!A$1:B$5001,2),IF(E501&gt;0,VLOOKUP(E501,Направление!A$1:B$4783,2))))))</f>
        <v>Предоставление субсидий бюджетным, автономным учреждениям и иным некоммерческим организациям</v>
      </c>
      <c r="B501" s="123"/>
      <c r="C501" s="124"/>
      <c r="D501" s="125"/>
      <c r="E501" s="124"/>
      <c r="F501" s="125">
        <v>600</v>
      </c>
      <c r="G501" s="295"/>
      <c r="H501" s="284"/>
      <c r="I501" s="120">
        <f>G501+H501</f>
        <v>0</v>
      </c>
    </row>
    <row r="502" spans="1:9" ht="47.25" hidden="1" x14ac:dyDescent="0.25">
      <c r="A502" s="772" t="str">
        <f>IF(B502&gt;0,VLOOKUP(B502,КВСР!A160:B1325,2),IF(C502&gt;0,VLOOKUP(C502,КФСР!A160:B1672,2),IF(D502&gt;0,VLOOKUP(D502,Программа!A$1:B$5110,2),IF(F502&gt;0,VLOOKUP(F502,КВР!A$1:B$5001,2),IF(E502&gt;0,VLOOKUP(E502,Направление!A$1:B$4783,2))))))</f>
        <v>Расходы на реализацию мероприятий инициативного бюджетирования на территории Ярославской области</v>
      </c>
      <c r="B502" s="123"/>
      <c r="C502" s="124"/>
      <c r="D502" s="125"/>
      <c r="E502" s="124">
        <v>75350</v>
      </c>
      <c r="F502" s="125"/>
      <c r="G502" s="295"/>
      <c r="H502" s="284">
        <f t="shared" ref="H502:I502" si="119">H503</f>
        <v>0</v>
      </c>
      <c r="I502" s="295">
        <f t="shared" si="119"/>
        <v>0</v>
      </c>
    </row>
    <row r="503" spans="1:9" ht="47.25" hidden="1" x14ac:dyDescent="0.25">
      <c r="A503" s="772" t="str">
        <f>IF(B503&gt;0,VLOOKUP(B503,КВСР!A161:B1326,2),IF(C503&gt;0,VLOOKUP(C503,КФСР!A161:B1673,2),IF(D503&gt;0,VLOOKUP(D503,Программа!A$1:B$5110,2),IF(F503&gt;0,VLOOKUP(F503,КВР!A$1:B$5001,2),IF(E503&gt;0,VLOOKUP(E503,Направление!A$1:B$4783,2))))))</f>
        <v>Предоставление субсидий бюджетным, автономным учреждениям и иным некоммерческим организациям</v>
      </c>
      <c r="B503" s="123"/>
      <c r="C503" s="124"/>
      <c r="D503" s="125"/>
      <c r="E503" s="124"/>
      <c r="F503" s="125">
        <v>600</v>
      </c>
      <c r="G503" s="295"/>
      <c r="H503" s="284"/>
      <c r="I503" s="120">
        <f t="shared" si="117"/>
        <v>0</v>
      </c>
    </row>
    <row r="504" spans="1:9" ht="47.25" hidden="1" x14ac:dyDescent="0.25">
      <c r="A504" s="772" t="str">
        <f>IF(B504&gt;0,VLOOKUP(B504,КВСР!A156:B1321,2),IF(C504&gt;0,VLOOKUP(C504,КФСР!A156:B1668,2),IF(D504&gt;0,VLOOKUP(D504,Программа!A$1:B$5110,2),IF(F504&gt;0,VLOOKUP(F504,КВР!A$1:B$5001,2),IF(E504&gt;0,VLOOKUP(E504,Направление!A$1:B$4783,2))))))</f>
        <v>Муниципальная программа "Социальная поддержка населения Тутаевского муниципального района"</v>
      </c>
      <c r="B504" s="123"/>
      <c r="C504" s="124"/>
      <c r="D504" s="125" t="s">
        <v>461</v>
      </c>
      <c r="E504" s="124"/>
      <c r="F504" s="125"/>
      <c r="G504" s="283"/>
      <c r="H504" s="284">
        <f>H505</f>
        <v>0</v>
      </c>
      <c r="I504" s="283">
        <f>I505</f>
        <v>0</v>
      </c>
    </row>
    <row r="505" spans="1:9" ht="47.25" hidden="1" x14ac:dyDescent="0.25">
      <c r="A505" s="772" t="str">
        <f>IF(B505&gt;0,VLOOKUP(B505,КВСР!A157:B1322,2),IF(C505&gt;0,VLOOKUP(C505,КФСР!A157:B1669,2),IF(D505&gt;0,VLOOKUP(D505,Программа!A$1:B$5110,2),IF(F505&gt;0,VLOOKUP(F505,КВР!A$1:B$5001,2),IF(E505&gt;0,VLOOKUP(E505,Направление!A$1:B$4783,2))))))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505" s="123"/>
      <c r="C505" s="124"/>
      <c r="D505" s="126" t="s">
        <v>463</v>
      </c>
      <c r="E505" s="124"/>
      <c r="F505" s="125"/>
      <c r="G505" s="283"/>
      <c r="H505" s="284">
        <f t="shared" ref="H505:I507" si="120">H506</f>
        <v>0</v>
      </c>
      <c r="I505" s="283">
        <f t="shared" si="120"/>
        <v>0</v>
      </c>
    </row>
    <row r="506" spans="1:9" ht="63" hidden="1" x14ac:dyDescent="0.25">
      <c r="A506" s="772" t="str">
        <f>IF(B506&gt;0,VLOOKUP(B506,КВСР!A158:B1323,2),IF(C506&gt;0,VLOOKUP(C506,КФСР!A158:B1670,2),IF(D506&gt;0,VLOOKUP(D506,Программа!A$1:B$5110,2),IF(F506&gt;0,VLOOKUP(F506,КВР!A$1:B$5001,2),IF(E506&gt;0,VLOOKUP(E506,Направление!A$1:B$4783,2))))))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6" s="123"/>
      <c r="C506" s="124"/>
      <c r="D506" s="126" t="s">
        <v>464</v>
      </c>
      <c r="E506" s="124"/>
      <c r="F506" s="125"/>
      <c r="G506" s="283"/>
      <c r="H506" s="284">
        <f t="shared" si="120"/>
        <v>0</v>
      </c>
      <c r="I506" s="283">
        <f t="shared" si="120"/>
        <v>0</v>
      </c>
    </row>
    <row r="507" spans="1:9" ht="31.5" hidden="1" x14ac:dyDescent="0.25">
      <c r="A507" s="772" t="str">
        <f>IF(B507&gt;0,VLOOKUP(B507,КВСР!A159:B1324,2),IF(C507&gt;0,VLOOKUP(C507,КФСР!A159:B1671,2),IF(D507&gt;0,VLOOKUP(D507,Программа!A$1:B$5110,2),IF(F507&gt;0,VLOOKUP(F507,КВР!A$1:B$5001,2),IF(E507&gt;0,VLOOKUP(E507,Направление!A$1:B$4783,2))))))</f>
        <v>Расходы на реализацию МЦП "Улучшение условий и охраны труда"</v>
      </c>
      <c r="B507" s="123"/>
      <c r="C507" s="124"/>
      <c r="D507" s="125"/>
      <c r="E507" s="124">
        <v>16150</v>
      </c>
      <c r="F507" s="125"/>
      <c r="G507" s="283"/>
      <c r="H507" s="284">
        <f t="shared" si="120"/>
        <v>0</v>
      </c>
      <c r="I507" s="283">
        <f t="shared" si="120"/>
        <v>0</v>
      </c>
    </row>
    <row r="508" spans="1:9" ht="47.25" hidden="1" x14ac:dyDescent="0.25">
      <c r="A508" s="772" t="str">
        <f>IF(B508&gt;0,VLOOKUP(B508,КВСР!A160:B1325,2),IF(C508&gt;0,VLOOKUP(C508,КФСР!A160:B1672,2),IF(D508&gt;0,VLOOKUP(D508,Программа!A$1:B$5110,2),IF(F508&gt;0,VLOOKUP(F508,КВР!A$1:B$5001,2),IF(E508&gt;0,VLOOKUP(E508,Направление!A$1:B$4783,2))))))</f>
        <v>Предоставление субсидий бюджетным, автономным учреждениям и иным некоммерческим организациям</v>
      </c>
      <c r="B508" s="123"/>
      <c r="C508" s="124"/>
      <c r="D508" s="125"/>
      <c r="E508" s="124"/>
      <c r="F508" s="125">
        <v>600</v>
      </c>
      <c r="G508" s="295"/>
      <c r="H508" s="284"/>
      <c r="I508" s="120">
        <f>G508+H508</f>
        <v>0</v>
      </c>
    </row>
    <row r="509" spans="1:9" ht="47.25" x14ac:dyDescent="0.25">
      <c r="A509" s="772" t="str">
        <f>IF(B509&gt;0,VLOOKUP(B509,КВСР!A161:B1326,2),IF(C509&gt;0,VLOOKUP(C509,КФСР!A161:B1673,2),IF(D509&gt;0,VLOOKUP(D509,Программа!A$1:B$5110,2),IF(F509&gt;0,VLOOKUP(F509,КВР!A$1:B$5001,2),IF(E509&gt;0,VLOOKUP(E509,Направление!A$1:B$4783,2))))))</f>
        <v>Профессиональная подготовка, переподготовка и повышение квалификации</v>
      </c>
      <c r="B509" s="123"/>
      <c r="C509" s="124">
        <v>705</v>
      </c>
      <c r="D509" s="125"/>
      <c r="E509" s="124"/>
      <c r="F509" s="125"/>
      <c r="G509" s="283"/>
      <c r="H509" s="284">
        <f t="shared" ref="H509:I513" si="121">H510</f>
        <v>1247200</v>
      </c>
      <c r="I509" s="283">
        <f t="shared" si="121"/>
        <v>1247200</v>
      </c>
    </row>
    <row r="510" spans="1:9" ht="63" x14ac:dyDescent="0.25">
      <c r="A510" s="772" t="str">
        <f>IF(B510&gt;0,VLOOKUP(B510,КВСР!A162:B1327,2),IF(C510&gt;0,VLOOKUP(C510,КФСР!A162:B1674,2),IF(D510&gt;0,VLOOKUP(D510,Программа!A$1:B$5110,2),IF(F510&gt;0,VLOOKUP(F510,КВР!A$1:B$5001,2),IF(E510&gt;0,VLOOKUP(E510,Направление!A$1:B$4783,2))))))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10" s="123"/>
      <c r="C510" s="124"/>
      <c r="D510" s="126" t="s">
        <v>452</v>
      </c>
      <c r="E510" s="124"/>
      <c r="F510" s="125"/>
      <c r="G510" s="283"/>
      <c r="H510" s="284">
        <f t="shared" si="121"/>
        <v>1247200</v>
      </c>
      <c r="I510" s="283">
        <f t="shared" si="121"/>
        <v>1247200</v>
      </c>
    </row>
    <row r="511" spans="1:9" ht="63" x14ac:dyDescent="0.25">
      <c r="A511" s="772" t="str">
        <f>IF(B511&gt;0,VLOOKUP(B511,КВСР!A163:B1328,2),IF(C511&gt;0,VLOOKUP(C511,КФСР!A163:B1675,2),IF(D511&gt;0,VLOOKUP(D511,Программа!A$1:B$5110,2),IF(F511&gt;0,VLOOKUP(F511,КВР!A$1:B$5001,2),IF(E511&gt;0,VLOOKUP(E511,Направление!A$1:B$4783,2))))))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11" s="123"/>
      <c r="C511" s="124"/>
      <c r="D511" s="126" t="s">
        <v>454</v>
      </c>
      <c r="E511" s="124"/>
      <c r="F511" s="125"/>
      <c r="G511" s="283"/>
      <c r="H511" s="284">
        <f t="shared" si="121"/>
        <v>1247200</v>
      </c>
      <c r="I511" s="283">
        <f t="shared" si="121"/>
        <v>1247200</v>
      </c>
    </row>
    <row r="512" spans="1:9" ht="78.75" x14ac:dyDescent="0.25">
      <c r="A512" s="772" t="str">
        <f>IF(B512&gt;0,VLOOKUP(B512,КВСР!A164:B1329,2),IF(C512&gt;0,VLOOKUP(C512,КФСР!A164:B1676,2),IF(D512&gt;0,VLOOKUP(D512,Программа!A$1:B$5110,2),IF(F512&gt;0,VLOOKUP(F512,КВР!A$1:B$5001,2),IF(E512&gt;0,VLOOKUP(E512,Направление!A$1:B$4783,2))))))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12" s="123"/>
      <c r="C512" s="124"/>
      <c r="D512" s="126" t="s">
        <v>474</v>
      </c>
      <c r="E512" s="124"/>
      <c r="F512" s="125"/>
      <c r="G512" s="283"/>
      <c r="H512" s="284">
        <f t="shared" si="121"/>
        <v>1247200</v>
      </c>
      <c r="I512" s="283">
        <f t="shared" si="121"/>
        <v>1247200</v>
      </c>
    </row>
    <row r="513" spans="1:9" ht="31.5" x14ac:dyDescent="0.25">
      <c r="A513" s="772" t="str">
        <f>IF(B513&gt;0,VLOOKUP(B513,КВСР!A165:B1330,2),IF(C513&gt;0,VLOOKUP(C513,КФСР!A165:B1677,2),IF(D513&gt;0,VLOOKUP(D513,Программа!A$1:B$5110,2),IF(F513&gt;0,VLOOKUP(F513,КВР!A$1:B$5001,2),IF(E513&gt;0,VLOOKUP(E513,Направление!A$1:B$4783,2))))))</f>
        <v>Обеспечение деятельности прочих учреждений в сфере образования</v>
      </c>
      <c r="B513" s="123"/>
      <c r="C513" s="124"/>
      <c r="D513" s="126"/>
      <c r="E513" s="124">
        <v>13310</v>
      </c>
      <c r="F513" s="125"/>
      <c r="G513" s="283"/>
      <c r="H513" s="284">
        <f t="shared" si="121"/>
        <v>1247200</v>
      </c>
      <c r="I513" s="283">
        <f t="shared" si="121"/>
        <v>1247200</v>
      </c>
    </row>
    <row r="514" spans="1:9" ht="47.25" x14ac:dyDescent="0.25">
      <c r="A514" s="772" t="str">
        <f>IF(B514&gt;0,VLOOKUP(B514,КВСР!A166:B1331,2),IF(C514&gt;0,VLOOKUP(C514,КФСР!A166:B1678,2),IF(D514&gt;0,VLOOKUP(D514,Программа!A$1:B$5110,2),IF(F514&gt;0,VLOOKUP(F514,КВР!A$1:B$5001,2),IF(E514&gt;0,VLOOKUP(E514,Направление!A$1:B$4783,2))))))</f>
        <v>Предоставление субсидий бюджетным, автономным учреждениям и иным некоммерческим организациям</v>
      </c>
      <c r="B514" s="123"/>
      <c r="C514" s="124"/>
      <c r="D514" s="126"/>
      <c r="E514" s="124"/>
      <c r="F514" s="125">
        <v>600</v>
      </c>
      <c r="G514" s="295"/>
      <c r="H514" s="284">
        <v>1247200</v>
      </c>
      <c r="I514" s="120">
        <f>G514+H514</f>
        <v>1247200</v>
      </c>
    </row>
    <row r="515" spans="1:9" x14ac:dyDescent="0.25">
      <c r="A515" s="772" t="str">
        <f>IF(B515&gt;0,VLOOKUP(B515,КВСР!A146:B1311,2),IF(C515&gt;0,VLOOKUP(C515,КФСР!A146:B1658,2),IF(D515&gt;0,VLOOKUP(D515,Программа!A$1:B$5110,2),IF(F515&gt;0,VLOOKUP(F515,КВР!A$1:B$5001,2),IF(E515&gt;0,VLOOKUP(E515,Направление!A$1:B$4783,2))))))</f>
        <v>Молодежная политика</v>
      </c>
      <c r="B515" s="123"/>
      <c r="C515" s="124">
        <v>707</v>
      </c>
      <c r="D515" s="126"/>
      <c r="E515" s="124"/>
      <c r="F515" s="125"/>
      <c r="G515" s="120"/>
      <c r="H515" s="339">
        <f t="shared" ref="H515:I515" si="122">H521+H516</f>
        <v>5504138</v>
      </c>
      <c r="I515" s="120">
        <f t="shared" si="122"/>
        <v>5504138</v>
      </c>
    </row>
    <row r="516" spans="1:9" ht="63" hidden="1" x14ac:dyDescent="0.25">
      <c r="A516" s="772" t="str">
        <f>IF(B516&gt;0,VLOOKUP(B516,КВСР!A147:B1312,2),IF(C516&gt;0,VLOOKUP(C516,КФСР!A147:B1659,2),IF(D516&gt;0,VLOOKUP(D516,Программа!A$1:B$5110,2),IF(F516&gt;0,VLOOKUP(F516,КВР!A$1:B$5001,2),IF(E516&gt;0,VLOOKUP(E516,Направление!A$1:B$4783,2))))))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16" s="123"/>
      <c r="C516" s="124"/>
      <c r="D516" s="126" t="s">
        <v>482</v>
      </c>
      <c r="E516" s="124"/>
      <c r="F516" s="125"/>
      <c r="G516" s="120"/>
      <c r="H516" s="339">
        <f t="shared" ref="H516:I519" si="123">H517</f>
        <v>0</v>
      </c>
      <c r="I516" s="120">
        <f t="shared" si="123"/>
        <v>0</v>
      </c>
    </row>
    <row r="517" spans="1:9" ht="31.5" hidden="1" x14ac:dyDescent="0.25">
      <c r="A517" s="772" t="str">
        <f>IF(B517&gt;0,VLOOKUP(B517,КВСР!A148:B1313,2),IF(C517&gt;0,VLOOKUP(C517,КФСР!A148:B1660,2),IF(D517&gt;0,VLOOKUP(D517,Программа!A$1:B$5110,2),IF(F517&gt;0,VLOOKUP(F517,КВР!A$1:B$5001,2),IF(E517&gt;0,VLOOKUP(E517,Направление!A$1:B$4783,2))))))</f>
        <v>Ведомственная целевая программа «Молодежь»</v>
      </c>
      <c r="B517" s="123"/>
      <c r="C517" s="124"/>
      <c r="D517" s="126" t="s">
        <v>586</v>
      </c>
      <c r="E517" s="124"/>
      <c r="F517" s="125"/>
      <c r="G517" s="120"/>
      <c r="H517" s="339">
        <f t="shared" si="123"/>
        <v>0</v>
      </c>
      <c r="I517" s="120">
        <f t="shared" si="123"/>
        <v>0</v>
      </c>
    </row>
    <row r="518" spans="1:9" ht="63" hidden="1" x14ac:dyDescent="0.25">
      <c r="A518" s="772" t="str">
        <f>IF(B518&gt;0,VLOOKUP(B518,КВСР!A149:B1314,2),IF(C518&gt;0,VLOOKUP(C518,КФСР!A149:B1661,2),IF(D518&gt;0,VLOOKUP(D518,Программа!A$1:B$5110,2),IF(F518&gt;0,VLOOKUP(F518,КВР!A$1:B$5001,2),IF(E518&gt;0,VLOOKUP(E518,Направление!A$1:B$4783,2))))))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8" s="123"/>
      <c r="C518" s="124"/>
      <c r="D518" s="126" t="s">
        <v>588</v>
      </c>
      <c r="E518" s="124"/>
      <c r="F518" s="125"/>
      <c r="G518" s="120"/>
      <c r="H518" s="339">
        <f t="shared" si="123"/>
        <v>0</v>
      </c>
      <c r="I518" s="120">
        <f t="shared" si="123"/>
        <v>0</v>
      </c>
    </row>
    <row r="519" spans="1:9" ht="47.25" hidden="1" x14ac:dyDescent="0.25">
      <c r="A519" s="772" t="str">
        <f>IF(B519&gt;0,VLOOKUP(B519,КВСР!A150:B1315,2),IF(C519&gt;0,VLOOKUP(C519,КФСР!A150:B1662,2),IF(D519&gt;0,VLOOKUP(D519,Программа!A$1:B$5110,2),IF(F519&gt;0,VLOOKUP(F519,КВР!A$1:B$5001,2),IF(E519&gt;0,VLOOKUP(E519,Направление!A$1:B$4783,2))))))</f>
        <v>Расходы на обеспечение трудоустройства несовершеннолетних граждан на временные рабочие места</v>
      </c>
      <c r="B519" s="123"/>
      <c r="C519" s="124"/>
      <c r="D519" s="126"/>
      <c r="E519" s="124">
        <v>76150</v>
      </c>
      <c r="F519" s="125"/>
      <c r="G519" s="120"/>
      <c r="H519" s="339">
        <f t="shared" si="123"/>
        <v>0</v>
      </c>
      <c r="I519" s="120">
        <f t="shared" si="123"/>
        <v>0</v>
      </c>
    </row>
    <row r="520" spans="1:9" ht="47.25" hidden="1" x14ac:dyDescent="0.25">
      <c r="A520" s="772" t="str">
        <f>IF(B520&gt;0,VLOOKUP(B520,КВСР!A151:B1316,2),IF(C520&gt;0,VLOOKUP(C520,КФСР!A151:B1663,2),IF(D520&gt;0,VLOOKUP(D520,Программа!A$1:B$5110,2),IF(F520&gt;0,VLOOKUP(F520,КВР!A$1:B$5001,2),IF(E520&gt;0,VLOOKUP(E520,Направление!A$1:B$4783,2))))))</f>
        <v>Предоставление субсидий бюджетным, автономным учреждениям и иным некоммерческим организациям</v>
      </c>
      <c r="B520" s="123"/>
      <c r="C520" s="124"/>
      <c r="D520" s="126"/>
      <c r="E520" s="124"/>
      <c r="F520" s="125">
        <v>600</v>
      </c>
      <c r="G520" s="120"/>
      <c r="H520" s="339"/>
      <c r="I520" s="120">
        <f>G520+H520</f>
        <v>0</v>
      </c>
    </row>
    <row r="521" spans="1:9" ht="63" x14ac:dyDescent="0.25">
      <c r="A521" s="772" t="str">
        <f>IF(B521&gt;0,VLOOKUP(B521,КВСР!A147:B1312,2),IF(C521&gt;0,VLOOKUP(C521,КФСР!A147:B1659,2),IF(D521&gt;0,VLOOKUP(D521,Программа!A$1:B$5110,2),IF(F521&gt;0,VLOOKUP(F521,КВР!A$1:B$5001,2),IF(E521&gt;0,VLOOKUP(E521,Направление!A$1:B$4783,2))))))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21" s="123"/>
      <c r="C521" s="124"/>
      <c r="D521" s="126" t="s">
        <v>452</v>
      </c>
      <c r="E521" s="124"/>
      <c r="F521" s="125"/>
      <c r="G521" s="120"/>
      <c r="H521" s="339">
        <f>H522</f>
        <v>5504138</v>
      </c>
      <c r="I521" s="120">
        <f t="shared" si="114"/>
        <v>5504138</v>
      </c>
    </row>
    <row r="522" spans="1:9" ht="63" x14ac:dyDescent="0.25">
      <c r="A522" s="772" t="str">
        <f>IF(B522&gt;0,VLOOKUP(B522,КВСР!A148:B1313,2),IF(C522&gt;0,VLOOKUP(C522,КФСР!A148:B1660,2),IF(D522&gt;0,VLOOKUP(D522,Программа!A$1:B$5110,2),IF(F522&gt;0,VLOOKUP(F522,КВР!A$1:B$5001,2),IF(E522&gt;0,VLOOKUP(E522,Направление!A$1:B$4783,2))))))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22" s="123"/>
      <c r="C522" s="124"/>
      <c r="D522" s="126" t="s">
        <v>454</v>
      </c>
      <c r="E522" s="124"/>
      <c r="F522" s="125"/>
      <c r="G522" s="120"/>
      <c r="H522" s="339">
        <f>H523+H537</f>
        <v>5504138</v>
      </c>
      <c r="I522" s="120">
        <f t="shared" si="114"/>
        <v>5504138</v>
      </c>
    </row>
    <row r="523" spans="1:9" ht="31.5" x14ac:dyDescent="0.25">
      <c r="A523" s="772" t="str">
        <f>IF(B523&gt;0,VLOOKUP(B523,КВСР!A149:B1314,2),IF(C523&gt;0,VLOOKUP(C523,КФСР!A149:B1661,2),IF(D523&gt;0,VLOOKUP(D523,Программа!A$1:B$5110,2),IF(F523&gt;0,VLOOKUP(F523,КВР!A$1:B$5001,2),IF(E523&gt;0,VLOOKUP(E523,Направление!A$1:B$4783,2))))))</f>
        <v>Обеспечение детей организованными формами отдыха и оздоровления</v>
      </c>
      <c r="B523" s="123"/>
      <c r="C523" s="124"/>
      <c r="D523" s="126" t="s">
        <v>1151</v>
      </c>
      <c r="E523" s="124"/>
      <c r="F523" s="125"/>
      <c r="G523" s="277"/>
      <c r="H523" s="339">
        <f t="shared" ref="H523:I523" si="124">H524+H526+H530+H532+H535+H528</f>
        <v>5504138</v>
      </c>
      <c r="I523" s="277">
        <f t="shared" si="124"/>
        <v>5504138</v>
      </c>
    </row>
    <row r="524" spans="1:9" ht="47.25" x14ac:dyDescent="0.25">
      <c r="A524" s="773" t="str">
        <f>IF(B524&gt;0,VLOOKUP(B524,КВСР!A150:B1315,2),IF(C524&gt;0,VLOOKUP(C524,КФСР!A150:B1662,2),IF(D524&gt;0,VLOOKUP(D524,Программа!A$1:B$5110,2),IF(F524&gt;0,VLOOKUP(F524,КВР!A$1:B$5001,2),IF(E524&gt;0,VLOOKUP(E524,Направление!A$1:B$4783,2))))))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524" s="380"/>
      <c r="C524" s="381"/>
      <c r="D524" s="382"/>
      <c r="E524" s="381">
        <v>11000</v>
      </c>
      <c r="F524" s="371"/>
      <c r="G524" s="120"/>
      <c r="H524" s="339">
        <f>H525</f>
        <v>82188</v>
      </c>
      <c r="I524" s="120">
        <f t="shared" si="114"/>
        <v>82188</v>
      </c>
    </row>
    <row r="525" spans="1:9" ht="47.25" x14ac:dyDescent="0.25">
      <c r="A525" s="773" t="str">
        <f>IF(B525&gt;0,VLOOKUP(B525,КВСР!A155:B1320,2),IF(C525&gt;0,VLOOKUP(C525,КФСР!A155:B1667,2),IF(D525&gt;0,VLOOKUP(D525,Программа!A$1:B$5110,2),IF(F525&gt;0,VLOOKUP(F525,КВР!A$1:B$5001,2),IF(E525&gt;0,VLOOKUP(E525,Направление!A$1:B$4783,2))))))</f>
        <v>Предоставление субсидий бюджетным, автономным учреждениям и иным некоммерческим организациям</v>
      </c>
      <c r="B525" s="380"/>
      <c r="C525" s="381"/>
      <c r="D525" s="371"/>
      <c r="E525" s="381"/>
      <c r="F525" s="371">
        <v>600</v>
      </c>
      <c r="G525" s="385"/>
      <c r="H525" s="339">
        <v>82188</v>
      </c>
      <c r="I525" s="120">
        <f t="shared" si="114"/>
        <v>82188</v>
      </c>
    </row>
    <row r="526" spans="1:9" ht="110.25" hidden="1" x14ac:dyDescent="0.25">
      <c r="A526" s="773" t="str">
        <f>IF(B526&gt;0,VLOOKUP(B526,КВСР!A156:B1321,2),IF(C526&gt;0,VLOOKUP(C526,КФСР!A156:B1668,2),IF(D526&gt;0,VLOOKUP(D526,Программа!A$1:B$5110,2),IF(F526&gt;0,VLOOKUP(F526,КВР!A$1:B$5001,2),IF(E526&gt;0,VLOOKUP(E526,Направление!A$1:B$4783,2))))))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6" s="123"/>
      <c r="C526" s="124"/>
      <c r="D526" s="126"/>
      <c r="E526" s="124">
        <v>50650</v>
      </c>
      <c r="F526" s="125"/>
      <c r="G526" s="120"/>
      <c r="H526" s="339">
        <f>H527</f>
        <v>0</v>
      </c>
      <c r="I526" s="120">
        <f t="shared" si="114"/>
        <v>0</v>
      </c>
    </row>
    <row r="527" spans="1:9" ht="31.5" hidden="1" x14ac:dyDescent="0.25">
      <c r="A527" s="773" t="str">
        <f>IF(B527&gt;0,VLOOKUP(B527,КВСР!A157:B1322,2),IF(C527&gt;0,VLOOKUP(C527,КФСР!A157:B1669,2),IF(D527&gt;0,VLOOKUP(D527,Программа!A$1:B$5110,2),IF(F527&gt;0,VLOOKUP(F527,КВР!A$1:B$5001,2),IF(E527&gt;0,VLOOKUP(E527,Направление!A$1:B$4783,2))))))</f>
        <v>Социальное обеспечение и иные выплаты населению</v>
      </c>
      <c r="B527" s="123"/>
      <c r="C527" s="124"/>
      <c r="D527" s="125"/>
      <c r="E527" s="124"/>
      <c r="F527" s="125">
        <v>300</v>
      </c>
      <c r="G527" s="277"/>
      <c r="H527" s="339"/>
      <c r="I527" s="120">
        <f t="shared" si="114"/>
        <v>0</v>
      </c>
    </row>
    <row r="528" spans="1:9" ht="31.5" x14ac:dyDescent="0.25">
      <c r="A528" s="773" t="str">
        <f>IF(B528&gt;0,VLOOKUP(B528,КВСР!A158:B1323,2),IF(C528&gt;0,VLOOKUP(C528,КФСР!A158:B1670,2),IF(D528&gt;0,VLOOKUP(D528,Программа!A$1:B$5110,2),IF(F528&gt;0,VLOOKUP(F528,КВР!A$1:B$5001,2),IF(E528&gt;0,VLOOKUP(E528,Направление!A$1:B$4783,2))))))</f>
        <v>Расходы на обеспечение оздоровления и отдыха детей</v>
      </c>
      <c r="B528" s="123"/>
      <c r="C528" s="124"/>
      <c r="D528" s="125"/>
      <c r="E528" s="124">
        <v>13330</v>
      </c>
      <c r="F528" s="125"/>
      <c r="G528" s="277"/>
      <c r="H528" s="339">
        <f t="shared" ref="H528:I528" si="125">H529</f>
        <v>56800</v>
      </c>
      <c r="I528" s="277">
        <f t="shared" si="125"/>
        <v>56800</v>
      </c>
    </row>
    <row r="529" spans="1:9" ht="47.25" x14ac:dyDescent="0.25">
      <c r="A529" s="773" t="str">
        <f>IF(B529&gt;0,VLOOKUP(B529,КВСР!A159:B1324,2),IF(C529&gt;0,VLOOKUP(C529,КФСР!A159:B1671,2),IF(D529&gt;0,VLOOKUP(D529,Программа!A$1:B$5110,2),IF(F529&gt;0,VLOOKUP(F529,КВР!A$1:B$5001,2),IF(E529&gt;0,VLOOKUP(E529,Направление!A$1:B$4783,2))))))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5"/>
      <c r="E529" s="124"/>
      <c r="F529" s="125">
        <v>600</v>
      </c>
      <c r="G529" s="277"/>
      <c r="H529" s="339">
        <v>56800</v>
      </c>
      <c r="I529" s="120">
        <f>G529+H529</f>
        <v>56800</v>
      </c>
    </row>
    <row r="530" spans="1:9" ht="94.5" x14ac:dyDescent="0.25">
      <c r="A530" s="772" t="str">
        <f>IF(B530&gt;0,VLOOKUP(B530,КВСР!A159:B1324,2),IF(C530&gt;0,VLOOKUP(C530,КФСР!A159:B1671,2),IF(D530&gt;0,VLOOKUP(D530,Программа!A$1:B$5110,2),IF(F530&gt;0,VLOOKUP(F530,КВР!A$1:B$5001,2),IF(E530&gt;0,VLOOKUP(E530,Направление!A$1:B$4783,2))))))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30" s="123"/>
      <c r="C530" s="124"/>
      <c r="D530" s="126"/>
      <c r="E530" s="124">
        <v>71000</v>
      </c>
      <c r="F530" s="125"/>
      <c r="G530" s="118"/>
      <c r="H530" s="284">
        <f>H531</f>
        <v>739692</v>
      </c>
      <c r="I530" s="120">
        <f t="shared" si="114"/>
        <v>739692</v>
      </c>
    </row>
    <row r="531" spans="1:9" ht="47.25" x14ac:dyDescent="0.25">
      <c r="A531" s="772" t="str">
        <f>IF(B531&gt;0,VLOOKUP(B531,КВСР!A160:B1325,2),IF(C531&gt;0,VLOOKUP(C531,КФСР!A160:B1672,2),IF(D531&gt;0,VLOOKUP(D531,Программа!A$1:B$5110,2),IF(F531&gt;0,VLOOKUP(F531,КВР!A$1:B$5001,2),IF(E531&gt;0,VLOOKUP(E531,Направление!A$1:B$4783,2))))))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5"/>
      <c r="E531" s="124"/>
      <c r="F531" s="125">
        <v>600</v>
      </c>
      <c r="G531" s="295"/>
      <c r="H531" s="284">
        <v>739692</v>
      </c>
      <c r="I531" s="120">
        <f t="shared" si="114"/>
        <v>739692</v>
      </c>
    </row>
    <row r="532" spans="1:9" ht="110.25" x14ac:dyDescent="0.25">
      <c r="A532" s="772" t="str">
        <f>IF(B532&gt;0,VLOOKUP(B532,КВСР!A161:B1326,2),IF(C532&gt;0,VLOOKUP(C532,КФСР!A161:B1673,2),IF(D532&gt;0,VLOOKUP(D532,Программа!A$1:B$5110,2),IF(F532&gt;0,VLOOKUP(F532,КВР!A$1:B$5001,2),IF(E532&gt;0,VLOOKUP(E532,Направление!A$1:B$4783,2))))))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2" s="123"/>
      <c r="C532" s="124"/>
      <c r="D532" s="126"/>
      <c r="E532" s="124">
        <v>71060</v>
      </c>
      <c r="F532" s="125"/>
      <c r="G532" s="118"/>
      <c r="H532" s="284">
        <f>H533+H534</f>
        <v>4588650</v>
      </c>
      <c r="I532" s="120">
        <f t="shared" si="114"/>
        <v>4588650</v>
      </c>
    </row>
    <row r="533" spans="1:9" ht="31.5" x14ac:dyDescent="0.25">
      <c r="A533" s="772" t="str">
        <f>IF(B533&gt;0,VLOOKUP(B533,КВСР!A162:B1327,2),IF(C533&gt;0,VLOOKUP(C533,КФСР!A162:B1674,2),IF(D533&gt;0,VLOOKUP(D533,Программа!A$1:B$5110,2),IF(F533&gt;0,VLOOKUP(F533,КВР!A$1:B$5001,2),IF(E533&gt;0,VLOOKUP(E533,Направление!A$1:B$4783,2))))))</f>
        <v>Социальное обеспечение и иные выплаты населению</v>
      </c>
      <c r="B533" s="123"/>
      <c r="C533" s="124"/>
      <c r="D533" s="125"/>
      <c r="E533" s="124"/>
      <c r="F533" s="125">
        <v>300</v>
      </c>
      <c r="G533" s="295"/>
      <c r="H533" s="284">
        <v>3032314</v>
      </c>
      <c r="I533" s="120">
        <f t="shared" si="114"/>
        <v>3032314</v>
      </c>
    </row>
    <row r="534" spans="1:9" ht="47.25" x14ac:dyDescent="0.25">
      <c r="A534" s="772" t="str">
        <f>IF(B534&gt;0,VLOOKUP(B534,КВСР!A163:B1328,2),IF(C534&gt;0,VLOOKUP(C534,КФСР!A163:B1675,2),IF(D534&gt;0,VLOOKUP(D534,Программа!A$1:B$5110,2),IF(F534&gt;0,VLOOKUP(F534,КВР!A$1:B$5001,2),IF(E534&gt;0,VLOOKUP(E534,Направление!A$1:B$4783,2))))))</f>
        <v>Предоставление субсидий бюджетным, автономным учреждениям и иным некоммерческим организациям</v>
      </c>
      <c r="B534" s="123"/>
      <c r="C534" s="124"/>
      <c r="D534" s="125"/>
      <c r="E534" s="124"/>
      <c r="F534" s="125">
        <v>600</v>
      </c>
      <c r="G534" s="295"/>
      <c r="H534" s="284">
        <v>1556336</v>
      </c>
      <c r="I534" s="120">
        <f t="shared" si="114"/>
        <v>1556336</v>
      </c>
    </row>
    <row r="535" spans="1:9" ht="47.25" x14ac:dyDescent="0.25">
      <c r="A535" s="772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IF(B535&gt;0,VLOOKUP(B535,КВСР!A164:B1329,2),IF(C535&gt;0,VLOOKUP(C535,КФСР!A164:B1676,2),IF(D535&gt;0,VLOOKUP(D535,Программа!A$1:B$5110,2),IF(F535&gt;0,VLOOKUP(F535,КВР!A$1:B$5001,2),IF(E535&gt;0,VLOOKUP(E535,Направление!A$1:B$4783,2))))))</f>
        <v>Субвенция на частичную оплату стоимости путевки в организации отдыха детей и их оздоровления</v>
      </c>
      <c r="B535" s="123"/>
      <c r="C535" s="124"/>
      <c r="D535" s="125"/>
      <c r="E535" s="124">
        <v>75160</v>
      </c>
      <c r="F535" s="125"/>
      <c r="G535" s="295"/>
      <c r="H535" s="284">
        <f>H536</f>
        <v>36808</v>
      </c>
      <c r="I535" s="120">
        <f t="shared" si="114"/>
        <v>36808</v>
      </c>
    </row>
    <row r="536" spans="1:9" ht="31.5" x14ac:dyDescent="0.25">
      <c r="A536" s="772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IF(B536&gt;0,VLOOKUP(B536,КВСР!A165:B1330,2),IF(C536&gt;0,VLOOKUP(C536,КФСР!A165:B1677,2),IF(D536&gt;0,VLOOKUP(D536,Программа!A$1:B$5110,2),IF(F536&gt;0,VLOOKUP(F536,КВР!A$1:B$5001,2),IF(E536&gt;0,VLOOKUP(E536,Направление!A$1:B$4783,2))))))</f>
        <v>Социальное обеспечение и иные выплаты населению</v>
      </c>
      <c r="B536" s="123"/>
      <c r="C536" s="124"/>
      <c r="D536" s="125"/>
      <c r="E536" s="124"/>
      <c r="F536" s="125">
        <v>300</v>
      </c>
      <c r="G536" s="295"/>
      <c r="H536" s="284">
        <v>36808</v>
      </c>
      <c r="I536" s="120">
        <f t="shared" si="114"/>
        <v>36808</v>
      </c>
    </row>
    <row r="537" spans="1:9" s="303" customFormat="1" hidden="1" x14ac:dyDescent="0.25">
      <c r="A537" s="774" t="str">
        <f>IF(B537&gt;0,VLOOKUP(B537,КВСР!A167:B1332,2),IF(C537&gt;0,VLOOKUP(C537,КФСР!A167:B1679,2),IF(D537&gt;0,VLOOKUP(D537,Программа!A$1:B$5110,2),IF(F537&gt;0,VLOOKUP(F537,КВР!A$1:B$5001,2),IF(E537&gt;0,VLOOKUP(E537,Направление!A$1:B$4783,2))))))</f>
        <v>Обеспечение компенсационных выплат</v>
      </c>
      <c r="B537" s="300"/>
      <c r="C537" s="301"/>
      <c r="D537" s="126" t="s">
        <v>1156</v>
      </c>
      <c r="E537" s="301"/>
      <c r="F537" s="302"/>
      <c r="G537" s="295"/>
      <c r="H537" s="284">
        <f>H538</f>
        <v>0</v>
      </c>
      <c r="I537" s="120">
        <f t="shared" si="114"/>
        <v>0</v>
      </c>
    </row>
    <row r="538" spans="1:9" ht="47.25" hidden="1" x14ac:dyDescent="0.25">
      <c r="A538" s="772" t="str">
        <f>IF(B538&gt;0,VLOOKUP(B538,КВСР!A164:B1329,2),IF(C538&gt;0,VLOOKUP(C538,КФСР!A164:B1676,2),IF(D538&gt;0,VLOOKUP(D538,Программа!A$1:B$5110,2),IF(F538&gt;0,VLOOKUP(F538,КВР!A$1:B$5001,2),IF(E538&gt;0,VLOOKUP(E538,Направление!A$1:B$4783,2))))))</f>
        <v>Компенсация части расходов на приобретение путевки в организации отдыха детей и их оздоровления</v>
      </c>
      <c r="B538" s="123"/>
      <c r="C538" s="124"/>
      <c r="D538" s="125"/>
      <c r="E538" s="124">
        <v>74390</v>
      </c>
      <c r="F538" s="125"/>
      <c r="G538" s="118"/>
      <c r="H538" s="284">
        <f>H539</f>
        <v>0</v>
      </c>
      <c r="I538" s="120">
        <f t="shared" si="114"/>
        <v>0</v>
      </c>
    </row>
    <row r="539" spans="1:9" ht="31.5" hidden="1" x14ac:dyDescent="0.25">
      <c r="A539" s="772" t="str">
        <f>IF(B539&gt;0,VLOOKUP(B539,КВСР!A165:B1330,2),IF(C539&gt;0,VLOOKUP(C539,КФСР!A165:B1677,2),IF(D539&gt;0,VLOOKUP(D539,Программа!A$1:B$5110,2),IF(F539&gt;0,VLOOKUP(F539,КВР!A$1:B$5001,2),IF(E539&gt;0,VLOOKUP(E539,Направление!A$1:B$4783,2))))))</f>
        <v>Социальное обеспечение и иные выплаты населению</v>
      </c>
      <c r="B539" s="123"/>
      <c r="C539" s="124"/>
      <c r="D539" s="125"/>
      <c r="E539" s="124"/>
      <c r="F539" s="125">
        <v>300</v>
      </c>
      <c r="G539" s="295"/>
      <c r="H539" s="284"/>
      <c r="I539" s="120">
        <f t="shared" si="114"/>
        <v>0</v>
      </c>
    </row>
    <row r="540" spans="1:9" x14ac:dyDescent="0.25">
      <c r="A540" s="772" t="str">
        <f>IF(B540&gt;0,VLOOKUP(B540,КВСР!A160:B1325,2),IF(C540&gt;0,VLOOKUP(C540,КФСР!A160:B1672,2),IF(D540&gt;0,VLOOKUP(D540,Программа!A$1:B$5110,2),IF(F540&gt;0,VLOOKUP(F540,КВР!A$1:B$5001,2),IF(E540&gt;0,VLOOKUP(E540,Направление!A$1:B$4783,2))))))</f>
        <v>Другие вопросы в области образования</v>
      </c>
      <c r="B540" s="123"/>
      <c r="C540" s="124">
        <v>709</v>
      </c>
      <c r="D540" s="126"/>
      <c r="E540" s="124"/>
      <c r="F540" s="125"/>
      <c r="G540" s="339"/>
      <c r="H540" s="339">
        <f t="shared" ref="H540:I540" si="126">H541+H554+H616+H620+H611+H603</f>
        <v>43074617</v>
      </c>
      <c r="I540" s="339">
        <f t="shared" si="126"/>
        <v>43074617</v>
      </c>
    </row>
    <row r="541" spans="1:9" ht="63" hidden="1" x14ac:dyDescent="0.25">
      <c r="A541" s="772" t="str">
        <f>IF(B541&gt;0,VLOOKUP(B541,КВСР!A161:B1326,2),IF(C541&gt;0,VLOOKUP(C541,КФСР!A161:B1673,2),IF(D541&gt;0,VLOOKUP(D541,Программа!A$1:B$5110,2),IF(F541&gt;0,VLOOKUP(F541,КВР!A$1:B$5001,2),IF(E541&gt;0,VLOOKUP(E541,Направление!A$1:B$4783,2))))))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1" s="123"/>
      <c r="C541" s="124"/>
      <c r="D541" s="126" t="s">
        <v>482</v>
      </c>
      <c r="E541" s="124"/>
      <c r="F541" s="125"/>
      <c r="G541" s="120"/>
      <c r="H541" s="339">
        <f>H542+H548</f>
        <v>0</v>
      </c>
      <c r="I541" s="120">
        <f t="shared" si="114"/>
        <v>0</v>
      </c>
    </row>
    <row r="542" spans="1:9" ht="94.5" hidden="1" x14ac:dyDescent="0.25">
      <c r="A542" s="772" t="str">
        <f>IF(B542&gt;0,VLOOKUP(B542,КВСР!A162:B1327,2),IF(C542&gt;0,VLOOKUP(C542,КФСР!A162:B1674,2),IF(D542&gt;0,VLOOKUP(D542,Программа!A$1:B$5110,2),IF(F542&gt;0,VLOOKUP(F542,КВР!A$1:B$5001,2),IF(E542&gt;0,VLOOKUP(E542,Направление!A$1:B$4783,2))))))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2" s="123"/>
      <c r="C542" s="124"/>
      <c r="D542" s="126" t="s">
        <v>484</v>
      </c>
      <c r="E542" s="124"/>
      <c r="F542" s="125"/>
      <c r="G542" s="120"/>
      <c r="H542" s="339">
        <f t="shared" ref="H542:H544" si="127">H543</f>
        <v>0</v>
      </c>
      <c r="I542" s="120">
        <f t="shared" si="114"/>
        <v>0</v>
      </c>
    </row>
    <row r="543" spans="1:9" ht="78.75" hidden="1" x14ac:dyDescent="0.25">
      <c r="A543" s="772" t="str">
        <f>IF(B543&gt;0,VLOOKUP(B543,КВСР!A163:B1328,2),IF(C543&gt;0,VLOOKUP(C543,КФСР!A163:B1675,2),IF(D543&gt;0,VLOOKUP(D543,Программа!A$1:B$5110,2),IF(F543&gt;0,VLOOKUP(F543,КВР!A$1:B$5001,2),IF(E543&gt;0,VLOOKUP(E543,Направление!A$1:B$4783,2))))))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3" s="123"/>
      <c r="C543" s="124"/>
      <c r="D543" s="126" t="s">
        <v>486</v>
      </c>
      <c r="E543" s="124"/>
      <c r="F543" s="125"/>
      <c r="G543" s="120"/>
      <c r="H543" s="339">
        <f t="shared" ref="H543:I543" si="128">H544+H546</f>
        <v>0</v>
      </c>
      <c r="I543" s="120">
        <f t="shared" si="128"/>
        <v>0</v>
      </c>
    </row>
    <row r="544" spans="1:9" ht="31.5" hidden="1" x14ac:dyDescent="0.25">
      <c r="A544" s="773" t="str">
        <f>IF(B544&gt;0,VLOOKUP(B544,КВСР!A164:B1329,2),IF(C544&gt;0,VLOOKUP(C544,КФСР!A164:B1676,2),IF(D544&gt;0,VLOOKUP(D544,Программа!A$1:B$5110,2),IF(F544&gt;0,VLOOKUP(F544,КВР!A$1:B$5001,2),IF(E544&gt;0,VLOOKUP(E544,Направление!A$1:B$4783,2))))))</f>
        <v>Мероприятия по патриотическому воспитанию граждан</v>
      </c>
      <c r="B544" s="380"/>
      <c r="C544" s="381"/>
      <c r="D544" s="382"/>
      <c r="E544" s="381">
        <v>14880</v>
      </c>
      <c r="F544" s="371"/>
      <c r="G544" s="120"/>
      <c r="H544" s="339">
        <f t="shared" si="127"/>
        <v>0</v>
      </c>
      <c r="I544" s="120">
        <f t="shared" si="114"/>
        <v>0</v>
      </c>
    </row>
    <row r="545" spans="1:9" ht="47.25" hidden="1" x14ac:dyDescent="0.25">
      <c r="A545" s="773" t="str">
        <f>IF(B545&gt;0,VLOOKUP(B545,КВСР!A165:B1330,2),IF(C545&gt;0,VLOOKUP(C545,КФСР!A165:B1677,2),IF(D545&gt;0,VLOOKUP(D545,Программа!A$1:B$5110,2),IF(F545&gt;0,VLOOKUP(F545,КВР!A$1:B$5001,2),IF(E545&gt;0,VLOOKUP(E545,Направление!A$1:B$4783,2))))))</f>
        <v>Предоставление субсидий бюджетным, автономным учреждениям и иным некоммерческим организациям</v>
      </c>
      <c r="B545" s="380"/>
      <c r="C545" s="381"/>
      <c r="D545" s="382"/>
      <c r="E545" s="381"/>
      <c r="F545" s="371">
        <v>600</v>
      </c>
      <c r="G545" s="385"/>
      <c r="H545" s="339"/>
      <c r="I545" s="120">
        <f t="shared" si="114"/>
        <v>0</v>
      </c>
    </row>
    <row r="546" spans="1:9" ht="31.5" hidden="1" x14ac:dyDescent="0.25">
      <c r="A546" s="773" t="str">
        <f>IF(B546&gt;0,VLOOKUP(B546,КВСР!A166:B1331,2),IF(C546&gt;0,VLOOKUP(C546,КФСР!A166:B1678,2),IF(D546&gt;0,VLOOKUP(D546,Программа!A$1:B$5110,2),IF(F546&gt;0,VLOOKUP(F546,КВР!A$1:B$5001,2),IF(E546&gt;0,VLOOKUP(E546,Направление!A$1:B$4783,2))))))</f>
        <v>Мероприятия по патриотическому воспитанию граждан</v>
      </c>
      <c r="B546" s="380"/>
      <c r="C546" s="381"/>
      <c r="D546" s="382"/>
      <c r="E546" s="381">
        <v>74880</v>
      </c>
      <c r="F546" s="371"/>
      <c r="G546" s="385"/>
      <c r="H546" s="390">
        <f t="shared" ref="H546:I546" si="129">H547</f>
        <v>0</v>
      </c>
      <c r="I546" s="385">
        <f t="shared" si="129"/>
        <v>0</v>
      </c>
    </row>
    <row r="547" spans="1:9" ht="47.25" hidden="1" x14ac:dyDescent="0.25">
      <c r="A547" s="773" t="str">
        <f>IF(B547&gt;0,VLOOKUP(B547,КВСР!A167:B1332,2),IF(C547&gt;0,VLOOKUP(C547,КФСР!A167:B1679,2),IF(D547&gt;0,VLOOKUP(D547,Программа!A$1:B$5110,2),IF(F547&gt;0,VLOOKUP(F547,КВР!A$1:B$5001,2),IF(E547&gt;0,VLOOKUP(E547,Направление!A$1:B$4783,2))))))</f>
        <v>Предоставление субсидий бюджетным, автономным учреждениям и иным некоммерческим организациям</v>
      </c>
      <c r="B547" s="380"/>
      <c r="C547" s="381"/>
      <c r="D547" s="382"/>
      <c r="E547" s="381"/>
      <c r="F547" s="371">
        <v>600</v>
      </c>
      <c r="G547" s="385"/>
      <c r="H547" s="339"/>
      <c r="I547" s="120">
        <f>G547+H547</f>
        <v>0</v>
      </c>
    </row>
    <row r="548" spans="1:9" ht="63" hidden="1" x14ac:dyDescent="0.25">
      <c r="A548" s="772" t="str">
        <f>IF(B548&gt;0,VLOOKUP(B548,КВСР!A166:B1331,2),IF(C548&gt;0,VLOOKUP(C548,КФСР!A166:B1678,2),IF(D548&gt;0,VLOOKUP(D548,Программа!A$1:B$5110,2),IF(F548&gt;0,VLOOKUP(F548,КВР!A$1:B$5001,2),IF(E548&gt;0,VLOOKUP(E548,Направление!A$1:B$4783,2))))))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8" s="123"/>
      <c r="C548" s="124"/>
      <c r="D548" s="126" t="s">
        <v>489</v>
      </c>
      <c r="E548" s="124"/>
      <c r="F548" s="125"/>
      <c r="G548" s="120"/>
      <c r="H548" s="339">
        <f>H549</f>
        <v>0</v>
      </c>
      <c r="I548" s="120">
        <f t="shared" si="114"/>
        <v>0</v>
      </c>
    </row>
    <row r="549" spans="1:9" ht="47.25" hidden="1" x14ac:dyDescent="0.25">
      <c r="A549" s="772" t="str">
        <f>IF(B549&gt;0,VLOOKUP(B549,КВСР!A167:B1332,2),IF(C549&gt;0,VLOOKUP(C549,КФСР!A167:B1679,2),IF(D549&gt;0,VLOOKUP(D549,Программа!A$1:B$5110,2),IF(F549&gt;0,VLOOKUP(F549,КВР!A$1:B$5001,2),IF(E549&gt;0,VLOOKUP(E549,Направление!A$1:B$4783,2))))))</f>
        <v>Развитие системы профилактики немедицинского потребления наркотиков</v>
      </c>
      <c r="B549" s="123"/>
      <c r="C549" s="124"/>
      <c r="D549" s="126" t="s">
        <v>491</v>
      </c>
      <c r="E549" s="124"/>
      <c r="F549" s="125"/>
      <c r="G549" s="120"/>
      <c r="H549" s="339">
        <f>H550+H552</f>
        <v>0</v>
      </c>
      <c r="I549" s="120">
        <f t="shared" si="114"/>
        <v>0</v>
      </c>
    </row>
    <row r="550" spans="1:9" ht="63" hidden="1" x14ac:dyDescent="0.25">
      <c r="A550" s="772" t="str">
        <f>IF(B550&gt;0,VLOOKUP(B550,КВСР!A168:B1333,2),IF(C550&gt;0,VLOOKUP(C550,КФСР!A168:B1680,2),IF(D550&gt;0,VLOOKUP(D550,Программа!A$1:B$5110,2),IF(F550&gt;0,VLOOKUP(F550,КВР!A$1:B$5001,2),IF(E550&gt;0,VLOOKUP(E550,Направление!A$1:B$4783,2))))))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50" s="123"/>
      <c r="C550" s="124"/>
      <c r="D550" s="126"/>
      <c r="E550" s="124" t="s">
        <v>493</v>
      </c>
      <c r="F550" s="125"/>
      <c r="G550" s="120"/>
      <c r="H550" s="339">
        <f>H551</f>
        <v>0</v>
      </c>
      <c r="I550" s="120">
        <f t="shared" si="114"/>
        <v>0</v>
      </c>
    </row>
    <row r="551" spans="1:9" ht="47.25" hidden="1" x14ac:dyDescent="0.25">
      <c r="A551" s="772" t="str">
        <f>IF(B551&gt;0,VLOOKUP(B551,КВСР!A169:B1334,2),IF(C551&gt;0,VLOOKUP(C551,КФСР!A169:B1681,2),IF(D551&gt;0,VLOOKUP(D551,Программа!A$1:B$5110,2),IF(F551&gt;0,VLOOKUP(F551,КВР!A$1:B$5001,2),IF(E551&gt;0,VLOOKUP(E551,Направление!A$1:B$4783,2))))))</f>
        <v>Предоставление субсидий бюджетным, автономным учреждениям и иным некоммерческим организациям</v>
      </c>
      <c r="B551" s="123"/>
      <c r="C551" s="124"/>
      <c r="D551" s="126"/>
      <c r="E551" s="124"/>
      <c r="F551" s="125">
        <v>600</v>
      </c>
      <c r="G551" s="277"/>
      <c r="H551" s="339"/>
      <c r="I551" s="120">
        <f t="shared" si="114"/>
        <v>0</v>
      </c>
    </row>
    <row r="552" spans="1:9" ht="78.75" hidden="1" x14ac:dyDescent="0.25">
      <c r="A552" s="772" t="str">
        <f>IF(B552&gt;0,VLOOKUP(B552,КВСР!A170:B1335,2),IF(C552&gt;0,VLOOKUP(C552,КФСР!A170:B1682,2),IF(D552&gt;0,VLOOKUP(D552,Программа!A$1:B$5110,2),IF(F552&gt;0,VLOOKUP(F552,КВР!A$1:B$5001,2),IF(E552&gt;0,VLOOKUP(E552,Направление!A$1:B$4783,2))))))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52" s="123"/>
      <c r="C552" s="124"/>
      <c r="D552" s="126"/>
      <c r="E552" s="124">
        <v>71430</v>
      </c>
      <c r="F552" s="125"/>
      <c r="G552" s="120"/>
      <c r="H552" s="339">
        <f>H553</f>
        <v>0</v>
      </c>
      <c r="I552" s="120">
        <f t="shared" si="114"/>
        <v>0</v>
      </c>
    </row>
    <row r="553" spans="1:9" ht="47.25" hidden="1" x14ac:dyDescent="0.25">
      <c r="A553" s="772" t="str">
        <f>IF(B553&gt;0,VLOOKUP(B553,КВСР!A171:B1336,2),IF(C553&gt;0,VLOOKUP(C553,КФСР!A171:B1683,2),IF(D553&gt;0,VLOOKUP(D553,Программа!A$1:B$5110,2),IF(F553&gt;0,VLOOKUP(F553,КВР!A$1:B$5001,2),IF(E553&gt;0,VLOOKUP(E553,Направление!A$1:B$4783,2))))))</f>
        <v>Предоставление субсидий бюджетным, автономным учреждениям и иным некоммерческим организациям</v>
      </c>
      <c r="B553" s="123"/>
      <c r="C553" s="124"/>
      <c r="D553" s="126"/>
      <c r="E553" s="124"/>
      <c r="F553" s="125">
        <v>600</v>
      </c>
      <c r="G553" s="277"/>
      <c r="H553" s="339"/>
      <c r="I553" s="120">
        <f t="shared" si="114"/>
        <v>0</v>
      </c>
    </row>
    <row r="554" spans="1:9" ht="63" x14ac:dyDescent="0.25">
      <c r="A554" s="772" t="str">
        <f>IF(B554&gt;0,VLOOKUP(B554,КВСР!A166:B1331,2),IF(C554&gt;0,VLOOKUP(C554,КФСР!A166:B1678,2),IF(D554&gt;0,VLOOKUP(D554,Программа!A$1:B$5110,2),IF(F554&gt;0,VLOOKUP(F554,КВР!A$1:B$5001,2),IF(E554&gt;0,VLOOKUP(E554,Направление!A$1:B$4783,2))))))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54" s="123"/>
      <c r="C554" s="124"/>
      <c r="D554" s="126" t="s">
        <v>452</v>
      </c>
      <c r="E554" s="124"/>
      <c r="F554" s="125"/>
      <c r="G554" s="339"/>
      <c r="H554" s="339">
        <f t="shared" ref="H554:I554" si="130">H555+H599</f>
        <v>42374617</v>
      </c>
      <c r="I554" s="339">
        <f t="shared" si="130"/>
        <v>42374617</v>
      </c>
    </row>
    <row r="555" spans="1:9" ht="63" x14ac:dyDescent="0.25">
      <c r="A555" s="772" t="str">
        <f>IF(B555&gt;0,VLOOKUP(B555,КВСР!A167:B1332,2),IF(C555&gt;0,VLOOKUP(C555,КФСР!A167:B1679,2),IF(D555&gt;0,VLOOKUP(D555,Программа!A$1:B$5110,2),IF(F555&gt;0,VLOOKUP(F555,КВР!A$1:B$5001,2),IF(E555&gt;0,VLOOKUP(E555,Направление!A$1:B$4783,2))))))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55" s="123"/>
      <c r="C555" s="124"/>
      <c r="D555" s="126" t="s">
        <v>454</v>
      </c>
      <c r="E555" s="124"/>
      <c r="F555" s="125"/>
      <c r="G555" s="339"/>
      <c r="H555" s="339">
        <f t="shared" ref="H555:I555" si="131">H562+H567+H580+H556+H575</f>
        <v>42374617</v>
      </c>
      <c r="I555" s="339">
        <f t="shared" si="131"/>
        <v>42374617</v>
      </c>
    </row>
    <row r="556" spans="1:9" ht="47.25" x14ac:dyDescent="0.25">
      <c r="A556" s="772" t="str">
        <f>IF(B556&gt;0,VLOOKUP(B556,КВСР!A168:B1333,2),IF(C556&gt;0,VLOOKUP(C556,КФСР!A168:B1680,2),IF(D556&gt;0,VLOOKUP(D556,Программа!A$1:B$5110,2),IF(F556&gt;0,VLOOKUP(F556,КВР!A$1:B$5001,2),IF(E556&gt;0,VLOOKUP(E556,Направление!A$1:B$4783,2))))))</f>
        <v>Обеспечение качества и доступности образовательных услуг в сфере дополнительного образования</v>
      </c>
      <c r="B556" s="123"/>
      <c r="C556" s="124"/>
      <c r="D556" s="126" t="s">
        <v>518</v>
      </c>
      <c r="E556" s="124"/>
      <c r="F556" s="125"/>
      <c r="G556" s="120"/>
      <c r="H556" s="339">
        <f>H558+H559+H560+H561</f>
        <v>100000</v>
      </c>
      <c r="I556" s="120">
        <f t="shared" si="114"/>
        <v>100000</v>
      </c>
    </row>
    <row r="557" spans="1:9" x14ac:dyDescent="0.25">
      <c r="A557" s="772" t="str">
        <f>IF(B557&gt;0,VLOOKUP(B557,КВСР!A169:B1334,2),IF(C557&gt;0,VLOOKUP(C557,КФСР!A169:B1681,2),IF(D557&gt;0,VLOOKUP(D557,Программа!A$1:B$5110,2),IF(F557&gt;0,VLOOKUP(F557,КВР!A$1:B$5001,2),IF(E557&gt;0,VLOOKUP(E557,Направление!A$1:B$4783,2))))))</f>
        <v>Мероприятия в сфере образования</v>
      </c>
      <c r="B557" s="123"/>
      <c r="C557" s="124"/>
      <c r="D557" s="126"/>
      <c r="E557" s="124">
        <v>13320</v>
      </c>
      <c r="F557" s="125"/>
      <c r="G557" s="120"/>
      <c r="H557" s="339">
        <f>H558+H559+H560+H561</f>
        <v>100000</v>
      </c>
      <c r="I557" s="120">
        <f t="shared" si="114"/>
        <v>100000</v>
      </c>
    </row>
    <row r="558" spans="1:9" ht="94.5" hidden="1" x14ac:dyDescent="0.25">
      <c r="A558" s="772" t="str">
        <f>IF(B558&gt;0,VLOOKUP(B558,КВСР!A169:B1334,2),IF(C558&gt;0,VLOOKUP(C558,КФСР!A169:B1681,2),IF(D558&gt;0,VLOOKUP(D558,Программа!A$1:B$5110,2),IF(F558&gt;0,VLOOKUP(F558,КВР!A$1:B$5001,2),IF(E558&gt;0,VLOOKUP(E558,Направление!A$1:B$4783,2))))))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23"/>
      <c r="C558" s="124"/>
      <c r="D558" s="126"/>
      <c r="E558" s="124"/>
      <c r="F558" s="125">
        <v>100</v>
      </c>
      <c r="G558" s="277"/>
      <c r="H558" s="339"/>
      <c r="I558" s="120">
        <f t="shared" si="114"/>
        <v>0</v>
      </c>
    </row>
    <row r="559" spans="1:9" ht="47.25" x14ac:dyDescent="0.25">
      <c r="A559" s="772" t="str">
        <f>IF(B559&gt;0,VLOOKUP(B559,КВСР!A170:B1335,2),IF(C559&gt;0,VLOOKUP(C559,КФСР!A170:B1682,2),IF(D559&gt;0,VLOOKUP(D559,Программа!A$1:B$5110,2),IF(F559&gt;0,VLOOKUP(F559,КВР!A$1:B$5001,2),IF(E559&gt;0,VLOOKUP(E559,Направление!A$1:B$4783,2))))))</f>
        <v xml:space="preserve">Закупка товаров, работ и услуг для обеспечения государственных (муниципальных) нужд
</v>
      </c>
      <c r="B559" s="123"/>
      <c r="C559" s="124"/>
      <c r="D559" s="126"/>
      <c r="E559" s="124"/>
      <c r="F559" s="125">
        <v>200</v>
      </c>
      <c r="G559" s="277"/>
      <c r="H559" s="339">
        <v>100000</v>
      </c>
      <c r="I559" s="120">
        <f t="shared" si="114"/>
        <v>100000</v>
      </c>
    </row>
    <row r="560" spans="1:9" ht="47.25" hidden="1" x14ac:dyDescent="0.25">
      <c r="A560" s="772" t="str">
        <f>IF(B560&gt;0,VLOOKUP(B560,КВСР!A171:B1336,2),IF(C560&gt;0,VLOOKUP(C560,КФСР!A171:B1683,2),IF(D560&gt;0,VLOOKUP(D560,Программа!A$1:B$5110,2),IF(F560&gt;0,VLOOKUP(F560,КВР!A$1:B$5001,2),IF(E560&gt;0,VLOOKUP(E560,Направление!A$1:B$4783,2))))))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23"/>
      <c r="C560" s="124"/>
      <c r="D560" s="126"/>
      <c r="E560" s="124"/>
      <c r="F560" s="125">
        <v>600</v>
      </c>
      <c r="G560" s="277"/>
      <c r="H560" s="339"/>
      <c r="I560" s="120">
        <f t="shared" si="114"/>
        <v>0</v>
      </c>
    </row>
    <row r="561" spans="1:9" hidden="1" x14ac:dyDescent="0.25">
      <c r="A561" s="772" t="str">
        <f>IF(B561&gt;0,VLOOKUP(B561,КВСР!A172:B1337,2),IF(C561&gt;0,VLOOKUP(C561,КФСР!A172:B1684,2),IF(D561&gt;0,VLOOKUP(D561,Программа!A$1:B$5110,2),IF(F561&gt;0,VLOOKUP(F561,КВР!A$1:B$5001,2),IF(E561&gt;0,VLOOKUP(E561,Направление!A$1:B$4783,2))))))</f>
        <v>Иные бюджетные ассигнования</v>
      </c>
      <c r="B561" s="123"/>
      <c r="C561" s="124"/>
      <c r="D561" s="126"/>
      <c r="E561" s="124"/>
      <c r="F561" s="125">
        <v>800</v>
      </c>
      <c r="G561" s="277"/>
      <c r="H561" s="339"/>
      <c r="I561" s="120">
        <f t="shared" si="114"/>
        <v>0</v>
      </c>
    </row>
    <row r="562" spans="1:9" ht="31.5" x14ac:dyDescent="0.25">
      <c r="A562" s="772" t="str">
        <f>IF(B562&gt;0,VLOOKUP(B562,КВСР!A168:B1333,2),IF(C562&gt;0,VLOOKUP(C562,КФСР!A168:B1680,2),IF(D562&gt;0,VLOOKUP(D562,Программа!A$1:B$5110,2),IF(F562&gt;0,VLOOKUP(F562,КВР!A$1:B$5001,2),IF(E562&gt;0,VLOOKUP(E562,Направление!A$1:B$4783,2))))))</f>
        <v>Повышение мотивации участников образовательного процесса</v>
      </c>
      <c r="B562" s="123"/>
      <c r="C562" s="124"/>
      <c r="D562" s="126" t="s">
        <v>497</v>
      </c>
      <c r="E562" s="124"/>
      <c r="F562" s="125"/>
      <c r="G562" s="120"/>
      <c r="H562" s="339">
        <f>H563+H565</f>
        <v>382000</v>
      </c>
      <c r="I562" s="120">
        <f t="shared" si="114"/>
        <v>382000</v>
      </c>
    </row>
    <row r="563" spans="1:9" ht="31.5" x14ac:dyDescent="0.25">
      <c r="A563" s="772" t="str">
        <f>IF(B563&gt;0,VLOOKUP(B563,КВСР!A169:B1334,2),IF(C563&gt;0,VLOOKUP(C563,КФСР!A169:B1681,2),IF(D563&gt;0,VLOOKUP(D563,Программа!A$1:B$5110,2),IF(F563&gt;0,VLOOKUP(F563,КВР!A$1:B$5001,2),IF(E563&gt;0,VLOOKUP(E563,Направление!A$1:B$4783,2))))))</f>
        <v xml:space="preserve">Выплата ежемесячных и разовых стипендий главы </v>
      </c>
      <c r="B563" s="123"/>
      <c r="C563" s="124"/>
      <c r="D563" s="126"/>
      <c r="E563" s="124">
        <v>12700</v>
      </c>
      <c r="F563" s="125"/>
      <c r="G563" s="120"/>
      <c r="H563" s="339">
        <f>H564</f>
        <v>232000</v>
      </c>
      <c r="I563" s="120">
        <f t="shared" si="114"/>
        <v>232000</v>
      </c>
    </row>
    <row r="564" spans="1:9" ht="31.5" x14ac:dyDescent="0.25">
      <c r="A564" s="772" t="str">
        <f>IF(B564&gt;0,VLOOKUP(B564,КВСР!A170:B1335,2),IF(C564&gt;0,VLOOKUP(C564,КФСР!A170:B1682,2),IF(D564&gt;0,VLOOKUP(D564,Программа!A$1:B$5110,2),IF(F564&gt;0,VLOOKUP(F564,КВР!A$1:B$5001,2),IF(E564&gt;0,VLOOKUP(E564,Направление!A$1:B$4783,2))))))</f>
        <v>Социальное обеспечение и иные выплаты населению</v>
      </c>
      <c r="B564" s="123"/>
      <c r="C564" s="124"/>
      <c r="D564" s="126"/>
      <c r="E564" s="124"/>
      <c r="F564" s="125">
        <v>300</v>
      </c>
      <c r="G564" s="277"/>
      <c r="H564" s="339">
        <v>232000</v>
      </c>
      <c r="I564" s="120">
        <f t="shared" si="114"/>
        <v>232000</v>
      </c>
    </row>
    <row r="565" spans="1:9" ht="63" x14ac:dyDescent="0.25">
      <c r="A565" s="772" t="str">
        <f>IF(B565&gt;0,VLOOKUP(B565,КВСР!A171:B1336,2),IF(C565&gt;0,VLOOKUP(C565,КФСР!A171:B1683,2),IF(D565&gt;0,VLOOKUP(D565,Программа!A$1:B$5110,2),IF(F565&gt;0,VLOOKUP(F565,КВР!A$1:B$5001,2),IF(E565&gt;0,VLOOKUP(E565,Направление!A$1:B$4783,2))))))</f>
        <v>Денежное поощрение лучших руководящих и педагогических работников за заслуги в сфере образования</v>
      </c>
      <c r="B565" s="123"/>
      <c r="C565" s="124"/>
      <c r="D565" s="126"/>
      <c r="E565" s="124">
        <v>12710</v>
      </c>
      <c r="F565" s="125"/>
      <c r="G565" s="120"/>
      <c r="H565" s="339">
        <f>H566</f>
        <v>150000</v>
      </c>
      <c r="I565" s="120">
        <f t="shared" si="114"/>
        <v>150000</v>
      </c>
    </row>
    <row r="566" spans="1:9" ht="31.5" x14ac:dyDescent="0.25">
      <c r="A566" s="772" t="str">
        <f>IF(B566&gt;0,VLOOKUP(B566,КВСР!A172:B1337,2),IF(C566&gt;0,VLOOKUP(C566,КФСР!A172:B1684,2),IF(D566&gt;0,VLOOKUP(D566,Программа!A$1:B$5110,2),IF(F566&gt;0,VLOOKUP(F566,КВР!A$1:B$5001,2),IF(E566&gt;0,VLOOKUP(E566,Направление!A$1:B$4783,2))))))</f>
        <v>Социальное обеспечение и иные выплаты населению</v>
      </c>
      <c r="B566" s="123"/>
      <c r="C566" s="124"/>
      <c r="D566" s="126"/>
      <c r="E566" s="124"/>
      <c r="F566" s="125">
        <v>300</v>
      </c>
      <c r="G566" s="277"/>
      <c r="H566" s="339">
        <v>150000</v>
      </c>
      <c r="I566" s="120">
        <f t="shared" si="114"/>
        <v>150000</v>
      </c>
    </row>
    <row r="567" spans="1:9" ht="78.75" x14ac:dyDescent="0.25">
      <c r="A567" s="772" t="str">
        <f>IF(B567&gt;0,VLOOKUP(B567,КВСР!A173:B1338,2),IF(C567&gt;0,VLOOKUP(C567,КФСР!A173:B1685,2),IF(D567&gt;0,VLOOKUP(D567,Программа!A$1:B$5110,2),IF(F567&gt;0,VLOOKUP(F567,КВР!A$1:B$5001,2),IF(E567&gt;0,VLOOKUP(E567,Направление!A$1:B$4783,2))))))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3"/>
      <c r="C567" s="124"/>
      <c r="D567" s="126" t="s">
        <v>474</v>
      </c>
      <c r="E567" s="124"/>
      <c r="F567" s="125"/>
      <c r="G567" s="120"/>
      <c r="H567" s="339">
        <f t="shared" ref="H567:I567" si="132">H568+H571+H573</f>
        <v>10949523</v>
      </c>
      <c r="I567" s="120">
        <f t="shared" si="132"/>
        <v>10949523</v>
      </c>
    </row>
    <row r="568" spans="1:9" ht="31.5" x14ac:dyDescent="0.25">
      <c r="A568" s="772" t="str">
        <f>IF(B568&gt;0,VLOOKUP(B568,КВСР!A174:B1339,2),IF(C568&gt;0,VLOOKUP(C568,КФСР!A174:B1686,2),IF(D568&gt;0,VLOOKUP(D568,Программа!A$1:B$5110,2),IF(F568&gt;0,VLOOKUP(F568,КВР!A$1:B$5001,2),IF(E568&gt;0,VLOOKUP(E568,Направление!A$1:B$4783,2))))))</f>
        <v>Обеспечение деятельности прочих учреждений в сфере образования</v>
      </c>
      <c r="B568" s="123"/>
      <c r="C568" s="124"/>
      <c r="D568" s="126"/>
      <c r="E568" s="124">
        <v>13310</v>
      </c>
      <c r="F568" s="125"/>
      <c r="G568" s="120"/>
      <c r="H568" s="339">
        <f>H569+H570</f>
        <v>10949523</v>
      </c>
      <c r="I568" s="120">
        <f t="shared" si="114"/>
        <v>10949523</v>
      </c>
    </row>
    <row r="569" spans="1:9" ht="47.25" hidden="1" x14ac:dyDescent="0.25">
      <c r="A569" s="772" t="str">
        <f>IF(B569&gt;0,VLOOKUP(B569,КВСР!A175:B1340,2),IF(C569&gt;0,VLOOKUP(C569,КФСР!A175:B1687,2),IF(D569&gt;0,VLOOKUP(D569,Программа!A$1:B$5110,2),IF(F569&gt;0,VLOOKUP(F569,КВР!A$1:B$5001,2),IF(E569&gt;0,VLOOKUP(E569,Направление!A$1:B$4783,2))))))</f>
        <v xml:space="preserve">Закупка товаров, работ и услуг для обеспечения государственных (муниципальных) нужд
</v>
      </c>
      <c r="B569" s="123"/>
      <c r="C569" s="124"/>
      <c r="D569" s="126"/>
      <c r="E569" s="124"/>
      <c r="F569" s="125">
        <v>200</v>
      </c>
      <c r="G569" s="277"/>
      <c r="H569" s="339"/>
      <c r="I569" s="120">
        <f t="shared" si="114"/>
        <v>0</v>
      </c>
    </row>
    <row r="570" spans="1:9" ht="47.25" x14ac:dyDescent="0.25">
      <c r="A570" s="772" t="str">
        <f>IF(B570&gt;0,VLOOKUP(B570,КВСР!A176:B1341,2),IF(C570&gt;0,VLOOKUP(C570,КФСР!A176:B1688,2),IF(D570&gt;0,VLOOKUP(D570,Программа!A$1:B$5110,2),IF(F570&gt;0,VLOOKUP(F570,КВР!A$1:B$5001,2),IF(E570&gt;0,VLOOKUP(E570,Направление!A$1:B$4783,2))))))</f>
        <v>Предоставление субсидий бюджетным, автономным учреждениям и иным некоммерческим организациям</v>
      </c>
      <c r="B570" s="123"/>
      <c r="C570" s="124"/>
      <c r="D570" s="126"/>
      <c r="E570" s="124"/>
      <c r="F570" s="125">
        <v>600</v>
      </c>
      <c r="G570" s="277"/>
      <c r="H570" s="339">
        <f>84600+10864923</f>
        <v>10949523</v>
      </c>
      <c r="I570" s="120">
        <f t="shared" si="114"/>
        <v>10949523</v>
      </c>
    </row>
    <row r="571" spans="1:9" ht="47.25" hidden="1" x14ac:dyDescent="0.25">
      <c r="A571" s="772" t="str">
        <f>IF(B571&gt;0,VLOOKUP(B571,КВСР!A177:B1342,2),IF(C571&gt;0,VLOOKUP(C571,КФСР!A177:B1689,2),IF(D571&gt;0,VLOOKUP(D571,Программа!A$1:B$5110,2),IF(F571&gt;0,VLOOKUP(F571,КВР!A$1:B$5001,2),IF(E571&gt;0,VLOOKUP(E571,Направление!A$1:B$4783,2))))))</f>
        <v>Расходы на реализацию мероприятий инициативного бюджетирования на территории Ярославской области</v>
      </c>
      <c r="B571" s="123"/>
      <c r="C571" s="124"/>
      <c r="D571" s="126"/>
      <c r="E571" s="124">
        <v>15350</v>
      </c>
      <c r="F571" s="125"/>
      <c r="G571" s="277"/>
      <c r="H571" s="339">
        <f t="shared" ref="H571:I571" si="133">H572</f>
        <v>0</v>
      </c>
      <c r="I571" s="277">
        <f t="shared" si="133"/>
        <v>0</v>
      </c>
    </row>
    <row r="572" spans="1:9" ht="47.25" hidden="1" x14ac:dyDescent="0.25">
      <c r="A572" s="772" t="str">
        <f>IF(B572&gt;0,VLOOKUP(B572,КВСР!A178:B1343,2),IF(C572&gt;0,VLOOKUP(C572,КФСР!A178:B1690,2),IF(D572&gt;0,VLOOKUP(D572,Программа!A$1:B$5110,2),IF(F572&gt;0,VLOOKUP(F572,КВР!A$1:B$5001,2),IF(E572&gt;0,VLOOKUP(E572,Направление!A$1:B$4783,2))))))</f>
        <v>Предоставление субсидий бюджетным, автономным учреждениям и иным некоммерческим организациям</v>
      </c>
      <c r="B572" s="123"/>
      <c r="C572" s="124"/>
      <c r="D572" s="126"/>
      <c r="E572" s="124"/>
      <c r="F572" s="125">
        <v>600</v>
      </c>
      <c r="G572" s="277"/>
      <c r="H572" s="339"/>
      <c r="I572" s="120">
        <f t="shared" si="114"/>
        <v>0</v>
      </c>
    </row>
    <row r="573" spans="1:9" ht="47.25" hidden="1" x14ac:dyDescent="0.25">
      <c r="A573" s="772" t="str">
        <f>IF(B573&gt;0,VLOOKUP(B573,КВСР!A179:B1344,2),IF(C573&gt;0,VLOOKUP(C573,КФСР!A179:B1691,2),IF(D573&gt;0,VLOOKUP(D573,Программа!A$1:B$5110,2),IF(F573&gt;0,VLOOKUP(F573,КВР!A$1:B$5001,2),IF(E573&gt;0,VLOOKUP(E573,Направление!A$1:B$4783,2))))))</f>
        <v>Расходы на реализацию мероприятий инициативного бюджетирования на территории Ярославской области</v>
      </c>
      <c r="B573" s="123"/>
      <c r="C573" s="124"/>
      <c r="D573" s="126"/>
      <c r="E573" s="124">
        <v>75350</v>
      </c>
      <c r="F573" s="125"/>
      <c r="G573" s="277"/>
      <c r="H573" s="339">
        <f t="shared" ref="H573:I573" si="134">H574</f>
        <v>0</v>
      </c>
      <c r="I573" s="277">
        <f t="shared" si="134"/>
        <v>0</v>
      </c>
    </row>
    <row r="574" spans="1:9" ht="47.25" hidden="1" x14ac:dyDescent="0.25">
      <c r="A574" s="772" t="str">
        <f>IF(B574&gt;0,VLOOKUP(B574,КВСР!A180:B1345,2),IF(C574&gt;0,VLOOKUP(C574,КФСР!A180:B1692,2),IF(D574&gt;0,VLOOKUP(D574,Программа!A$1:B$5110,2),IF(F574&gt;0,VLOOKUP(F574,КВР!A$1:B$5001,2),IF(E574&gt;0,VLOOKUP(E574,Направление!A$1:B$4783,2))))))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77"/>
      <c r="H574" s="339"/>
      <c r="I574" s="120">
        <f t="shared" si="114"/>
        <v>0</v>
      </c>
    </row>
    <row r="575" spans="1:9" ht="31.5" hidden="1" x14ac:dyDescent="0.25">
      <c r="A575" s="772" t="str">
        <f>IF(B575&gt;0,VLOOKUP(B575,КВСР!A177:B1342,2),IF(C575&gt;0,VLOOKUP(C575,КФСР!A177:B1689,2),IF(D575&gt;0,VLOOKUP(D575,Программа!A$1:B$5110,2),IF(F575&gt;0,VLOOKUP(F575,КВР!A$1:B$5001,2),IF(E575&gt;0,VLOOKUP(E575,Направление!A$1:B$4783,2))))))</f>
        <v>Обеспечение детей организованными формами отдыха и оздоровления</v>
      </c>
      <c r="B575" s="123"/>
      <c r="C575" s="124"/>
      <c r="D575" s="126" t="s">
        <v>1151</v>
      </c>
      <c r="E575" s="124"/>
      <c r="F575" s="125"/>
      <c r="G575" s="277"/>
      <c r="H575" s="339">
        <f>H576</f>
        <v>0</v>
      </c>
      <c r="I575" s="120">
        <f t="shared" si="114"/>
        <v>0</v>
      </c>
    </row>
    <row r="576" spans="1:9" ht="78.75" hidden="1" x14ac:dyDescent="0.25">
      <c r="A576" s="772" t="str">
        <f>IF(B576&gt;0,VLOOKUP(B576,КВСР!A177:B1342,2),IF(C576&gt;0,VLOOKUP(C576,КФСР!A177:B1689,2),IF(D576&gt;0,VLOOKUP(D576,Программа!A$1:B$5110,2),IF(F576&gt;0,VLOOKUP(F576,КВР!A$1:B$5001,2),IF(E576&gt;0,VLOOKUP(E576,Направление!A$1:B$4783,2))))))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6" s="123"/>
      <c r="C576" s="124"/>
      <c r="D576" s="126"/>
      <c r="E576" s="124" t="s">
        <v>501</v>
      </c>
      <c r="F576" s="125"/>
      <c r="G576" s="120"/>
      <c r="H576" s="339">
        <f>H577</f>
        <v>0</v>
      </c>
      <c r="I576" s="120">
        <f t="shared" si="114"/>
        <v>0</v>
      </c>
    </row>
    <row r="577" spans="1:9" ht="47.25" hidden="1" x14ac:dyDescent="0.25">
      <c r="A577" s="772" t="str">
        <f>IF(B577&gt;0,VLOOKUP(B577,КВСР!A178:B1343,2),IF(C577&gt;0,VLOOKUP(C577,КФСР!A178:B1690,2),IF(D577&gt;0,VLOOKUP(D577,Программа!A$1:B$5110,2),IF(F577&gt;0,VLOOKUP(F577,КВР!A$1:B$5001,2),IF(E577&gt;0,VLOOKUP(E577,Направление!A$1:B$4783,2))))))</f>
        <v>Предоставление субсидий бюджетным, автономным учреждениям и иным некоммерческим организациям</v>
      </c>
      <c r="B577" s="123"/>
      <c r="C577" s="124"/>
      <c r="D577" s="126"/>
      <c r="E577" s="124"/>
      <c r="F577" s="125">
        <v>600</v>
      </c>
      <c r="G577" s="277"/>
      <c r="H577" s="339"/>
      <c r="I577" s="120">
        <f t="shared" si="114"/>
        <v>0</v>
      </c>
    </row>
    <row r="578" spans="1:9" ht="78.75" hidden="1" x14ac:dyDescent="0.25">
      <c r="A578" s="772" t="str">
        <f>IF(B578&gt;0,VLOOKUP(B578,КВСР!A179:B1344,2),IF(C578&gt;0,VLOOKUP(C578,КФСР!A179:B1691,2),IF(D578&gt;0,VLOOKUP(D578,Программа!A$1:B$5110,2),IF(F578&gt;0,VLOOKUP(F578,КВР!A$1:B$5001,2),IF(E578&gt;0,VLOOKUP(E578,Направление!A$1:B$4783,2))))))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8" s="123"/>
      <c r="C578" s="124"/>
      <c r="D578" s="126"/>
      <c r="E578" s="124">
        <v>70470</v>
      </c>
      <c r="F578" s="125"/>
      <c r="G578" s="120"/>
      <c r="H578" s="339">
        <f>H579</f>
        <v>0</v>
      </c>
      <c r="I578" s="120">
        <f t="shared" si="114"/>
        <v>0</v>
      </c>
    </row>
    <row r="579" spans="1:9" ht="47.25" hidden="1" x14ac:dyDescent="0.25">
      <c r="A579" s="772" t="str">
        <f>IF(B579&gt;0,VLOOKUP(B579,КВСР!A180:B1345,2),IF(C579&gt;0,VLOOKUP(C579,КФСР!A180:B1692,2),IF(D579&gt;0,VLOOKUP(D579,Программа!A$1:B$5110,2),IF(F579&gt;0,VLOOKUP(F579,КВР!A$1:B$5001,2),IF(E579&gt;0,VLOOKUP(E579,Направление!A$1:B$4783,2))))))</f>
        <v>Предоставление субсидий бюджетным, автономным учреждениям и иным некоммерческим организациям</v>
      </c>
      <c r="B579" s="123"/>
      <c r="C579" s="124"/>
      <c r="D579" s="126"/>
      <c r="E579" s="124"/>
      <c r="F579" s="125">
        <v>600</v>
      </c>
      <c r="G579" s="277"/>
      <c r="H579" s="339"/>
      <c r="I579" s="120">
        <f t="shared" si="114"/>
        <v>0</v>
      </c>
    </row>
    <row r="580" spans="1:9" ht="31.5" x14ac:dyDescent="0.25">
      <c r="A580" s="772" t="str">
        <f>IF(B580&gt;0,VLOOKUP(B580,КВСР!A168:B1333,2),IF(C580&gt;0,VLOOKUP(C580,КФСР!A168:B1680,2),IF(D580&gt;0,VLOOKUP(D580,Программа!A$1:B$5110,2),IF(F580&gt;0,VLOOKUP(F580,КВР!A$1:B$5001,2),IF(E580&gt;0,VLOOKUP(E580,Направление!A$1:B$4783,2))))))</f>
        <v>Обеспечение эффективности управления системой образования</v>
      </c>
      <c r="B580" s="123"/>
      <c r="C580" s="124"/>
      <c r="D580" s="126" t="s">
        <v>1153</v>
      </c>
      <c r="E580" s="124"/>
      <c r="F580" s="125"/>
      <c r="G580" s="120"/>
      <c r="H580" s="339">
        <f>H581+H585+H587+H592+H595</f>
        <v>30943094</v>
      </c>
      <c r="I580" s="120">
        <f t="shared" si="114"/>
        <v>30943094</v>
      </c>
    </row>
    <row r="581" spans="1:9" x14ac:dyDescent="0.25">
      <c r="A581" s="772" t="str">
        <f>IF(B581&gt;0,VLOOKUP(B581,КВСР!A169:B1334,2),IF(C581&gt;0,VLOOKUP(C581,КФСР!A169:B1681,2),IF(D581&gt;0,VLOOKUP(D581,Программа!A$1:B$5110,2),IF(F581&gt;0,VLOOKUP(F581,КВР!A$1:B$5001,2),IF(E581&gt;0,VLOOKUP(E581,Направление!A$1:B$4783,2))))))</f>
        <v>Содержание центрального аппарата</v>
      </c>
      <c r="B581" s="123"/>
      <c r="C581" s="124"/>
      <c r="D581" s="126"/>
      <c r="E581" s="124">
        <v>12010</v>
      </c>
      <c r="F581" s="114"/>
      <c r="G581" s="118"/>
      <c r="H581" s="284">
        <f>H582+H583+H584</f>
        <v>6366839</v>
      </c>
      <c r="I581" s="120">
        <f t="shared" si="114"/>
        <v>6366839</v>
      </c>
    </row>
    <row r="582" spans="1:9" ht="94.5" x14ac:dyDescent="0.25">
      <c r="A582" s="772" t="str">
        <f>IF(B582&gt;0,VLOOKUP(B582,КВСР!A164:B1329,2),IF(C582&gt;0,VLOOKUP(C582,КФСР!A164:B1676,2),IF(D582&gt;0,VLOOKUP(D582,Программа!A$1:B$5110,2),IF(F582&gt;0,VLOOKUP(F582,КВР!A$1:B$5001,2),IF(E582&gt;0,VLOOKUP(E582,Направление!A$1:B$4783,2))))))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2" s="123"/>
      <c r="C582" s="124"/>
      <c r="D582" s="125"/>
      <c r="E582" s="124"/>
      <c r="F582" s="114">
        <v>100</v>
      </c>
      <c r="G582" s="295"/>
      <c r="H582" s="284">
        <v>5468615</v>
      </c>
      <c r="I582" s="120">
        <f t="shared" si="114"/>
        <v>5468615</v>
      </c>
    </row>
    <row r="583" spans="1:9" ht="47.25" x14ac:dyDescent="0.25">
      <c r="A583" s="772" t="str">
        <f>IF(B583&gt;0,VLOOKUP(B583,КВСР!A165:B1330,2),IF(C583&gt;0,VLOOKUP(C583,КФСР!A165:B1677,2),IF(D583&gt;0,VLOOKUP(D583,Программа!A$1:B$5110,2),IF(F583&gt;0,VLOOKUP(F583,КВР!A$1:B$5001,2),IF(E583&gt;0,VLOOKUP(E583,Направление!A$1:B$4783,2))))))</f>
        <v xml:space="preserve">Закупка товаров, работ и услуг для обеспечения государственных (муниципальных) нужд
</v>
      </c>
      <c r="B583" s="123"/>
      <c r="C583" s="124"/>
      <c r="D583" s="125"/>
      <c r="E583" s="124"/>
      <c r="F583" s="114">
        <v>200</v>
      </c>
      <c r="G583" s="295"/>
      <c r="H583" s="284">
        <v>878224</v>
      </c>
      <c r="I583" s="120">
        <f t="shared" si="114"/>
        <v>878224</v>
      </c>
    </row>
    <row r="584" spans="1:9" x14ac:dyDescent="0.25">
      <c r="A584" s="772" t="str">
        <f>IF(B584&gt;0,VLOOKUP(B584,КВСР!A166:B1331,2),IF(C584&gt;0,VLOOKUP(C584,КФСР!A166:B1678,2),IF(D584&gt;0,VLOOKUP(D584,Программа!A$1:B$5110,2),IF(F584&gt;0,VLOOKUP(F584,КВР!A$1:B$5001,2),IF(E584&gt;0,VLOOKUP(E584,Направление!A$1:B$4783,2))))))</f>
        <v>Иные бюджетные ассигнования</v>
      </c>
      <c r="B584" s="123"/>
      <c r="C584" s="124"/>
      <c r="D584" s="125"/>
      <c r="E584" s="124"/>
      <c r="F584" s="114">
        <v>800</v>
      </c>
      <c r="G584" s="295"/>
      <c r="H584" s="284">
        <v>20000</v>
      </c>
      <c r="I584" s="120">
        <f t="shared" si="114"/>
        <v>20000</v>
      </c>
    </row>
    <row r="585" spans="1:9" ht="31.5" hidden="1" x14ac:dyDescent="0.25">
      <c r="A585" s="772" t="str">
        <f>IF(B585&gt;0,VLOOKUP(B585,КВСР!A166:B1331,2),IF(C585&gt;0,VLOOKUP(C585,КФСР!A166:B1678,2),IF(D585&gt;0,VLOOKUP(D585,Программа!A$1:B$5110,2),IF(F585&gt;0,VLOOKUP(F585,КВР!A$1:B$5001,2),IF(E585&gt;0,VLOOKUP(E585,Направление!A$1:B$4783,2))))))</f>
        <v>Выполнение других обязательств органов местного самоуправления</v>
      </c>
      <c r="B585" s="123"/>
      <c r="C585" s="124"/>
      <c r="D585" s="126"/>
      <c r="E585" s="124">
        <v>12080</v>
      </c>
      <c r="F585" s="114"/>
      <c r="G585" s="118"/>
      <c r="H585" s="284">
        <f>H586</f>
        <v>0</v>
      </c>
      <c r="I585" s="120">
        <f t="shared" si="114"/>
        <v>0</v>
      </c>
    </row>
    <row r="586" spans="1:9" ht="47.25" hidden="1" x14ac:dyDescent="0.25">
      <c r="A586" s="772" t="str">
        <f>IF(B586&gt;0,VLOOKUP(B586,КВСР!A167:B1332,2),IF(C586&gt;0,VLOOKUP(C586,КФСР!A167:B1679,2),IF(D586&gt;0,VLOOKUP(D586,Программа!A$1:B$5110,2),IF(F586&gt;0,VLOOKUP(F586,КВР!A$1:B$5001,2),IF(E586&gt;0,VLOOKUP(E586,Направление!A$1:B$4783,2))))))</f>
        <v xml:space="preserve">Закупка товаров, работ и услуг для обеспечения государственных (муниципальных) нужд
</v>
      </c>
      <c r="B586" s="123"/>
      <c r="C586" s="124"/>
      <c r="D586" s="125"/>
      <c r="E586" s="124"/>
      <c r="F586" s="114">
        <v>200</v>
      </c>
      <c r="G586" s="295"/>
      <c r="H586" s="284"/>
      <c r="I586" s="120">
        <f t="shared" si="114"/>
        <v>0</v>
      </c>
    </row>
    <row r="587" spans="1:9" ht="31.5" x14ac:dyDescent="0.25">
      <c r="A587" s="772" t="str">
        <f>IF(B587&gt;0,VLOOKUP(B587,КВСР!A168:B1333,2),IF(C587&gt;0,VLOOKUP(C587,КФСР!A168:B1680,2),IF(D587&gt;0,VLOOKUP(D587,Программа!A$1:B$5110,2),IF(F587&gt;0,VLOOKUP(F587,КВР!A$1:B$5001,2),IF(E587&gt;0,VLOOKUP(E587,Направление!A$1:B$4783,2))))))</f>
        <v>Обеспечение деятельности прочих учреждений в сфере образования</v>
      </c>
      <c r="B587" s="123"/>
      <c r="C587" s="124"/>
      <c r="D587" s="126"/>
      <c r="E587" s="124">
        <v>13310</v>
      </c>
      <c r="F587" s="125"/>
      <c r="G587" s="120"/>
      <c r="H587" s="339">
        <f>H588+H589+H590+H591</f>
        <v>20449563</v>
      </c>
      <c r="I587" s="120">
        <f t="shared" si="114"/>
        <v>20449563</v>
      </c>
    </row>
    <row r="588" spans="1:9" ht="94.5" x14ac:dyDescent="0.25">
      <c r="A588" s="772" t="str">
        <f>IF(B588&gt;0,VLOOKUP(B588,КВСР!A169:B1334,2),IF(C588&gt;0,VLOOKUP(C588,КФСР!A169:B1681,2),IF(D588&gt;0,VLOOKUP(D588,Программа!A$1:B$5110,2),IF(F588&gt;0,VLOOKUP(F588,КВР!A$1:B$5001,2),IF(E588&gt;0,VLOOKUP(E588,Направление!A$1:B$4783,2))))))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23"/>
      <c r="C588" s="124"/>
      <c r="D588" s="125"/>
      <c r="E588" s="124"/>
      <c r="F588" s="125">
        <v>100</v>
      </c>
      <c r="G588" s="277"/>
      <c r="H588" s="339">
        <v>18573895</v>
      </c>
      <c r="I588" s="120">
        <f t="shared" si="114"/>
        <v>18573895</v>
      </c>
    </row>
    <row r="589" spans="1:9" ht="47.25" x14ac:dyDescent="0.25">
      <c r="A589" s="772" t="str">
        <f>IF(B589&gt;0,VLOOKUP(B589,КВСР!A170:B1335,2),IF(C589&gt;0,VLOOKUP(C589,КФСР!A170:B1682,2),IF(D589&gt;0,VLOOKUP(D589,Программа!A$1:B$5110,2),IF(F589&gt;0,VLOOKUP(F589,КВР!A$1:B$5001,2),IF(E589&gt;0,VLOOKUP(E589,Направление!A$1:B$4783,2))))))</f>
        <v xml:space="preserve">Закупка товаров, работ и услуг для обеспечения государственных (муниципальных) нужд
</v>
      </c>
      <c r="B589" s="123"/>
      <c r="C589" s="124"/>
      <c r="D589" s="125"/>
      <c r="E589" s="124"/>
      <c r="F589" s="125">
        <v>200</v>
      </c>
      <c r="G589" s="277"/>
      <c r="H589" s="339">
        <v>1849604</v>
      </c>
      <c r="I589" s="120">
        <f t="shared" ref="I589:I675" si="135">SUM(G589:H589)</f>
        <v>1849604</v>
      </c>
    </row>
    <row r="590" spans="1:9" ht="47.25" x14ac:dyDescent="0.25">
      <c r="A590" s="772" t="str">
        <f>IF(B590&gt;0,VLOOKUP(B590,КВСР!A171:B1336,2),IF(C590&gt;0,VLOOKUP(C590,КФСР!A171:B1683,2),IF(D590&gt;0,VLOOKUP(D590,Программа!A$1:B$5110,2),IF(F590&gt;0,VLOOKUP(F590,КВР!A$1:B$5001,2),IF(E590&gt;0,VLOOKUP(E590,Направление!A$1:B$4783,2))))))</f>
        <v>Предоставление субсидий бюджетным, автономным учреждениям и иным некоммерческим организациям</v>
      </c>
      <c r="B590" s="123"/>
      <c r="C590" s="124"/>
      <c r="D590" s="125"/>
      <c r="E590" s="124"/>
      <c r="F590" s="125">
        <v>600</v>
      </c>
      <c r="G590" s="277"/>
      <c r="H590" s="339">
        <v>26064</v>
      </c>
      <c r="I590" s="120">
        <f t="shared" si="135"/>
        <v>26064</v>
      </c>
    </row>
    <row r="591" spans="1:9" hidden="1" x14ac:dyDescent="0.25">
      <c r="A591" s="772" t="str">
        <f>IF(B591&gt;0,VLOOKUP(B591,КВСР!A172:B1337,2),IF(C591&gt;0,VLOOKUP(C591,КФСР!A172:B1684,2),IF(D591&gt;0,VLOOKUP(D591,Программа!A$1:B$5110,2),IF(F591&gt;0,VLOOKUP(F591,КВР!A$1:B$5001,2),IF(E591&gt;0,VLOOKUP(E591,Направление!A$1:B$4783,2))))))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23"/>
      <c r="C591" s="124"/>
      <c r="D591" s="125"/>
      <c r="E591" s="124"/>
      <c r="F591" s="125">
        <v>800</v>
      </c>
      <c r="G591" s="277"/>
      <c r="H591" s="339"/>
      <c r="I591" s="120">
        <f t="shared" si="135"/>
        <v>0</v>
      </c>
    </row>
    <row r="592" spans="1:9" ht="47.25" hidden="1" x14ac:dyDescent="0.25">
      <c r="A592" s="772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IF(B592&gt;0,VLOOKUP(B592,КВСР!A168:B1333,2),IF(C592&gt;0,VLOOKUP(C592,КФСР!A168:B1680,2),IF(D592&gt;0,VLOOKUP(D592,Программа!A$1:B$5110,2),IF(F592&gt;0,VLOOKUP(F592,КВР!A$1:B$5001,2),IF(E592&gt;0,VLOOKUP(E592,Направление!A$1:B$4783,2))))))</f>
        <v>Содержание органов местного самоуправления за счет средств поселений</v>
      </c>
      <c r="B592" s="123"/>
      <c r="C592" s="124"/>
      <c r="D592" s="126"/>
      <c r="E592" s="124">
        <v>29016</v>
      </c>
      <c r="F592" s="114"/>
      <c r="G592" s="295"/>
      <c r="H592" s="284">
        <f>H594+H593</f>
        <v>0</v>
      </c>
      <c r="I592" s="120">
        <f t="shared" si="135"/>
        <v>0</v>
      </c>
    </row>
    <row r="593" spans="1:9" ht="94.5" hidden="1" x14ac:dyDescent="0.25">
      <c r="A593" s="772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3"/>
      <c r="C593" s="124"/>
      <c r="D593" s="126"/>
      <c r="E593" s="124"/>
      <c r="F593" s="114">
        <v>100</v>
      </c>
      <c r="G593" s="295"/>
      <c r="H593" s="284"/>
      <c r="I593" s="120">
        <f t="shared" si="135"/>
        <v>0</v>
      </c>
    </row>
    <row r="594" spans="1:9" ht="47.25" hidden="1" x14ac:dyDescent="0.25">
      <c r="A594" s="772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IF(B594&gt;0,VLOOKUP(B594,КВСР!A170:B1335,2),IF(C594&gt;0,VLOOKUP(C594,КФСР!A170:B1682,2),IF(D594&gt;0,VLOOKUP(D594,Программа!A$1:B$5110,2),IF(F594&gt;0,VLOOKUP(F594,КВР!A$1:B$5001,2),IF(E594&gt;0,VLOOKUP(E594,Направление!A$1:B$4783,2))))))</f>
        <v xml:space="preserve">Закупка товаров, работ и услуг для обеспечения государственных (муниципальных) нужд
</v>
      </c>
      <c r="B594" s="123"/>
      <c r="C594" s="124"/>
      <c r="D594" s="125"/>
      <c r="E594" s="124"/>
      <c r="F594" s="114">
        <v>200</v>
      </c>
      <c r="G594" s="295"/>
      <c r="H594" s="284"/>
      <c r="I594" s="120">
        <f t="shared" si="135"/>
        <v>0</v>
      </c>
    </row>
    <row r="595" spans="1:9" ht="47.25" x14ac:dyDescent="0.25">
      <c r="A595" s="772" t="str">
        <f>IF(B595&gt;0,VLOOKUP(B595,КВСР!A168:B1333,2),IF(C595&gt;0,VLOOKUP(C595,КФСР!A168:B1680,2),IF(D595&gt;0,VLOOKUP(D595,Программа!A$1:B$5110,2),IF(F595&gt;0,VLOOKUP(F595,КВР!A$1:B$5001,2),IF(E595&gt;0,VLOOKUP(E595,Направление!A$1:B$4783,2))))))</f>
        <v>Расходы на обеспечение деятельности органов опеки и попечительства за счет средств областного бюджета</v>
      </c>
      <c r="B595" s="123"/>
      <c r="C595" s="124"/>
      <c r="D595" s="126"/>
      <c r="E595" s="124">
        <v>70550</v>
      </c>
      <c r="F595" s="114"/>
      <c r="G595" s="277"/>
      <c r="H595" s="339">
        <f>H596+H597+H598</f>
        <v>4126692</v>
      </c>
      <c r="I595" s="120">
        <f t="shared" si="135"/>
        <v>4126692</v>
      </c>
    </row>
    <row r="596" spans="1:9" ht="94.5" x14ac:dyDescent="0.25">
      <c r="A596" s="772" t="str">
        <f>IF(B596&gt;0,VLOOKUP(B596,КВСР!A169:B1334,2),IF(C596&gt;0,VLOOKUP(C596,КФСР!A169:B1681,2),IF(D596&gt;0,VLOOKUP(D596,Программа!A$1:B$5110,2),IF(F596&gt;0,VLOOKUP(F596,КВР!A$1:B$5001,2),IF(E596&gt;0,VLOOKUP(E596,Направление!A$1:B$4783,2))))))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6" s="123"/>
      <c r="C596" s="124"/>
      <c r="D596" s="125"/>
      <c r="E596" s="124"/>
      <c r="F596" s="114">
        <v>100</v>
      </c>
      <c r="G596" s="277"/>
      <c r="H596" s="339">
        <f>3233885</f>
        <v>3233885</v>
      </c>
      <c r="I596" s="120">
        <f t="shared" si="135"/>
        <v>3233885</v>
      </c>
    </row>
    <row r="597" spans="1:9" ht="47.25" x14ac:dyDescent="0.25">
      <c r="A597" s="772" t="str">
        <f>IF(B597&gt;0,VLOOKUP(B597,КВСР!A170:B1335,2),IF(C597&gt;0,VLOOKUP(C597,КФСР!A170:B1682,2),IF(D597&gt;0,VLOOKUP(D597,Программа!A$1:B$5110,2),IF(F597&gt;0,VLOOKUP(F597,КВР!A$1:B$5001,2),IF(E597&gt;0,VLOOKUP(E597,Направление!A$1:B$4783,2))))))</f>
        <v xml:space="preserve">Закупка товаров, работ и услуг для обеспечения государственных (муниципальных) нужд
</v>
      </c>
      <c r="B597" s="123"/>
      <c r="C597" s="124"/>
      <c r="D597" s="125"/>
      <c r="E597" s="124"/>
      <c r="F597" s="114">
        <v>200</v>
      </c>
      <c r="G597" s="295"/>
      <c r="H597" s="284">
        <v>889507</v>
      </c>
      <c r="I597" s="120">
        <f t="shared" si="135"/>
        <v>889507</v>
      </c>
    </row>
    <row r="598" spans="1:9" x14ac:dyDescent="0.25">
      <c r="A598" s="772" t="str">
        <f>IF(B598&gt;0,VLOOKUP(B598,КВСР!A171:B1336,2),IF(C598&gt;0,VLOOKUP(C598,КФСР!A171:B1683,2),IF(D598&gt;0,VLOOKUP(D598,Программа!A$1:B$5110,2),IF(F598&gt;0,VLOOKUP(F598,КВР!A$1:B$5001,2),IF(E598&gt;0,VLOOKUP(E598,Направление!A$1:B$4783,2))))))</f>
        <v>Иные бюджетные ассигнования</v>
      </c>
      <c r="B598" s="123"/>
      <c r="C598" s="124"/>
      <c r="D598" s="125"/>
      <c r="E598" s="124"/>
      <c r="F598" s="114">
        <v>800</v>
      </c>
      <c r="G598" s="295"/>
      <c r="H598" s="284">
        <v>3300</v>
      </c>
      <c r="I598" s="120">
        <f t="shared" si="135"/>
        <v>3300</v>
      </c>
    </row>
    <row r="599" spans="1:9" ht="63" hidden="1" x14ac:dyDescent="0.25">
      <c r="A599" s="772" t="str">
        <f>IF(B599&gt;0,VLOOKUP(B599,КВСР!A176:B1341,2),IF(C599&gt;0,VLOOKUP(C599,КФСР!A176:B1688,2),IF(D599&gt;0,VLOOKUP(D599,Программа!A$1:B$5110,2),IF(F599&gt;0,VLOOKUP(F599,КВР!A$1:B$5001,2),IF(E599&gt;0,VLOOKUP(E599,Направление!A$1:B$4783,2))))))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9" s="123"/>
      <c r="C599" s="124"/>
      <c r="D599" s="126" t="s">
        <v>505</v>
      </c>
      <c r="E599" s="124"/>
      <c r="F599" s="125"/>
      <c r="G599" s="277"/>
      <c r="H599" s="339">
        <f>H601</f>
        <v>0</v>
      </c>
      <c r="I599" s="120">
        <f t="shared" si="135"/>
        <v>0</v>
      </c>
    </row>
    <row r="600" spans="1:9" ht="47.25" hidden="1" x14ac:dyDescent="0.25">
      <c r="A600" s="772" t="str">
        <f>IF(B600&gt;0,VLOOKUP(B600,КВСР!A177:B1342,2),IF(C600&gt;0,VLOOKUP(C600,КФСР!A177:B1689,2),IF(D600&gt;0,VLOOKUP(D600,Программа!A$1:B$5110,2),IF(F600&gt;0,VLOOKUP(F600,КВР!A$1:B$5001,2),IF(E600&gt;0,VLOOKUP(E600,Направление!A$1:B$4783,2))))))</f>
        <v>Реализация мер по созданию целостной системы духовно-нравственного воспитания и просвещения населения</v>
      </c>
      <c r="B600" s="123"/>
      <c r="C600" s="124"/>
      <c r="D600" s="126" t="s">
        <v>507</v>
      </c>
      <c r="E600" s="124"/>
      <c r="F600" s="125"/>
      <c r="G600" s="277"/>
      <c r="H600" s="339">
        <f>H601</f>
        <v>0</v>
      </c>
      <c r="I600" s="120">
        <f t="shared" si="135"/>
        <v>0</v>
      </c>
    </row>
    <row r="601" spans="1:9" ht="47.25" hidden="1" x14ac:dyDescent="0.25">
      <c r="A601" s="772" t="str">
        <f>IF(B601&gt;0,VLOOKUP(B601,КВСР!A177:B1342,2),IF(C601&gt;0,VLOOKUP(C601,КФСР!A177:B1689,2),IF(D601&gt;0,VLOOKUP(D601,Программа!A$1:B$5110,2),IF(F601&gt;0,VLOOKUP(F601,КВР!A$1:B$5001,2),IF(E601&gt;0,VLOOKUP(E601,Направление!A$1:B$4783,2))))))</f>
        <v>Расходы на реализацию МЦП "Духовно - нравственное воспитание и просвещение населения ТМР"</v>
      </c>
      <c r="B601" s="123"/>
      <c r="C601" s="124"/>
      <c r="D601" s="126"/>
      <c r="E601" s="124">
        <v>13810</v>
      </c>
      <c r="F601" s="125"/>
      <c r="G601" s="277"/>
      <c r="H601" s="339">
        <f>H602</f>
        <v>0</v>
      </c>
      <c r="I601" s="120">
        <f t="shared" si="135"/>
        <v>0</v>
      </c>
    </row>
    <row r="602" spans="1:9" ht="47.25" hidden="1" x14ac:dyDescent="0.25">
      <c r="A602" s="772" t="str">
        <f>IF(B602&gt;0,VLOOKUP(B602,КВСР!A178:B1343,2),IF(C602&gt;0,VLOOKUP(C602,КФСР!A178:B1690,2),IF(D602&gt;0,VLOOKUP(D602,Программа!A$1:B$5110,2),IF(F602&gt;0,VLOOKUP(F602,КВР!A$1:B$5001,2),IF(E602&gt;0,VLOOKUP(E602,Направление!A$1:B$4783,2))))))</f>
        <v>Предоставление субсидий бюджетным, автономным учреждениям и иным некоммерческим организациям</v>
      </c>
      <c r="B602" s="123"/>
      <c r="C602" s="124"/>
      <c r="D602" s="126"/>
      <c r="E602" s="124"/>
      <c r="F602" s="125">
        <v>600</v>
      </c>
      <c r="G602" s="277"/>
      <c r="H602" s="339"/>
      <c r="I602" s="120">
        <f t="shared" si="135"/>
        <v>0</v>
      </c>
    </row>
    <row r="603" spans="1:9" ht="47.25" hidden="1" x14ac:dyDescent="0.25">
      <c r="A603" s="772" t="str">
        <f>IF(B603&gt;0,VLOOKUP(B603,КВСР!A179:B1344,2),IF(C603&gt;0,VLOOKUP(C603,КФСР!A179:B1691,2),IF(D603&gt;0,VLOOKUP(D603,Программа!A$1:B$5110,2),IF(F603&gt;0,VLOOKUP(F603,КВР!A$1:B$5001,2),IF(E603&gt;0,VLOOKUP(E603,Направление!A$1:B$4783,2))))))</f>
        <v>Муниципальная программа "Социальная поддержка населения Тутаевского муниципального района"</v>
      </c>
      <c r="B603" s="123"/>
      <c r="C603" s="124"/>
      <c r="D603" s="126" t="s">
        <v>461</v>
      </c>
      <c r="E603" s="124"/>
      <c r="F603" s="125"/>
      <c r="G603" s="277"/>
      <c r="H603" s="339">
        <f t="shared" ref="H603:H606" si="136">H604</f>
        <v>0</v>
      </c>
      <c r="I603" s="120">
        <f t="shared" si="135"/>
        <v>0</v>
      </c>
    </row>
    <row r="604" spans="1:9" ht="47.25" hidden="1" x14ac:dyDescent="0.25">
      <c r="A604" s="772" t="str">
        <f>IF(B604&gt;0,VLOOKUP(B604,КВСР!A182:B1347,2),IF(C604&gt;0,VLOOKUP(C604,КФСР!A182:B1694,2),IF(D604&gt;0,VLOOKUP(D604,Программа!A$1:B$5110,2),IF(F604&gt;0,VLOOKUP(F604,КВР!A$1:B$5001,2),IF(E604&gt;0,VLOOKUP(E604,Направление!A$1:B$4783,2))))))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04" s="123"/>
      <c r="C604" s="124"/>
      <c r="D604" s="126" t="s">
        <v>463</v>
      </c>
      <c r="E604" s="124"/>
      <c r="F604" s="125"/>
      <c r="G604" s="277"/>
      <c r="H604" s="339">
        <f>H606</f>
        <v>0</v>
      </c>
      <c r="I604" s="120">
        <f t="shared" si="135"/>
        <v>0</v>
      </c>
    </row>
    <row r="605" spans="1:9" ht="63" hidden="1" x14ac:dyDescent="0.25">
      <c r="A605" s="772" t="str">
        <f>IF(B605&gt;0,VLOOKUP(B605,КВСР!A183:B1348,2),IF(C605&gt;0,VLOOKUP(C605,КФСР!A183:B1695,2),IF(D605&gt;0,VLOOKUP(D605,Программа!A$1:B$5110,2),IF(F605&gt;0,VLOOKUP(F605,КВР!A$1:B$5001,2),IF(E605&gt;0,VLOOKUP(E605,Направление!A$1:B$4783,2))))))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5" s="123"/>
      <c r="C605" s="124"/>
      <c r="D605" s="126" t="s">
        <v>464</v>
      </c>
      <c r="E605" s="124"/>
      <c r="F605" s="125"/>
      <c r="G605" s="277"/>
      <c r="H605" s="339">
        <f t="shared" ref="H605:I605" si="137">H606</f>
        <v>0</v>
      </c>
      <c r="I605" s="339">
        <f t="shared" si="137"/>
        <v>0</v>
      </c>
    </row>
    <row r="606" spans="1:9" ht="31.5" hidden="1" x14ac:dyDescent="0.25">
      <c r="A606" s="772" t="str">
        <f>IF(B606&gt;0,VLOOKUP(B606,КВСР!A183:B1348,2),IF(C606&gt;0,VLOOKUP(C606,КФСР!A183:B1695,2),IF(D606&gt;0,VLOOKUP(D606,Программа!A$1:B$5110,2),IF(F606&gt;0,VLOOKUP(F606,КВР!A$1:B$5001,2),IF(E606&gt;0,VLOOKUP(E606,Направление!A$1:B$4783,2))))))</f>
        <v>Расходы на реализацию МЦП "Улучшение условий и охраны труда"</v>
      </c>
      <c r="B606" s="123"/>
      <c r="C606" s="124"/>
      <c r="D606" s="126"/>
      <c r="E606" s="124">
        <v>16150</v>
      </c>
      <c r="F606" s="125"/>
      <c r="G606" s="277"/>
      <c r="H606" s="339">
        <f t="shared" si="136"/>
        <v>0</v>
      </c>
      <c r="I606" s="120">
        <f t="shared" si="135"/>
        <v>0</v>
      </c>
    </row>
    <row r="607" spans="1:9" ht="47.25" hidden="1" x14ac:dyDescent="0.25">
      <c r="A607" s="772" t="str">
        <f>IF(B607&gt;0,VLOOKUP(B607,КВСР!A184:B1349,2),IF(C607&gt;0,VLOOKUP(C607,КФСР!A184:B1696,2),IF(D607&gt;0,VLOOKUP(D607,Программа!A$1:B$5110,2),IF(F607&gt;0,VLOOKUP(F607,КВР!A$1:B$5001,2),IF(E607&gt;0,VLOOKUP(E607,Направление!A$1:B$4783,2))))))</f>
        <v>Предоставление субсидий бюджетным, автономным учреждениям и иным некоммерческим организациям</v>
      </c>
      <c r="B607" s="123"/>
      <c r="C607" s="124"/>
      <c r="D607" s="126"/>
      <c r="E607" s="124"/>
      <c r="F607" s="125">
        <v>600</v>
      </c>
      <c r="G607" s="277"/>
      <c r="H607" s="339"/>
      <c r="I607" s="120">
        <f t="shared" si="135"/>
        <v>0</v>
      </c>
    </row>
    <row r="608" spans="1:9" ht="47.25" hidden="1" x14ac:dyDescent="0.25">
      <c r="A608" s="772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IF(B608&gt;0,VLOOKUP(B608,КВСР!A185:B1350,2),IF(C608&gt;0,VLOOKUP(C608,КФСР!A185:B1697,2),IF(D608&gt;0,VLOOKUP(D608,Программа!A$1:B$5110,2),IF(F608&gt;0,VLOOKUP(F608,КВР!A$1:B$5001,2),IF(E608&gt;0,VLOOKUP(E608,Направление!A$1:B$4783,2))))))</f>
        <v>Обучение по охране труда работников организаций Тутаевского муниципального района</v>
      </c>
      <c r="B608" s="123"/>
      <c r="C608" s="124"/>
      <c r="D608" s="126" t="s">
        <v>1131</v>
      </c>
      <c r="E608" s="124"/>
      <c r="F608" s="125"/>
      <c r="G608" s="277"/>
      <c r="H608" s="339">
        <f t="shared" ref="H608:H609" si="138">H609</f>
        <v>0</v>
      </c>
      <c r="I608" s="120">
        <f t="shared" si="135"/>
        <v>0</v>
      </c>
    </row>
    <row r="609" spans="1:9" ht="31.5" hidden="1" x14ac:dyDescent="0.25">
      <c r="A609" s="772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IF(B609&gt;0,VLOOKUP(B609,КВСР!A186:B1351,2),IF(C609&gt;0,VLOOKUP(C609,КФСР!A186:B1698,2),IF(D609&gt;0,VLOOKUP(D609,Программа!A$1:B$5110,2),IF(F609&gt;0,VLOOKUP(F609,КВР!A$1:B$5001,2),IF(E609&gt;0,VLOOKUP(E609,Направление!A$1:B$4783,2))))))</f>
        <v>Расходы на реализацию МЦП "Улучшение условий и охраны труда"</v>
      </c>
      <c r="B609" s="123"/>
      <c r="C609" s="124"/>
      <c r="D609" s="126"/>
      <c r="E609" s="124">
        <v>16150</v>
      </c>
      <c r="F609" s="125"/>
      <c r="G609" s="277"/>
      <c r="H609" s="339">
        <f t="shared" si="138"/>
        <v>0</v>
      </c>
      <c r="I609" s="120">
        <f t="shared" si="135"/>
        <v>0</v>
      </c>
    </row>
    <row r="610" spans="1:9" ht="47.25" hidden="1" x14ac:dyDescent="0.25">
      <c r="A610" s="772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IF(B610&gt;0,VLOOKUP(B610,КВСР!A187:B1352,2),IF(C610&gt;0,VLOOKUP(C610,КФСР!A187:B1699,2),IF(D610&gt;0,VLOOKUP(D610,Программа!A$1:B$5110,2),IF(F610&gt;0,VLOOKUP(F610,КВР!A$1:B$5001,2),IF(E610&gt;0,VLOOKUP(E610,Направление!A$1:B$4783,2))))))</f>
        <v>Предоставление субсидий бюджетным, автономным учреждениям и иным некоммерческим организациям</v>
      </c>
      <c r="B610" s="123"/>
      <c r="C610" s="124"/>
      <c r="D610" s="126"/>
      <c r="E610" s="124"/>
      <c r="F610" s="125">
        <v>600</v>
      </c>
      <c r="G610" s="277"/>
      <c r="H610" s="339"/>
      <c r="I610" s="120">
        <f t="shared" si="135"/>
        <v>0</v>
      </c>
    </row>
    <row r="611" spans="1:9" ht="94.5" hidden="1" x14ac:dyDescent="0.25">
      <c r="A611" s="772" t="str">
        <f>IF(B611&gt;0,VLOOKUP(B611,КВСР!A185:B1350,2),IF(C611&gt;0,VLOOKUP(C611,КФСР!A185:B1697,2),IF(D611&gt;0,VLOOKUP(D611,Программа!A$1:B$5110,2),IF(F611&gt;0,VLOOKUP(F611,КВР!A$1:B$5001,2),IF(E611&gt;0,VLOOKUP(E611,Направление!A$1:B$4783,2))))))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11" s="123"/>
      <c r="C611" s="124"/>
      <c r="D611" s="126" t="s">
        <v>405</v>
      </c>
      <c r="E611" s="124"/>
      <c r="F611" s="125"/>
      <c r="G611" s="277"/>
      <c r="H611" s="339">
        <f>H612</f>
        <v>0</v>
      </c>
      <c r="I611" s="120">
        <f t="shared" si="135"/>
        <v>0</v>
      </c>
    </row>
    <row r="612" spans="1:9" ht="78.75" hidden="1" x14ac:dyDescent="0.25">
      <c r="A612" s="772" t="str">
        <f>IF(B612&gt;0,VLOOKUP(B612,КВСР!A186:B1351,2),IF(C612&gt;0,VLOOKUP(C612,КФСР!A186:B1698,2),IF(D612&gt;0,VLOOKUP(D612,Программа!A$1:B$5110,2),IF(F612&gt;0,VLOOKUP(F612,КВР!A$1:B$5001,2),IF(E612&gt;0,VLOOKUP(E612,Направление!A$1:B$4783,2))))))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12" s="123"/>
      <c r="C612" s="124"/>
      <c r="D612" s="126" t="s">
        <v>1826</v>
      </c>
      <c r="E612" s="124"/>
      <c r="F612" s="125"/>
      <c r="G612" s="277"/>
      <c r="H612" s="339">
        <f>H613</f>
        <v>0</v>
      </c>
      <c r="I612" s="120">
        <f t="shared" si="135"/>
        <v>0</v>
      </c>
    </row>
    <row r="613" spans="1:9" ht="31.5" hidden="1" x14ac:dyDescent="0.25">
      <c r="A613" s="772" t="str">
        <f>IF(B613&gt;0,VLOOKUP(B613,КВСР!A187:B1352,2),IF(C613&gt;0,VLOOKUP(C613,КФСР!A187:B1699,2),IF(D613&gt;0,VLOOKUP(D613,Программа!A$1:B$5110,2),IF(F613&gt;0,VLOOKUP(F613,КВР!A$1:B$5001,2),IF(E613&gt;0,VLOOKUP(E613,Направление!A$1:B$4783,2))))))</f>
        <v>Внедрение проектной деятельности и бережливых технологий</v>
      </c>
      <c r="B613" s="123"/>
      <c r="C613" s="124"/>
      <c r="D613" s="126"/>
      <c r="E613" s="124">
        <v>12300</v>
      </c>
      <c r="F613" s="125"/>
      <c r="G613" s="277"/>
      <c r="H613" s="339">
        <f>H614+H615</f>
        <v>0</v>
      </c>
      <c r="I613" s="277">
        <f>I614+I615</f>
        <v>0</v>
      </c>
    </row>
    <row r="614" spans="1:9" ht="94.5" hidden="1" x14ac:dyDescent="0.25">
      <c r="A614" s="772" t="str">
        <f>IF(B614&gt;0,VLOOKUP(B614,КВСР!A188:B1353,2),IF(C614&gt;0,VLOOKUP(C614,КФСР!A188:B1700,2),IF(D614&gt;0,VLOOKUP(D614,Программа!A$1:B$5110,2),IF(F614&gt;0,VLOOKUP(F614,КВР!A$1:B$5001,2),IF(E614&gt;0,VLOOKUP(E614,Направление!A$1:B$4783,2))))))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3"/>
      <c r="C614" s="124"/>
      <c r="D614" s="126"/>
      <c r="E614" s="124"/>
      <c r="F614" s="125">
        <v>100</v>
      </c>
      <c r="G614" s="277"/>
      <c r="H614" s="339"/>
      <c r="I614" s="120">
        <f t="shared" si="135"/>
        <v>0</v>
      </c>
    </row>
    <row r="615" spans="1:9" ht="47.25" hidden="1" x14ac:dyDescent="0.25">
      <c r="A615" s="772" t="str">
        <f>IF(B615&gt;0,VLOOKUP(B615,КВСР!A189:B1354,2),IF(C615&gt;0,VLOOKUP(C615,КФСР!A189:B1701,2),IF(D615&gt;0,VLOOKUP(D615,Программа!A$1:B$5110,2),IF(F615&gt;0,VLOOKUP(F615,КВР!A$1:B$5001,2),IF(E615&gt;0,VLOOKUP(E615,Направление!A$1:B$4783,2))))))</f>
        <v>Предоставление субсидий бюджетным, автономным учреждениям и иным некоммерческим организациям</v>
      </c>
      <c r="B615" s="123"/>
      <c r="C615" s="124"/>
      <c r="D615" s="126"/>
      <c r="E615" s="124"/>
      <c r="F615" s="125">
        <v>600</v>
      </c>
      <c r="G615" s="277"/>
      <c r="H615" s="339"/>
      <c r="I615" s="120">
        <f t="shared" si="135"/>
        <v>0</v>
      </c>
    </row>
    <row r="616" spans="1:9" ht="63" hidden="1" x14ac:dyDescent="0.25">
      <c r="A616" s="772" t="str">
        <f>IF(B616&gt;0,VLOOKUP(B616,КВСР!A185:B1350,2),IF(C616&gt;0,VLOOKUP(C616,КФСР!A185:B1697,2),IF(D616&gt;0,VLOOKUP(D616,Программа!A$1:B$5110,2),IF(F616&gt;0,VLOOKUP(F616,КВР!A$1:B$5001,2),IF(E616&gt;0,VLOOKUP(E616,Направление!A$1:B$4783,2))))))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6" s="123"/>
      <c r="C616" s="124"/>
      <c r="D616" s="126" t="s">
        <v>513</v>
      </c>
      <c r="E616" s="124"/>
      <c r="F616" s="125"/>
      <c r="G616" s="277"/>
      <c r="H616" s="339">
        <f>H617</f>
        <v>0</v>
      </c>
      <c r="I616" s="120">
        <f t="shared" si="135"/>
        <v>0</v>
      </c>
    </row>
    <row r="617" spans="1:9" ht="31.5" hidden="1" x14ac:dyDescent="0.25">
      <c r="A617" s="772" t="str">
        <f>IF(B617&gt;0,VLOOKUP(B617,КВСР!A186:B1351,2),IF(C617&gt;0,VLOOKUP(C617,КФСР!A186:B1698,2),IF(D617&gt;0,VLOOKUP(D617,Программа!A$1:B$5110,2),IF(F617&gt;0,VLOOKUP(F617,КВР!A$1:B$5001,2),IF(E617&gt;0,VLOOKUP(E617,Направление!A$1:B$4783,2))))))</f>
        <v>Реализация мероприятий по профилактике правонарушений</v>
      </c>
      <c r="B617" s="123"/>
      <c r="C617" s="124"/>
      <c r="D617" s="126" t="s">
        <v>515</v>
      </c>
      <c r="E617" s="124"/>
      <c r="F617" s="125"/>
      <c r="G617" s="277"/>
      <c r="H617" s="339">
        <f>H618</f>
        <v>0</v>
      </c>
      <c r="I617" s="120">
        <f t="shared" si="135"/>
        <v>0</v>
      </c>
    </row>
    <row r="618" spans="1:9" ht="47.25" hidden="1" x14ac:dyDescent="0.25">
      <c r="A618" s="772" t="str">
        <f>IF(B618&gt;0,VLOOKUP(B618,КВСР!A187:B1352,2),IF(C618&gt;0,VLOOKUP(C618,КФСР!A187:B1699,2),IF(D618&gt;0,VLOOKUP(D618,Программа!A$1:B$5110,2),IF(F618&gt;0,VLOOKUP(F618,КВР!A$1:B$5001,2),IF(E618&gt;0,VLOOKUP(E618,Направление!A$1:B$4783,2))))))</f>
        <v>Расходы на профилактику правонарушений и усиления борьбы с преступностью</v>
      </c>
      <c r="B618" s="123"/>
      <c r="C618" s="124"/>
      <c r="D618" s="126"/>
      <c r="E618" s="124">
        <v>12250</v>
      </c>
      <c r="F618" s="125"/>
      <c r="G618" s="277"/>
      <c r="H618" s="339">
        <f t="shared" ref="H618" si="139">H619</f>
        <v>0</v>
      </c>
      <c r="I618" s="120">
        <f t="shared" si="135"/>
        <v>0</v>
      </c>
    </row>
    <row r="619" spans="1:9" ht="47.25" hidden="1" x14ac:dyDescent="0.25">
      <c r="A619" s="772" t="str">
        <f>IF(B619&gt;0,VLOOKUP(B619,КВСР!A188:B1353,2),IF(C619&gt;0,VLOOKUP(C619,КФСР!A188:B1700,2),IF(D619&gt;0,VLOOKUP(D619,Программа!A$1:B$5110,2),IF(F619&gt;0,VLOOKUP(F619,КВР!A$1:B$5001,2),IF(E619&gt;0,VLOOKUP(E619,Направление!A$1:B$4783,2))))))</f>
        <v>Предоставление субсидий бюджетным, автономным учреждениям и иным некоммерческим организациям</v>
      </c>
      <c r="B619" s="123"/>
      <c r="C619" s="124"/>
      <c r="D619" s="126"/>
      <c r="E619" s="124"/>
      <c r="F619" s="125">
        <v>600</v>
      </c>
      <c r="G619" s="277"/>
      <c r="H619" s="339"/>
      <c r="I619" s="120">
        <f t="shared" si="135"/>
        <v>0</v>
      </c>
    </row>
    <row r="620" spans="1:9" x14ac:dyDescent="0.25">
      <c r="A620" s="772" t="str">
        <f>IF(B620&gt;0,VLOOKUP(B620,КВСР!A194:B1359,2),IF(C620&gt;0,VLOOKUP(C620,КФСР!A194:B1706,2),IF(D620&gt;0,VLOOKUP(D620,Программа!A$1:B$5110,2),IF(F620&gt;0,VLOOKUP(F620,КВР!A$1:B$5001,2),IF(E620&gt;0,VLOOKUP(E620,Направление!A$1:B$4783,2))))))</f>
        <v>Непрограммные расходы бюджета</v>
      </c>
      <c r="B620" s="117"/>
      <c r="C620" s="112"/>
      <c r="D620" s="113" t="s">
        <v>394</v>
      </c>
      <c r="E620" s="112"/>
      <c r="F620" s="114"/>
      <c r="G620" s="295"/>
      <c r="H620" s="284">
        <f>H621</f>
        <v>700000</v>
      </c>
      <c r="I620" s="120">
        <f t="shared" si="135"/>
        <v>700000</v>
      </c>
    </row>
    <row r="621" spans="1:9" ht="31.5" x14ac:dyDescent="0.25">
      <c r="A621" s="772" t="str">
        <f>IF(B621&gt;0,VLOOKUP(B621,КВСР!A195:B1360,2),IF(C621&gt;0,VLOOKUP(C621,КФСР!A195:B1707,2),IF(D621&gt;0,VLOOKUP(D621,Программа!A$1:B$5110,2),IF(F621&gt;0,VLOOKUP(F621,КВР!A$1:B$5001,2),IF(E621&gt;0,VLOOKUP(E621,Направление!A$1:B$4783,2))))))</f>
        <v>Государственная поддержка в сфере образования</v>
      </c>
      <c r="B621" s="117"/>
      <c r="C621" s="112"/>
      <c r="D621" s="113"/>
      <c r="E621" s="112">
        <v>13710</v>
      </c>
      <c r="F621" s="114"/>
      <c r="G621" s="277"/>
      <c r="H621" s="339">
        <f>H622</f>
        <v>700000</v>
      </c>
      <c r="I621" s="120">
        <f t="shared" si="135"/>
        <v>700000</v>
      </c>
    </row>
    <row r="622" spans="1:9" ht="47.25" x14ac:dyDescent="0.25">
      <c r="A622" s="772" t="str">
        <f>IF(B622&gt;0,VLOOKUP(B622,КВСР!A196:B1361,2),IF(C622&gt;0,VLOOKUP(C622,КФСР!A196:B1708,2),IF(D622&gt;0,VLOOKUP(D622,Программа!A$1:B$5110,2),IF(F622&gt;0,VLOOKUP(F622,КВР!A$1:B$5001,2),IF(E622&gt;0,VLOOKUP(E622,Направление!A$1:B$4783,2))))))</f>
        <v>Предоставление субсидий бюджетным, автономным учреждениям и иным некоммерческим организациям</v>
      </c>
      <c r="B622" s="117"/>
      <c r="C622" s="112"/>
      <c r="D622" s="114"/>
      <c r="E622" s="112"/>
      <c r="F622" s="114">
        <v>600</v>
      </c>
      <c r="G622" s="295"/>
      <c r="H622" s="284">
        <v>700000</v>
      </c>
      <c r="I622" s="120">
        <f t="shared" si="135"/>
        <v>700000</v>
      </c>
    </row>
    <row r="623" spans="1:9" x14ac:dyDescent="0.25">
      <c r="A623" s="772" t="str">
        <f>IF(B623&gt;0,VLOOKUP(B623,КВСР!A197:B1362,2),IF(C623&gt;0,VLOOKUP(C623,КФСР!A197:B1709,2),IF(D623&gt;0,VLOOKUP(D623,Программа!A$1:B$5110,2),IF(F623&gt;0,VLOOKUP(F623,КВР!A$1:B$5001,2),IF(E623&gt;0,VLOOKUP(E623,Направление!A$1:B$4783,2))))))</f>
        <v>Социальное обеспечение населения</v>
      </c>
      <c r="B623" s="117"/>
      <c r="C623" s="112">
        <v>1003</v>
      </c>
      <c r="D623" s="114"/>
      <c r="E623" s="112"/>
      <c r="F623" s="114"/>
      <c r="G623" s="295"/>
      <c r="H623" s="284">
        <f t="shared" ref="H623:I627" si="140">H624</f>
        <v>133429</v>
      </c>
      <c r="I623" s="283">
        <f t="shared" si="140"/>
        <v>133429</v>
      </c>
    </row>
    <row r="624" spans="1:9" ht="63" x14ac:dyDescent="0.25">
      <c r="A624" s="772" t="str">
        <f>IF(B624&gt;0,VLOOKUP(B624,КВСР!A198:B1363,2),IF(C624&gt;0,VLOOKUP(C624,КФСР!A198:B1710,2),IF(D624&gt;0,VLOOKUP(D624,Программа!A$1:B$5110,2),IF(F624&gt;0,VLOOKUP(F624,КВР!A$1:B$5001,2),IF(E624&gt;0,VLOOKUP(E624,Направление!A$1:B$4783,2))))))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4" s="117"/>
      <c r="C624" s="112"/>
      <c r="D624" s="113" t="s">
        <v>452</v>
      </c>
      <c r="E624" s="112"/>
      <c r="F624" s="114"/>
      <c r="G624" s="295"/>
      <c r="H624" s="284">
        <f t="shared" si="140"/>
        <v>133429</v>
      </c>
      <c r="I624" s="283">
        <f t="shared" si="140"/>
        <v>133429</v>
      </c>
    </row>
    <row r="625" spans="1:9" ht="63" x14ac:dyDescent="0.25">
      <c r="A625" s="772" t="str">
        <f>IF(B625&gt;0,VLOOKUP(B625,КВСР!A199:B1364,2),IF(C625&gt;0,VLOOKUP(C625,КФСР!A199:B1711,2),IF(D625&gt;0,VLOOKUP(D625,Программа!A$1:B$5110,2),IF(F625&gt;0,VLOOKUP(F625,КВР!A$1:B$5001,2),IF(E625&gt;0,VLOOKUP(E625,Направление!A$1:B$4783,2))))))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5" s="117"/>
      <c r="C625" s="112"/>
      <c r="D625" s="113" t="s">
        <v>454</v>
      </c>
      <c r="E625" s="112"/>
      <c r="F625" s="114"/>
      <c r="G625" s="295"/>
      <c r="H625" s="284">
        <f t="shared" si="140"/>
        <v>133429</v>
      </c>
      <c r="I625" s="283">
        <f t="shared" si="140"/>
        <v>133429</v>
      </c>
    </row>
    <row r="626" spans="1:9" x14ac:dyDescent="0.25">
      <c r="A626" s="772" t="str">
        <f>IF(B626&gt;0,VLOOKUP(B626,КВСР!A200:B1365,2),IF(C626&gt;0,VLOOKUP(C626,КФСР!A200:B1712,2),IF(D626&gt;0,VLOOKUP(D626,Программа!A$1:B$5110,2),IF(F626&gt;0,VLOOKUP(F626,КВР!A$1:B$5001,2),IF(E626&gt;0,VLOOKUP(E626,Направление!A$1:B$4783,2))))))</f>
        <v>Обеспечение компенсационных выплат</v>
      </c>
      <c r="B626" s="117"/>
      <c r="C626" s="112"/>
      <c r="D626" s="113" t="s">
        <v>1156</v>
      </c>
      <c r="E626" s="112"/>
      <c r="F626" s="114"/>
      <c r="G626" s="295"/>
      <c r="H626" s="284">
        <f t="shared" si="140"/>
        <v>133429</v>
      </c>
      <c r="I626" s="283">
        <f t="shared" si="140"/>
        <v>133429</v>
      </c>
    </row>
    <row r="627" spans="1:9" ht="47.25" x14ac:dyDescent="0.25">
      <c r="A627" s="772" t="str">
        <f>IF(B627&gt;0,VLOOKUP(B627,КВСР!A201:B1366,2),IF(C627&gt;0,VLOOKUP(C627,КФСР!A201:B1713,2),IF(D627&gt;0,VLOOKUP(D627,Программа!A$1:B$5110,2),IF(F627&gt;0,VLOOKUP(F627,КВР!A$1:B$5001,2),IF(E627&gt;0,VLOOKUP(E627,Направление!A$1:B$4783,2))))))</f>
        <v>Компенсация части расходов на приобретение путевки в организации отдыха детей и их оздоровления</v>
      </c>
      <c r="B627" s="117"/>
      <c r="C627" s="112"/>
      <c r="D627" s="113"/>
      <c r="E627" s="112">
        <v>74390</v>
      </c>
      <c r="F627" s="114"/>
      <c r="G627" s="295"/>
      <c r="H627" s="284">
        <f t="shared" si="140"/>
        <v>133429</v>
      </c>
      <c r="I627" s="283">
        <f t="shared" si="140"/>
        <v>133429</v>
      </c>
    </row>
    <row r="628" spans="1:9" ht="31.5" x14ac:dyDescent="0.25">
      <c r="A628" s="772" t="str">
        <f>IF(B628&gt;0,VLOOKUP(B628,КВСР!A202:B1367,2),IF(C628&gt;0,VLOOKUP(C628,КФСР!A202:B1714,2),IF(D628&gt;0,VLOOKUP(D628,Программа!A$1:B$5110,2),IF(F628&gt;0,VLOOKUP(F628,КВР!A$1:B$5001,2),IF(E628&gt;0,VLOOKUP(E628,Направление!A$1:B$4783,2))))))</f>
        <v>Социальное обеспечение и иные выплаты населению</v>
      </c>
      <c r="B628" s="117"/>
      <c r="C628" s="112"/>
      <c r="D628" s="113"/>
      <c r="E628" s="112"/>
      <c r="F628" s="114">
        <v>300</v>
      </c>
      <c r="G628" s="295"/>
      <c r="H628" s="284">
        <v>133429</v>
      </c>
      <c r="I628" s="120">
        <f>G628+H628</f>
        <v>133429</v>
      </c>
    </row>
    <row r="629" spans="1:9" x14ac:dyDescent="0.25">
      <c r="A629" s="772" t="str">
        <f>IF(B629&gt;0,VLOOKUP(B629,КВСР!A201:B1366,2),IF(C629&gt;0,VLOOKUP(C629,КФСР!A201:B1713,2),IF(D629&gt;0,VLOOKUP(D629,Программа!A$1:B$5110,2),IF(F629&gt;0,VLOOKUP(F629,КВР!A$1:B$5001,2),IF(E629&gt;0,VLOOKUP(E629,Направление!A$1:B$4783,2))))))</f>
        <v>Охрана семьи и детства</v>
      </c>
      <c r="B629" s="123"/>
      <c r="C629" s="112">
        <v>1004</v>
      </c>
      <c r="D629" s="127"/>
      <c r="E629" s="128"/>
      <c r="F629" s="125"/>
      <c r="G629" s="277"/>
      <c r="H629" s="339">
        <f>H630</f>
        <v>47541885</v>
      </c>
      <c r="I629" s="120">
        <f t="shared" si="135"/>
        <v>47541885</v>
      </c>
    </row>
    <row r="630" spans="1:9" ht="63" x14ac:dyDescent="0.25">
      <c r="A630" s="772" t="str">
        <f>IF(B630&gt;0,VLOOKUP(B630,КВСР!A202:B1367,2),IF(C630&gt;0,VLOOKUP(C630,КФСР!A202:B1714,2),IF(D630&gt;0,VLOOKUP(D630,Программа!A$1:B$5110,2),IF(F630&gt;0,VLOOKUP(F630,КВР!A$1:B$5001,2),IF(E630&gt;0,VLOOKUP(E630,Направление!A$1:B$4783,2))))))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30" s="117"/>
      <c r="C630" s="112"/>
      <c r="D630" s="129" t="s">
        <v>452</v>
      </c>
      <c r="E630" s="130"/>
      <c r="F630" s="125"/>
      <c r="G630" s="277"/>
      <c r="H630" s="339">
        <f>H631</f>
        <v>47541885</v>
      </c>
      <c r="I630" s="120">
        <f t="shared" si="135"/>
        <v>47541885</v>
      </c>
    </row>
    <row r="631" spans="1:9" ht="63" x14ac:dyDescent="0.25">
      <c r="A631" s="772" t="str">
        <f>IF(B631&gt;0,VLOOKUP(B631,КВСР!A203:B1368,2),IF(C631&gt;0,VLOOKUP(C631,КФСР!A203:B1715,2),IF(D631&gt;0,VLOOKUP(D631,Программа!A$1:B$5110,2),IF(F631&gt;0,VLOOKUP(F631,КВР!A$1:B$5001,2),IF(E631&gt;0,VLOOKUP(E631,Направление!A$1:B$4783,2))))))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31" s="117"/>
      <c r="C631" s="112"/>
      <c r="D631" s="129" t="s">
        <v>454</v>
      </c>
      <c r="E631" s="130"/>
      <c r="F631" s="125"/>
      <c r="G631" s="277"/>
      <c r="H631" s="339">
        <f t="shared" ref="H631:I631" si="141">H637+H655+H632+H659</f>
        <v>47541885</v>
      </c>
      <c r="I631" s="277">
        <f t="shared" si="141"/>
        <v>47541885</v>
      </c>
    </row>
    <row r="632" spans="1:9" ht="47.25" x14ac:dyDescent="0.25">
      <c r="A632" s="772" t="str">
        <f>IF(B632&gt;0,VLOOKUP(B632,КВСР!A204:B1369,2),IF(C632&gt;0,VLOOKUP(C632,КФСР!A204:B1716,2),IF(D632&gt;0,VLOOKUP(D632,Программа!A$1:B$5110,2),IF(F632&gt;0,VLOOKUP(F632,КВР!A$1:B$5001,2),IF(E632&gt;0,VLOOKUP(E632,Направление!A$1:B$4783,2))))))</f>
        <v>Обеспечение качества и доступности образовательных услуг в сфере дошкольного образования</v>
      </c>
      <c r="B632" s="117"/>
      <c r="C632" s="112"/>
      <c r="D632" s="113" t="s">
        <v>455</v>
      </c>
      <c r="E632" s="130"/>
      <c r="F632" s="125"/>
      <c r="G632" s="277"/>
      <c r="H632" s="339">
        <f t="shared" ref="H632:I632" si="142">H633+H635</f>
        <v>50000</v>
      </c>
      <c r="I632" s="277">
        <f t="shared" si="142"/>
        <v>50000</v>
      </c>
    </row>
    <row r="633" spans="1:9" ht="31.5" hidden="1" x14ac:dyDescent="0.25">
      <c r="A633" s="772" t="str">
        <f>IF(B633&gt;0,VLOOKUP(B633,КВСР!A205:B1370,2),IF(C633&gt;0,VLOOKUP(C633,КФСР!A205:B1717,2),IF(D633&gt;0,VLOOKUP(D633,Программа!A$1:B$5110,2),IF(F633&gt;0,VLOOKUP(F633,КВР!A$1:B$5001,2),IF(E633&gt;0,VLOOKUP(E633,Направление!A$1:B$4783,2))))))</f>
        <v>Обеспечение деятельности дошкольных учреждений</v>
      </c>
      <c r="B633" s="117"/>
      <c r="C633" s="112"/>
      <c r="D633" s="129"/>
      <c r="E633" s="130">
        <v>13010</v>
      </c>
      <c r="F633" s="125"/>
      <c r="G633" s="277"/>
      <c r="H633" s="339">
        <f t="shared" ref="H633:I633" si="143">H634</f>
        <v>0</v>
      </c>
      <c r="I633" s="277">
        <f t="shared" si="143"/>
        <v>0</v>
      </c>
    </row>
    <row r="634" spans="1:9" ht="94.5" hidden="1" x14ac:dyDescent="0.25">
      <c r="A634" s="772" t="str">
        <f>IF(B634&gt;0,VLOOKUP(B634,КВСР!A206:B1371,2),IF(C634&gt;0,VLOOKUP(C634,КФСР!A206:B1718,2),IF(D634&gt;0,VLOOKUP(D634,Программа!A$1:B$5110,2),IF(F634&gt;0,VLOOKUP(F634,КВР!A$1:B$5001,2),IF(E634&gt;0,VLOOKUP(E634,Направление!A$1:B$4783,2))))))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4" s="117"/>
      <c r="C634" s="112"/>
      <c r="D634" s="129"/>
      <c r="E634" s="130"/>
      <c r="F634" s="125">
        <v>100</v>
      </c>
      <c r="G634" s="277"/>
      <c r="H634" s="339"/>
      <c r="I634" s="120">
        <f>G634+H634</f>
        <v>0</v>
      </c>
    </row>
    <row r="635" spans="1:9" ht="63" x14ac:dyDescent="0.25">
      <c r="A635" s="772" t="str">
        <f>IF(B635&gt;0,VLOOKUP(B635,КВСР!A207:B1372,2),IF(C635&gt;0,VLOOKUP(C635,КФСР!A207:B1719,2),IF(D635&gt;0,VLOOKUP(D635,Программа!A$1:B$5110,2),IF(F635&gt;0,VLOOKUP(F635,КВР!A$1:B$5001,2),IF(E635&gt;0,VLOOKUP(E635,Направление!A$1:B$4783,2))))))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5" s="117"/>
      <c r="C635" s="112"/>
      <c r="D635" s="129"/>
      <c r="E635" s="130">
        <v>73110</v>
      </c>
      <c r="F635" s="125"/>
      <c r="G635" s="277"/>
      <c r="H635" s="339">
        <f t="shared" ref="H635:I635" si="144">H636</f>
        <v>50000</v>
      </c>
      <c r="I635" s="277">
        <f t="shared" si="144"/>
        <v>50000</v>
      </c>
    </row>
    <row r="636" spans="1:9" ht="94.5" x14ac:dyDescent="0.25">
      <c r="A636" s="772" t="str">
        <f>IF(B636&gt;0,VLOOKUP(B636,КВСР!A208:B1373,2),IF(C636&gt;0,VLOOKUP(C636,КФСР!A208:B1720,2),IF(D636&gt;0,VLOOKUP(D636,Программа!A$1:B$5110,2),IF(F636&gt;0,VLOOKUP(F636,КВР!A$1:B$5001,2),IF(E636&gt;0,VLOOKUP(E636,Направление!A$1:B$4783,2))))))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6" s="117"/>
      <c r="C636" s="112"/>
      <c r="D636" s="129"/>
      <c r="E636" s="130"/>
      <c r="F636" s="125">
        <v>100</v>
      </c>
      <c r="G636" s="277"/>
      <c r="H636" s="339">
        <v>50000</v>
      </c>
      <c r="I636" s="120">
        <f>G636+H636</f>
        <v>50000</v>
      </c>
    </row>
    <row r="637" spans="1:9" ht="63" x14ac:dyDescent="0.25">
      <c r="A637" s="772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637" s="117"/>
      <c r="C637" s="112"/>
      <c r="D637" s="113" t="s">
        <v>503</v>
      </c>
      <c r="E637" s="130"/>
      <c r="F637" s="125"/>
      <c r="G637" s="277"/>
      <c r="H637" s="339">
        <f>H640+H642+H644+H647+H650+H638</f>
        <v>36123649</v>
      </c>
      <c r="I637" s="120">
        <f t="shared" si="135"/>
        <v>36123649</v>
      </c>
    </row>
    <row r="638" spans="1:9" ht="31.5" hidden="1" x14ac:dyDescent="0.25">
      <c r="A638" s="772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IF(B638&gt;0,VLOOKUP(B638,КВСР!A205:B1370,2),IF(C638&gt;0,VLOOKUP(C638,КФСР!A205:B1717,2),IF(D638&gt;0,VLOOKUP(D638,Программа!A$1:B$5110,2),IF(F638&gt;0,VLOOKUP(F638,КВР!A$1:B$5001,2),IF(E638&gt;0,VLOOKUP(E638,Направление!A$1:B$4783,2))))))</f>
        <v xml:space="preserve">Государственная поддержка опеки и попечительства </v>
      </c>
      <c r="B638" s="117"/>
      <c r="C638" s="112"/>
      <c r="D638" s="129"/>
      <c r="E638" s="130">
        <v>13750</v>
      </c>
      <c r="F638" s="125"/>
      <c r="G638" s="277"/>
      <c r="H638" s="339">
        <f>H639</f>
        <v>0</v>
      </c>
      <c r="I638" s="120">
        <f t="shared" si="135"/>
        <v>0</v>
      </c>
    </row>
    <row r="639" spans="1:9" ht="31.5" hidden="1" x14ac:dyDescent="0.25">
      <c r="A639" s="772" t="str">
        <f>IF(B639&gt;0,VLOOKUP(B639,КВСР!A205:B1370,2),IF(C639&gt;0,VLOOKUP(C639,КФСР!A205:B1717,2),IF(D639&gt;0,VLOOKUP(D639,Программа!A$1:B$5110,2),IF(F639&gt;0,VLOOKUP(F639,КВР!A$1:B$5001,2),IF(E639&gt;0,VLOOKUP(E639,Направление!A$1:B$4783,2))))))</f>
        <v>Социальное обеспечение и иные выплаты населению</v>
      </c>
      <c r="B639" s="117"/>
      <c r="C639" s="112"/>
      <c r="D639" s="129"/>
      <c r="E639" s="130"/>
      <c r="F639" s="125">
        <v>300</v>
      </c>
      <c r="G639" s="277"/>
      <c r="H639" s="339"/>
      <c r="I639" s="120">
        <f t="shared" si="135"/>
        <v>0</v>
      </c>
    </row>
    <row r="640" spans="1:9" ht="47.25" hidden="1" x14ac:dyDescent="0.25">
      <c r="A640" s="772" t="str">
        <f>IF(B640&gt;0,VLOOKUP(B640,КВСР!A204:B1369,2),IF(C640&gt;0,VLOOKUP(C640,КФСР!A204:B1716,2),IF(D640&gt;0,VLOOKUP(D640,Программа!A$1:B$5110,2),IF(F640&gt;0,VLOOKUP(F640,КВР!A$1:B$5001,2),IF(E640&gt;0,VLOOKUP(E640,Направление!A$1:B$4783,2))))))</f>
        <v xml:space="preserve">Расходы на укрепление института семьи, повышение качества жизни семей с несовершеннолетними детьми </v>
      </c>
      <c r="B640" s="117"/>
      <c r="C640" s="112"/>
      <c r="D640" s="129"/>
      <c r="E640" s="130" t="s">
        <v>521</v>
      </c>
      <c r="F640" s="125"/>
      <c r="G640" s="277"/>
      <c r="H640" s="339">
        <f>H641</f>
        <v>0</v>
      </c>
      <c r="I640" s="120">
        <f t="shared" si="135"/>
        <v>0</v>
      </c>
    </row>
    <row r="641" spans="1:9" ht="47.25" hidden="1" x14ac:dyDescent="0.25">
      <c r="A641" s="772" t="str">
        <f>IF(B641&gt;0,VLOOKUP(B641,КВСР!A205:B1370,2),IF(C641&gt;0,VLOOKUP(C641,КФСР!A205:B1717,2),IF(D641&gt;0,VLOOKUP(D641,Программа!A$1:B$5110,2),IF(F641&gt;0,VLOOKUP(F641,КВР!A$1:B$5001,2),IF(E641&gt;0,VLOOKUP(E641,Направление!A$1:B$4783,2))))))</f>
        <v xml:space="preserve">Закупка товаров, работ и услуг для обеспечения государственных (муниципальных) нужд
</v>
      </c>
      <c r="B641" s="117"/>
      <c r="C641" s="112"/>
      <c r="D641" s="131"/>
      <c r="E641" s="128"/>
      <c r="F641" s="125">
        <v>200</v>
      </c>
      <c r="G641" s="295"/>
      <c r="H641" s="284"/>
      <c r="I641" s="120">
        <f t="shared" si="135"/>
        <v>0</v>
      </c>
    </row>
    <row r="642" spans="1:9" ht="78.75" x14ac:dyDescent="0.25">
      <c r="A642" s="772" t="str">
        <f>IF(B642&gt;0,VLOOKUP(B642,КВСР!A207:B1372,2),IF(C642&gt;0,VLOOKUP(C642,КФСР!A207:B1719,2),IF(D642&gt;0,VLOOKUP(D642,Программа!A$1:B$5110,2),IF(F642&gt;0,VLOOKUP(F642,КВР!A$1:B$5001,2),IF(E642&gt;0,VLOOKUP(E642,Направление!A$1:B$4783,2))))))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42" s="117"/>
      <c r="C642" s="112"/>
      <c r="D642" s="129"/>
      <c r="E642" s="130">
        <v>52600</v>
      </c>
      <c r="F642" s="125"/>
      <c r="G642" s="295"/>
      <c r="H642" s="284">
        <f>H643</f>
        <v>629901</v>
      </c>
      <c r="I642" s="120">
        <f t="shared" si="135"/>
        <v>629901</v>
      </c>
    </row>
    <row r="643" spans="1:9" ht="31.5" x14ac:dyDescent="0.25">
      <c r="A643" s="772" t="str">
        <f>IF(B643&gt;0,VLOOKUP(B643,КВСР!A208:B1373,2),IF(C643&gt;0,VLOOKUP(C643,КФСР!A208:B1720,2),IF(D643&gt;0,VLOOKUP(D643,Программа!A$1:B$5110,2),IF(F643&gt;0,VLOOKUP(F643,КВР!A$1:B$5001,2),IF(E643&gt;0,VLOOKUP(E643,Направление!A$1:B$4783,2))))))</f>
        <v>Социальное обеспечение и иные выплаты населению</v>
      </c>
      <c r="B643" s="117"/>
      <c r="C643" s="112"/>
      <c r="D643" s="132"/>
      <c r="E643" s="130"/>
      <c r="F643" s="125">
        <v>300</v>
      </c>
      <c r="G643" s="295"/>
      <c r="H643" s="284">
        <v>629901</v>
      </c>
      <c r="I643" s="120">
        <f t="shared" si="135"/>
        <v>629901</v>
      </c>
    </row>
    <row r="644" spans="1:9" ht="94.5" hidden="1" x14ac:dyDescent="0.25">
      <c r="A644" s="772" t="str">
        <f>IF(B644&gt;0,VLOOKUP(B644,КВСР!A209:B1374,2),IF(C644&gt;0,VLOOKUP(C644,КФСР!A209:B1721,2),IF(D644&gt;0,VLOOKUP(D644,Программа!A$1:B$5110,2),IF(F644&gt;0,VLOOKUP(F644,КВР!A$1:B$5001,2),IF(E644&gt;0,VLOOKUP(E644,Направление!A$1:B$4783,2))))))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4" s="117"/>
      <c r="C644" s="112"/>
      <c r="D644" s="129"/>
      <c r="E644" s="130">
        <v>70430</v>
      </c>
      <c r="F644" s="125"/>
      <c r="G644" s="295"/>
      <c r="H644" s="284">
        <f t="shared" ref="H644:I644" si="145">H646+H645</f>
        <v>0</v>
      </c>
      <c r="I644" s="284">
        <f t="shared" si="145"/>
        <v>0</v>
      </c>
    </row>
    <row r="645" spans="1:9" ht="47.25" hidden="1" x14ac:dyDescent="0.25">
      <c r="A645" s="772" t="str">
        <f>IF(B645&gt;0,VLOOKUP(B645,КВСР!A210:B1375,2),IF(C645&gt;0,VLOOKUP(C645,КФСР!A210:B1722,2),IF(D645&gt;0,VLOOKUP(D645,Программа!A$1:B$5110,2),IF(F645&gt;0,VLOOKUP(F645,КВР!A$1:B$5001,2),IF(E645&gt;0,VLOOKUP(E645,Направление!A$1:B$4783,2))))))</f>
        <v xml:space="preserve">Закупка товаров, работ и услуг для обеспечения государственных (муниципальных) нужд
</v>
      </c>
      <c r="B645" s="117"/>
      <c r="C645" s="112"/>
      <c r="D645" s="129"/>
      <c r="E645" s="130"/>
      <c r="F645" s="125">
        <v>200</v>
      </c>
      <c r="G645" s="295"/>
      <c r="H645" s="284"/>
      <c r="I645" s="120">
        <f t="shared" si="135"/>
        <v>0</v>
      </c>
    </row>
    <row r="646" spans="1:9" ht="31.5" hidden="1" x14ac:dyDescent="0.25">
      <c r="A646" s="772" t="str">
        <f>IF(B646&gt;0,VLOOKUP(B646,КВСР!A210:B1375,2),IF(C646&gt;0,VLOOKUP(C646,КФСР!A210:B1722,2),IF(D646&gt;0,VLOOKUP(D646,Программа!A$1:B$5110,2),IF(F646&gt;0,VLOOKUP(F646,КВР!A$1:B$5001,2),IF(E646&gt;0,VLOOKUP(E646,Направление!A$1:B$4783,2))))))</f>
        <v>Социальное обеспечение и иные выплаты населению</v>
      </c>
      <c r="B646" s="117"/>
      <c r="C646" s="112"/>
      <c r="D646" s="132"/>
      <c r="E646" s="130"/>
      <c r="F646" s="125">
        <v>300</v>
      </c>
      <c r="G646" s="295"/>
      <c r="H646" s="284"/>
      <c r="I646" s="120">
        <f t="shared" si="135"/>
        <v>0</v>
      </c>
    </row>
    <row r="647" spans="1:9" ht="78.75" x14ac:dyDescent="0.25">
      <c r="A647" s="772" t="str">
        <f>IF(B647&gt;0,VLOOKUP(B647,КВСР!A211:B1376,2),IF(C647&gt;0,VLOOKUP(C647,КФСР!A211:B1723,2),IF(D647&gt;0,VLOOKUP(D647,Программа!A$1:B$5110,2),IF(F647&gt;0,VLOOKUP(F647,КВР!A$1:B$5001,2),IF(E647&gt;0,VLOOKUP(E647,Направление!A$1:B$4783,2))))))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7" s="117"/>
      <c r="C647" s="112"/>
      <c r="D647" s="129"/>
      <c r="E647" s="130">
        <v>70460</v>
      </c>
      <c r="F647" s="125"/>
      <c r="G647" s="295"/>
      <c r="H647" s="284">
        <f>H648+H649</f>
        <v>31124721</v>
      </c>
      <c r="I647" s="120">
        <f t="shared" si="135"/>
        <v>31124721</v>
      </c>
    </row>
    <row r="648" spans="1:9" ht="47.25" x14ac:dyDescent="0.25">
      <c r="A648" s="772" t="str">
        <f>IF(B648&gt;0,VLOOKUP(B648,КВСР!A212:B1377,2),IF(C648&gt;0,VLOOKUP(C648,КФСР!A212:B1724,2),IF(D648&gt;0,VLOOKUP(D648,Программа!A$1:B$5110,2),IF(F648&gt;0,VLOOKUP(F648,КВР!A$1:B$5001,2),IF(E648&gt;0,VLOOKUP(E648,Направление!A$1:B$4783,2))))))</f>
        <v xml:space="preserve">Закупка товаров, работ и услуг для обеспечения государственных (муниципальных) нужд
</v>
      </c>
      <c r="B648" s="117"/>
      <c r="C648" s="112"/>
      <c r="D648" s="132"/>
      <c r="E648" s="130"/>
      <c r="F648" s="125">
        <v>200</v>
      </c>
      <c r="G648" s="295"/>
      <c r="H648" s="284">
        <f>51745+44161</f>
        <v>95906</v>
      </c>
      <c r="I648" s="120">
        <f t="shared" si="135"/>
        <v>95906</v>
      </c>
    </row>
    <row r="649" spans="1:9" ht="31.5" x14ac:dyDescent="0.25">
      <c r="A649" s="772" t="str">
        <f>IF(B649&gt;0,VLOOKUP(B649,КВСР!A213:B1378,2),IF(C649&gt;0,VLOOKUP(C649,КФСР!A213:B1725,2),IF(D649&gt;0,VLOOKUP(D649,Программа!A$1:B$5110,2),IF(F649&gt;0,VLOOKUP(F649,КВР!A$1:B$5001,2),IF(E649&gt;0,VLOOKUP(E649,Направление!A$1:B$4783,2))))))</f>
        <v>Социальное обеспечение и иные выплаты населению</v>
      </c>
      <c r="B649" s="117"/>
      <c r="C649" s="112"/>
      <c r="D649" s="132"/>
      <c r="E649" s="130"/>
      <c r="F649" s="125">
        <v>300</v>
      </c>
      <c r="G649" s="295"/>
      <c r="H649" s="284">
        <f>10348872+8832169+11847774</f>
        <v>31028815</v>
      </c>
      <c r="I649" s="120">
        <f t="shared" si="135"/>
        <v>31028815</v>
      </c>
    </row>
    <row r="650" spans="1:9" ht="47.25" x14ac:dyDescent="0.25">
      <c r="A650" s="772" t="str">
        <f>IF(B650&gt;0,VLOOKUP(B650,КВСР!A214:B1379,2),IF(C650&gt;0,VLOOKUP(C650,КФСР!A214:B1726,2),IF(D650&gt;0,VLOOKUP(D650,Программа!A$1:B$5110,2),IF(F650&gt;0,VLOOKUP(F650,КВР!A$1:B$5001,2),IF(E650&gt;0,VLOOKUP(E650,Направление!A$1:B$4783,2))))))</f>
        <v>Государственная поддержка опеки и попечительства за счет средств областного бюджета</v>
      </c>
      <c r="B650" s="117"/>
      <c r="C650" s="112"/>
      <c r="D650" s="129"/>
      <c r="E650" s="130">
        <v>70500</v>
      </c>
      <c r="F650" s="125"/>
      <c r="G650" s="295"/>
      <c r="H650" s="284">
        <f>H652+H653+H654+H651</f>
        <v>4369027</v>
      </c>
      <c r="I650" s="120">
        <f t="shared" si="135"/>
        <v>4369027</v>
      </c>
    </row>
    <row r="651" spans="1:9" ht="94.5" hidden="1" x14ac:dyDescent="0.25">
      <c r="A651" s="772" t="str">
        <f>IF(B651&gt;0,VLOOKUP(B651,КВСР!A215:B1380,2),IF(C651&gt;0,VLOOKUP(C651,КФСР!A215:B1727,2),IF(D651&gt;0,VLOOKUP(D651,Программа!A$1:B$5110,2),IF(F651&gt;0,VLOOKUP(F651,КВР!A$1:B$5001,2),IF(E651&gt;0,VLOOKUP(E651,Направление!A$1:B$4783,2))))))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17"/>
      <c r="C651" s="112"/>
      <c r="D651" s="129"/>
      <c r="E651" s="130"/>
      <c r="F651" s="125">
        <v>100</v>
      </c>
      <c r="G651" s="295"/>
      <c r="H651" s="284"/>
      <c r="I651" s="120">
        <f t="shared" si="135"/>
        <v>0</v>
      </c>
    </row>
    <row r="652" spans="1:9" ht="47.25" x14ac:dyDescent="0.25">
      <c r="A652" s="772" t="str">
        <f>IF(B652&gt;0,VLOOKUP(B652,КВСР!A215:B1380,2),IF(C652&gt;0,VLOOKUP(C652,КФСР!A215:B1727,2),IF(D652&gt;0,VLOOKUP(D652,Программа!A$1:B$5110,2),IF(F652&gt;0,VLOOKUP(F652,КВР!A$1:B$5001,2),IF(E652&gt;0,VLOOKUP(E652,Направление!A$1:B$4783,2))))))</f>
        <v xml:space="preserve">Закупка товаров, работ и услуг для обеспечения государственных (муниципальных) нужд
</v>
      </c>
      <c r="B652" s="117"/>
      <c r="C652" s="112"/>
      <c r="D652" s="132"/>
      <c r="E652" s="130"/>
      <c r="F652" s="125">
        <v>200</v>
      </c>
      <c r="G652" s="295"/>
      <c r="H652" s="284">
        <v>5464</v>
      </c>
      <c r="I652" s="120">
        <f t="shared" si="135"/>
        <v>5464</v>
      </c>
    </row>
    <row r="653" spans="1:9" ht="31.5" x14ac:dyDescent="0.25">
      <c r="A653" s="772" t="str">
        <f>IF(B653&gt;0,VLOOKUP(B653,КВСР!A216:B1381,2),IF(C653&gt;0,VLOOKUP(C653,КФСР!A216:B1728,2),IF(D653&gt;0,VLOOKUP(D653,Программа!A$1:B$5110,2),IF(F653&gt;0,VLOOKUP(F653,КВР!A$1:B$5001,2),IF(E653&gt;0,VLOOKUP(E653,Направление!A$1:B$4783,2))))))</f>
        <v>Социальное обеспечение и иные выплаты населению</v>
      </c>
      <c r="B653" s="117"/>
      <c r="C653" s="112"/>
      <c r="D653" s="132"/>
      <c r="E653" s="130"/>
      <c r="F653" s="125">
        <v>300</v>
      </c>
      <c r="G653" s="295"/>
      <c r="H653" s="284">
        <f>599867+23267+288740+393322+1086611</f>
        <v>2391807</v>
      </c>
      <c r="I653" s="120">
        <f t="shared" si="135"/>
        <v>2391807</v>
      </c>
    </row>
    <row r="654" spans="1:9" ht="47.25" x14ac:dyDescent="0.25">
      <c r="A654" s="772" t="str">
        <f>IF(B654&gt;0,VLOOKUP(B654,КВСР!A217:B1382,2),IF(C654&gt;0,VLOOKUP(C654,КФСР!A217:B1729,2),IF(D654&gt;0,VLOOKUP(D654,Программа!A$1:B$5110,2),IF(F654&gt;0,VLOOKUP(F654,КВР!A$1:B$5001,2),IF(E654&gt;0,VLOOKUP(E654,Направление!A$1:B$4783,2))))))</f>
        <v>Предоставление субсидий бюджетным, автономным учреждениям и иным некоммерческим организациям</v>
      </c>
      <c r="B654" s="117"/>
      <c r="C654" s="112"/>
      <c r="D654" s="132"/>
      <c r="E654" s="130"/>
      <c r="F654" s="125">
        <v>600</v>
      </c>
      <c r="G654" s="295"/>
      <c r="H654" s="284">
        <v>1971756</v>
      </c>
      <c r="I654" s="120">
        <f t="shared" si="135"/>
        <v>1971756</v>
      </c>
    </row>
    <row r="655" spans="1:9" x14ac:dyDescent="0.25">
      <c r="A655" s="772" t="str">
        <f>IF(B655&gt;0,VLOOKUP(B655,КВСР!A218:B1383,2),IF(C655&gt;0,VLOOKUP(C655,КФСР!A218:B1730,2),IF(D655&gt;0,VLOOKUP(D655,Программа!A$1:B$5110,2),IF(F655&gt;0,VLOOKUP(F655,КВР!A$1:B$5001,2),IF(E655&gt;0,VLOOKUP(E655,Направление!A$1:B$4783,2))))))</f>
        <v>Обеспечение компенсационных выплат</v>
      </c>
      <c r="B655" s="117"/>
      <c r="C655" s="112"/>
      <c r="D655" s="113" t="s">
        <v>1156</v>
      </c>
      <c r="E655" s="130"/>
      <c r="F655" s="125"/>
      <c r="G655" s="295"/>
      <c r="H655" s="284">
        <f>H656</f>
        <v>11368236</v>
      </c>
      <c r="I655" s="120">
        <f t="shared" si="135"/>
        <v>11368236</v>
      </c>
    </row>
    <row r="656" spans="1:9" ht="94.5" x14ac:dyDescent="0.25">
      <c r="A656" s="772" t="str">
        <f>IF(B656&gt;0,VLOOKUP(B656,КВСР!A207:B1372,2),IF(C656&gt;0,VLOOKUP(C656,КФСР!A207:B1719,2),IF(D656&gt;0,VLOOKUP(D656,Программа!A$1:B$5110,2),IF(F656&gt;0,VLOOKUP(F656,КВР!A$1:B$5001,2),IF(E656&gt;0,VLOOKUP(E656,Направление!A$1:B$4783,2))))))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6" s="117"/>
      <c r="C656" s="112"/>
      <c r="D656" s="129"/>
      <c r="E656" s="130">
        <v>70430</v>
      </c>
      <c r="F656" s="125"/>
      <c r="G656" s="295"/>
      <c r="H656" s="284">
        <f>H657+H658</f>
        <v>11368236</v>
      </c>
      <c r="I656" s="120">
        <f t="shared" si="135"/>
        <v>11368236</v>
      </c>
    </row>
    <row r="657" spans="1:9" ht="47.25" x14ac:dyDescent="0.25">
      <c r="A657" s="772" t="str">
        <f>IF(B657&gt;0,VLOOKUP(B657,КВСР!A208:B1373,2),IF(C657&gt;0,VLOOKUP(C657,КФСР!A208:B1720,2),IF(D657&gt;0,VLOOKUP(D657,Программа!A$1:B$5110,2),IF(F657&gt;0,VLOOKUP(F657,КВР!A$1:B$5001,2),IF(E657&gt;0,VLOOKUP(E657,Направление!A$1:B$4783,2))))))</f>
        <v xml:space="preserve">Закупка товаров, работ и услуг для обеспечения государственных (муниципальных) нужд
</v>
      </c>
      <c r="B657" s="117"/>
      <c r="C657" s="112"/>
      <c r="D657" s="132"/>
      <c r="E657" s="130"/>
      <c r="F657" s="125">
        <v>200</v>
      </c>
      <c r="G657" s="277"/>
      <c r="H657" s="339">
        <v>168004</v>
      </c>
      <c r="I657" s="120">
        <f t="shared" si="135"/>
        <v>168004</v>
      </c>
    </row>
    <row r="658" spans="1:9" ht="31.5" x14ac:dyDescent="0.25">
      <c r="A658" s="772" t="str">
        <f>IF(B658&gt;0,VLOOKUP(B658,КВСР!A209:B1374,2),IF(C658&gt;0,VLOOKUP(C658,КФСР!A209:B1721,2),IF(D658&gt;0,VLOOKUP(D658,Программа!A$1:B$5110,2),IF(F658&gt;0,VLOOKUP(F658,КВР!A$1:B$5001,2),IF(E658&gt;0,VLOOKUP(E658,Направление!A$1:B$4783,2))))))</f>
        <v>Социальное обеспечение и иные выплаты населению</v>
      </c>
      <c r="B658" s="117"/>
      <c r="C658" s="112"/>
      <c r="D658" s="132"/>
      <c r="E658" s="130"/>
      <c r="F658" s="125">
        <v>300</v>
      </c>
      <c r="G658" s="277"/>
      <c r="H658" s="339">
        <v>11200232</v>
      </c>
      <c r="I658" s="120">
        <f t="shared" si="135"/>
        <v>11200232</v>
      </c>
    </row>
    <row r="659" spans="1:9" ht="31.5" hidden="1" x14ac:dyDescent="0.25">
      <c r="A659" s="775" t="str">
        <f>IF(B659&gt;0,VLOOKUP(B659,КВСР!A210:B1375,2),IF(C659&gt;0,VLOOKUP(C659,КФСР!A210:B1722,2),IF(D659&gt;0,VLOOKUP(D659,Программа!A$1:B$5110,2),IF(F659&gt;0,VLOOKUP(F659,КВР!A$1:B$5001,2),IF(E659&gt;0,VLOOKUP(E659,Направление!A$1:B$4783,2))))))</f>
        <v>Обеспечение эффективности управления системой образования</v>
      </c>
      <c r="B659" s="113"/>
      <c r="C659" s="113"/>
      <c r="D659" s="113" t="s">
        <v>1153</v>
      </c>
      <c r="E659" s="129"/>
      <c r="F659" s="125"/>
      <c r="G659" s="277"/>
      <c r="H659" s="339">
        <f t="shared" ref="H659:I660" si="146">H660</f>
        <v>0</v>
      </c>
      <c r="I659" s="277">
        <f t="shared" si="146"/>
        <v>0</v>
      </c>
    </row>
    <row r="660" spans="1:9" ht="63" hidden="1" x14ac:dyDescent="0.25">
      <c r="A660" s="775" t="str">
        <f>IF(B660&gt;0,VLOOKUP(B660,КВСР!A211:B1376,2),IF(C660&gt;0,VLOOKUP(C660,КФСР!A211:B1723,2),IF(D660&gt;0,VLOOKUP(D660,Программа!A$1:B$5110,2),IF(F660&gt;0,VLOOKUP(F660,КВР!A$1:B$5001,2),IF(E660&gt;0,VLOOKUP(E660,Направление!A$1:B$4783,2))))))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60" s="113"/>
      <c r="C660" s="113"/>
      <c r="D660" s="129"/>
      <c r="E660" s="113" t="s">
        <v>1281</v>
      </c>
      <c r="F660" s="125"/>
      <c r="G660" s="277"/>
      <c r="H660" s="339">
        <f t="shared" si="146"/>
        <v>0</v>
      </c>
      <c r="I660" s="277">
        <f t="shared" si="146"/>
        <v>0</v>
      </c>
    </row>
    <row r="661" spans="1:9" ht="94.5" hidden="1" x14ac:dyDescent="0.25">
      <c r="A661" s="775" t="str">
        <f>IF(B661&gt;0,VLOOKUP(B661,КВСР!A212:B1377,2),IF(C661&gt;0,VLOOKUP(C661,КФСР!A212:B1724,2),IF(D661&gt;0,VLOOKUP(D661,Программа!A$1:B$5110,2),IF(F661&gt;0,VLOOKUP(F661,КВР!A$1:B$5001,2),IF(E661&gt;0,VLOOKUP(E661,Направление!A$1:B$4783,2))))))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1" s="113"/>
      <c r="C661" s="113"/>
      <c r="D661" s="129"/>
      <c r="E661" s="129"/>
      <c r="F661" s="125">
        <v>100</v>
      </c>
      <c r="G661" s="277"/>
      <c r="H661" s="339"/>
      <c r="I661" s="120">
        <f>G661+H661</f>
        <v>0</v>
      </c>
    </row>
    <row r="662" spans="1:9" s="133" customFormat="1" x14ac:dyDescent="0.25">
      <c r="A662" s="772" t="str">
        <f>IF(B662&gt;0,VLOOKUP(B662,КВСР!A228:B1393,2),IF(C662&gt;0,VLOOKUP(C662,КФСР!A228:B1740,2),IF(D662&gt;0,VLOOKUP(D662,Программа!A$1:B$5110,2),IF(F662&gt;0,VLOOKUP(F662,КВР!A$1:B$5001,2),IF(E662&gt;0,VLOOKUP(E662,Направление!A$1:B$4783,2))))))</f>
        <v>Массовый спорт</v>
      </c>
      <c r="B662" s="123"/>
      <c r="C662" s="124">
        <v>1102</v>
      </c>
      <c r="D662" s="113"/>
      <c r="E662" s="112"/>
      <c r="F662" s="114"/>
      <c r="G662" s="277"/>
      <c r="H662" s="339">
        <f>H674+H663+H688</f>
        <v>39782507</v>
      </c>
      <c r="I662" s="339">
        <f>I674+I663+I688</f>
        <v>39782507</v>
      </c>
    </row>
    <row r="663" spans="1:9" s="133" customFormat="1" ht="63" hidden="1" x14ac:dyDescent="0.25">
      <c r="A663" s="772" t="str">
        <f>IF(B663&gt;0,VLOOKUP(B663,КВСР!A229:B1394,2),IF(C663&gt;0,VLOOKUP(C663,КФСР!A229:B1741,2),IF(D663&gt;0,VLOOKUP(D663,Программа!A$1:B$5110,2),IF(F663&gt;0,VLOOKUP(F663,КВР!A$1:B$5001,2),IF(E663&gt;0,VLOOKUP(E663,Направление!A$1:B$4783,2))))))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663" s="123"/>
      <c r="C663" s="124"/>
      <c r="D663" s="113" t="s">
        <v>482</v>
      </c>
      <c r="E663" s="112"/>
      <c r="F663" s="114"/>
      <c r="G663" s="277"/>
      <c r="H663" s="339">
        <f>H665+H670</f>
        <v>0</v>
      </c>
      <c r="I663" s="120">
        <f t="shared" si="135"/>
        <v>0</v>
      </c>
    </row>
    <row r="664" spans="1:9" s="133" customFormat="1" ht="94.5" hidden="1" x14ac:dyDescent="0.25">
      <c r="A664" s="772" t="str">
        <f>IF(B664&gt;0,VLOOKUP(B664,КВСР!A230:B1395,2),IF(C664&gt;0,VLOOKUP(C664,КФСР!A230:B1742,2),IF(D664&gt;0,VLOOKUP(D664,Программа!A$1:B$5110,2),IF(F664&gt;0,VLOOKUP(F664,КВР!A$1:B$5001,2),IF(E664&gt;0,VLOOKUP(E664,Направление!A$1:B$4783,2))))))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4" s="123"/>
      <c r="C664" s="124"/>
      <c r="D664" s="113" t="s">
        <v>484</v>
      </c>
      <c r="E664" s="112"/>
      <c r="F664" s="114"/>
      <c r="G664" s="277"/>
      <c r="H664" s="339">
        <f t="shared" ref="H664:H666" si="147">H665</f>
        <v>0</v>
      </c>
      <c r="I664" s="120">
        <f t="shared" si="135"/>
        <v>0</v>
      </c>
    </row>
    <row r="665" spans="1:9" s="133" customFormat="1" ht="78.75" hidden="1" x14ac:dyDescent="0.25">
      <c r="A665" s="772" t="str">
        <f>IF(B665&gt;0,VLOOKUP(B665,КВСР!A231:B1396,2),IF(C665&gt;0,VLOOKUP(C665,КФСР!A231:B1743,2),IF(D665&gt;0,VLOOKUP(D665,Программа!A$1:B$5110,2),IF(F665&gt;0,VLOOKUP(F665,КВР!A$1:B$5001,2),IF(E665&gt;0,VLOOKUP(E665,Направление!A$1:B$4783,2))))))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5" s="123"/>
      <c r="C665" s="124"/>
      <c r="D665" s="113" t="s">
        <v>486</v>
      </c>
      <c r="E665" s="112"/>
      <c r="F665" s="114"/>
      <c r="G665" s="277"/>
      <c r="H665" s="339">
        <f t="shared" ref="H665:I665" si="148">H666+H668</f>
        <v>0</v>
      </c>
      <c r="I665" s="277">
        <f t="shared" si="148"/>
        <v>0</v>
      </c>
    </row>
    <row r="666" spans="1:9" s="133" customFormat="1" ht="31.5" hidden="1" x14ac:dyDescent="0.25">
      <c r="A666" s="772" t="str">
        <f>IF(B666&gt;0,VLOOKUP(B666,КВСР!A231:B1396,2),IF(C666&gt;0,VLOOKUP(C666,КФСР!A231:B1743,2),IF(D666&gt;0,VLOOKUP(D666,Программа!A$1:B$5110,2),IF(F666&gt;0,VLOOKUP(F666,КВР!A$1:B$5001,2),IF(E666&gt;0,VLOOKUP(E666,Направление!A$1:B$4783,2))))))</f>
        <v>Обеспечение деятельности учреждений спорта</v>
      </c>
      <c r="B666" s="123"/>
      <c r="C666" s="124"/>
      <c r="D666" s="113"/>
      <c r="E666" s="112">
        <v>14020</v>
      </c>
      <c r="F666" s="114"/>
      <c r="G666" s="277"/>
      <c r="H666" s="339">
        <f t="shared" si="147"/>
        <v>0</v>
      </c>
      <c r="I666" s="120">
        <f t="shared" si="135"/>
        <v>0</v>
      </c>
    </row>
    <row r="667" spans="1:9" s="133" customFormat="1" ht="47.25" hidden="1" x14ac:dyDescent="0.25">
      <c r="A667" s="772" t="str">
        <f>IF(B667&gt;0,VLOOKUP(B667,КВСР!A232:B1397,2),IF(C667&gt;0,VLOOKUP(C667,КФСР!A232:B1744,2),IF(D667&gt;0,VLOOKUP(D667,Программа!A$1:B$5110,2),IF(F667&gt;0,VLOOKUP(F667,КВР!A$1:B$5001,2),IF(E667&gt;0,VLOOKUP(E667,Направление!A$1:B$4783,2))))))</f>
        <v>Предоставление субсидий бюджетным, автономным учреждениям и иным некоммерческим организациям</v>
      </c>
      <c r="B667" s="123"/>
      <c r="C667" s="124"/>
      <c r="D667" s="113"/>
      <c r="E667" s="112"/>
      <c r="F667" s="114">
        <v>600</v>
      </c>
      <c r="G667" s="277"/>
      <c r="H667" s="339"/>
      <c r="I667" s="120">
        <f t="shared" si="135"/>
        <v>0</v>
      </c>
    </row>
    <row r="668" spans="1:9" s="133" customFormat="1" ht="31.5" hidden="1" x14ac:dyDescent="0.25">
      <c r="A668" s="772" t="str">
        <f>IF(B668&gt;0,VLOOKUP(B668,КВСР!A233:B1398,2),IF(C668&gt;0,VLOOKUP(C668,КФСР!A233:B1745,2),IF(D668&gt;0,VLOOKUP(D668,Программа!A$1:B$5110,2),IF(F668&gt;0,VLOOKUP(F668,КВР!A$1:B$5001,2),IF(E668&gt;0,VLOOKUP(E668,Направление!A$1:B$4783,2))))))</f>
        <v>Мероприятия по патриотическому воспитанию граждан</v>
      </c>
      <c r="B668" s="123"/>
      <c r="C668" s="124"/>
      <c r="D668" s="113"/>
      <c r="E668" s="112">
        <v>74880</v>
      </c>
      <c r="F668" s="114"/>
      <c r="G668" s="277"/>
      <c r="H668" s="339">
        <f t="shared" ref="H668:I668" si="149">H669</f>
        <v>0</v>
      </c>
      <c r="I668" s="277">
        <f t="shared" si="149"/>
        <v>0</v>
      </c>
    </row>
    <row r="669" spans="1:9" s="133" customFormat="1" ht="47.25" hidden="1" x14ac:dyDescent="0.25">
      <c r="A669" s="772" t="str">
        <f>IF(B669&gt;0,VLOOKUP(B669,КВСР!A234:B1399,2),IF(C669&gt;0,VLOOKUP(C669,КФСР!A234:B1746,2),IF(D669&gt;0,VLOOKUP(D669,Программа!A$1:B$5110,2),IF(F669&gt;0,VLOOKUP(F669,КВР!A$1:B$5001,2),IF(E669&gt;0,VLOOKUP(E669,Направление!A$1:B$4783,2))))))</f>
        <v>Предоставление субсидий бюджетным, автономным учреждениям и иным некоммерческим организациям</v>
      </c>
      <c r="B669" s="123"/>
      <c r="C669" s="124"/>
      <c r="D669" s="113"/>
      <c r="E669" s="112"/>
      <c r="F669" s="114">
        <v>600</v>
      </c>
      <c r="G669" s="277"/>
      <c r="H669" s="339"/>
      <c r="I669" s="120">
        <f t="shared" si="135"/>
        <v>0</v>
      </c>
    </row>
    <row r="670" spans="1:9" s="133" customFormat="1" ht="63" hidden="1" x14ac:dyDescent="0.25">
      <c r="A670" s="772" t="str">
        <f>IF(B670&gt;0,VLOOKUP(B670,КВСР!A233:B1398,2),IF(C670&gt;0,VLOOKUP(C670,КФСР!A233:B1745,2),IF(D670&gt;0,VLOOKUP(D670,Программа!A$1:B$5110,2),IF(F670&gt;0,VLOOKUP(F670,КВР!A$1:B$5001,2),IF(E670&gt;0,VLOOKUP(E670,Направление!A$1:B$4783,2))))))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0" s="123"/>
      <c r="C670" s="124"/>
      <c r="D670" s="113" t="s">
        <v>489</v>
      </c>
      <c r="E670" s="112"/>
      <c r="F670" s="114"/>
      <c r="G670" s="277"/>
      <c r="H670" s="339">
        <f t="shared" ref="H670:H672" si="150">H671</f>
        <v>0</v>
      </c>
      <c r="I670" s="120">
        <f t="shared" si="135"/>
        <v>0</v>
      </c>
    </row>
    <row r="671" spans="1:9" s="133" customFormat="1" ht="47.25" hidden="1" x14ac:dyDescent="0.25">
      <c r="A671" s="772" t="str">
        <f>IF(B671&gt;0,VLOOKUP(B671,КВСР!A234:B1399,2),IF(C671&gt;0,VLOOKUP(C671,КФСР!A234:B1746,2),IF(D671&gt;0,VLOOKUP(D671,Программа!A$1:B$5110,2),IF(F671&gt;0,VLOOKUP(F671,КВР!A$1:B$5001,2),IF(E671&gt;0,VLOOKUP(E671,Направление!A$1:B$4783,2))))))</f>
        <v>Развитие системы профилактики немедицинского потребления наркотиков</v>
      </c>
      <c r="B671" s="123"/>
      <c r="C671" s="124"/>
      <c r="D671" s="113" t="s">
        <v>491</v>
      </c>
      <c r="E671" s="112"/>
      <c r="F671" s="114"/>
      <c r="G671" s="277"/>
      <c r="H671" s="339">
        <f t="shared" si="150"/>
        <v>0</v>
      </c>
      <c r="I671" s="120">
        <f t="shared" si="135"/>
        <v>0</v>
      </c>
    </row>
    <row r="672" spans="1:9" s="133" customFormat="1" ht="31.5" hidden="1" x14ac:dyDescent="0.25">
      <c r="A672" s="772" t="str">
        <f>IF(B672&gt;0,VLOOKUP(B672,КВСР!A235:B1400,2),IF(C672&gt;0,VLOOKUP(C672,КФСР!A235:B1747,2),IF(D672&gt;0,VLOOKUP(D672,Программа!A$1:B$5110,2),IF(F672&gt;0,VLOOKUP(F672,КВР!A$1:B$5001,2),IF(E672&gt;0,VLOOKUP(E672,Направление!A$1:B$4783,2))))))</f>
        <v>Обеспечение деятельности учреждений спорта</v>
      </c>
      <c r="B672" s="123"/>
      <c r="C672" s="124"/>
      <c r="D672" s="113"/>
      <c r="E672" s="112">
        <v>14020</v>
      </c>
      <c r="F672" s="114"/>
      <c r="G672" s="277"/>
      <c r="H672" s="339">
        <f t="shared" si="150"/>
        <v>0</v>
      </c>
      <c r="I672" s="120">
        <f t="shared" si="135"/>
        <v>0</v>
      </c>
    </row>
    <row r="673" spans="1:9" s="133" customFormat="1" ht="47.25" hidden="1" x14ac:dyDescent="0.25">
      <c r="A673" s="772" t="str">
        <f>IF(B673&gt;0,VLOOKUP(B673,КВСР!A238:B1403,2),IF(C673&gt;0,VLOOKUP(C673,КФСР!A238:B1750,2),IF(D673&gt;0,VLOOKUP(D673,Программа!A$1:B$5110,2),IF(F673&gt;0,VLOOKUP(F673,КВР!A$1:B$5001,2),IF(E673&gt;0,VLOOKUP(E673,Направление!A$1:B$4783,2))))))</f>
        <v>Предоставление субсидий бюджетным, автономным учреждениям и иным некоммерческим организациям</v>
      </c>
      <c r="B673" s="123"/>
      <c r="C673" s="124"/>
      <c r="D673" s="113"/>
      <c r="E673" s="112"/>
      <c r="F673" s="114">
        <v>600</v>
      </c>
      <c r="G673" s="277"/>
      <c r="H673" s="339"/>
      <c r="I673" s="120">
        <f t="shared" si="135"/>
        <v>0</v>
      </c>
    </row>
    <row r="674" spans="1:9" s="133" customFormat="1" ht="63" x14ac:dyDescent="0.25">
      <c r="A674" s="772" t="str">
        <f>IF(B674&gt;0,VLOOKUP(B674,КВСР!A229:B1394,2),IF(C674&gt;0,VLOOKUP(C674,КФСР!A229:B1741,2),IF(D674&gt;0,VLOOKUP(D674,Программа!A$1:B$5110,2),IF(F674&gt;0,VLOOKUP(F674,КВР!A$1:B$5001,2),IF(E674&gt;0,VLOOKUP(E674,Направление!A$1:B$4783,2))))))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74" s="123"/>
      <c r="C674" s="124"/>
      <c r="D674" s="113" t="s">
        <v>452</v>
      </c>
      <c r="E674" s="112"/>
      <c r="F674" s="114"/>
      <c r="G674" s="277"/>
      <c r="H674" s="339">
        <f>H675</f>
        <v>39782507</v>
      </c>
      <c r="I674" s="120">
        <f t="shared" si="135"/>
        <v>39782507</v>
      </c>
    </row>
    <row r="675" spans="1:9" s="133" customFormat="1" ht="47.25" x14ac:dyDescent="0.25">
      <c r="A675" s="772" t="str">
        <f>IF(B675&gt;0,VLOOKUP(B675,КВСР!A230:B1395,2),IF(C675&gt;0,VLOOKUP(C675,КФСР!A230:B1742,2),IF(D675&gt;0,VLOOKUP(D675,Программа!A$1:B$5110,2),IF(F675&gt;0,VLOOKUP(F675,КВР!A$1:B$5001,2),IF(E675&gt;0,VLOOKUP(E675,Направление!A$1:B$4783,2))))))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675" s="123"/>
      <c r="C675" s="124"/>
      <c r="D675" s="113" t="s">
        <v>472</v>
      </c>
      <c r="E675" s="112"/>
      <c r="F675" s="114"/>
      <c r="G675" s="277"/>
      <c r="H675" s="339">
        <f>H676+H685</f>
        <v>39782507</v>
      </c>
      <c r="I675" s="120">
        <f t="shared" si="135"/>
        <v>39782507</v>
      </c>
    </row>
    <row r="676" spans="1:9" s="133" customFormat="1" ht="94.5" x14ac:dyDescent="0.25">
      <c r="A676" s="772" t="str">
        <f>IF(B676&gt;0,VLOOKUP(B676,КВСР!A231:B1396,2),IF(C676&gt;0,VLOOKUP(C676,КФСР!A231:B1743,2),IF(D676&gt;0,VLOOKUP(D676,Программа!A$1:B$5110,2),IF(F676&gt;0,VLOOKUP(F676,КВР!A$1:B$5001,2),IF(E676&gt;0,VLOOKUP(E676,Направление!A$1:B$4783,2))))))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6" s="123"/>
      <c r="C676" s="124"/>
      <c r="D676" s="113" t="s">
        <v>528</v>
      </c>
      <c r="E676" s="112"/>
      <c r="F676" s="114"/>
      <c r="G676" s="277"/>
      <c r="H676" s="339">
        <f>H679+H683+H681+H677</f>
        <v>39782507</v>
      </c>
      <c r="I676" s="277">
        <f>I679+I683+I681+I677</f>
        <v>39782507</v>
      </c>
    </row>
    <row r="677" spans="1:9" s="133" customFormat="1" ht="31.5" hidden="1" x14ac:dyDescent="0.25">
      <c r="A677" s="772" t="str">
        <f>IF(B677&gt;0,VLOOKUP(B677,КВСР!A232:B1397,2),IF(C677&gt;0,VLOOKUP(C677,КФСР!A232:B1744,2),IF(D677&gt;0,VLOOKUP(D677,Программа!A$1:B$5110,2),IF(F677&gt;0,VLOOKUP(F677,КВР!A$1:B$5001,2),IF(E677&gt;0,VLOOKUP(E677,Направление!A$1:B$4783,2))))))</f>
        <v>Мероприятия в области спорта и физической культуры</v>
      </c>
      <c r="B677" s="123"/>
      <c r="C677" s="124"/>
      <c r="D677" s="113"/>
      <c r="E677" s="112">
        <v>14010</v>
      </c>
      <c r="F677" s="114"/>
      <c r="G677" s="277"/>
      <c r="H677" s="339">
        <f t="shared" ref="H677:I677" si="151">H678</f>
        <v>0</v>
      </c>
      <c r="I677" s="277">
        <f t="shared" si="151"/>
        <v>0</v>
      </c>
    </row>
    <row r="678" spans="1:9" s="133" customFormat="1" ht="47.25" hidden="1" x14ac:dyDescent="0.25">
      <c r="A678" s="772" t="str">
        <f>IF(B678&gt;0,VLOOKUP(B678,КВСР!A233:B1398,2),IF(C678&gt;0,VLOOKUP(C678,КФСР!A233:B1745,2),IF(D678&gt;0,VLOOKUP(D678,Программа!A$1:B$5110,2),IF(F678&gt;0,VLOOKUP(F678,КВР!A$1:B$5001,2),IF(E678&gt;0,VLOOKUP(E678,Направление!A$1:B$4783,2))))))</f>
        <v>Предоставление субсидий бюджетным, автономным учреждениям и иным некоммерческим организациям</v>
      </c>
      <c r="B678" s="123"/>
      <c r="C678" s="124"/>
      <c r="D678" s="113"/>
      <c r="E678" s="112"/>
      <c r="F678" s="114">
        <v>600</v>
      </c>
      <c r="G678" s="277"/>
      <c r="H678" s="339"/>
      <c r="I678" s="277">
        <f>G678+H678</f>
        <v>0</v>
      </c>
    </row>
    <row r="679" spans="1:9" s="133" customFormat="1" ht="31.5" x14ac:dyDescent="0.25">
      <c r="A679" s="772" t="str">
        <f>IF(B679&gt;0,VLOOKUP(B679,КВСР!A232:B1397,2),IF(C679&gt;0,VLOOKUP(C679,КФСР!A232:B1744,2),IF(D679&gt;0,VLOOKUP(D679,Программа!A$1:B$5110,2),IF(F679&gt;0,VLOOKUP(F679,КВР!A$1:B$5001,2),IF(E679&gt;0,VLOOKUP(E679,Направление!A$1:B$4783,2))))))</f>
        <v>Обеспечение деятельности учреждений спорта</v>
      </c>
      <c r="B679" s="123"/>
      <c r="C679" s="124"/>
      <c r="D679" s="113"/>
      <c r="E679" s="112">
        <v>14020</v>
      </c>
      <c r="F679" s="114"/>
      <c r="G679" s="295"/>
      <c r="H679" s="284">
        <f>H680</f>
        <v>39782507</v>
      </c>
      <c r="I679" s="120">
        <f t="shared" ref="I679:I761" si="152">SUM(G679:H679)</f>
        <v>39782507</v>
      </c>
    </row>
    <row r="680" spans="1:9" s="133" customFormat="1" ht="47.25" x14ac:dyDescent="0.25">
      <c r="A680" s="772" t="str">
        <f>IF(B680&gt;0,VLOOKUP(B680,КВСР!A233:B1398,2),IF(C680&gt;0,VLOOKUP(C680,КФСР!A233:B1745,2),IF(D680&gt;0,VLOOKUP(D680,Программа!A$1:B$5110,2),IF(F680&gt;0,VLOOKUP(F680,КВР!A$1:B$5001,2),IF(E680&gt;0,VLOOKUP(E680,Направление!A$1:B$4783,2))))))</f>
        <v>Предоставление субсидий бюджетным, автономным учреждениям и иным некоммерческим организациям</v>
      </c>
      <c r="B680" s="123"/>
      <c r="C680" s="124"/>
      <c r="D680" s="113"/>
      <c r="E680" s="112"/>
      <c r="F680" s="114">
        <v>600</v>
      </c>
      <c r="G680" s="277"/>
      <c r="H680" s="339">
        <v>39782507</v>
      </c>
      <c r="I680" s="120">
        <f t="shared" si="152"/>
        <v>39782507</v>
      </c>
    </row>
    <row r="681" spans="1:9" s="133" customFormat="1" ht="31.5" hidden="1" x14ac:dyDescent="0.25">
      <c r="A681" s="772" t="str">
        <f>IF(B681&gt;0,VLOOKUP(B681,КВСР!A234:B1399,2),IF(C681&gt;0,VLOOKUP(C681,КФСР!A234:B1746,2),IF(D681&gt;0,VLOOKUP(D681,Программа!A$1:B$5110,2),IF(F681&gt;0,VLOOKUP(F681,КВР!A$1:B$5001,2),IF(E681&gt;0,VLOOKUP(E681,Направление!A$1:B$4783,2))))))</f>
        <v>Обеспечение  физкультурно-спортивных мероприятий</v>
      </c>
      <c r="B681" s="123"/>
      <c r="C681" s="124"/>
      <c r="D681" s="113"/>
      <c r="E681" s="112">
        <v>29226</v>
      </c>
      <c r="F681" s="114"/>
      <c r="G681" s="277"/>
      <c r="H681" s="339">
        <f t="shared" ref="H681:I681" si="153">H682</f>
        <v>0</v>
      </c>
      <c r="I681" s="277">
        <f t="shared" si="153"/>
        <v>0</v>
      </c>
    </row>
    <row r="682" spans="1:9" s="133" customFormat="1" ht="47.25" hidden="1" x14ac:dyDescent="0.25">
      <c r="A682" s="772" t="str">
        <f>IF(B682&gt;0,VLOOKUP(B682,КВСР!A235:B1400,2),IF(C682&gt;0,VLOOKUP(C682,КФСР!A235:B1747,2),IF(D682&gt;0,VLOOKUP(D682,Программа!A$1:B$5110,2),IF(F682&gt;0,VLOOKUP(F682,КВР!A$1:B$5001,2),IF(E682&gt;0,VLOOKUP(E682,Направление!A$1:B$4783,2))))))</f>
        <v>Предоставление субсидий бюджетным, автономным учреждениям и иным некоммерческим организациям</v>
      </c>
      <c r="B682" s="123"/>
      <c r="C682" s="124"/>
      <c r="D682" s="113"/>
      <c r="E682" s="112"/>
      <c r="F682" s="114">
        <v>600</v>
      </c>
      <c r="G682" s="277"/>
      <c r="H682" s="339"/>
      <c r="I682" s="120">
        <f>G682+H682</f>
        <v>0</v>
      </c>
    </row>
    <row r="683" spans="1:9" s="133" customFormat="1" hidden="1" x14ac:dyDescent="0.25">
      <c r="A683" s="772" t="str">
        <f>IF(B683&gt;0,VLOOKUP(B683,КВСР!A234:B1399,2),IF(C683&gt;0,VLOOKUP(C683,КФСР!A234:B1746,2),IF(D683&gt;0,VLOOKUP(D683,Программа!A$1:B$5110,2),IF(F683&gt;0,VLOOKUP(F683,КВР!A$1:B$5001,2),IF(E683&gt;0,VLOOKUP(E683,Направление!A$1:B$4783,2))))))</f>
        <v xml:space="preserve">Иная дотация </v>
      </c>
      <c r="B683" s="123"/>
      <c r="C683" s="124"/>
      <c r="D683" s="113"/>
      <c r="E683" s="112">
        <v>73260</v>
      </c>
      <c r="F683" s="114"/>
      <c r="G683" s="277"/>
      <c r="H683" s="339">
        <f t="shared" ref="H683:I683" si="154">H684</f>
        <v>0</v>
      </c>
      <c r="I683" s="277">
        <f t="shared" si="154"/>
        <v>0</v>
      </c>
    </row>
    <row r="684" spans="1:9" s="133" customFormat="1" ht="47.25" hidden="1" x14ac:dyDescent="0.25">
      <c r="A684" s="772" t="str">
        <f>IF(B684&gt;0,VLOOKUP(B684,КВСР!A235:B1400,2),IF(C684&gt;0,VLOOKUP(C684,КФСР!A235:B1747,2),IF(D684&gt;0,VLOOKUP(D684,Программа!A$1:B$5110,2),IF(F684&gt;0,VLOOKUP(F684,КВР!A$1:B$5001,2),IF(E684&gt;0,VLOOKUP(E684,Направление!A$1:B$4783,2))))))</f>
        <v>Предоставление субсидий бюджетным, автономным учреждениям и иным некоммерческим организациям</v>
      </c>
      <c r="B684" s="123"/>
      <c r="C684" s="124"/>
      <c r="D684" s="113"/>
      <c r="E684" s="112"/>
      <c r="F684" s="114">
        <v>600</v>
      </c>
      <c r="G684" s="277"/>
      <c r="H684" s="339"/>
      <c r="I684" s="120">
        <f>G684+H684</f>
        <v>0</v>
      </c>
    </row>
    <row r="685" spans="1:9" s="133" customFormat="1" ht="47.25" hidden="1" x14ac:dyDescent="0.25">
      <c r="A685" s="772" t="str">
        <f>IF(B685&gt;0,VLOOKUP(B685,КВСР!A234:B1399,2),IF(C685&gt;0,VLOOKUP(C685,КФСР!A234:B1746,2),IF(D685&gt;0,VLOOKUP(D685,Программа!A$1:B$5110,2),IF(F685&gt;0,VLOOKUP(F685,КВР!A$1:B$5001,2),IF(E685&gt;0,VLOOKUP(E685,Направление!A$1:B$4783,2))))))</f>
        <v>Строительство и реконструкция спортивных сооружений и укрепление материальной базы</v>
      </c>
      <c r="B685" s="123"/>
      <c r="C685" s="124"/>
      <c r="D685" s="113" t="s">
        <v>473</v>
      </c>
      <c r="E685" s="112"/>
      <c r="F685" s="114"/>
      <c r="G685" s="277"/>
      <c r="H685" s="339">
        <f>H686</f>
        <v>0</v>
      </c>
      <c r="I685" s="120">
        <f t="shared" si="152"/>
        <v>0</v>
      </c>
    </row>
    <row r="686" spans="1:9" s="133" customFormat="1" ht="47.25" hidden="1" x14ac:dyDescent="0.25">
      <c r="A686" s="772" t="str">
        <f>IF(B686&gt;0,VLOOKUP(B686,КВСР!A235:B1400,2),IF(C686&gt;0,VLOOKUP(C686,КФСР!A235:B1747,2),IF(D686&gt;0,VLOOKUP(D686,Программа!A$1:B$5110,2),IF(F686&gt;0,VLOOKUP(F686,КВР!A$1:B$5001,2),IF(E686&gt;0,VLOOKUP(E686,Направление!A$1:B$4783,2))))))</f>
        <v>Мероприятия по строительству, реконструкции и ремонту спортивных объектов</v>
      </c>
      <c r="B686" s="123"/>
      <c r="C686" s="124"/>
      <c r="D686" s="113"/>
      <c r="E686" s="124">
        <v>14100</v>
      </c>
      <c r="F686" s="125"/>
      <c r="G686" s="277"/>
      <c r="H686" s="339">
        <f>H687</f>
        <v>0</v>
      </c>
      <c r="I686" s="120">
        <f t="shared" si="152"/>
        <v>0</v>
      </c>
    </row>
    <row r="687" spans="1:9" s="133" customFormat="1" ht="47.25" hidden="1" x14ac:dyDescent="0.25">
      <c r="A687" s="772" t="str">
        <f>IF(B687&gt;0,VLOOKUP(B687,КВСР!A236:B1401,2),IF(C687&gt;0,VLOOKUP(C687,КФСР!A236:B1748,2),IF(D687&gt;0,VLOOKUP(D687,Программа!A$1:B$5110,2),IF(F687&gt;0,VLOOKUP(F687,КВР!A$1:B$5001,2),IF(E687&gt;0,VLOOKUP(E687,Направление!A$1:B$4783,2))))))</f>
        <v>Предоставление субсидий бюджетным, автономным учреждениям и иным некоммерческим организациям</v>
      </c>
      <c r="B687" s="123"/>
      <c r="C687" s="124"/>
      <c r="D687" s="113"/>
      <c r="E687" s="124"/>
      <c r="F687" s="125">
        <v>600</v>
      </c>
      <c r="G687" s="277"/>
      <c r="H687" s="339"/>
      <c r="I687" s="120">
        <f t="shared" si="152"/>
        <v>0</v>
      </c>
    </row>
    <row r="688" spans="1:9" s="133" customFormat="1" ht="47.25" hidden="1" x14ac:dyDescent="0.25">
      <c r="A688" s="772" t="str">
        <f>IF(B688&gt;0,VLOOKUP(B688,КВСР!A237:B1402,2),IF(C688&gt;0,VLOOKUP(C688,КФСР!A237:B1749,2),IF(D688&gt;0,VLOOKUP(D688,Программа!A$1:B$5110,2),IF(F688&gt;0,VLOOKUP(F688,КВР!A$1:B$5001,2),IF(E688&gt;0,VLOOKUP(E688,Направление!A$1:B$4783,2))))))</f>
        <v>Муниципальная программа "Социальная поддержка населения Тутаевского муниципального района"</v>
      </c>
      <c r="B688" s="123"/>
      <c r="C688" s="124"/>
      <c r="D688" s="113" t="s">
        <v>461</v>
      </c>
      <c r="E688" s="124"/>
      <c r="F688" s="125"/>
      <c r="G688" s="277"/>
      <c r="H688" s="339">
        <f t="shared" ref="H688:I688" si="155">H689</f>
        <v>0</v>
      </c>
      <c r="I688" s="289">
        <f t="shared" si="155"/>
        <v>0</v>
      </c>
    </row>
    <row r="689" spans="1:9" s="133" customFormat="1" ht="47.25" hidden="1" x14ac:dyDescent="0.25">
      <c r="A689" s="772" t="str">
        <f>IF(B689&gt;0,VLOOKUP(B689,КВСР!A238:B1403,2),IF(C689&gt;0,VLOOKUP(C689,КФСР!A238:B1750,2),IF(D689&gt;0,VLOOKUP(D689,Программа!A$1:B$5110,2),IF(F689&gt;0,VLOOKUP(F689,КВР!A$1:B$5001,2),IF(E689&gt;0,VLOOKUP(E689,Направление!A$1:B$4783,2))))))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89" s="123"/>
      <c r="C689" s="124"/>
      <c r="D689" s="113" t="s">
        <v>463</v>
      </c>
      <c r="E689" s="124"/>
      <c r="F689" s="125"/>
      <c r="G689" s="277"/>
      <c r="H689" s="339">
        <f t="shared" ref="H689:I689" si="156">H690</f>
        <v>0</v>
      </c>
      <c r="I689" s="289">
        <f t="shared" si="156"/>
        <v>0</v>
      </c>
    </row>
    <row r="690" spans="1:9" s="133" customFormat="1" ht="63" hidden="1" x14ac:dyDescent="0.25">
      <c r="A690" s="772" t="str">
        <f>IF(B690&gt;0,VLOOKUP(B690,КВСР!A239:B1404,2),IF(C690&gt;0,VLOOKUP(C690,КФСР!A239:B1751,2),IF(D690&gt;0,VLOOKUP(D690,Программа!A$1:B$5110,2),IF(F690&gt;0,VLOOKUP(F690,КВР!A$1:B$5001,2),IF(E690&gt;0,VLOOKUP(E690,Направление!A$1:B$4783,2))))))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90" s="123"/>
      <c r="C690" s="124"/>
      <c r="D690" s="113" t="s">
        <v>464</v>
      </c>
      <c r="E690" s="124"/>
      <c r="F690" s="125"/>
      <c r="G690" s="277"/>
      <c r="H690" s="339">
        <f t="shared" ref="H690:I690" si="157">H691</f>
        <v>0</v>
      </c>
      <c r="I690" s="289">
        <f t="shared" si="157"/>
        <v>0</v>
      </c>
    </row>
    <row r="691" spans="1:9" s="133" customFormat="1" ht="31.5" hidden="1" x14ac:dyDescent="0.25">
      <c r="A691" s="772" t="str">
        <f>IF(B691&gt;0,VLOOKUP(B691,КВСР!A240:B1405,2),IF(C691&gt;0,VLOOKUP(C691,КФСР!A240:B1752,2),IF(D691&gt;0,VLOOKUP(D691,Программа!A$1:B$5110,2),IF(F691&gt;0,VLOOKUP(F691,КВР!A$1:B$5001,2),IF(E691&gt;0,VLOOKUP(E691,Направление!A$1:B$4783,2))))))</f>
        <v>Расходы на реализацию МЦП "Улучшение условий и охраны труда"</v>
      </c>
      <c r="B691" s="123"/>
      <c r="C691" s="124"/>
      <c r="D691" s="113"/>
      <c r="E691" s="124">
        <v>16150</v>
      </c>
      <c r="F691" s="125"/>
      <c r="G691" s="277"/>
      <c r="H691" s="339">
        <f t="shared" ref="H691:I691" si="158">H692</f>
        <v>0</v>
      </c>
      <c r="I691" s="289">
        <f t="shared" si="158"/>
        <v>0</v>
      </c>
    </row>
    <row r="692" spans="1:9" s="133" customFormat="1" ht="47.25" hidden="1" x14ac:dyDescent="0.25">
      <c r="A692" s="772" t="str">
        <f>IF(B692&gt;0,VLOOKUP(B692,КВСР!A241:B1406,2),IF(C692&gt;0,VLOOKUP(C692,КФСР!A241:B1753,2),IF(D692&gt;0,VLOOKUP(D692,Программа!A$1:B$5110,2),IF(F692&gt;0,VLOOKUP(F692,КВР!A$1:B$5001,2),IF(E692&gt;0,VLOOKUP(E692,Направление!A$1:B$4783,2))))))</f>
        <v>Предоставление субсидий бюджетным, автономным учреждениям и иным некоммерческим организациям</v>
      </c>
      <c r="B692" s="123"/>
      <c r="C692" s="124"/>
      <c r="D692" s="113"/>
      <c r="E692" s="124"/>
      <c r="F692" s="125">
        <v>600</v>
      </c>
      <c r="G692" s="277"/>
      <c r="H692" s="339"/>
      <c r="I692" s="120">
        <f>G692+H692</f>
        <v>0</v>
      </c>
    </row>
    <row r="693" spans="1:9" s="133" customFormat="1" ht="31.5" x14ac:dyDescent="0.25">
      <c r="A693" s="771" t="str">
        <f>IF(B693&gt;0,VLOOKUP(B693,КВСР!A236:B1401,2),IF(C693&gt;0,VLOOKUP(C693,КФСР!A236:B1748,2),IF(D693&gt;0,VLOOKUP(D693,Программа!A$1:B$5110,2),IF(F693&gt;0,VLOOKUP(F693,КВР!A$1:B$5001,2),IF(E693&gt;0,VLOOKUP(E693,Направление!A$1:B$4783,2))))))</f>
        <v>Департамент труда и соц. развития Администрации ТМР</v>
      </c>
      <c r="B693" s="111">
        <v>954</v>
      </c>
      <c r="C693" s="112"/>
      <c r="D693" s="113"/>
      <c r="E693" s="112"/>
      <c r="F693" s="114"/>
      <c r="G693" s="384"/>
      <c r="H693" s="338">
        <f>H694+H704+H713+H773+H808</f>
        <v>460063617</v>
      </c>
      <c r="I693" s="341">
        <f t="shared" si="152"/>
        <v>460063617</v>
      </c>
    </row>
    <row r="694" spans="1:9" s="133" customFormat="1" x14ac:dyDescent="0.25">
      <c r="A694" s="772" t="str">
        <f>IF(B694&gt;0,VLOOKUP(B694,КВСР!A241:B1406,2),IF(C694&gt;0,VLOOKUP(C694,КФСР!A241:B1753,2),IF(D694&gt;0,VLOOKUP(D694,Программа!A$1:B$5110,2),IF(F694&gt;0,VLOOKUP(F694,КВР!A$1:B$5001,2),IF(E694&gt;0,VLOOKUP(E694,Направление!A$1:B$4783,2))))))</f>
        <v>Пенсионное обеспечение</v>
      </c>
      <c r="B694" s="117"/>
      <c r="C694" s="112">
        <v>1001</v>
      </c>
      <c r="D694" s="113"/>
      <c r="E694" s="112"/>
      <c r="F694" s="114"/>
      <c r="G694" s="277"/>
      <c r="H694" s="339">
        <f>H695</f>
        <v>5227080</v>
      </c>
      <c r="I694" s="120">
        <f t="shared" si="152"/>
        <v>5227080</v>
      </c>
    </row>
    <row r="695" spans="1:9" s="133" customFormat="1" ht="47.25" x14ac:dyDescent="0.25">
      <c r="A695" s="772" t="str">
        <f>IF(B695&gt;0,VLOOKUP(B695,КВСР!A242:B1407,2),IF(C695&gt;0,VLOOKUP(C695,КФСР!A242:B1754,2),IF(D695&gt;0,VLOOKUP(D695,Программа!A$1:B$5110,2),IF(F695&gt;0,VLOOKUP(F695,КВР!A$1:B$5001,2),IF(E695&gt;0,VLOOKUP(E695,Направление!A$1:B$4783,2))))))</f>
        <v>Муниципальная программа "Социальная поддержка населения Тутаевского муниципального района"</v>
      </c>
      <c r="B695" s="117"/>
      <c r="C695" s="112"/>
      <c r="D695" s="126" t="s">
        <v>461</v>
      </c>
      <c r="E695" s="124"/>
      <c r="F695" s="114"/>
      <c r="G695" s="277"/>
      <c r="H695" s="339">
        <f>H697</f>
        <v>5227080</v>
      </c>
      <c r="I695" s="120">
        <f t="shared" si="152"/>
        <v>5227080</v>
      </c>
    </row>
    <row r="696" spans="1:9" s="133" customFormat="1" ht="47.25" x14ac:dyDescent="0.25">
      <c r="A696" s="772" t="str">
        <f>IF(B696&gt;0,VLOOKUP(B696,КВСР!A243:B1408,2),IF(C696&gt;0,VLOOKUP(C696,КФСР!A243:B1755,2),IF(D696&gt;0,VLOOKUP(D696,Программа!A$1:B$5110,2),IF(F696&gt;0,VLOOKUP(F696,КВР!A$1:B$5001,2),IF(E696&gt;0,VLOOKUP(E696,Направление!A$1:B$4783,2))))))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696" s="117"/>
      <c r="C696" s="112"/>
      <c r="D696" s="126" t="s">
        <v>533</v>
      </c>
      <c r="E696" s="124"/>
      <c r="F696" s="114"/>
      <c r="G696" s="277"/>
      <c r="H696" s="339">
        <f>H697</f>
        <v>5227080</v>
      </c>
      <c r="I696" s="120">
        <f t="shared" si="152"/>
        <v>5227080</v>
      </c>
    </row>
    <row r="697" spans="1:9" s="133" customFormat="1" ht="47.25" x14ac:dyDescent="0.25">
      <c r="A697" s="772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IF(B697&gt;0,VLOOKUP(B697,КВСР!A244:B1409,2),IF(C697&gt;0,VLOOKUP(C697,КФСР!A244:B1756,2),IF(D697&gt;0,VLOOKUP(D697,Программа!A$1:B$5110,2),IF(F697&gt;0,VLOOKUP(F697,КВР!A$1:B$5001,2),IF(E697&gt;0,VLOOKUP(E697,Направление!A$1:B$4783,2))))))</f>
        <v>Исполнение публичных обязательств по предоставлению выплат, пособий и компенсаций</v>
      </c>
      <c r="B697" s="117"/>
      <c r="C697" s="112"/>
      <c r="D697" s="126" t="s">
        <v>535</v>
      </c>
      <c r="E697" s="124"/>
      <c r="F697" s="114"/>
      <c r="G697" s="277"/>
      <c r="H697" s="339">
        <f t="shared" ref="H697:I697" si="159">H698+H701</f>
        <v>5227080</v>
      </c>
      <c r="I697" s="277">
        <f t="shared" si="159"/>
        <v>5227080</v>
      </c>
    </row>
    <row r="698" spans="1:9" s="133" customFormat="1" ht="31.5" x14ac:dyDescent="0.25">
      <c r="A698" s="772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IF(B698&gt;0,VLOOKUP(B698,КВСР!A245:B1410,2),IF(C698&gt;0,VLOOKUP(C698,КФСР!A245:B1757,2),IF(D698&gt;0,VLOOKUP(D698,Программа!A$1:B$5110,2),IF(F698&gt;0,VLOOKUP(F698,КВР!A$1:B$5001,2),IF(E698&gt;0,VLOOKUP(E698,Направление!A$1:B$4783,2))))))</f>
        <v>Доплаты к пенсиям муниципальных служащих</v>
      </c>
      <c r="B698" s="117"/>
      <c r="C698" s="112"/>
      <c r="D698" s="113"/>
      <c r="E698" s="112">
        <v>16010</v>
      </c>
      <c r="F698" s="114"/>
      <c r="G698" s="277"/>
      <c r="H698" s="339">
        <f>H700+H699</f>
        <v>5227080</v>
      </c>
      <c r="I698" s="120">
        <f t="shared" si="152"/>
        <v>5227080</v>
      </c>
    </row>
    <row r="699" spans="1:9" s="133" customFormat="1" ht="47.25" x14ac:dyDescent="0.25">
      <c r="A699" s="772" t="str">
        <f>IF(B699&gt;0,VLOOKUP(B699,КВСР!A244:B1409,2),IF(C699&gt;0,VLOOKUP(C699,КФСР!A244:B1756,2),IF(D699&gt;0,VLOOKUP(D699,Программа!A$1:B$5110,2),IF(F699&gt;0,VLOOKUP(F699,КВР!A$1:B$5001,2),IF(E699&gt;0,VLOOKUP(E699,Направление!A$1:B$4783,2))))))</f>
        <v xml:space="preserve">Закупка товаров, работ и услуг для обеспечения государственных (муниципальных) нужд
</v>
      </c>
      <c r="B699" s="117"/>
      <c r="C699" s="112"/>
      <c r="D699" s="114"/>
      <c r="E699" s="112"/>
      <c r="F699" s="114">
        <v>200</v>
      </c>
      <c r="G699" s="277"/>
      <c r="H699" s="339">
        <v>67080</v>
      </c>
      <c r="I699" s="120">
        <f t="shared" si="152"/>
        <v>67080</v>
      </c>
    </row>
    <row r="700" spans="1:9" s="133" customFormat="1" ht="31.5" x14ac:dyDescent="0.25">
      <c r="A700" s="772" t="str">
        <f>IF(B700&gt;0,VLOOKUP(B700,КВСР!A244:B1409,2),IF(C700&gt;0,VLOOKUP(C700,КФСР!A244:B1756,2),IF(D700&gt;0,VLOOKUP(D700,Программа!A$1:B$5110,2),IF(F700&gt;0,VLOOKUP(F700,КВР!A$1:B$5001,2),IF(E700&gt;0,VLOOKUP(E700,Направление!A$1:B$4783,2))))))</f>
        <v>Социальное обеспечение и иные выплаты населению</v>
      </c>
      <c r="B700" s="117"/>
      <c r="C700" s="112"/>
      <c r="D700" s="114"/>
      <c r="E700" s="112"/>
      <c r="F700" s="114">
        <v>300</v>
      </c>
      <c r="G700" s="295"/>
      <c r="H700" s="284">
        <v>5160000</v>
      </c>
      <c r="I700" s="120">
        <f t="shared" si="152"/>
        <v>5160000</v>
      </c>
    </row>
    <row r="701" spans="1:9" s="133" customFormat="1" ht="31.5" hidden="1" x14ac:dyDescent="0.25">
      <c r="A701" s="772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IF(B701&gt;0,VLOOKUP(B701,КВСР!A245:B1410,2),IF(C701&gt;0,VLOOKUP(C701,КФСР!A245:B1757,2),IF(D701&gt;0,VLOOKUP(D701,Программа!A$1:B$5110,2),IF(F701&gt;0,VLOOKUP(F701,КВР!A$1:B$5001,2),IF(E701&gt;0,VLOOKUP(E701,Направление!A$1:B$4783,2))))))</f>
        <v>Доплаты к пенсиям муниципальным служащим поселений</v>
      </c>
      <c r="B701" s="117"/>
      <c r="C701" s="112"/>
      <c r="D701" s="114"/>
      <c r="E701" s="112">
        <v>29756</v>
      </c>
      <c r="F701" s="114"/>
      <c r="G701" s="295"/>
      <c r="H701" s="284">
        <f t="shared" ref="H701:I701" si="160">H702+H703</f>
        <v>0</v>
      </c>
      <c r="I701" s="295">
        <f t="shared" si="160"/>
        <v>0</v>
      </c>
    </row>
    <row r="702" spans="1:9" s="133" customFormat="1" ht="47.25" hidden="1" x14ac:dyDescent="0.25">
      <c r="A702" s="772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IF(B702&gt;0,VLOOKUP(B702,КВСР!A246:B1411,2),IF(C702&gt;0,VLOOKUP(C702,КФСР!A246:B1758,2),IF(D702&gt;0,VLOOKUP(D702,Программа!A$1:B$5110,2),IF(F702&gt;0,VLOOKUP(F702,КВР!A$1:B$5001,2),IF(E702&gt;0,VLOOKUP(E702,Направление!A$1:B$4783,2))))))</f>
        <v xml:space="preserve">Закупка товаров, работ и услуг для обеспечения государственных (муниципальных) нужд
</v>
      </c>
      <c r="B702" s="117"/>
      <c r="C702" s="112"/>
      <c r="D702" s="114"/>
      <c r="E702" s="112"/>
      <c r="F702" s="114">
        <v>200</v>
      </c>
      <c r="G702" s="295"/>
      <c r="H702" s="284"/>
      <c r="I702" s="120">
        <f>G702+H702</f>
        <v>0</v>
      </c>
    </row>
    <row r="703" spans="1:9" s="133" customFormat="1" ht="31.5" hidden="1" x14ac:dyDescent="0.25">
      <c r="A703" s="772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IF(B703&gt;0,VLOOKUP(B703,КВСР!A247:B1412,2),IF(C703&gt;0,VLOOKUP(C703,КФСР!A247:B1759,2),IF(D703&gt;0,VLOOKUP(D703,Программа!A$1:B$5110,2),IF(F703&gt;0,VLOOKUP(F703,КВР!A$1:B$5001,2),IF(E703&gt;0,VLOOKUP(E703,Направление!A$1:B$4783,2))))))</f>
        <v>Социальное обеспечение и иные выплаты населению</v>
      </c>
      <c r="B703" s="117"/>
      <c r="C703" s="112"/>
      <c r="D703" s="114"/>
      <c r="E703" s="112"/>
      <c r="F703" s="114">
        <v>300</v>
      </c>
      <c r="G703" s="295"/>
      <c r="H703" s="284"/>
      <c r="I703" s="120">
        <f>G703+H703</f>
        <v>0</v>
      </c>
    </row>
    <row r="704" spans="1:9" s="133" customFormat="1" x14ac:dyDescent="0.25">
      <c r="A704" s="772" t="str">
        <f>IF(B704&gt;0,VLOOKUP(B704,КВСР!A245:B1410,2),IF(C704&gt;0,VLOOKUP(C704,КФСР!A245:B1757,2),IF(D704&gt;0,VLOOKUP(D704,Программа!A$1:B$5110,2),IF(F704&gt;0,VLOOKUP(F704,КВР!A$1:B$5001,2),IF(E704&gt;0,VLOOKUP(E704,Направление!A$1:B$4783,2))))))</f>
        <v>Социальное обслуживание населения</v>
      </c>
      <c r="B704" s="117"/>
      <c r="C704" s="112">
        <v>1002</v>
      </c>
      <c r="D704" s="113"/>
      <c r="E704" s="112"/>
      <c r="F704" s="114"/>
      <c r="G704" s="277"/>
      <c r="H704" s="339">
        <f>H705</f>
        <v>86596900</v>
      </c>
      <c r="I704" s="120">
        <f t="shared" si="152"/>
        <v>86596900</v>
      </c>
    </row>
    <row r="705" spans="1:9" s="133" customFormat="1" ht="47.25" x14ac:dyDescent="0.25">
      <c r="A705" s="772" t="str">
        <f>IF(B705&gt;0,VLOOKUP(B705,КВСР!A246:B1411,2),IF(C705&gt;0,VLOOKUP(C705,КФСР!A246:B1758,2),IF(D705&gt;0,VLOOKUP(D705,Программа!A$1:B$5110,2),IF(F705&gt;0,VLOOKUP(F705,КВР!A$1:B$5001,2),IF(E705&gt;0,VLOOKUP(E705,Направление!A$1:B$4783,2))))))</f>
        <v>Муниципальная программа "Социальная поддержка населения Тутаевского муниципального района"</v>
      </c>
      <c r="B705" s="117"/>
      <c r="C705" s="112"/>
      <c r="D705" s="113" t="s">
        <v>461</v>
      </c>
      <c r="E705" s="112"/>
      <c r="F705" s="114"/>
      <c r="G705" s="277"/>
      <c r="H705" s="339">
        <f t="shared" ref="H705:I705" si="161">H706</f>
        <v>86596900</v>
      </c>
      <c r="I705" s="277">
        <f t="shared" si="161"/>
        <v>86596900</v>
      </c>
    </row>
    <row r="706" spans="1:9" s="133" customFormat="1" ht="47.25" x14ac:dyDescent="0.25">
      <c r="A706" s="772" t="str">
        <f>IF(B706&gt;0,VLOOKUP(B706,КВСР!A247:B1412,2),IF(C706&gt;0,VLOOKUP(C706,КФСР!A247:B1759,2),IF(D706&gt;0,VLOOKUP(D706,Программа!A$1:B$5110,2),IF(F706&gt;0,VLOOKUP(F706,КВР!A$1:B$5001,2),IF(E706&gt;0,VLOOKUP(E706,Направление!A$1:B$4783,2))))))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06" s="117"/>
      <c r="C706" s="112"/>
      <c r="D706" s="113" t="s">
        <v>533</v>
      </c>
      <c r="E706" s="112"/>
      <c r="F706" s="114"/>
      <c r="G706" s="277"/>
      <c r="H706" s="339">
        <f t="shared" ref="H706:I706" si="162">H707+H710</f>
        <v>86596900</v>
      </c>
      <c r="I706" s="277">
        <f t="shared" si="162"/>
        <v>86596900</v>
      </c>
    </row>
    <row r="707" spans="1:9" s="133" customFormat="1" ht="63" x14ac:dyDescent="0.25">
      <c r="A707" s="772" t="str">
        <f>IF(B707&gt;0,VLOOKUP(B707,КВСР!A248:B1413,2),IF(C707&gt;0,VLOOKUP(C707,КФСР!A248:B1760,2),IF(D707&gt;0,VLOOKUP(D707,Программа!A$1:B$5110,2),IF(F707&gt;0,VLOOKUP(F707,КВР!A$1:B$5001,2),IF(E707&gt;0,VLOOKUP(E707,Направление!A$1:B$4783,2))))))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7" s="117"/>
      <c r="C707" s="112"/>
      <c r="D707" s="113" t="s">
        <v>538</v>
      </c>
      <c r="E707" s="112"/>
      <c r="F707" s="114"/>
      <c r="G707" s="277"/>
      <c r="H707" s="339">
        <f t="shared" ref="H707:H708" si="163">H708</f>
        <v>86596900</v>
      </c>
      <c r="I707" s="120">
        <f t="shared" si="152"/>
        <v>86596900</v>
      </c>
    </row>
    <row r="708" spans="1:9" s="133" customFormat="1" ht="141.75" x14ac:dyDescent="0.25">
      <c r="A708" s="772" t="str">
        <f>IF(B708&gt;0,VLOOKUP(B708,КВСР!A248:B1413,2),IF(C708&gt;0,VLOOKUP(C708,КФСР!A248:B1760,2),IF(D708&gt;0,VLOOKUP(D708,Программа!A$1:B$5110,2),IF(F708&gt;0,VLOOKUP(F708,КВР!A$1:B$5001,2),IF(E708&gt;0,VLOOKUP(E708,Направление!A$1:B$4783,2))))))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8" s="117"/>
      <c r="C708" s="112"/>
      <c r="D708" s="113"/>
      <c r="E708" s="112">
        <v>70850</v>
      </c>
      <c r="F708" s="114"/>
      <c r="G708" s="295"/>
      <c r="H708" s="284">
        <f t="shared" si="163"/>
        <v>86596900</v>
      </c>
      <c r="I708" s="120">
        <f t="shared" si="152"/>
        <v>86596900</v>
      </c>
    </row>
    <row r="709" spans="1:9" s="133" customFormat="1" ht="47.25" x14ac:dyDescent="0.25">
      <c r="A709" s="772" t="str">
        <f>IF(B709&gt;0,VLOOKUP(B709,КВСР!A249:B1414,2),IF(C709&gt;0,VLOOKUP(C709,КФСР!A249:B1761,2),IF(D709&gt;0,VLOOKUP(D709,Программа!A$1:B$5110,2),IF(F709&gt;0,VLOOKUP(F709,КВР!A$1:B$5001,2),IF(E709&gt;0,VLOOKUP(E709,Направление!A$1:B$4783,2))))))</f>
        <v>Предоставление субсидий бюджетным, автономным учреждениям и иным некоммерческим организациям</v>
      </c>
      <c r="B709" s="117"/>
      <c r="C709" s="112"/>
      <c r="D709" s="114"/>
      <c r="E709" s="112"/>
      <c r="F709" s="114">
        <v>600</v>
      </c>
      <c r="G709" s="295"/>
      <c r="H709" s="284">
        <v>86596900</v>
      </c>
      <c r="I709" s="120">
        <f t="shared" si="152"/>
        <v>86596900</v>
      </c>
    </row>
    <row r="710" spans="1:9" s="133" customFormat="1" ht="31.5" hidden="1" x14ac:dyDescent="0.25">
      <c r="A710" s="772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IF(B710&gt;0,VLOOKUP(B710,КВСР!A250:B1415,2),IF(C710&gt;0,VLOOKUP(C710,КФСР!A250:B1762,2),IF(D710&gt;0,VLOOKUP(D710,Программа!A$1:B$5110,2),IF(F710&gt;0,VLOOKUP(F710,КВР!A$1:B$5001,2),IF(E710&gt;0,VLOOKUP(E710,Направление!A$1:B$4783,2))))))</f>
        <v>Федеральный проект "Старшее поколение"</v>
      </c>
      <c r="B710" s="117"/>
      <c r="C710" s="112"/>
      <c r="D710" s="114" t="s">
        <v>1546</v>
      </c>
      <c r="E710" s="112"/>
      <c r="F710" s="114"/>
      <c r="G710" s="295"/>
      <c r="H710" s="284">
        <f t="shared" ref="H710:I711" si="164">H711</f>
        <v>0</v>
      </c>
      <c r="I710" s="295">
        <f t="shared" si="164"/>
        <v>0</v>
      </c>
    </row>
    <row r="711" spans="1:9" s="133" customFormat="1" ht="63" hidden="1" x14ac:dyDescent="0.25">
      <c r="A711" s="772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IF(B711&gt;0,VLOOKUP(B711,КВСР!A251:B1416,2),IF(C711&gt;0,VLOOKUP(C711,КФСР!A251:B1763,2),IF(D711&gt;0,VLOOKUP(D711,Программа!A$1:B$5110,2),IF(F711&gt;0,VLOOKUP(F711,КВР!A$1:B$5001,2),IF(E711&gt;0,VLOOKUP(E711,Направление!A$1:B$4783,2))))))</f>
        <v>Расходы на приобретение автотранспорта в рамках реализации федерального проекта  "Старшее поколение"</v>
      </c>
      <c r="B711" s="117"/>
      <c r="C711" s="112"/>
      <c r="D711" s="114"/>
      <c r="E711" s="112">
        <v>52930</v>
      </c>
      <c r="F711" s="114"/>
      <c r="G711" s="295"/>
      <c r="H711" s="284">
        <f t="shared" si="164"/>
        <v>0</v>
      </c>
      <c r="I711" s="295">
        <f t="shared" si="164"/>
        <v>0</v>
      </c>
    </row>
    <row r="712" spans="1:9" s="133" customFormat="1" ht="47.25" hidden="1" x14ac:dyDescent="0.25">
      <c r="A712" s="772" t="str">
        <f>IF(B712&gt;0,VLOOKUP(B712,КВСР!A252:B1417,2),IF(C712&gt;0,VLOOKUP(C712,КФСР!A252:B1764,2),IF(D712&gt;0,VLOOKUP(D712,Программа!A$1:B$5110,2),IF(F712&gt;0,VLOOKUP(F712,КВР!A$1:B$5001,2),IF(E712&gt;0,VLOOKUP(E712,Направление!A$1:B$4783,2))))))</f>
        <v>Предоставление субсидий бюджетным, автономным учреждениям и иным некоммерческим организациям</v>
      </c>
      <c r="B712" s="117"/>
      <c r="C712" s="112"/>
      <c r="D712" s="114"/>
      <c r="E712" s="112"/>
      <c r="F712" s="114">
        <v>600</v>
      </c>
      <c r="G712" s="295"/>
      <c r="H712" s="284"/>
      <c r="I712" s="120">
        <f>G712+H712</f>
        <v>0</v>
      </c>
    </row>
    <row r="713" spans="1:9" s="133" customFormat="1" x14ac:dyDescent="0.25">
      <c r="A713" s="772" t="str">
        <f>IF(B713&gt;0,VLOOKUP(B713,КВСР!A250:B1415,2),IF(C713&gt;0,VLOOKUP(C713,КФСР!A250:B1762,2),IF(D713&gt;0,VLOOKUP(D713,Программа!A$1:B$5110,2),IF(F713&gt;0,VLOOKUP(F713,КВР!A$1:B$5001,2),IF(E713&gt;0,VLOOKUP(E713,Направление!A$1:B$4783,2))))))</f>
        <v>Социальное обеспечение населения</v>
      </c>
      <c r="B713" s="117"/>
      <c r="C713" s="112">
        <v>1003</v>
      </c>
      <c r="D713" s="113"/>
      <c r="E713" s="112"/>
      <c r="F713" s="114"/>
      <c r="G713" s="277"/>
      <c r="H713" s="339">
        <f>H714+H768</f>
        <v>217182219</v>
      </c>
      <c r="I713" s="277">
        <f t="shared" ref="I713" si="165">I714+I768</f>
        <v>217182219</v>
      </c>
    </row>
    <row r="714" spans="1:9" s="133" customFormat="1" ht="47.25" x14ac:dyDescent="0.25">
      <c r="A714" s="772" t="str">
        <f>IF(B714&gt;0,VLOOKUP(B714,КВСР!A251:B1416,2),IF(C714&gt;0,VLOOKUP(C714,КФСР!A251:B1763,2),IF(D714&gt;0,VLOOKUP(D714,Программа!A$1:B$5110,2),IF(F714&gt;0,VLOOKUP(F714,КВР!A$1:B$5001,2),IF(E714&gt;0,VLOOKUP(E714,Направление!A$1:B$4783,2))))))</f>
        <v>Муниципальная программа "Социальная поддержка населения Тутаевского муниципального района"</v>
      </c>
      <c r="B714" s="117"/>
      <c r="C714" s="112"/>
      <c r="D714" s="113" t="s">
        <v>461</v>
      </c>
      <c r="E714" s="112"/>
      <c r="F714" s="114"/>
      <c r="G714" s="339"/>
      <c r="H714" s="339">
        <f t="shared" ref="H714:I714" si="166">H715</f>
        <v>217182219</v>
      </c>
      <c r="I714" s="339">
        <f t="shared" si="166"/>
        <v>217182219</v>
      </c>
    </row>
    <row r="715" spans="1:9" s="133" customFormat="1" ht="47.25" x14ac:dyDescent="0.25">
      <c r="A715" s="772" t="str">
        <f>IF(B715&gt;0,VLOOKUP(B715,КВСР!A251:B1416,2),IF(C715&gt;0,VLOOKUP(C715,КФСР!A251:B1763,2),IF(D715&gt;0,VLOOKUP(D715,Программа!A$1:B$5110,2),IF(F715&gt;0,VLOOKUP(F715,КВР!A$1:B$5001,2),IF(E715&gt;0,VLOOKUP(E715,Направление!A$1:B$4783,2))))))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15" s="117"/>
      <c r="C715" s="112"/>
      <c r="D715" s="113" t="s">
        <v>533</v>
      </c>
      <c r="E715" s="112"/>
      <c r="F715" s="114"/>
      <c r="G715" s="339"/>
      <c r="H715" s="339">
        <f t="shared" ref="H715" si="167">H716+H758</f>
        <v>217182219</v>
      </c>
      <c r="I715" s="120">
        <f t="shared" ref="I715" si="168">SUM(G715:H715)</f>
        <v>217182219</v>
      </c>
    </row>
    <row r="716" spans="1:9" s="133" customFormat="1" ht="47.25" x14ac:dyDescent="0.25">
      <c r="A716" s="772" t="str">
        <f>IF(B716&gt;0,VLOOKUP(B716,КВСР!A252:B1417,2),IF(C716&gt;0,VLOOKUP(C716,КФСР!A252:B1764,2),IF(D716&gt;0,VLOOKUP(D716,Программа!A$1:B$5110,2),IF(F716&gt;0,VLOOKUP(F716,КВР!A$1:B$5001,2),IF(E716&gt;0,VLOOKUP(E716,Направление!A$1:B$4783,2))))))</f>
        <v>Исполнение публичных обязательств по предоставлению выплат, пособий и компенсаций</v>
      </c>
      <c r="B716" s="117"/>
      <c r="C716" s="112"/>
      <c r="D716" s="113" t="s">
        <v>535</v>
      </c>
      <c r="E716" s="112"/>
      <c r="F716" s="114"/>
      <c r="G716" s="277"/>
      <c r="H716" s="339">
        <f t="shared" ref="H716:I716" si="169">H717+H720+H723+H725+H728+H730+H732+H735+H738+H741+H744+H751+H754+H756+H747+H749</f>
        <v>208541169</v>
      </c>
      <c r="I716" s="277">
        <f t="shared" si="169"/>
        <v>208541169</v>
      </c>
    </row>
    <row r="717" spans="1:9" s="133" customFormat="1" ht="47.25" x14ac:dyDescent="0.25">
      <c r="A717" s="772" t="str">
        <f>IF(B717&gt;0,VLOOKUP(B717,КВСР!A254:B1419,2),IF(C717&gt;0,VLOOKUP(C717,КФСР!A254:B1766,2),IF(D717&gt;0,VLOOKUP(D717,Программа!A$1:B$5110,2),IF(F717&gt;0,VLOOKUP(F717,КВР!A$1:B$5001,2),IF(E717&gt;0,VLOOKUP(E717,Направление!A$1:B$4783,2))))))</f>
        <v>Субвенция на социальную поддержку граждан, подвергшихся воздействию радиации</v>
      </c>
      <c r="B717" s="117"/>
      <c r="C717" s="112"/>
      <c r="D717" s="113"/>
      <c r="E717" s="112">
        <v>51370</v>
      </c>
      <c r="F717" s="114"/>
      <c r="G717" s="277"/>
      <c r="H717" s="339">
        <f>H718+H719</f>
        <v>1684035</v>
      </c>
      <c r="I717" s="120">
        <f t="shared" si="152"/>
        <v>1684035</v>
      </c>
    </row>
    <row r="718" spans="1:9" s="133" customFormat="1" ht="47.25" x14ac:dyDescent="0.25">
      <c r="A718" s="772" t="str">
        <f>IF(B718&gt;0,VLOOKUP(B718,КВСР!A255:B1420,2),IF(C718&gt;0,VLOOKUP(C718,КФСР!A255:B1767,2),IF(D718&gt;0,VLOOKUP(D718,Программа!A$1:B$5110,2),IF(F718&gt;0,VLOOKUP(F718,КВР!A$1:B$5001,2),IF(E718&gt;0,VLOOKUP(E718,Направление!A$1:B$4783,2))))))</f>
        <v xml:space="preserve">Закупка товаров, работ и услуг для обеспечения государственных (муниципальных) нужд
</v>
      </c>
      <c r="B718" s="117"/>
      <c r="C718" s="112"/>
      <c r="D718" s="114"/>
      <c r="E718" s="134"/>
      <c r="F718" s="114">
        <v>200</v>
      </c>
      <c r="G718" s="277"/>
      <c r="H718" s="339">
        <v>19870</v>
      </c>
      <c r="I718" s="120">
        <f t="shared" si="152"/>
        <v>19870</v>
      </c>
    </row>
    <row r="719" spans="1:9" s="133" customFormat="1" ht="31.5" x14ac:dyDescent="0.25">
      <c r="A719" s="772" t="str">
        <f>IF(B719&gt;0,VLOOKUP(B719,КВСР!A256:B1421,2),IF(C719&gt;0,VLOOKUP(C719,КФСР!A256:B1768,2),IF(D719&gt;0,VLOOKUP(D719,Программа!A$1:B$5110,2),IF(F719&gt;0,VLOOKUP(F719,КВР!A$1:B$5001,2),IF(E719&gt;0,VLOOKUP(E719,Направление!A$1:B$4783,2))))))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77"/>
      <c r="H719" s="339">
        <v>1664165</v>
      </c>
      <c r="I719" s="120">
        <f t="shared" si="152"/>
        <v>1664165</v>
      </c>
    </row>
    <row r="720" spans="1:9" s="133" customFormat="1" ht="110.25" x14ac:dyDescent="0.25">
      <c r="A720" s="772" t="str">
        <f>IF(B720&gt;0,VLOOKUP(B720,КВСР!A252:B1417,2),IF(C720&gt;0,VLOOKUP(C720,КФСР!A252:B1764,2),IF(D720&gt;0,VLOOKUP(D720,Программа!A$1:B$5110,2),IF(F720&gt;0,VLOOKUP(F720,КВР!A$1:B$5001,2),IF(E720&gt;0,VLOOKUP(E720,Направление!A$1:B$4783,2))))))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20" s="117"/>
      <c r="C720" s="112"/>
      <c r="D720" s="113"/>
      <c r="E720" s="112">
        <v>52200</v>
      </c>
      <c r="F720" s="114"/>
      <c r="G720" s="277"/>
      <c r="H720" s="339">
        <f>H721+H722</f>
        <v>6119248</v>
      </c>
      <c r="I720" s="120">
        <f t="shared" si="152"/>
        <v>6119248</v>
      </c>
    </row>
    <row r="721" spans="1:9" s="133" customFormat="1" ht="47.25" x14ac:dyDescent="0.25">
      <c r="A721" s="772" t="str">
        <f>IF(B721&gt;0,VLOOKUP(B721,КВСР!A253:B1418,2),IF(C721&gt;0,VLOOKUP(C721,КФСР!A253:B1765,2),IF(D721&gt;0,VLOOKUP(D721,Программа!A$1:B$5110,2),IF(F721&gt;0,VLOOKUP(F721,КВР!A$1:B$5001,2),IF(E721&gt;0,VLOOKUP(E721,Направление!A$1:B$4783,2))))))</f>
        <v xml:space="preserve">Закупка товаров, работ и услуг для обеспечения государственных (муниципальных) нужд
</v>
      </c>
      <c r="B721" s="117"/>
      <c r="C721" s="112"/>
      <c r="D721" s="114"/>
      <c r="E721" s="134"/>
      <c r="F721" s="114">
        <v>200</v>
      </c>
      <c r="G721" s="277"/>
      <c r="H721" s="339">
        <v>78528</v>
      </c>
      <c r="I721" s="120">
        <f t="shared" si="152"/>
        <v>78528</v>
      </c>
    </row>
    <row r="722" spans="1:9" s="133" customFormat="1" ht="31.5" x14ac:dyDescent="0.25">
      <c r="A722" s="772" t="str">
        <f>IF(B722&gt;0,VLOOKUP(B722,КВСР!A254:B1419,2),IF(C722&gt;0,VLOOKUP(C722,КФСР!A254:B1766,2),IF(D722&gt;0,VLOOKUP(D722,Программа!A$1:B$5110,2),IF(F722&gt;0,VLOOKUP(F722,КВР!A$1:B$5001,2),IF(E722&gt;0,VLOOKUP(E722,Направление!A$1:B$4783,2))))))</f>
        <v>Социальное обеспечение и иные выплаты населению</v>
      </c>
      <c r="B722" s="117"/>
      <c r="C722" s="112"/>
      <c r="D722" s="114"/>
      <c r="E722" s="134"/>
      <c r="F722" s="114">
        <v>300</v>
      </c>
      <c r="G722" s="277"/>
      <c r="H722" s="339">
        <v>6040720</v>
      </c>
      <c r="I722" s="120">
        <f t="shared" si="152"/>
        <v>6040720</v>
      </c>
    </row>
    <row r="723" spans="1:9" s="133" customFormat="1" ht="78.75" x14ac:dyDescent="0.25">
      <c r="A723" s="772" t="str">
        <f>IF(B723&gt;0,VLOOKUP(B723,КВСР!A255:B1420,2),IF(C723&gt;0,VLOOKUP(C723,КФСР!A255:B1767,2),IF(D723&gt;0,VLOOKUP(D723,Программа!A$1:B$5110,2),IF(F723&gt;0,VLOOKUP(F723,КВР!A$1:B$5001,2),IF(E723&gt;0,VLOOKUP(E723,Направление!A$1:B$4783,2))))))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3" s="117"/>
      <c r="C723" s="112"/>
      <c r="D723" s="113"/>
      <c r="E723" s="112">
        <v>52400</v>
      </c>
      <c r="F723" s="114"/>
      <c r="G723" s="277"/>
      <c r="H723" s="339">
        <f>H724</f>
        <v>10100</v>
      </c>
      <c r="I723" s="120">
        <f t="shared" si="152"/>
        <v>10100</v>
      </c>
    </row>
    <row r="724" spans="1:9" s="133" customFormat="1" ht="31.5" x14ac:dyDescent="0.25">
      <c r="A724" s="772" t="str">
        <f>IF(B724&gt;0,VLOOKUP(B724,КВСР!A256:B1421,2),IF(C724&gt;0,VLOOKUP(C724,КФСР!A256:B1768,2),IF(D724&gt;0,VLOOKUP(D724,Программа!A$1:B$5110,2),IF(F724&gt;0,VLOOKUP(F724,КВР!A$1:B$5001,2),IF(E724&gt;0,VLOOKUP(E724,Направление!A$1:B$4783,2))))))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77"/>
      <c r="H724" s="339">
        <v>10100</v>
      </c>
      <c r="I724" s="120">
        <f t="shared" si="152"/>
        <v>10100</v>
      </c>
    </row>
    <row r="725" spans="1:9" s="133" customFormat="1" ht="47.25" x14ac:dyDescent="0.25">
      <c r="A725" s="772" t="str">
        <f>IF(B725&gt;0,VLOOKUP(B725,КВСР!A252:B1417,2),IF(C725&gt;0,VLOOKUP(C725,КФСР!A252:B1764,2),IF(D725&gt;0,VLOOKUP(D725,Программа!A$1:B$5110,2),IF(F725&gt;0,VLOOKUP(F725,КВР!A$1:B$5001,2),IF(E725&gt;0,VLOOKUP(E725,Направление!A$1:B$4783,2))))))</f>
        <v>Оплата жилищно-коммунальных услуг отдельным категориям граждан за счет средств федерального бюджета</v>
      </c>
      <c r="B725" s="117"/>
      <c r="C725" s="112"/>
      <c r="D725" s="113"/>
      <c r="E725" s="112">
        <v>52500</v>
      </c>
      <c r="F725" s="114"/>
      <c r="G725" s="277"/>
      <c r="H725" s="339">
        <f>H727+H726</f>
        <v>43459000</v>
      </c>
      <c r="I725" s="120">
        <f t="shared" si="152"/>
        <v>43459000</v>
      </c>
    </row>
    <row r="726" spans="1:9" s="133" customFormat="1" ht="47.25" x14ac:dyDescent="0.25">
      <c r="A726" s="772" t="str">
        <f>IF(B726&gt;0,VLOOKUP(B726,КВСР!A252:B1417,2),IF(C726&gt;0,VLOOKUP(C726,КФСР!A252:B1764,2),IF(D726&gt;0,VLOOKUP(D726,Программа!A$1:B$5110,2),IF(F726&gt;0,VLOOKUP(F726,КВР!A$1:B$5001,2),IF(E726&gt;0,VLOOKUP(E726,Направление!A$1:B$4783,2))))))</f>
        <v xml:space="preserve">Закупка товаров, работ и услуг для обеспечения государственных (муниципальных) нужд
</v>
      </c>
      <c r="B726" s="117"/>
      <c r="C726" s="112"/>
      <c r="D726" s="114"/>
      <c r="E726" s="134"/>
      <c r="F726" s="114">
        <v>200</v>
      </c>
      <c r="G726" s="277"/>
      <c r="H726" s="339">
        <v>586700</v>
      </c>
      <c r="I726" s="120">
        <f t="shared" si="152"/>
        <v>586700</v>
      </c>
    </row>
    <row r="727" spans="1:9" s="133" customFormat="1" ht="31.5" x14ac:dyDescent="0.25">
      <c r="A727" s="772" t="str">
        <f>IF(B727&gt;0,VLOOKUP(B727,КВСР!A253:B1418,2),IF(C727&gt;0,VLOOKUP(C727,КФСР!A253:B1765,2),IF(D727&gt;0,VLOOKUP(D727,Программа!A$1:B$5110,2),IF(F727&gt;0,VLOOKUP(F727,КВР!A$1:B$5001,2),IF(E727&gt;0,VLOOKUP(E727,Направление!A$1:B$4783,2))))))</f>
        <v>Социальное обеспечение и иные выплаты населению</v>
      </c>
      <c r="B727" s="117"/>
      <c r="C727" s="112"/>
      <c r="D727" s="114"/>
      <c r="E727" s="134"/>
      <c r="F727" s="114">
        <v>300</v>
      </c>
      <c r="G727" s="295"/>
      <c r="H727" s="284">
        <v>42872300</v>
      </c>
      <c r="I727" s="120">
        <f t="shared" si="152"/>
        <v>42872300</v>
      </c>
    </row>
    <row r="728" spans="1:9" s="133" customFormat="1" ht="63" hidden="1" x14ac:dyDescent="0.25">
      <c r="A728" s="772" t="str">
        <f>IF(B728&gt;0,VLOOKUP(B728,КВСР!A254:B1419,2),IF(C728&gt;0,VLOOKUP(C728,КФСР!A254:B1766,2),IF(D728&gt;0,VLOOKUP(D728,Программа!A$1:B$5110,2),IF(F728&gt;0,VLOOKUP(F728,КВР!A$1:B$5001,2),IF(E728&gt;0,VLOOKUP(E728,Направление!A$1:B$4783,2))))))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8" s="117"/>
      <c r="C728" s="112"/>
      <c r="D728" s="113"/>
      <c r="E728" s="112">
        <v>54620</v>
      </c>
      <c r="F728" s="114"/>
      <c r="G728" s="295"/>
      <c r="H728" s="284">
        <f>H729</f>
        <v>0</v>
      </c>
      <c r="I728" s="120">
        <f t="shared" si="152"/>
        <v>0</v>
      </c>
    </row>
    <row r="729" spans="1:9" s="133" customFormat="1" ht="31.5" hidden="1" x14ac:dyDescent="0.25">
      <c r="A729" s="772" t="str">
        <f>IF(B729&gt;0,VLOOKUP(B729,КВСР!A255:B1420,2),IF(C729&gt;0,VLOOKUP(C729,КФСР!A255:B1767,2),IF(D729&gt;0,VLOOKUP(D729,Программа!A$1:B$5110,2),IF(F729&gt;0,VLOOKUP(F729,КВР!A$1:B$5001,2),IF(E729&gt;0,VLOOKUP(E729,Направление!A$1:B$4783,2))))))</f>
        <v>Социальное обеспечение и иные выплаты населению</v>
      </c>
      <c r="B729" s="117"/>
      <c r="C729" s="112"/>
      <c r="D729" s="114"/>
      <c r="E729" s="134"/>
      <c r="F729" s="114">
        <v>300</v>
      </c>
      <c r="G729" s="295"/>
      <c r="H729" s="284"/>
      <c r="I729" s="120">
        <f t="shared" si="152"/>
        <v>0</v>
      </c>
    </row>
    <row r="730" spans="1:9" s="133" customFormat="1" ht="94.5" hidden="1" x14ac:dyDescent="0.25">
      <c r="A730" s="772" t="str">
        <f>IF(B730&gt;0,VLOOKUP(B730,КВСР!A256:B1421,2),IF(C730&gt;0,VLOOKUP(C730,КФСР!A256:B1768,2),IF(D730&gt;0,VLOOKUP(D730,Программа!A$1:B$5110,2),IF(F730&gt;0,VLOOKUP(F730,КВР!A$1:B$5001,2),IF(E730&gt;0,VLOOKUP(E730,Направление!A$1:B$4783,2))))))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30" s="117"/>
      <c r="C730" s="112"/>
      <c r="D730" s="113"/>
      <c r="E730" s="112">
        <v>53850</v>
      </c>
      <c r="F730" s="114"/>
      <c r="G730" s="295"/>
      <c r="H730" s="284">
        <f>H731</f>
        <v>0</v>
      </c>
      <c r="I730" s="120">
        <f t="shared" si="152"/>
        <v>0</v>
      </c>
    </row>
    <row r="731" spans="1:9" s="133" customFormat="1" ht="31.5" hidden="1" x14ac:dyDescent="0.25">
      <c r="A731" s="772" t="str">
        <f>IF(B731&gt;0,VLOOKUP(B731,КВСР!A257:B1422,2),IF(C731&gt;0,VLOOKUP(C731,КФСР!A257:B1769,2),IF(D731&gt;0,VLOOKUP(D731,Программа!A$1:B$5110,2),IF(F731&gt;0,VLOOKUP(F731,КВР!A$1:B$5001,2),IF(E731&gt;0,VLOOKUP(E731,Направление!A$1:B$4783,2))))))</f>
        <v>Социальное обеспечение и иные выплаты населению</v>
      </c>
      <c r="B731" s="117"/>
      <c r="C731" s="112"/>
      <c r="D731" s="114"/>
      <c r="E731" s="134"/>
      <c r="F731" s="114">
        <v>300</v>
      </c>
      <c r="G731" s="295"/>
      <c r="H731" s="284"/>
      <c r="I731" s="120">
        <f t="shared" si="152"/>
        <v>0</v>
      </c>
    </row>
    <row r="732" spans="1:9" s="133" customFormat="1" ht="63" x14ac:dyDescent="0.25">
      <c r="A732" s="772" t="str">
        <f>IF(B732&gt;0,VLOOKUP(B732,КВСР!A258:B1423,2),IF(C732&gt;0,VLOOKUP(C732,КФСР!A258:B1770,2),IF(D732&gt;0,VLOOKUP(D732,Программа!A$1:B$5110,2),IF(F732&gt;0,VLOOKUP(F732,КВР!A$1:B$5001,2),IF(E732&gt;0,VLOOKUP(E732,Направление!A$1:B$4783,2))))))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732" s="117"/>
      <c r="C732" s="112"/>
      <c r="D732" s="113"/>
      <c r="E732" s="112">
        <v>70740</v>
      </c>
      <c r="F732" s="114"/>
      <c r="G732" s="295"/>
      <c r="H732" s="284">
        <f>SUM(H733:H734)</f>
        <v>25274000</v>
      </c>
      <c r="I732" s="120">
        <f t="shared" si="152"/>
        <v>25274000</v>
      </c>
    </row>
    <row r="733" spans="1:9" s="133" customFormat="1" ht="47.25" x14ac:dyDescent="0.25">
      <c r="A733" s="772" t="str">
        <f>IF(B733&gt;0,VLOOKUP(B733,КВСР!A258:B1423,2),IF(C733&gt;0,VLOOKUP(C733,КФСР!A258:B1770,2),IF(D733&gt;0,VLOOKUP(D733,Программа!A$1:B$5110,2),IF(F733&gt;0,VLOOKUP(F733,КВР!A$1:B$5001,2),IF(E733&gt;0,VLOOKUP(E733,Направление!A$1:B$4783,2))))))</f>
        <v xml:space="preserve">Закупка товаров, работ и услуг для обеспечения государственных (муниципальных) нужд
</v>
      </c>
      <c r="B733" s="117"/>
      <c r="C733" s="112"/>
      <c r="D733" s="114"/>
      <c r="E733" s="134"/>
      <c r="F733" s="114">
        <v>200</v>
      </c>
      <c r="G733" s="295"/>
      <c r="H733" s="284">
        <v>322500</v>
      </c>
      <c r="I733" s="120">
        <f t="shared" si="152"/>
        <v>322500</v>
      </c>
    </row>
    <row r="734" spans="1:9" s="133" customFormat="1" ht="31.5" x14ac:dyDescent="0.25">
      <c r="A734" s="772" t="str">
        <f>IF(B734&gt;0,VLOOKUP(B734,КВСР!A259:B1424,2),IF(C734&gt;0,VLOOKUP(C734,КФСР!A259:B1771,2),IF(D734&gt;0,VLOOKUP(D734,Программа!A$1:B$5110,2),IF(F734&gt;0,VLOOKUP(F734,КВР!A$1:B$5001,2),IF(E734&gt;0,VLOOKUP(E734,Направление!A$1:B$4783,2))))))</f>
        <v>Социальное обеспечение и иные выплаты населению</v>
      </c>
      <c r="B734" s="117"/>
      <c r="C734" s="112"/>
      <c r="D734" s="114"/>
      <c r="E734" s="134"/>
      <c r="F734" s="114">
        <v>300</v>
      </c>
      <c r="G734" s="295"/>
      <c r="H734" s="284">
        <v>24951500</v>
      </c>
      <c r="I734" s="120">
        <f t="shared" si="152"/>
        <v>24951500</v>
      </c>
    </row>
    <row r="735" spans="1:9" s="133" customFormat="1" ht="78.75" x14ac:dyDescent="0.25">
      <c r="A735" s="772" t="str">
        <f>IF(B735&gt;0,VLOOKUP(B735,КВСР!A260:B1425,2),IF(C735&gt;0,VLOOKUP(C735,КФСР!A260:B1772,2),IF(D735&gt;0,VLOOKUP(D735,Программа!A$1:B$5110,2),IF(F735&gt;0,VLOOKUP(F735,КВР!A$1:B$5001,2),IF(E735&gt;0,VLOOKUP(E735,Направление!A$1:B$4783,2))))))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5" s="117"/>
      <c r="C735" s="112"/>
      <c r="D735" s="113"/>
      <c r="E735" s="112">
        <v>70750</v>
      </c>
      <c r="F735" s="114"/>
      <c r="G735" s="295"/>
      <c r="H735" s="284">
        <f>H736+H737</f>
        <v>38100000</v>
      </c>
      <c r="I735" s="120">
        <f t="shared" si="152"/>
        <v>38100000</v>
      </c>
    </row>
    <row r="736" spans="1:9" s="133" customFormat="1" ht="47.25" x14ac:dyDescent="0.25">
      <c r="A736" s="772" t="str">
        <f>IF(B736&gt;0,VLOOKUP(B736,КВСР!A261:B1426,2),IF(C736&gt;0,VLOOKUP(C736,КФСР!A261:B1773,2),IF(D736&gt;0,VLOOKUP(D736,Программа!A$1:B$5110,2),IF(F736&gt;0,VLOOKUP(F736,КВР!A$1:B$5001,2),IF(E736&gt;0,VLOOKUP(E736,Направление!A$1:B$4783,2))))))</f>
        <v xml:space="preserve">Закупка товаров, работ и услуг для обеспечения государственных (муниципальных) нужд
</v>
      </c>
      <c r="B736" s="117"/>
      <c r="C736" s="112"/>
      <c r="D736" s="114"/>
      <c r="E736" s="134"/>
      <c r="F736" s="114">
        <v>200</v>
      </c>
      <c r="G736" s="295"/>
      <c r="H736" s="284">
        <v>586000</v>
      </c>
      <c r="I736" s="120">
        <f t="shared" si="152"/>
        <v>586000</v>
      </c>
    </row>
    <row r="737" spans="1:9" s="133" customFormat="1" ht="31.5" x14ac:dyDescent="0.25">
      <c r="A737" s="772" t="str">
        <f>IF(B737&gt;0,VLOOKUP(B737,КВСР!A261:B1426,2),IF(C737&gt;0,VLOOKUP(C737,КФСР!A261:B1773,2),IF(D737&gt;0,VLOOKUP(D737,Программа!A$1:B$5110,2),IF(F737&gt;0,VLOOKUP(F737,КВР!A$1:B$5001,2),IF(E737&gt;0,VLOOKUP(E737,Направление!A$1:B$4783,2))))))</f>
        <v>Социальное обеспечение и иные выплаты населению</v>
      </c>
      <c r="B737" s="117"/>
      <c r="C737" s="112"/>
      <c r="D737" s="114"/>
      <c r="E737" s="134"/>
      <c r="F737" s="114">
        <v>300</v>
      </c>
      <c r="G737" s="295"/>
      <c r="H737" s="284">
        <v>37514000</v>
      </c>
      <c r="I737" s="120">
        <f t="shared" si="152"/>
        <v>37514000</v>
      </c>
    </row>
    <row r="738" spans="1:9" s="133" customFormat="1" ht="110.25" x14ac:dyDescent="0.25">
      <c r="A738" s="772" t="str">
        <f>IF(B738&gt;0,VLOOKUP(B738,КВСР!A254:B1419,2),IF(C738&gt;0,VLOOKUP(C738,КФСР!A254:B1766,2),IF(D738&gt;0,VLOOKUP(D738,Программа!A$1:B$5110,2),IF(F738&gt;0,VLOOKUP(F738,КВР!A$1:B$5001,2),IF(E738&gt;0,VLOOKUP(E738,Направление!A$1:B$4783,2))))))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8" s="117"/>
      <c r="C738" s="112"/>
      <c r="D738" s="113"/>
      <c r="E738" s="112">
        <v>70840</v>
      </c>
      <c r="F738" s="114"/>
      <c r="G738" s="277"/>
      <c r="H738" s="339">
        <f>H740+H739</f>
        <v>68812000</v>
      </c>
      <c r="I738" s="120">
        <f t="shared" si="152"/>
        <v>68812000</v>
      </c>
    </row>
    <row r="739" spans="1:9" s="133" customFormat="1" ht="47.25" x14ac:dyDescent="0.25">
      <c r="A739" s="772" t="str">
        <f>IF(B739&gt;0,VLOOKUP(B739,КВСР!A254:B1419,2),IF(C739&gt;0,VLOOKUP(C739,КФСР!A254:B1766,2),IF(D739&gt;0,VLOOKUP(D739,Программа!A$1:B$5110,2),IF(F739&gt;0,VLOOKUP(F739,КВР!A$1:B$5001,2),IF(E739&gt;0,VLOOKUP(E739,Направление!A$1:B$4783,2))))))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4"/>
      <c r="E739" s="134"/>
      <c r="F739" s="114">
        <v>200</v>
      </c>
      <c r="G739" s="277"/>
      <c r="H739" s="339">
        <v>1585000</v>
      </c>
      <c r="I739" s="120">
        <f t="shared" si="152"/>
        <v>1585000</v>
      </c>
    </row>
    <row r="740" spans="1:9" s="133" customFormat="1" ht="31.5" x14ac:dyDescent="0.25">
      <c r="A740" s="772" t="str">
        <f>IF(B740&gt;0,VLOOKUP(B740,КВСР!A255:B1420,2),IF(C740&gt;0,VLOOKUP(C740,КФСР!A255:B1767,2),IF(D740&gt;0,VLOOKUP(D740,Программа!A$1:B$5110,2),IF(F740&gt;0,VLOOKUP(F740,КВР!A$1:B$5001,2),IF(E740&gt;0,VLOOKUP(E740,Направление!A$1:B$4783,2))))))</f>
        <v>Социальное обеспечение и иные выплаты населению</v>
      </c>
      <c r="B740" s="117"/>
      <c r="C740" s="112"/>
      <c r="D740" s="114"/>
      <c r="E740" s="134"/>
      <c r="F740" s="114">
        <v>300</v>
      </c>
      <c r="G740" s="277"/>
      <c r="H740" s="339">
        <v>67227000</v>
      </c>
      <c r="I740" s="120">
        <f t="shared" si="152"/>
        <v>67227000</v>
      </c>
    </row>
    <row r="741" spans="1:9" s="133" customFormat="1" ht="31.5" x14ac:dyDescent="0.25">
      <c r="A741" s="772" t="str">
        <f>IF(B741&gt;0,VLOOKUP(B741,КВСР!A256:B1421,2),IF(C741&gt;0,VLOOKUP(C741,КФСР!A256:B1768,2),IF(D741&gt;0,VLOOKUP(D741,Программа!A$1:B$5110,2),IF(F741&gt;0,VLOOKUP(F741,КВР!A$1:B$5001,2),IF(E741&gt;0,VLOOKUP(E741,Направление!A$1:B$4783,2))))))</f>
        <v>Денежные выплаты за счет средств областного бюджета</v>
      </c>
      <c r="B741" s="117"/>
      <c r="C741" s="112"/>
      <c r="D741" s="113"/>
      <c r="E741" s="112">
        <v>70860</v>
      </c>
      <c r="F741" s="114"/>
      <c r="G741" s="277"/>
      <c r="H741" s="339">
        <f>H742+H743</f>
        <v>21013000</v>
      </c>
      <c r="I741" s="120">
        <f t="shared" si="152"/>
        <v>21013000</v>
      </c>
    </row>
    <row r="742" spans="1:9" s="133" customFormat="1" ht="47.25" x14ac:dyDescent="0.25">
      <c r="A742" s="772" t="str">
        <f>IF(B742&gt;0,VLOOKUP(B742,КВСР!A257:B1422,2),IF(C742&gt;0,VLOOKUP(C742,КФСР!A257:B1769,2),IF(D742&gt;0,VLOOKUP(D742,Программа!A$1:B$5110,2),IF(F742&gt;0,VLOOKUP(F742,КВР!A$1:B$5001,2),IF(E742&gt;0,VLOOKUP(E742,Направление!A$1:B$4783,2))))))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4"/>
      <c r="E742" s="134"/>
      <c r="F742" s="114">
        <v>200</v>
      </c>
      <c r="G742" s="277"/>
      <c r="H742" s="339">
        <v>478300</v>
      </c>
      <c r="I742" s="120">
        <f t="shared" si="152"/>
        <v>478300</v>
      </c>
    </row>
    <row r="743" spans="1:9" s="133" customFormat="1" ht="31.5" x14ac:dyDescent="0.25">
      <c r="A743" s="772" t="str">
        <f>IF(B743&gt;0,VLOOKUP(B743,КВСР!A258:B1423,2),IF(C743&gt;0,VLOOKUP(C743,КФСР!A258:B1770,2),IF(D743&gt;0,VLOOKUP(D743,Программа!A$1:B$5110,2),IF(F743&gt;0,VLOOKUP(F743,КВР!A$1:B$5001,2),IF(E743&gt;0,VLOOKUP(E743,Направление!A$1:B$4783,2))))))</f>
        <v>Социальное обеспечение и иные выплаты населению</v>
      </c>
      <c r="B743" s="117"/>
      <c r="C743" s="112"/>
      <c r="D743" s="114"/>
      <c r="E743" s="134"/>
      <c r="F743" s="114">
        <v>300</v>
      </c>
      <c r="G743" s="277"/>
      <c r="H743" s="339">
        <v>20534700</v>
      </c>
      <c r="I743" s="120">
        <f t="shared" si="152"/>
        <v>20534700</v>
      </c>
    </row>
    <row r="744" spans="1:9" s="133" customFormat="1" ht="47.25" hidden="1" x14ac:dyDescent="0.25">
      <c r="A744" s="772" t="str">
        <f>IF(B744&gt;0,VLOOKUP(B744,КВСР!A259:B1424,2),IF(C744&gt;0,VLOOKUP(C744,КФСР!A259:B1771,2),IF(D744&gt;0,VLOOKUP(D744,Программа!A$1:B$5110,2),IF(F744&gt;0,VLOOKUP(F744,КВР!A$1:B$5001,2),IF(E744&gt;0,VLOOKUP(E744,Направление!A$1:B$4783,2))))))</f>
        <v>Оказание социальной помощи отдельным категориям граждан за счет средств областного бюджета</v>
      </c>
      <c r="B744" s="117"/>
      <c r="C744" s="112"/>
      <c r="D744" s="113"/>
      <c r="E744" s="112">
        <v>70890</v>
      </c>
      <c r="F744" s="114"/>
      <c r="G744" s="277"/>
      <c r="H744" s="339">
        <f>H745+H746</f>
        <v>0</v>
      </c>
      <c r="I744" s="120">
        <f t="shared" si="152"/>
        <v>0</v>
      </c>
    </row>
    <row r="745" spans="1:9" s="133" customFormat="1" ht="47.25" hidden="1" x14ac:dyDescent="0.25">
      <c r="A745" s="772" t="str">
        <f>IF(B745&gt;0,VLOOKUP(B745,КВСР!A260:B1425,2),IF(C745&gt;0,VLOOKUP(C745,КФСР!A260:B1772,2),IF(D745&gt;0,VLOOKUP(D745,Программа!A$1:B$5110,2),IF(F745&gt;0,VLOOKUP(F745,КВР!A$1:B$5001,2),IF(E745&gt;0,VLOOKUP(E745,Направление!A$1:B$4783,2))))))</f>
        <v xml:space="preserve">Закупка товаров, работ и услуг для обеспечения государственных (муниципальных) нужд
</v>
      </c>
      <c r="B745" s="117"/>
      <c r="C745" s="112"/>
      <c r="D745" s="113"/>
      <c r="E745" s="134"/>
      <c r="F745" s="114">
        <v>200</v>
      </c>
      <c r="G745" s="277"/>
      <c r="H745" s="339"/>
      <c r="I745" s="120">
        <f t="shared" si="152"/>
        <v>0</v>
      </c>
    </row>
    <row r="746" spans="1:9" s="133" customFormat="1" ht="31.5" hidden="1" x14ac:dyDescent="0.25">
      <c r="A746" s="772" t="str">
        <f>IF(B746&gt;0,VLOOKUP(B746,КВСР!A261:B1426,2),IF(C746&gt;0,VLOOKUP(C746,КФСР!A261:B1773,2),IF(D746&gt;0,VLOOKUP(D746,Программа!A$1:B$5110,2),IF(F746&gt;0,VLOOKUP(F746,КВР!A$1:B$5001,2),IF(E746&gt;0,VLOOKUP(E746,Направление!A$1:B$4783,2))))))</f>
        <v>Социальное обеспечение и иные выплаты населению</v>
      </c>
      <c r="B746" s="117"/>
      <c r="C746" s="112"/>
      <c r="D746" s="113"/>
      <c r="E746" s="134"/>
      <c r="F746" s="114">
        <v>300</v>
      </c>
      <c r="G746" s="277"/>
      <c r="H746" s="339"/>
      <c r="I746" s="120">
        <f t="shared" si="152"/>
        <v>0</v>
      </c>
    </row>
    <row r="747" spans="1:9" s="133" customFormat="1" ht="94.5" x14ac:dyDescent="0.25">
      <c r="A747" s="772" t="str">
        <f>IF(B747&gt;0,VLOOKUP(B747,КВСР!A262:B1427,2),IF(C747&gt;0,VLOOKUP(C747,КФСР!A262:B1774,2),IF(D747&gt;0,VLOOKUP(D747,Программа!A$1:B$5110,2),IF(F747&gt;0,VLOOKUP(F747,КВР!A$1:B$5001,2),IF(E747&gt;0,VLOOKUP(E747,Направление!A$1:B$4783,2))))))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7" s="117"/>
      <c r="C747" s="112"/>
      <c r="D747" s="113"/>
      <c r="E747" s="383">
        <v>72550</v>
      </c>
      <c r="F747" s="114"/>
      <c r="G747" s="277"/>
      <c r="H747" s="339">
        <f>H748</f>
        <v>80668</v>
      </c>
      <c r="I747" s="120">
        <f t="shared" si="152"/>
        <v>80668</v>
      </c>
    </row>
    <row r="748" spans="1:9" s="133" customFormat="1" x14ac:dyDescent="0.25">
      <c r="A748" s="772" t="str">
        <f>IF(B748&gt;0,VLOOKUP(B748,КВСР!A263:B1428,2),IF(C748&gt;0,VLOOKUP(C748,КФСР!A263:B1775,2),IF(D748&gt;0,VLOOKUP(D748,Программа!A$1:B$5110,2),IF(F748&gt;0,VLOOKUP(F748,КВР!A$1:B$5001,2),IF(E748&gt;0,VLOOKUP(E748,Направление!A$1:B$4783,2))))))</f>
        <v>Иные бюджетные ассигнования</v>
      </c>
      <c r="B748" s="117"/>
      <c r="C748" s="112"/>
      <c r="D748" s="113"/>
      <c r="E748" s="383"/>
      <c r="F748" s="114">
        <v>800</v>
      </c>
      <c r="G748" s="277"/>
      <c r="H748" s="339">
        <v>80668</v>
      </c>
      <c r="I748" s="120">
        <f t="shared" si="152"/>
        <v>80668</v>
      </c>
    </row>
    <row r="749" spans="1:9" s="133" customFormat="1" ht="78.75" x14ac:dyDescent="0.25">
      <c r="A749" s="772" t="str">
        <f>IF(B749&gt;0,VLOOKUP(B749,КВСР!A264:B1429,2),IF(C749&gt;0,VLOOKUP(C749,КФСР!A264:B1776,2),IF(D749&gt;0,VLOOKUP(D749,Программа!A$1:B$5110,2),IF(F749&gt;0,VLOOKUP(F749,КВР!A$1:B$5001,2),IF(E749&gt;0,VLOOKUP(E749,Направление!A$1:B$4783,2))))))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9" s="117"/>
      <c r="C749" s="112"/>
      <c r="D749" s="113"/>
      <c r="E749" s="383">
        <v>72560</v>
      </c>
      <c r="F749" s="114"/>
      <c r="G749" s="277"/>
      <c r="H749" s="339">
        <f t="shared" ref="H749:I749" si="170">H750</f>
        <v>2275344</v>
      </c>
      <c r="I749" s="277">
        <f t="shared" si="170"/>
        <v>2275344</v>
      </c>
    </row>
    <row r="750" spans="1:9" s="133" customFormat="1" x14ac:dyDescent="0.25">
      <c r="A750" s="772" t="str">
        <f>IF(B750&gt;0,VLOOKUP(B750,КВСР!A265:B1430,2),IF(C750&gt;0,VLOOKUP(C750,КФСР!A265:B1777,2),IF(D750&gt;0,VLOOKUP(D750,Программа!A$1:B$5110,2),IF(F750&gt;0,VLOOKUP(F750,КВР!A$1:B$5001,2),IF(E750&gt;0,VLOOKUP(E750,Направление!A$1:B$4783,2))))))</f>
        <v>Иные бюджетные ассигнования</v>
      </c>
      <c r="B750" s="117"/>
      <c r="C750" s="112"/>
      <c r="D750" s="113"/>
      <c r="E750" s="134"/>
      <c r="F750" s="114">
        <v>800</v>
      </c>
      <c r="G750" s="277"/>
      <c r="H750" s="339">
        <v>2275344</v>
      </c>
      <c r="I750" s="120">
        <f t="shared" si="152"/>
        <v>2275344</v>
      </c>
    </row>
    <row r="751" spans="1:9" s="133" customFormat="1" ht="47.25" hidden="1" x14ac:dyDescent="0.25">
      <c r="A751" s="772" t="str">
        <f>IF(B751&gt;0,VLOOKUP(B751,КВСР!A256:B1421,2),IF(C751&gt;0,VLOOKUP(C751,КФСР!A256:B1768,2),IF(D751&gt;0,VLOOKUP(D751,Программа!A$1:B$5110,2),IF(F751&gt;0,VLOOKUP(F751,КВР!A$1:B$5001,2),IF(E751&gt;0,VLOOKUP(E751,Направление!A$1:B$4783,2))))))</f>
        <v>Расходы на социальную поддержку отдельных категорий граждан в части ежемесячного пособия на ребенка</v>
      </c>
      <c r="B751" s="117"/>
      <c r="C751" s="112"/>
      <c r="D751" s="113"/>
      <c r="E751" s="112">
        <v>73040</v>
      </c>
      <c r="F751" s="114"/>
      <c r="G751" s="295"/>
      <c r="H751" s="284">
        <f>H753+H752</f>
        <v>0</v>
      </c>
      <c r="I751" s="120">
        <f t="shared" si="152"/>
        <v>0</v>
      </c>
    </row>
    <row r="752" spans="1:9" s="133" customFormat="1" ht="47.25" hidden="1" x14ac:dyDescent="0.25">
      <c r="A752" s="772" t="str">
        <f>IF(B752&gt;0,VLOOKUP(B752,КВСР!A257:B1422,2),IF(C752&gt;0,VLOOKUP(C752,КФСР!A257:B1769,2),IF(D752&gt;0,VLOOKUP(D752,Программа!A$1:B$5110,2),IF(F752&gt;0,VLOOKUP(F752,КВР!A$1:B$5001,2),IF(E752&gt;0,VLOOKUP(E752,Направление!A$1:B$4783,2))))))</f>
        <v xml:space="preserve">Закупка товаров, работ и услуг для обеспечения государственных (муниципальных) нужд
</v>
      </c>
      <c r="B752" s="117"/>
      <c r="C752" s="112"/>
      <c r="D752" s="113"/>
      <c r="E752" s="112"/>
      <c r="F752" s="114">
        <v>200</v>
      </c>
      <c r="G752" s="295"/>
      <c r="H752" s="284"/>
      <c r="I752" s="120">
        <f t="shared" si="152"/>
        <v>0</v>
      </c>
    </row>
    <row r="753" spans="1:9" s="133" customFormat="1" ht="31.5" hidden="1" x14ac:dyDescent="0.25">
      <c r="A753" s="772" t="str">
        <f>IF(B753&gt;0,VLOOKUP(B753,КВСР!A264:B1429,2),IF(C753&gt;0,VLOOKUP(C753,КФСР!A264:B1776,2),IF(D753&gt;0,VLOOKUP(D753,Программа!A$1:B$5110,2),IF(F753&gt;0,VLOOKUP(F753,КВР!A$1:B$5001,2),IF(E753&gt;0,VLOOKUP(E753,Направление!A$1:B$4783,2))))))</f>
        <v>Социальное обеспечение и иные выплаты населению</v>
      </c>
      <c r="B753" s="117"/>
      <c r="C753" s="112"/>
      <c r="D753" s="113"/>
      <c r="E753" s="112"/>
      <c r="F753" s="114">
        <v>300</v>
      </c>
      <c r="G753" s="277"/>
      <c r="H753" s="339"/>
      <c r="I753" s="120">
        <f t="shared" si="152"/>
        <v>0</v>
      </c>
    </row>
    <row r="754" spans="1:9" s="133" customFormat="1" ht="63" x14ac:dyDescent="0.25">
      <c r="A754" s="772" t="str">
        <f>IF(B754&gt;0,VLOOKUP(B754,КВСР!A265:B1430,2),IF(C754&gt;0,VLOOKUP(C754,КФСР!A265:B1777,2),IF(D754&gt;0,VLOOKUP(D754,Программа!A$1:B$5110,2),IF(F754&gt;0,VLOOKUP(F754,КВР!A$1:B$5001,2),IF(E754&gt;0,VLOOKUP(E754,Направление!A$1:B$4783,2))))))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4" s="117"/>
      <c r="C754" s="112"/>
      <c r="D754" s="113"/>
      <c r="E754" s="112" t="s">
        <v>1258</v>
      </c>
      <c r="F754" s="114"/>
      <c r="G754" s="277"/>
      <c r="H754" s="339">
        <f t="shared" ref="H754:I754" si="171">H755</f>
        <v>1685127</v>
      </c>
      <c r="I754" s="289">
        <f t="shared" si="171"/>
        <v>1685127</v>
      </c>
    </row>
    <row r="755" spans="1:9" s="133" customFormat="1" ht="31.5" x14ac:dyDescent="0.25">
      <c r="A755" s="772" t="str">
        <f>IF(B755&gt;0,VLOOKUP(B755,КВСР!A266:B1431,2),IF(C755&gt;0,VLOOKUP(C755,КФСР!A266:B1778,2),IF(D755&gt;0,VLOOKUP(D755,Программа!A$1:B$5110,2),IF(F755&gt;0,VLOOKUP(F755,КВР!A$1:B$5001,2),IF(E755&gt;0,VLOOKUP(E755,Направление!A$1:B$4783,2))))))</f>
        <v>Социальное обеспечение и иные выплаты населению</v>
      </c>
      <c r="B755" s="117"/>
      <c r="C755" s="112"/>
      <c r="D755" s="113"/>
      <c r="E755" s="112"/>
      <c r="F755" s="114">
        <v>300</v>
      </c>
      <c r="G755" s="277"/>
      <c r="H755" s="339">
        <v>1685127</v>
      </c>
      <c r="I755" s="120">
        <f>SUM(G755:H755)</f>
        <v>1685127</v>
      </c>
    </row>
    <row r="756" spans="1:9" s="133" customFormat="1" ht="94.5" x14ac:dyDescent="0.25">
      <c r="A756" s="772" t="str">
        <f>IF(B756&gt;0,VLOOKUP(B756,КВСР!A267:B1432,2),IF(C756&gt;0,VLOOKUP(C756,КФСР!A267:B1779,2),IF(D756&gt;0,VLOOKUP(D756,Программа!A$1:B$5110,2),IF(F756&gt;0,VLOOKUP(F756,КВР!A$1:B$5001,2),IF(E756&gt;0,VLOOKUP(E756,Направление!A$1:B$4783,2))))))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6" s="117"/>
      <c r="C756" s="112"/>
      <c r="D756" s="113"/>
      <c r="E756" s="112">
        <v>75490</v>
      </c>
      <c r="F756" s="114"/>
      <c r="G756" s="277"/>
      <c r="H756" s="339">
        <f t="shared" ref="H756:I756" si="172">H757</f>
        <v>28647</v>
      </c>
      <c r="I756" s="289">
        <f t="shared" si="172"/>
        <v>28647</v>
      </c>
    </row>
    <row r="757" spans="1:9" s="133" customFormat="1" ht="47.25" x14ac:dyDescent="0.25">
      <c r="A757" s="772" t="str">
        <f>IF(B757&gt;0,VLOOKUP(B757,КВСР!A268:B1433,2),IF(C757&gt;0,VLOOKUP(C757,КФСР!A268:B1780,2),IF(D757&gt;0,VLOOKUP(D757,Программа!A$1:B$5110,2),IF(F757&gt;0,VLOOKUP(F757,КВР!A$1:B$5001,2),IF(E757&gt;0,VLOOKUP(E757,Направление!A$1:B$4783,2))))))</f>
        <v xml:space="preserve">Закупка товаров, работ и услуг для обеспечения государственных (муниципальных) нужд
</v>
      </c>
      <c r="B757" s="117"/>
      <c r="C757" s="112"/>
      <c r="D757" s="113"/>
      <c r="E757" s="112"/>
      <c r="F757" s="114">
        <v>200</v>
      </c>
      <c r="G757" s="277"/>
      <c r="H757" s="339">
        <v>28647</v>
      </c>
      <c r="I757" s="120">
        <f>SUM(G757:H757)</f>
        <v>28647</v>
      </c>
    </row>
    <row r="758" spans="1:9" s="133" customFormat="1" ht="63" x14ac:dyDescent="0.25">
      <c r="A758" s="772" t="str">
        <f>IF(B758&gt;0,VLOOKUP(B758,КВСР!A258:B1423,2),IF(C758&gt;0,VLOOKUP(C758,КФСР!A258:B1770,2),IF(D758&gt;0,VLOOKUP(D758,Программа!A$1:B$5110,2),IF(F758&gt;0,VLOOKUP(F758,КВР!A$1:B$5001,2),IF(E758&gt;0,VLOOKUP(E758,Направление!A$1:B$4783,2))))))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58" s="117"/>
      <c r="C758" s="112"/>
      <c r="D758" s="113" t="s">
        <v>553</v>
      </c>
      <c r="E758" s="112"/>
      <c r="F758" s="114"/>
      <c r="G758" s="277"/>
      <c r="H758" s="339">
        <f>H759+H761+H764+H766</f>
        <v>8641050</v>
      </c>
      <c r="I758" s="277">
        <f>I759+I761+I764+I766</f>
        <v>8641050</v>
      </c>
    </row>
    <row r="759" spans="1:9" s="133" customFormat="1" ht="47.25" x14ac:dyDescent="0.25">
      <c r="A759" s="772" t="str">
        <f>IF(B759&gt;0,VLOOKUP(B759,КВСР!A261:B1426,2),IF(C759&gt;0,VLOOKUP(C759,КФСР!A261:B1773,2),IF(D759&gt;0,VLOOKUP(D759,Программа!A$1:B$5110,2),IF(F759&gt;0,VLOOKUP(F759,КВР!A$1:B$5001,2),IF(E759&gt;0,VLOOKUP(E759,Направление!A$1:B$4783,2))))))</f>
        <v>Организация перевозок больных, нуждающихся в амбулаторном гемодиализе</v>
      </c>
      <c r="B759" s="117"/>
      <c r="C759" s="112"/>
      <c r="D759" s="113"/>
      <c r="E759" s="112">
        <v>16210</v>
      </c>
      <c r="F759" s="114"/>
      <c r="G759" s="277"/>
      <c r="H759" s="390">
        <f>H760</f>
        <v>60000</v>
      </c>
      <c r="I759" s="120">
        <f>SUM(G759:H759)</f>
        <v>60000</v>
      </c>
    </row>
    <row r="760" spans="1:9" s="133" customFormat="1" ht="31.5" x14ac:dyDescent="0.25">
      <c r="A760" s="772" t="str">
        <f>IF(B760&gt;0,VLOOKUP(B760,КВСР!A262:B1427,2),IF(C760&gt;0,VLOOKUP(C760,КФСР!A262:B1774,2),IF(D760&gt;0,VLOOKUP(D760,Программа!A$1:B$5110,2),IF(F760&gt;0,VLOOKUP(F760,КВР!A$1:B$5001,2),IF(E760&gt;0,VLOOKUP(E760,Направление!A$1:B$4783,2))))))</f>
        <v>Социальное обеспечение и иные выплаты населению</v>
      </c>
      <c r="B760" s="117"/>
      <c r="C760" s="112"/>
      <c r="D760" s="113"/>
      <c r="E760" s="134"/>
      <c r="F760" s="114">
        <v>300</v>
      </c>
      <c r="G760" s="277"/>
      <c r="H760" s="339">
        <v>60000</v>
      </c>
      <c r="I760" s="120">
        <f>SUM(G760:H760)</f>
        <v>60000</v>
      </c>
    </row>
    <row r="761" spans="1:9" s="133" customFormat="1" ht="47.25" x14ac:dyDescent="0.25">
      <c r="A761" s="772" t="str">
        <f>IF(B761&gt;0,VLOOKUP(B761,КВСР!A264:B1429,2),IF(C761&gt;0,VLOOKUP(C761,КФСР!A264:B1776,2),IF(D761&gt;0,VLOOKUP(D761,Программа!A$1:B$5110,2),IF(F761&gt;0,VLOOKUP(F761,КВР!A$1:B$5001,2),IF(E761&gt;0,VLOOKUP(E761,Направление!A$1:B$4783,2))))))</f>
        <v>Оказание социальной помощи отдельным категориям граждан за счет средств областного бюджета</v>
      </c>
      <c r="B761" s="117"/>
      <c r="C761" s="112"/>
      <c r="D761" s="113"/>
      <c r="E761" s="112">
        <v>70890</v>
      </c>
      <c r="F761" s="114"/>
      <c r="G761" s="277"/>
      <c r="H761" s="339">
        <f>H762+H763</f>
        <v>3072750</v>
      </c>
      <c r="I761" s="120">
        <f t="shared" si="152"/>
        <v>3072750</v>
      </c>
    </row>
    <row r="762" spans="1:9" s="133" customFormat="1" ht="63" x14ac:dyDescent="0.25">
      <c r="A762" s="772" t="str">
        <f>IF(B762&gt;0,VLOOKUP(B762,КВСР!A265:B1430,2),IF(C762&gt;0,VLOOKUP(C762,КФСР!A265:B1777,2),IF(D762&gt;0,VLOOKUP(D762,Программа!A$1:B$5110,2),IF(F762&gt;0,VLOOKUP(F762,КВР!A$1:B$5001,2),IF(E762&gt;0,VLOOKUP(E762,Направление!A$1:B$4783,2))))))</f>
        <v xml:space="preserve">Закупка товаров, работ и услуг для обеспечения государственных (муниципальных) нужд
</v>
      </c>
      <c r="B762" s="117"/>
      <c r="C762" s="112"/>
      <c r="D762" s="113"/>
      <c r="E762" s="112"/>
      <c r="F762" s="114">
        <v>200</v>
      </c>
      <c r="G762" s="277"/>
      <c r="H762" s="339">
        <v>34300</v>
      </c>
      <c r="I762" s="120">
        <f t="shared" ref="I762:I838" si="173">SUM(G762:H762)</f>
        <v>34300</v>
      </c>
    </row>
    <row r="763" spans="1:9" s="133" customFormat="1" ht="31.5" x14ac:dyDescent="0.25">
      <c r="A763" s="772" t="str">
        <f>IF(B763&gt;0,VLOOKUP(B763,КВСР!A266:B1431,2),IF(C763&gt;0,VLOOKUP(C763,КФСР!A266:B1778,2),IF(D763&gt;0,VLOOKUP(D763,Программа!A$1:B$5110,2),IF(F763&gt;0,VLOOKUP(F763,КВР!A$1:B$5001,2),IF(E763&gt;0,VLOOKUP(E763,Направление!A$1:B$4783,2))))))</f>
        <v>Социальное обеспечение и иные выплаты населению</v>
      </c>
      <c r="B763" s="117"/>
      <c r="C763" s="112"/>
      <c r="D763" s="113"/>
      <c r="E763" s="112"/>
      <c r="F763" s="114">
        <v>300</v>
      </c>
      <c r="G763" s="277"/>
      <c r="H763" s="339">
        <v>3038450</v>
      </c>
      <c r="I763" s="120">
        <f t="shared" si="173"/>
        <v>3038450</v>
      </c>
    </row>
    <row r="764" spans="1:9" s="133" customFormat="1" ht="63" x14ac:dyDescent="0.25">
      <c r="A764" s="772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64" s="117"/>
      <c r="C764" s="112"/>
      <c r="D764" s="113"/>
      <c r="E764" s="112">
        <v>75520</v>
      </c>
      <c r="F764" s="114"/>
      <c r="G764" s="277"/>
      <c r="H764" s="339">
        <f t="shared" ref="H764:I764" si="174">H765</f>
        <v>270900</v>
      </c>
      <c r="I764" s="277">
        <f t="shared" si="174"/>
        <v>270900</v>
      </c>
    </row>
    <row r="765" spans="1:9" s="133" customFormat="1" ht="63" x14ac:dyDescent="0.25">
      <c r="A765" s="772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IF(B765&gt;0,VLOOKUP(B765,КВСР!A268:B1433,2),IF(C765&gt;0,VLOOKUP(C765,КФСР!A268:B1780,2),IF(D765&gt;0,VLOOKUP(D765,Программа!A$1:B$5110,2),IF(F765&gt;0,VLOOKUP(F765,КВР!A$1:B$5001,2),IF(E765&gt;0,VLOOKUP(E765,Направление!A$1:B$4783,2))))))</f>
        <v xml:space="preserve">Закупка товаров, работ и услуг для обеспечения государственных (муниципальных) нужд
</v>
      </c>
      <c r="B765" s="117"/>
      <c r="C765" s="112"/>
      <c r="D765" s="113"/>
      <c r="E765" s="112"/>
      <c r="F765" s="114">
        <v>200</v>
      </c>
      <c r="G765" s="277"/>
      <c r="H765" s="339">
        <v>270900</v>
      </c>
      <c r="I765" s="120">
        <f>G765+H765</f>
        <v>270900</v>
      </c>
    </row>
    <row r="766" spans="1:9" s="133" customFormat="1" ht="63" x14ac:dyDescent="0.25">
      <c r="A766" s="772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766" s="117"/>
      <c r="C766" s="112"/>
      <c r="D766" s="113"/>
      <c r="E766" s="112" t="s">
        <v>1853</v>
      </c>
      <c r="F766" s="114"/>
      <c r="G766" s="277">
        <f>G767</f>
        <v>0</v>
      </c>
      <c r="H766" s="339">
        <f t="shared" ref="H766:I766" si="175">H767</f>
        <v>5237400</v>
      </c>
      <c r="I766" s="277">
        <f t="shared" si="175"/>
        <v>5237400</v>
      </c>
    </row>
    <row r="767" spans="1:9" s="133" customFormat="1" ht="31.5" x14ac:dyDescent="0.25">
      <c r="A767" s="772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IF(B767&gt;0,VLOOKUP(B767,КВСР!A270:B1435,2),IF(C767&gt;0,VLOOKUP(C767,КФСР!A270:B1782,2),IF(D767&gt;0,VLOOKUP(D767,Программа!A$1:B$5110,2),IF(F767&gt;0,VLOOKUP(F767,КВР!A$1:B$5001,2),IF(E767&gt;0,VLOOKUP(E767,Направление!A$1:B$4783,2))))))</f>
        <v>Социальное обеспечение и иные выплаты населению</v>
      </c>
      <c r="B767" s="117"/>
      <c r="C767" s="112"/>
      <c r="D767" s="113"/>
      <c r="E767" s="112"/>
      <c r="F767" s="114">
        <v>300</v>
      </c>
      <c r="G767" s="277"/>
      <c r="H767" s="339">
        <v>5237400</v>
      </c>
      <c r="I767" s="120">
        <f>G767+H767</f>
        <v>5237400</v>
      </c>
    </row>
    <row r="768" spans="1:9" s="133" customFormat="1" hidden="1" x14ac:dyDescent="0.25">
      <c r="A768" s="772" t="str">
        <f>IF(B768&gt;0,VLOOKUP(B768,КВСР!A267:B1432,2),IF(C768&gt;0,VLOOKUP(C768,КФСР!A267:B1779,2),IF(D768&gt;0,VLOOKUP(D768,Программа!A$1:B$5110,2),IF(F768&gt;0,VLOOKUP(F768,КВР!A$1:B$5001,2),IF(E768&gt;0,VLOOKUP(E768,Направление!A$1:B$4783,2))))))</f>
        <v>Непрограммные расходы бюджета</v>
      </c>
      <c r="B768" s="117"/>
      <c r="C768" s="112"/>
      <c r="D768" s="113" t="s">
        <v>394</v>
      </c>
      <c r="E768" s="112"/>
      <c r="F768" s="114"/>
      <c r="G768" s="277"/>
      <c r="H768" s="339">
        <f t="shared" ref="H768:I768" si="176">H769+H771</f>
        <v>0</v>
      </c>
      <c r="I768" s="277">
        <f t="shared" si="176"/>
        <v>0</v>
      </c>
    </row>
    <row r="769" spans="1:9" s="133" customFormat="1" ht="31.5" hidden="1" x14ac:dyDescent="0.25">
      <c r="A769" s="772" t="str">
        <f>IF(B769&gt;0,VLOOKUP(B769,КВСР!A267:B1432,2),IF(C769&gt;0,VLOOKUP(C769,КФСР!A267:B1779,2),IF(D769&gt;0,VLOOKUP(D769,Программа!A$1:B$5110,2),IF(F769&gt;0,VLOOKUP(F769,КВР!A$1:B$5001,2),IF(E769&gt;0,VLOOKUP(E769,Направление!A$1:B$4783,2))))))</f>
        <v>Резервные фонды местных администраций</v>
      </c>
      <c r="B769" s="117"/>
      <c r="C769" s="112"/>
      <c r="D769" s="113"/>
      <c r="E769" s="112">
        <v>12900</v>
      </c>
      <c r="F769" s="114"/>
      <c r="G769" s="277"/>
      <c r="H769" s="339">
        <f t="shared" ref="H769:I769" si="177">H770</f>
        <v>0</v>
      </c>
      <c r="I769" s="277">
        <f t="shared" si="177"/>
        <v>0</v>
      </c>
    </row>
    <row r="770" spans="1:9" s="133" customFormat="1" ht="31.5" hidden="1" x14ac:dyDescent="0.25">
      <c r="A770" s="772" t="str">
        <f>IF(B770&gt;0,VLOOKUP(B770,КВСР!A268:B1433,2),IF(C770&gt;0,VLOOKUP(C770,КФСР!A268:B1780,2),IF(D770&gt;0,VLOOKUP(D770,Программа!A$1:B$5110,2),IF(F770&gt;0,VLOOKUP(F770,КВР!A$1:B$5001,2),IF(E770&gt;0,VLOOKUP(E770,Направление!A$1:B$4783,2))))))</f>
        <v>Социальное обеспечение и иные выплаты населению</v>
      </c>
      <c r="B770" s="117"/>
      <c r="C770" s="112"/>
      <c r="D770" s="113"/>
      <c r="E770" s="112"/>
      <c r="F770" s="114">
        <v>300</v>
      </c>
      <c r="G770" s="277"/>
      <c r="H770" s="339"/>
      <c r="I770" s="120">
        <f>G770+H770</f>
        <v>0</v>
      </c>
    </row>
    <row r="771" spans="1:9" s="133" customFormat="1" ht="47.25" hidden="1" x14ac:dyDescent="0.25">
      <c r="A771" s="772" t="str">
        <f>IF(B771&gt;0,VLOOKUP(B771,КВСР!A269:B1434,2),IF(C771&gt;0,VLOOKUP(C771,КФСР!A269:B1781,2),IF(D771&gt;0,VLOOKUP(D771,Программа!A$1:B$5110,2),IF(F771&gt;0,VLOOKUP(F771,КВР!A$1:B$5001,2),IF(E771&gt;0,VLOOKUP(E771,Направление!A$1:B$4783,2))))))</f>
        <v>Резервные фонды исполнительных органов государственной власти субъектов Российской Федерации</v>
      </c>
      <c r="B771" s="117"/>
      <c r="C771" s="112"/>
      <c r="D771" s="113"/>
      <c r="E771" s="112">
        <v>80120</v>
      </c>
      <c r="F771" s="114"/>
      <c r="G771" s="277"/>
      <c r="H771" s="339">
        <f t="shared" ref="H771:I771" si="178">H772</f>
        <v>0</v>
      </c>
      <c r="I771" s="277">
        <f t="shared" si="178"/>
        <v>0</v>
      </c>
    </row>
    <row r="772" spans="1:9" s="133" customFormat="1" ht="31.5" hidden="1" x14ac:dyDescent="0.25">
      <c r="A772" s="772" t="str">
        <f>IF(B772&gt;0,VLOOKUP(B772,КВСР!A270:B1435,2),IF(C772&gt;0,VLOOKUP(C772,КФСР!A270:B1782,2),IF(D772&gt;0,VLOOKUP(D772,Программа!A$1:B$5110,2),IF(F772&gt;0,VLOOKUP(F772,КВР!A$1:B$5001,2),IF(E772&gt;0,VLOOKUP(E772,Направление!A$1:B$4783,2))))))</f>
        <v>Социальное обеспечение и иные выплаты населению</v>
      </c>
      <c r="B772" s="117"/>
      <c r="C772" s="112"/>
      <c r="D772" s="113"/>
      <c r="E772" s="112"/>
      <c r="F772" s="114">
        <v>300</v>
      </c>
      <c r="G772" s="277"/>
      <c r="H772" s="339"/>
      <c r="I772" s="120">
        <f>G772+H772</f>
        <v>0</v>
      </c>
    </row>
    <row r="773" spans="1:9" s="122" customFormat="1" x14ac:dyDescent="0.25">
      <c r="A773" s="772" t="str">
        <f>IF(B773&gt;0,VLOOKUP(B773,КВСР!A303:B1468,2),IF(C773&gt;0,VLOOKUP(C773,КФСР!A303:B1815,2),IF(D773&gt;0,VLOOKUP(D773,Программа!A$1:B$5110,2),IF(F773&gt;0,VLOOKUP(F773,КВР!A$1:B$5001,2),IF(E773&gt;0,VLOOKUP(E773,Направление!A$1:B$4783,2))))))</f>
        <v>Охрана семьи и детства</v>
      </c>
      <c r="B773" s="117"/>
      <c r="C773" s="112">
        <v>1004</v>
      </c>
      <c r="D773" s="113"/>
      <c r="E773" s="112"/>
      <c r="F773" s="114"/>
      <c r="G773" s="120"/>
      <c r="H773" s="339">
        <f>H774</f>
        <v>134461928</v>
      </c>
      <c r="I773" s="120">
        <f t="shared" si="173"/>
        <v>134461928</v>
      </c>
    </row>
    <row r="774" spans="1:9" s="122" customFormat="1" ht="47.25" x14ac:dyDescent="0.25">
      <c r="A774" s="772" t="str">
        <f>IF(B774&gt;0,VLOOKUP(B774,КВСР!A304:B1469,2),IF(C774&gt;0,VLOOKUP(C774,КФСР!A304:B1816,2),IF(D774&gt;0,VLOOKUP(D774,Программа!A$1:B$5110,2),IF(F774&gt;0,VLOOKUP(F774,КВР!A$1:B$5001,2),IF(E774&gt;0,VLOOKUP(E774,Направление!A$1:B$4783,2))))))</f>
        <v>Муниципальная программа "Социальная поддержка населения Тутаевского муниципального района"</v>
      </c>
      <c r="B774" s="117"/>
      <c r="C774" s="112"/>
      <c r="D774" s="113" t="s">
        <v>461</v>
      </c>
      <c r="E774" s="112"/>
      <c r="F774" s="114"/>
      <c r="G774" s="120"/>
      <c r="H774" s="339">
        <f>H775</f>
        <v>134461928</v>
      </c>
      <c r="I774" s="120">
        <f t="shared" si="173"/>
        <v>134461928</v>
      </c>
    </row>
    <row r="775" spans="1:9" s="122" customFormat="1" ht="47.25" x14ac:dyDescent="0.25">
      <c r="A775" s="772" t="str">
        <f>IF(B775&gt;0,VLOOKUP(B775,КВСР!A305:B1470,2),IF(C775&gt;0,VLOOKUP(C775,КФСР!A305:B1817,2),IF(D775&gt;0,VLOOKUP(D775,Программа!A$1:B$5110,2),IF(F775&gt;0,VLOOKUP(F775,КВР!A$1:B$5001,2),IF(E775&gt;0,VLOOKUP(E775,Направление!A$1:B$4783,2))))))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75" s="117"/>
      <c r="C775" s="112"/>
      <c r="D775" s="113" t="s">
        <v>533</v>
      </c>
      <c r="E775" s="112"/>
      <c r="F775" s="114"/>
      <c r="G775" s="277"/>
      <c r="H775" s="339">
        <f t="shared" ref="H775:I775" si="179">H776+H798+H801</f>
        <v>134461928</v>
      </c>
      <c r="I775" s="277">
        <f t="shared" si="179"/>
        <v>134461928</v>
      </c>
    </row>
    <row r="776" spans="1:9" s="122" customFormat="1" ht="47.25" x14ac:dyDescent="0.25">
      <c r="A776" s="772" t="str">
        <f>IF(B776&gt;0,VLOOKUP(B776,КВСР!A306:B1471,2),IF(C776&gt;0,VLOOKUP(C776,КФСР!A306:B1818,2),IF(D776&gt;0,VLOOKUP(D776,Программа!A$1:B$5110,2),IF(F776&gt;0,VLOOKUP(F776,КВР!A$1:B$5001,2),IF(E776&gt;0,VLOOKUP(E776,Направление!A$1:B$4783,2))))))</f>
        <v>Исполнение публичных обязательств по предоставлению выплат, пособий и компенсаций</v>
      </c>
      <c r="B776" s="117"/>
      <c r="C776" s="112"/>
      <c r="D776" s="129" t="s">
        <v>535</v>
      </c>
      <c r="E776" s="130"/>
      <c r="F776" s="114"/>
      <c r="G776" s="277"/>
      <c r="H776" s="339">
        <f t="shared" ref="H776:I776" si="180">H779+H777+H785+H781+H795+H783+H793+H788+H790</f>
        <v>80043218</v>
      </c>
      <c r="I776" s="277">
        <f t="shared" si="180"/>
        <v>80043218</v>
      </c>
    </row>
    <row r="777" spans="1:9" s="122" customFormat="1" hidden="1" x14ac:dyDescent="0.25">
      <c r="A777" s="772" t="str">
        <f>IF(B777&gt;0,VLOOKUP(B777,КВСР!A308:B1473,2),IF(C777&gt;0,VLOOKUP(C777,КФСР!A308:B1820,2),IF(D777&gt;0,VLOOKUP(D777,Программа!A$1:B$5110,2),IF(F777&gt;0,VLOOKUP(F777,КВР!A$1:B$5001,2),IF(E777&gt;0,VLOOKUP(E777,Направление!A$1:B$4783,2))))))</f>
        <v>Содержание центрального аппарата</v>
      </c>
      <c r="B777" s="117"/>
      <c r="C777" s="112"/>
      <c r="D777" s="129"/>
      <c r="E777" s="130">
        <v>12010</v>
      </c>
      <c r="F777" s="114"/>
      <c r="G777" s="277"/>
      <c r="H777" s="339">
        <f>H778</f>
        <v>0</v>
      </c>
      <c r="I777" s="120">
        <f t="shared" si="173"/>
        <v>0</v>
      </c>
    </row>
    <row r="778" spans="1:9" s="122" customFormat="1" ht="110.25" hidden="1" x14ac:dyDescent="0.25">
      <c r="A778" s="772" t="str">
        <f>IF(B778&gt;0,VLOOKUP(B778,КВСР!A309:B1474,2),IF(C778&gt;0,VLOOKUP(C778,КФСР!A309:B1821,2),IF(D778&gt;0,VLOOKUP(D778,Программа!A$1:B$5110,2),IF(F778&gt;0,VLOOKUP(F778,КВР!A$1:B$5001,2),IF(E778&gt;0,VLOOKUP(E778,Направление!A$1:B$4783,2))))))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8" s="117"/>
      <c r="C778" s="112"/>
      <c r="D778" s="132"/>
      <c r="E778" s="130"/>
      <c r="F778" s="114">
        <v>100</v>
      </c>
      <c r="G778" s="277"/>
      <c r="H778" s="339"/>
      <c r="I778" s="120">
        <f t="shared" si="173"/>
        <v>0</v>
      </c>
    </row>
    <row r="779" spans="1:9" s="122" customFormat="1" ht="126" x14ac:dyDescent="0.25">
      <c r="A779" s="772" t="str">
        <f>IF(B779&gt;0,VLOOKUP(B779,КВСР!A308:B1473,2),IF(C779&gt;0,VLOOKUP(C779,КФСР!A308:B1820,2),IF(D779&gt;0,VLOOKUP(D779,Программа!A$1:B$5110,2),IF(F779&gt;0,VLOOKUP(F779,КВР!A$1:B$5001,2),IF(E779&gt;0,VLOOKUP(E779,Направление!A$1:B$4783,2))))))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9" s="117"/>
      <c r="C779" s="112"/>
      <c r="D779" s="129"/>
      <c r="E779" s="130">
        <v>52700</v>
      </c>
      <c r="F779" s="114"/>
      <c r="G779" s="277"/>
      <c r="H779" s="339">
        <f>H780</f>
        <v>361521</v>
      </c>
      <c r="I779" s="120">
        <f t="shared" si="173"/>
        <v>361521</v>
      </c>
    </row>
    <row r="780" spans="1:9" s="122" customFormat="1" ht="31.5" x14ac:dyDescent="0.25">
      <c r="A780" s="772" t="str">
        <f>IF(B780&gt;0,VLOOKUP(B780,КВСР!A309:B1474,2),IF(C780&gt;0,VLOOKUP(C780,КФСР!A309:B1821,2),IF(D780&gt;0,VLOOKUP(D780,Программа!A$1:B$5110,2),IF(F780&gt;0,VLOOKUP(F780,КВР!A$1:B$5001,2),IF(E780&gt;0,VLOOKUP(E780,Направление!A$1:B$4783,2))))))</f>
        <v>Социальное обеспечение и иные выплаты населению</v>
      </c>
      <c r="B780" s="117"/>
      <c r="C780" s="112"/>
      <c r="D780" s="132"/>
      <c r="E780" s="130"/>
      <c r="F780" s="114">
        <v>300</v>
      </c>
      <c r="G780" s="277"/>
      <c r="H780" s="339">
        <v>361521</v>
      </c>
      <c r="I780" s="120">
        <f t="shared" si="173"/>
        <v>361521</v>
      </c>
    </row>
    <row r="781" spans="1:9" s="122" customFormat="1" ht="141.75" x14ac:dyDescent="0.25">
      <c r="A781" s="772" t="str">
        <f>IF(B781&gt;0,VLOOKUP(B781,КВСР!A310:B1475,2),IF(C781&gt;0,VLOOKUP(C781,КФСР!A310:B1822,2),IF(D781&gt;0,VLOOKUP(D781,Программа!A$1:B$5110,2),IF(F781&gt;0,VLOOKUP(F781,КВР!A$1:B$5001,2),IF(E781&gt;0,VLOOKUP(E781,Направление!A$1:B$4783,2))))))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81" s="117"/>
      <c r="C781" s="112"/>
      <c r="D781" s="132"/>
      <c r="E781" s="130">
        <v>53800</v>
      </c>
      <c r="F781" s="114"/>
      <c r="G781" s="277"/>
      <c r="H781" s="339">
        <f>H782</f>
        <v>22331314</v>
      </c>
      <c r="I781" s="120">
        <f t="shared" si="173"/>
        <v>22331314</v>
      </c>
    </row>
    <row r="782" spans="1:9" s="122" customFormat="1" ht="31.5" x14ac:dyDescent="0.25">
      <c r="A782" s="772" t="str">
        <f>IF(B782&gt;0,VLOOKUP(B782,КВСР!A311:B1476,2),IF(C782&gt;0,VLOOKUP(C782,КФСР!A311:B1823,2),IF(D782&gt;0,VLOOKUP(D782,Программа!A$1:B$5110,2),IF(F782&gt;0,VLOOKUP(F782,КВР!A$1:B$5001,2),IF(E782&gt;0,VLOOKUP(E782,Направление!A$1:B$4783,2))))))</f>
        <v>Социальное обеспечение и иные выплаты населению</v>
      </c>
      <c r="B782" s="117"/>
      <c r="C782" s="112"/>
      <c r="D782" s="132"/>
      <c r="E782" s="130"/>
      <c r="F782" s="114">
        <v>300</v>
      </c>
      <c r="G782" s="277"/>
      <c r="H782" s="339">
        <v>22331314</v>
      </c>
      <c r="I782" s="120">
        <f t="shared" si="173"/>
        <v>22331314</v>
      </c>
    </row>
    <row r="783" spans="1:9" s="122" customFormat="1" ht="78.75" hidden="1" x14ac:dyDescent="0.25">
      <c r="A783" s="772" t="str">
        <f>IF(B783&gt;0,VLOOKUP(B783,КВСР!A312:B1477,2),IF(C783&gt;0,VLOOKUP(C783,КФСР!A312:B1824,2),IF(D783&gt;0,VLOOKUP(D783,Программа!A$1:B$5110,2),IF(F783&gt;0,VLOOKUP(F783,КВР!A$1:B$5001,2),IF(E783&gt;0,VLOOKUP(E783,Направление!A$1:B$4783,2))))))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783" s="117"/>
      <c r="C783" s="112"/>
      <c r="D783" s="132"/>
      <c r="E783" s="112" t="s">
        <v>1849</v>
      </c>
      <c r="F783" s="114"/>
      <c r="G783" s="277"/>
      <c r="H783" s="339">
        <f>H784</f>
        <v>0</v>
      </c>
      <c r="I783" s="120">
        <f t="shared" si="173"/>
        <v>0</v>
      </c>
    </row>
    <row r="784" spans="1:9" s="122" customFormat="1" ht="31.5" hidden="1" x14ac:dyDescent="0.25">
      <c r="A784" s="772" t="str">
        <f>IF(B784&gt;0,VLOOKUP(B784,КВСР!A313:B1478,2),IF(C784&gt;0,VLOOKUP(C784,КФСР!A313:B1825,2),IF(D784&gt;0,VLOOKUP(D784,Программа!A$1:B$5110,2),IF(F784&gt;0,VLOOKUP(F784,КВР!A$1:B$5001,2),IF(E784&gt;0,VLOOKUP(E784,Направление!A$1:B$4783,2))))))</f>
        <v>Социальное обеспечение и иные выплаты населению</v>
      </c>
      <c r="B784" s="117"/>
      <c r="C784" s="112"/>
      <c r="D784" s="132"/>
      <c r="E784" s="130"/>
      <c r="F784" s="114">
        <v>300</v>
      </c>
      <c r="G784" s="277"/>
      <c r="H784" s="339"/>
      <c r="I784" s="120">
        <f t="shared" si="173"/>
        <v>0</v>
      </c>
    </row>
    <row r="785" spans="1:9" s="122" customFormat="1" ht="94.5" hidden="1" x14ac:dyDescent="0.25">
      <c r="A785" s="772" t="str">
        <f>IF(B785&gt;0,VLOOKUP(B785,КВСР!A310:B1475,2),IF(C785&gt;0,VLOOKUP(C785,КФСР!A310:B1822,2),IF(D785&gt;0,VLOOKUP(D785,Программа!A$1:B$5110,2),IF(F785&gt;0,VLOOKUP(F785,КВР!A$1:B$5001,2),IF(E785&gt;0,VLOOKUP(E785,Направление!A$1:B$4783,2))))))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5" s="117"/>
      <c r="C785" s="112"/>
      <c r="D785" s="129"/>
      <c r="E785" s="130">
        <v>55730</v>
      </c>
      <c r="F785" s="114"/>
      <c r="G785" s="277"/>
      <c r="H785" s="339">
        <f>H786+H787</f>
        <v>0</v>
      </c>
      <c r="I785" s="120">
        <f t="shared" si="173"/>
        <v>0</v>
      </c>
    </row>
    <row r="786" spans="1:9" s="122" customFormat="1" ht="63" hidden="1" x14ac:dyDescent="0.25">
      <c r="A786" s="772" t="str">
        <f>IF(B786&gt;0,VLOOKUP(B786,КВСР!A311:B1476,2),IF(C786&gt;0,VLOOKUP(C786,КФСР!A311:B1823,2),IF(D786&gt;0,VLOOKUP(D786,Программа!A$1:B$5110,2),IF(F786&gt;0,VLOOKUP(F786,КВР!A$1:B$5001,2),IF(E786&gt;0,VLOOKUP(E786,Направление!A$1:B$4783,2))))))</f>
        <v xml:space="preserve">Закупка товаров, работ и услуг для обеспечения государственных (муниципальных) нужд
</v>
      </c>
      <c r="B786" s="117"/>
      <c r="C786" s="112"/>
      <c r="D786" s="132"/>
      <c r="E786" s="130"/>
      <c r="F786" s="114">
        <v>200</v>
      </c>
      <c r="G786" s="277"/>
      <c r="H786" s="339"/>
      <c r="I786" s="120">
        <f t="shared" si="173"/>
        <v>0</v>
      </c>
    </row>
    <row r="787" spans="1:9" s="122" customFormat="1" ht="31.5" hidden="1" x14ac:dyDescent="0.25">
      <c r="A787" s="772" t="str">
        <f>IF(B787&gt;0,VLOOKUP(B787,КВСР!A312:B1477,2),IF(C787&gt;0,VLOOKUP(C787,КФСР!A312:B1824,2),IF(D787&gt;0,VLOOKUP(D787,Программа!A$1:B$5110,2),IF(F787&gt;0,VLOOKUP(F787,КВР!A$1:B$5001,2),IF(E787&gt;0,VLOOKUP(E787,Направление!A$1:B$4783,2))))))</f>
        <v>Социальное обеспечение и иные выплаты населению</v>
      </c>
      <c r="B787" s="117"/>
      <c r="C787" s="112"/>
      <c r="D787" s="132"/>
      <c r="E787" s="130"/>
      <c r="F787" s="114">
        <v>300</v>
      </c>
      <c r="G787" s="277"/>
      <c r="H787" s="339"/>
      <c r="I787" s="120">
        <f t="shared" si="173"/>
        <v>0</v>
      </c>
    </row>
    <row r="788" spans="1:9" s="122" customFormat="1" ht="63" x14ac:dyDescent="0.25">
      <c r="A788" s="772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8" s="117"/>
      <c r="C788" s="112"/>
      <c r="D788" s="132"/>
      <c r="E788" s="130">
        <v>70870</v>
      </c>
      <c r="F788" s="114"/>
      <c r="G788" s="277"/>
      <c r="H788" s="339">
        <f t="shared" ref="H788:I788" si="181">H789</f>
        <v>2400</v>
      </c>
      <c r="I788" s="277">
        <f t="shared" si="181"/>
        <v>2400</v>
      </c>
    </row>
    <row r="789" spans="1:9" s="122" customFormat="1" ht="110.25" x14ac:dyDescent="0.25">
      <c r="A789" s="772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9" s="117"/>
      <c r="C789" s="112"/>
      <c r="D789" s="132"/>
      <c r="E789" s="130"/>
      <c r="F789" s="114">
        <v>100</v>
      </c>
      <c r="G789" s="277"/>
      <c r="H789" s="339">
        <v>2400</v>
      </c>
      <c r="I789" s="120">
        <f>G789+H789</f>
        <v>2400</v>
      </c>
    </row>
    <row r="790" spans="1:9" s="122" customFormat="1" ht="47.25" x14ac:dyDescent="0.25">
      <c r="A790" s="772" t="str">
        <f>IF(B790&gt;0,VLOOKUP(B790,КВСР!A315:B1480,2),IF(C790&gt;0,VLOOKUP(C790,КФСР!A315:B1827,2),IF(D790&gt;0,VLOOKUP(D790,Программа!A$1:B$5110,2),IF(F790&gt;0,VLOOKUP(F790,КВР!A$1:B$5001,2),IF(E790&gt;0,VLOOKUP(E790,Направление!A$1:B$4783,2))))))</f>
        <v>Расходы на социальную поддержку отдельных категорий граждан в части ежемесячного пособия на ребенка</v>
      </c>
      <c r="B790" s="117"/>
      <c r="C790" s="112"/>
      <c r="D790" s="132"/>
      <c r="E790" s="130">
        <v>73040</v>
      </c>
      <c r="F790" s="114"/>
      <c r="G790" s="277"/>
      <c r="H790" s="339">
        <f t="shared" ref="H790:I790" si="182">H791+H792</f>
        <v>29000000</v>
      </c>
      <c r="I790" s="277">
        <f t="shared" si="182"/>
        <v>29000000</v>
      </c>
    </row>
    <row r="791" spans="1:9" s="122" customFormat="1" ht="63" x14ac:dyDescent="0.25">
      <c r="A791" s="772" t="str">
        <f>IF(B791&gt;0,VLOOKUP(B791,КВСР!A316:B1481,2),IF(C791&gt;0,VLOOKUP(C791,КФСР!A316:B1828,2),IF(D791&gt;0,VLOOKUP(D791,Программа!A$1:B$5110,2),IF(F791&gt;0,VLOOKUP(F791,КВР!A$1:B$5001,2),IF(E791&gt;0,VLOOKUP(E791,Направление!A$1:B$4783,2))))))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32"/>
      <c r="E791" s="130"/>
      <c r="F791" s="114">
        <v>200</v>
      </c>
      <c r="G791" s="277"/>
      <c r="H791" s="339">
        <v>2850</v>
      </c>
      <c r="I791" s="120">
        <f>G791+H791</f>
        <v>2850</v>
      </c>
    </row>
    <row r="792" spans="1:9" s="122" customFormat="1" ht="31.5" x14ac:dyDescent="0.25">
      <c r="A792" s="772" t="str">
        <f>IF(B792&gt;0,VLOOKUP(B792,КВСР!A317:B1482,2),IF(C792&gt;0,VLOOKUP(C792,КФСР!A317:B1829,2),IF(D792&gt;0,VLOOKUP(D792,Программа!A$1:B$5110,2),IF(F792&gt;0,VLOOKUP(F792,КВР!A$1:B$5001,2),IF(E792&gt;0,VLOOKUP(E792,Направление!A$1:B$4783,2))))))</f>
        <v>Социальное обеспечение и иные выплаты населению</v>
      </c>
      <c r="B792" s="117"/>
      <c r="C792" s="112"/>
      <c r="D792" s="132"/>
      <c r="E792" s="130"/>
      <c r="F792" s="114">
        <v>300</v>
      </c>
      <c r="G792" s="277"/>
      <c r="H792" s="339">
        <v>28997150</v>
      </c>
      <c r="I792" s="120">
        <f>G792+H792</f>
        <v>28997150</v>
      </c>
    </row>
    <row r="793" spans="1:9" s="122" customFormat="1" ht="63" x14ac:dyDescent="0.25">
      <c r="A793" s="772" t="str">
        <f>IF(B793&gt;0,VLOOKUP(B793,КВСР!A313:B1478,2),IF(C793&gt;0,VLOOKUP(C793,КФСР!A313:B1825,2),IF(D793&gt;0,VLOOKUP(D793,Программа!A$1:B$5110,2),IF(F793&gt;0,VLOOKUP(F793,КВР!A$1:B$5001,2),IF(E793&gt;0,VLOOKUP(E793,Направление!A$1:B$4783,2))))))</f>
        <v>Ежемесячная выплата на детей в возрасте от трех до семи лет включительно в части расходов по доставке</v>
      </c>
      <c r="B793" s="117"/>
      <c r="C793" s="112"/>
      <c r="D793" s="132"/>
      <c r="E793" s="130">
        <v>75510</v>
      </c>
      <c r="F793" s="114"/>
      <c r="G793" s="277"/>
      <c r="H793" s="339">
        <f t="shared" ref="H793:I793" si="183">H794</f>
        <v>902639</v>
      </c>
      <c r="I793" s="289">
        <f t="shared" si="183"/>
        <v>902639</v>
      </c>
    </row>
    <row r="794" spans="1:9" s="122" customFormat="1" ht="63" x14ac:dyDescent="0.25">
      <c r="A794" s="772" t="str">
        <f>IF(B794&gt;0,VLOOKUP(B794,КВСР!A314:B1479,2),IF(C794&gt;0,VLOOKUP(C794,КФСР!A314:B1826,2),IF(D794&gt;0,VLOOKUP(D794,Программа!A$1:B$5110,2),IF(F794&gt;0,VLOOKUP(F794,КВР!A$1:B$5001,2),IF(E794&gt;0,VLOOKUP(E794,Направление!A$1:B$4783,2))))))</f>
        <v xml:space="preserve">Закупка товаров, работ и услуг для обеспечения государственных (муниципальных) нужд
</v>
      </c>
      <c r="B794" s="117"/>
      <c r="C794" s="112"/>
      <c r="D794" s="132"/>
      <c r="E794" s="130"/>
      <c r="F794" s="114">
        <v>200</v>
      </c>
      <c r="G794" s="277"/>
      <c r="H794" s="339">
        <v>902639</v>
      </c>
      <c r="I794" s="120">
        <f>G794+H794</f>
        <v>902639</v>
      </c>
    </row>
    <row r="795" spans="1:9" s="122" customFormat="1" ht="31.5" x14ac:dyDescent="0.25">
      <c r="A795" s="772" t="str">
        <f>IF(B795&gt;0,VLOOKUP(B795,КВСР!A313:B1478,2),IF(C795&gt;0,VLOOKUP(C795,КФСР!A313:B1825,2),IF(D795&gt;0,VLOOKUP(D795,Программа!A$1:B$5110,2),IF(F795&gt;0,VLOOKUP(F795,КВР!A$1:B$5001,2),IF(E795&gt;0,VLOOKUP(E795,Направление!A$1:B$4783,2))))))</f>
        <v>Ежемесячная выплата на детей в возрасте от 3 до 7 лет включительно</v>
      </c>
      <c r="B795" s="117"/>
      <c r="C795" s="112"/>
      <c r="D795" s="114"/>
      <c r="E795" s="112" t="s">
        <v>1824</v>
      </c>
      <c r="F795" s="114"/>
      <c r="G795" s="277"/>
      <c r="H795" s="339">
        <f>H796+H797</f>
        <v>27445344</v>
      </c>
      <c r="I795" s="120">
        <f t="shared" si="173"/>
        <v>27445344</v>
      </c>
    </row>
    <row r="796" spans="1:9" s="122" customFormat="1" ht="63" hidden="1" x14ac:dyDescent="0.25">
      <c r="A796" s="772" t="str">
        <f>IF(B796&gt;0,VLOOKUP(B796,КВСР!A314:B1479,2),IF(C796&gt;0,VLOOKUP(C796,КФСР!A314:B1826,2),IF(D796&gt;0,VLOOKUP(D796,Программа!A$1:B$5110,2),IF(F796&gt;0,VLOOKUP(F796,КВР!A$1:B$5001,2),IF(E796&gt;0,VLOOKUP(E796,Направление!A$1:B$4783,2))))))</f>
        <v xml:space="preserve">Закупка товаров, работ и услуг для обеспечения государственных (муниципальных) нужд
</v>
      </c>
      <c r="B796" s="117"/>
      <c r="C796" s="112"/>
      <c r="D796" s="132"/>
      <c r="E796" s="130"/>
      <c r="F796" s="114">
        <v>200</v>
      </c>
      <c r="G796" s="277"/>
      <c r="H796" s="339"/>
      <c r="I796" s="120">
        <f t="shared" si="173"/>
        <v>0</v>
      </c>
    </row>
    <row r="797" spans="1:9" s="122" customFormat="1" ht="31.5" x14ac:dyDescent="0.25">
      <c r="A797" s="772" t="str">
        <f>IF(B797&gt;0,VLOOKUP(B797,КВСР!A315:B1480,2),IF(C797&gt;0,VLOOKUP(C797,КФСР!A315:B1827,2),IF(D797&gt;0,VLOOKUP(D797,Программа!A$1:B$5110,2),IF(F797&gt;0,VLOOKUP(F797,КВР!A$1:B$5001,2),IF(E797&gt;0,VLOOKUP(E797,Направление!A$1:B$4783,2))))))</f>
        <v>Социальное обеспечение и иные выплаты населению</v>
      </c>
      <c r="B797" s="117"/>
      <c r="C797" s="112"/>
      <c r="D797" s="132"/>
      <c r="E797" s="130"/>
      <c r="F797" s="114">
        <v>300</v>
      </c>
      <c r="G797" s="277"/>
      <c r="H797" s="339">
        <v>27445344</v>
      </c>
      <c r="I797" s="120">
        <f t="shared" si="173"/>
        <v>27445344</v>
      </c>
    </row>
    <row r="798" spans="1:9" s="122" customFormat="1" ht="63" hidden="1" x14ac:dyDescent="0.25">
      <c r="A798" s="772" t="str">
        <f>IF(B798&gt;0,VLOOKUP(B798,КВСР!A308:B1473,2),IF(C798&gt;0,VLOOKUP(C798,КФСР!A308:B1820,2),IF(D798&gt;0,VLOOKUP(D798,Программа!A$1:B$5110,2),IF(F798&gt;0,VLOOKUP(F798,КВР!A$1:B$5001,2),IF(E798&gt;0,VLOOKUP(E798,Направление!A$1:B$4783,2))))))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98" s="117"/>
      <c r="C798" s="112"/>
      <c r="D798" s="129" t="s">
        <v>553</v>
      </c>
      <c r="E798" s="130"/>
      <c r="F798" s="114"/>
      <c r="G798" s="295"/>
      <c r="H798" s="284">
        <f t="shared" ref="H798:I798" si="184">H799</f>
        <v>0</v>
      </c>
      <c r="I798" s="295">
        <f t="shared" si="184"/>
        <v>0</v>
      </c>
    </row>
    <row r="799" spans="1:9" s="122" customFormat="1" ht="31.5" hidden="1" x14ac:dyDescent="0.25">
      <c r="A799" s="772" t="str">
        <f>IF(B799&gt;0,VLOOKUP(B799,КВСР!A309:B1474,2),IF(C799&gt;0,VLOOKUP(C799,КФСР!A309:B1821,2),IF(D799&gt;0,VLOOKUP(D799,Программа!A$1:B$5110,2),IF(F799&gt;0,VLOOKUP(F799,КВР!A$1:B$5001,2),IF(E799&gt;0,VLOOKUP(E799,Направление!A$1:B$4783,2))))))</f>
        <v>Оказание адресной материальной помощи</v>
      </c>
      <c r="B799" s="117"/>
      <c r="C799" s="112"/>
      <c r="D799" s="129"/>
      <c r="E799" s="130">
        <v>16220</v>
      </c>
      <c r="F799" s="114"/>
      <c r="G799" s="295"/>
      <c r="H799" s="284">
        <f>H800</f>
        <v>0</v>
      </c>
      <c r="I799" s="120">
        <f t="shared" si="173"/>
        <v>0</v>
      </c>
    </row>
    <row r="800" spans="1:9" s="122" customFormat="1" ht="31.5" hidden="1" x14ac:dyDescent="0.25">
      <c r="A800" s="772" t="str">
        <f>IF(B800&gt;0,VLOOKUP(B800,КВСР!A310:B1475,2),IF(C800&gt;0,VLOOKUP(C800,КФСР!A310:B1822,2),IF(D800&gt;0,VLOOKUP(D800,Программа!A$1:B$5110,2),IF(F800&gt;0,VLOOKUP(F800,КВР!A$1:B$5001,2),IF(E800&gt;0,VLOOKUP(E800,Направление!A$1:B$4783,2))))))</f>
        <v>Социальное обеспечение и иные выплаты населению</v>
      </c>
      <c r="B800" s="117"/>
      <c r="C800" s="112"/>
      <c r="D800" s="132"/>
      <c r="E800" s="130"/>
      <c r="F800" s="114">
        <v>300</v>
      </c>
      <c r="G800" s="295"/>
      <c r="H800" s="284"/>
      <c r="I800" s="120">
        <f t="shared" si="173"/>
        <v>0</v>
      </c>
    </row>
    <row r="801" spans="1:9" s="122" customFormat="1" ht="31.5" x14ac:dyDescent="0.25">
      <c r="A801" s="772" t="str">
        <f>IF(B801&gt;0,VLOOKUP(B801,КВСР!A311:B1476,2),IF(C801&gt;0,VLOOKUP(C801,КФСР!A311:B1823,2),IF(D801&gt;0,VLOOKUP(D801,Программа!A$1:B$5110,2),IF(F801&gt;0,VLOOKUP(F801,КВР!A$1:B$5001,2),IF(E801&gt;0,VLOOKUP(E801,Направление!A$1:B$4783,2))))))</f>
        <v>Федеральный проект "Финансовая поддержка при рождении детей"</v>
      </c>
      <c r="B801" s="117"/>
      <c r="C801" s="112"/>
      <c r="D801" s="114" t="s">
        <v>1545</v>
      </c>
      <c r="E801" s="130"/>
      <c r="F801" s="114"/>
      <c r="G801" s="295"/>
      <c r="H801" s="284">
        <f>H802+H804+H806</f>
        <v>54418710</v>
      </c>
      <c r="I801" s="295">
        <f>I802+I804+I806</f>
        <v>54418710</v>
      </c>
    </row>
    <row r="802" spans="1:9" s="122" customFormat="1" ht="63" x14ac:dyDescent="0.25">
      <c r="A802" s="772" t="str">
        <f>IF(B802&gt;0,VLOOKUP(B802,КВСР!A312:B1477,2),IF(C802&gt;0,VLOOKUP(C802,КФСР!A312:B1824,2),IF(D802&gt;0,VLOOKUP(D802,Программа!A$1:B$5110,2),IF(F802&gt;0,VLOOKUP(F802,КВР!A$1:B$5001,2),IF(E802&gt;0,VLOOKUP(E802,Направление!A$1:B$4783,2))))))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02" s="117"/>
      <c r="C802" s="112"/>
      <c r="D802" s="114"/>
      <c r="E802" s="112">
        <v>50840</v>
      </c>
      <c r="F802" s="114"/>
      <c r="G802" s="295"/>
      <c r="H802" s="284">
        <f>H803</f>
        <v>13382410</v>
      </c>
      <c r="I802" s="120">
        <f t="shared" si="173"/>
        <v>13382410</v>
      </c>
    </row>
    <row r="803" spans="1:9" s="122" customFormat="1" ht="31.5" x14ac:dyDescent="0.25">
      <c r="A803" s="772" t="str">
        <f>IF(B803&gt;0,VLOOKUP(B803,КВСР!A312:B1477,2),IF(C803&gt;0,VLOOKUP(C803,КФСР!A312:B1824,2),IF(D803&gt;0,VLOOKUP(D803,Программа!A$1:B$5110,2),IF(F803&gt;0,VLOOKUP(F803,КВР!A$1:B$5001,2),IF(E803&gt;0,VLOOKUP(E803,Направление!A$1:B$4783,2))))))</f>
        <v>Социальное обеспечение и иные выплаты населению</v>
      </c>
      <c r="B803" s="117"/>
      <c r="C803" s="112"/>
      <c r="D803" s="114"/>
      <c r="E803" s="112"/>
      <c r="F803" s="114">
        <v>300</v>
      </c>
      <c r="G803" s="295"/>
      <c r="H803" s="284">
        <v>13382410</v>
      </c>
      <c r="I803" s="120">
        <f t="shared" si="173"/>
        <v>13382410</v>
      </c>
    </row>
    <row r="804" spans="1:9" s="122" customFormat="1" ht="94.5" x14ac:dyDescent="0.25">
      <c r="A804" s="772" t="str">
        <f>IF(B804&gt;0,VLOOKUP(B804,КВСР!A313:B1478,2),IF(C804&gt;0,VLOOKUP(C804,КФСР!A313:B1825,2),IF(D804&gt;0,VLOOKUP(D804,Программа!A$1:B$5110,2),IF(F804&gt;0,VLOOKUP(F804,КВР!A$1:B$5001,2),IF(E804&gt;0,VLOOKUP(E804,Направление!A$1:B$4783,2))))))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4" s="117"/>
      <c r="C804" s="112"/>
      <c r="D804" s="114"/>
      <c r="E804" s="112">
        <v>55730</v>
      </c>
      <c r="F804" s="114"/>
      <c r="G804" s="295"/>
      <c r="H804" s="284">
        <f t="shared" ref="H804:I804" si="185">H805</f>
        <v>40436400</v>
      </c>
      <c r="I804" s="295">
        <f t="shared" si="185"/>
        <v>40436400</v>
      </c>
    </row>
    <row r="805" spans="1:9" s="122" customFormat="1" ht="31.5" x14ac:dyDescent="0.25">
      <c r="A805" s="772" t="str">
        <f>IF(B805&gt;0,VLOOKUP(B805,КВСР!A314:B1479,2),IF(C805&gt;0,VLOOKUP(C805,КФСР!A314:B1826,2),IF(D805&gt;0,VLOOKUP(D805,Программа!A$1:B$5110,2),IF(F805&gt;0,VLOOKUP(F805,КВР!A$1:B$5001,2),IF(E805&gt;0,VLOOKUP(E805,Направление!A$1:B$4783,2))))))</f>
        <v>Социальное обеспечение и иные выплаты населению</v>
      </c>
      <c r="B805" s="117"/>
      <c r="C805" s="112"/>
      <c r="D805" s="114"/>
      <c r="E805" s="112"/>
      <c r="F805" s="114">
        <v>300</v>
      </c>
      <c r="G805" s="295"/>
      <c r="H805" s="284">
        <v>40436400</v>
      </c>
      <c r="I805" s="120">
        <f>G805+H805</f>
        <v>40436400</v>
      </c>
    </row>
    <row r="806" spans="1:9" s="122" customFormat="1" ht="94.5" x14ac:dyDescent="0.25">
      <c r="A806" s="772" t="str">
        <f>IF(B806&gt;0,VLOOKUP(B806,КВСР!A315:B1480,2),IF(C806&gt;0,VLOOKUP(C806,КФСР!A315:B1827,2),IF(D806&gt;0,VLOOKUP(D806,Программа!A$1:B$5110,2),IF(F806&gt;0,VLOOKUP(F806,КВР!A$1:B$5001,2),IF(E806&gt;0,VLOOKUP(E806,Направление!A$1:B$4783,2))))))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6" s="117"/>
      <c r="C806" s="112"/>
      <c r="D806" s="114"/>
      <c r="E806" s="112">
        <v>75480</v>
      </c>
      <c r="F806" s="114"/>
      <c r="G806" s="295"/>
      <c r="H806" s="284">
        <f t="shared" ref="H806:I806" si="186">H807</f>
        <v>599900</v>
      </c>
      <c r="I806" s="295">
        <f t="shared" si="186"/>
        <v>599900</v>
      </c>
    </row>
    <row r="807" spans="1:9" s="122" customFormat="1" ht="63" x14ac:dyDescent="0.25">
      <c r="A807" s="772" t="str">
        <f>IF(B807&gt;0,VLOOKUP(B807,КВСР!A316:B1481,2),IF(C807&gt;0,VLOOKUP(C807,КФСР!A316:B1828,2),IF(D807&gt;0,VLOOKUP(D807,Программа!A$1:B$5110,2),IF(F807&gt;0,VLOOKUP(F807,КВР!A$1:B$5001,2),IF(E807&gt;0,VLOOKUP(E807,Направление!A$1:B$4783,2))))))</f>
        <v xml:space="preserve">Закупка товаров, работ и услуг для обеспечения государственных (муниципальных) нужд
</v>
      </c>
      <c r="B807" s="117"/>
      <c r="C807" s="112"/>
      <c r="D807" s="114"/>
      <c r="E807" s="112"/>
      <c r="F807" s="114">
        <v>200</v>
      </c>
      <c r="G807" s="295"/>
      <c r="H807" s="284">
        <v>599900</v>
      </c>
      <c r="I807" s="120">
        <f>G807+H807</f>
        <v>599900</v>
      </c>
    </row>
    <row r="808" spans="1:9" s="122" customFormat="1" ht="31.5" x14ac:dyDescent="0.25">
      <c r="A808" s="772" t="str">
        <f>IF(B808&gt;0,VLOOKUP(B808,КВСР!A308:B1473,2),IF(C808&gt;0,VLOOKUP(C808,КФСР!A308:B1820,2),IF(D808&gt;0,VLOOKUP(D808,Программа!A$1:B$5110,2),IF(F808&gt;0,VLOOKUP(F808,КВР!A$1:B$5001,2),IF(E808&gt;0,VLOOKUP(E808,Направление!A$1:B$4783,2))))))</f>
        <v>Другие вопросы в области социальной политики</v>
      </c>
      <c r="B808" s="117"/>
      <c r="C808" s="112">
        <v>1006</v>
      </c>
      <c r="D808" s="113"/>
      <c r="E808" s="112"/>
      <c r="F808" s="114"/>
      <c r="G808" s="277"/>
      <c r="H808" s="339">
        <f>H809+H824+H828</f>
        <v>16595490</v>
      </c>
      <c r="I808" s="277">
        <f>I809+I824+I828</f>
        <v>16595490</v>
      </c>
    </row>
    <row r="809" spans="1:9" s="122" customFormat="1" ht="47.25" x14ac:dyDescent="0.25">
      <c r="A809" s="772" t="str">
        <f>IF(B809&gt;0,VLOOKUP(B809,КВСР!A309:B1474,2),IF(C809&gt;0,VLOOKUP(C809,КФСР!A309:B1821,2),IF(D809&gt;0,VLOOKUP(D809,Программа!A$1:B$5110,2),IF(F809&gt;0,VLOOKUP(F809,КВР!A$1:B$5001,2),IF(E809&gt;0,VLOOKUP(E809,Направление!A$1:B$4783,2))))))</f>
        <v>Муниципальная программа "Социальная поддержка населения Тутаевского муниципального района"</v>
      </c>
      <c r="B809" s="117"/>
      <c r="C809" s="112"/>
      <c r="D809" s="113" t="s">
        <v>461</v>
      </c>
      <c r="E809" s="112"/>
      <c r="F809" s="114"/>
      <c r="G809" s="277"/>
      <c r="H809" s="339">
        <f>H810</f>
        <v>16589490</v>
      </c>
      <c r="I809" s="120">
        <f t="shared" si="173"/>
        <v>16589490</v>
      </c>
    </row>
    <row r="810" spans="1:9" s="122" customFormat="1" ht="47.25" x14ac:dyDescent="0.25">
      <c r="A810" s="772" t="str">
        <f>IF(B810&gt;0,VLOOKUP(B810,КВСР!A310:B1475,2),IF(C810&gt;0,VLOOKUP(C810,КФСР!A310:B1822,2),IF(D810&gt;0,VLOOKUP(D810,Программа!A$1:B$5110,2),IF(F810&gt;0,VLOOKUP(F810,КВР!A$1:B$5001,2),IF(E810&gt;0,VLOOKUP(E810,Направление!A$1:B$4783,2))))))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810" s="117"/>
      <c r="C810" s="112"/>
      <c r="D810" s="113" t="s">
        <v>533</v>
      </c>
      <c r="E810" s="112"/>
      <c r="F810" s="114"/>
      <c r="G810" s="277"/>
      <c r="H810" s="339">
        <f>H811+H821</f>
        <v>16589490</v>
      </c>
      <c r="I810" s="120">
        <f t="shared" si="173"/>
        <v>16589490</v>
      </c>
    </row>
    <row r="811" spans="1:9" s="122" customFormat="1" ht="47.25" x14ac:dyDescent="0.25">
      <c r="A811" s="772" t="str">
        <f>IF(B811&gt;0,VLOOKUP(B811,КВСР!A311:B1476,2),IF(C811&gt;0,VLOOKUP(C811,КФСР!A311:B1823,2),IF(D811&gt;0,VLOOKUP(D811,Программа!A$1:B$5110,2),IF(F811&gt;0,VLOOKUP(F811,КВР!A$1:B$5001,2),IF(E811&gt;0,VLOOKUP(E811,Направление!A$1:B$4783,2))))))</f>
        <v>Исполнение публичных обязательств по предоставлению выплат, пособий и компенсаций</v>
      </c>
      <c r="B811" s="117"/>
      <c r="C811" s="112"/>
      <c r="D811" s="113" t="s">
        <v>535</v>
      </c>
      <c r="E811" s="112"/>
      <c r="F811" s="114"/>
      <c r="G811" s="277"/>
      <c r="H811" s="339">
        <f>H812+H817+H815</f>
        <v>15133490</v>
      </c>
      <c r="I811" s="120">
        <f t="shared" si="173"/>
        <v>15133490</v>
      </c>
    </row>
    <row r="812" spans="1:9" s="122" customFormat="1" x14ac:dyDescent="0.25">
      <c r="A812" s="772" t="str">
        <f>IF(B812&gt;0,VLOOKUP(B812,КВСР!A312:B1477,2),IF(C812&gt;0,VLOOKUP(C812,КФСР!A312:B1824,2),IF(D812&gt;0,VLOOKUP(D812,Программа!A$1:B$5110,2),IF(F812&gt;0,VLOOKUP(F812,КВР!A$1:B$5001,2),IF(E812&gt;0,VLOOKUP(E812,Направление!A$1:B$4783,2))))))</f>
        <v>Содержание центрального аппарата</v>
      </c>
      <c r="B812" s="117"/>
      <c r="C812" s="112"/>
      <c r="D812" s="113"/>
      <c r="E812" s="112">
        <v>12010</v>
      </c>
      <c r="F812" s="114"/>
      <c r="G812" s="277"/>
      <c r="H812" s="339">
        <f>H813+H814</f>
        <v>521370</v>
      </c>
      <c r="I812" s="120">
        <f t="shared" si="173"/>
        <v>521370</v>
      </c>
    </row>
    <row r="813" spans="1:9" s="122" customFormat="1" ht="110.25" x14ac:dyDescent="0.25">
      <c r="A813" s="772" t="str">
        <f>IF(B813&gt;0,VLOOKUP(B813,КВСР!A312:B1477,2),IF(C813&gt;0,VLOOKUP(C813,КФСР!A312:B1824,2),IF(D813&gt;0,VLOOKUP(D813,Программа!A$1:B$5110,2),IF(F813&gt;0,VLOOKUP(F813,КВР!A$1:B$5001,2),IF(E813&gt;0,VLOOKUP(E813,Направление!A$1:B$4783,2))))))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3" s="117"/>
      <c r="C813" s="112"/>
      <c r="D813" s="114"/>
      <c r="E813" s="112"/>
      <c r="F813" s="114">
        <v>100</v>
      </c>
      <c r="G813" s="277"/>
      <c r="H813" s="339">
        <v>521370</v>
      </c>
      <c r="I813" s="120">
        <f t="shared" si="173"/>
        <v>521370</v>
      </c>
    </row>
    <row r="814" spans="1:9" s="122" customFormat="1" ht="63" hidden="1" x14ac:dyDescent="0.25">
      <c r="A814" s="772" t="str">
        <f>IF(B814&gt;0,VLOOKUP(B814,КВСР!A313:B1478,2),IF(C814&gt;0,VLOOKUP(C814,КФСР!A313:B1825,2),IF(D814&gt;0,VLOOKUP(D814,Программа!A$1:B$5110,2),IF(F814&gt;0,VLOOKUP(F814,КВР!A$1:B$5001,2),IF(E814&gt;0,VLOOKUP(E814,Направление!A$1:B$4783,2))))))</f>
        <v xml:space="preserve">Закупка товаров, работ и услуг для обеспечения государственных (муниципальных) нужд
</v>
      </c>
      <c r="B814" s="117"/>
      <c r="C814" s="112"/>
      <c r="D814" s="114"/>
      <c r="E814" s="112"/>
      <c r="F814" s="114">
        <v>200</v>
      </c>
      <c r="G814" s="277"/>
      <c r="H814" s="339"/>
      <c r="I814" s="120">
        <f t="shared" si="173"/>
        <v>0</v>
      </c>
    </row>
    <row r="815" spans="1:9" s="122" customFormat="1" ht="31.5" hidden="1" x14ac:dyDescent="0.25">
      <c r="A815" s="772" t="str">
        <f>IF(B815&gt;0,VLOOKUP(B815,КВСР!A314:B1479,2),IF(C815&gt;0,VLOOKUP(C815,КФСР!A314:B1826,2),IF(D815&gt;0,VLOOKUP(D815,Программа!A$1:B$5110,2),IF(F815&gt;0,VLOOKUP(F815,КВР!A$1:B$5001,2),IF(E815&gt;0,VLOOKUP(E815,Направление!A$1:B$4783,2))))))</f>
        <v>Выполнение других обязательств органов местного самоуправления</v>
      </c>
      <c r="B815" s="117"/>
      <c r="C815" s="112"/>
      <c r="D815" s="114"/>
      <c r="E815" s="112">
        <v>12080</v>
      </c>
      <c r="F815" s="114"/>
      <c r="G815" s="277"/>
      <c r="H815" s="339">
        <f>H816</f>
        <v>0</v>
      </c>
      <c r="I815" s="120">
        <f t="shared" si="173"/>
        <v>0</v>
      </c>
    </row>
    <row r="816" spans="1:9" s="122" customFormat="1" ht="63" hidden="1" x14ac:dyDescent="0.25">
      <c r="A816" s="772" t="str">
        <f>IF(B816&gt;0,VLOOKUP(B816,КВСР!A315:B1480,2),IF(C816&gt;0,VLOOKUP(C816,КФСР!A315:B1827,2),IF(D816&gt;0,VLOOKUP(D816,Программа!A$1:B$5110,2),IF(F816&gt;0,VLOOKUP(F816,КВР!A$1:B$5001,2),IF(E816&gt;0,VLOOKUP(E816,Направление!A$1:B$4783,2))))))</f>
        <v xml:space="preserve">Закупка товаров, работ и услуг для обеспечения государственных (муниципальных) нужд
</v>
      </c>
      <c r="B816" s="117"/>
      <c r="C816" s="112"/>
      <c r="D816" s="114"/>
      <c r="E816" s="112"/>
      <c r="F816" s="114">
        <v>200</v>
      </c>
      <c r="G816" s="277"/>
      <c r="H816" s="339"/>
      <c r="I816" s="120">
        <f t="shared" si="173"/>
        <v>0</v>
      </c>
    </row>
    <row r="817" spans="1:9" s="122" customFormat="1" ht="63" x14ac:dyDescent="0.25">
      <c r="A817" s="772" t="str">
        <f>IF(B817&gt;0,VLOOKUP(B817,КВСР!A314:B1479,2),IF(C817&gt;0,VLOOKUP(C817,КФСР!A314:B1826,2),IF(D817&gt;0,VLOOKUP(D817,Программа!A$1:B$5110,2),IF(F817&gt;0,VLOOKUP(F817,КВР!A$1:B$5001,2),IF(E817&gt;0,VLOOKUP(E817,Направление!A$1:B$4783,2))))))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7" s="117"/>
      <c r="C817" s="112"/>
      <c r="D817" s="113"/>
      <c r="E817" s="112">
        <v>70870</v>
      </c>
      <c r="F817" s="114"/>
      <c r="G817" s="277"/>
      <c r="H817" s="339">
        <f>H818+H819+H820</f>
        <v>14612120</v>
      </c>
      <c r="I817" s="120">
        <f t="shared" si="173"/>
        <v>14612120</v>
      </c>
    </row>
    <row r="818" spans="1:9" s="122" customFormat="1" ht="110.25" x14ac:dyDescent="0.25">
      <c r="A818" s="772" t="str">
        <f>IF(B818&gt;0,VLOOKUP(B818,КВСР!A315:B1480,2),IF(C818&gt;0,VLOOKUP(C818,КФСР!A315:B1827,2),IF(D818&gt;0,VLOOKUP(D818,Программа!A$1:B$5110,2),IF(F818&gt;0,VLOOKUP(F818,КВР!A$1:B$5001,2),IF(E818&gt;0,VLOOKUP(E818,Направление!A$1:B$4783,2))))))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8" s="117"/>
      <c r="C818" s="112"/>
      <c r="D818" s="114"/>
      <c r="E818" s="112"/>
      <c r="F818" s="114">
        <v>100</v>
      </c>
      <c r="G818" s="277"/>
      <c r="H818" s="339">
        <v>12790120</v>
      </c>
      <c r="I818" s="120">
        <f t="shared" si="173"/>
        <v>12790120</v>
      </c>
    </row>
    <row r="819" spans="1:9" s="122" customFormat="1" ht="63" x14ac:dyDescent="0.25">
      <c r="A819" s="772" t="str">
        <f>IF(B819&gt;0,VLOOKUP(B819,КВСР!A316:B1481,2),IF(C819&gt;0,VLOOKUP(C819,КФСР!A316:B1828,2),IF(D819&gt;0,VLOOKUP(D819,Программа!A$1:B$5110,2),IF(F819&gt;0,VLOOKUP(F819,КВР!A$1:B$5001,2),IF(E819&gt;0,VLOOKUP(E819,Направление!A$1:B$4783,2))))))</f>
        <v xml:space="preserve">Закупка товаров, работ и услуг для обеспечения государственных (муниципальных) нужд
</v>
      </c>
      <c r="B819" s="117"/>
      <c r="C819" s="112"/>
      <c r="D819" s="114"/>
      <c r="E819" s="112"/>
      <c r="F819" s="114">
        <v>200</v>
      </c>
      <c r="G819" s="277"/>
      <c r="H819" s="339">
        <v>1814000</v>
      </c>
      <c r="I819" s="120">
        <f t="shared" si="173"/>
        <v>1814000</v>
      </c>
    </row>
    <row r="820" spans="1:9" s="122" customFormat="1" x14ac:dyDescent="0.25">
      <c r="A820" s="772" t="str">
        <f>IF(B820&gt;0,VLOOKUP(B820,КВСР!A317:B1482,2),IF(C820&gt;0,VLOOKUP(C820,КФСР!A317:B1829,2),IF(D820&gt;0,VLOOKUP(D820,Программа!A$1:B$5110,2),IF(F820&gt;0,VLOOKUP(F820,КВР!A$1:B$5001,2),IF(E820&gt;0,VLOOKUP(E820,Направление!A$1:B$4783,2))))))</f>
        <v>Иные бюджетные ассигнования</v>
      </c>
      <c r="B820" s="117"/>
      <c r="C820" s="112"/>
      <c r="D820" s="114"/>
      <c r="E820" s="112"/>
      <c r="F820" s="114">
        <v>800</v>
      </c>
      <c r="G820" s="277"/>
      <c r="H820" s="339">
        <v>8000</v>
      </c>
      <c r="I820" s="120">
        <f t="shared" si="173"/>
        <v>8000</v>
      </c>
    </row>
    <row r="821" spans="1:9" s="122" customFormat="1" ht="31.5" x14ac:dyDescent="0.25">
      <c r="A821" s="772" t="str">
        <f>IF(B821&gt;0,VLOOKUP(B821,КВСР!A318:B1483,2),IF(C821&gt;0,VLOOKUP(C821,КФСР!A318:B1830,2),IF(D821&gt;0,VLOOKUP(D821,Программа!A$1:B$5110,2),IF(F821&gt;0,VLOOKUP(F821,КВР!A$1:B$5001,2),IF(E821&gt;0,VLOOKUP(E821,Направление!A$1:B$4783,2))))))</f>
        <v>Информационное обеспечение реализации мероприятий программы</v>
      </c>
      <c r="B821" s="117"/>
      <c r="C821" s="112"/>
      <c r="D821" s="113" t="s">
        <v>1279</v>
      </c>
      <c r="E821" s="112"/>
      <c r="F821" s="114"/>
      <c r="G821" s="277"/>
      <c r="H821" s="339">
        <f>H822</f>
        <v>1456000</v>
      </c>
      <c r="I821" s="120">
        <f t="shared" si="173"/>
        <v>1456000</v>
      </c>
    </row>
    <row r="822" spans="1:9" s="122" customFormat="1" ht="63" x14ac:dyDescent="0.25">
      <c r="A822" s="772" t="str">
        <f>IF(B822&gt;0,VLOOKUP(B822,КВСР!A319:B1484,2),IF(C822&gt;0,VLOOKUP(C822,КФСР!A319:B1831,2),IF(D822&gt;0,VLOOKUP(D822,Программа!A$1:B$5110,2),IF(F822&gt;0,VLOOKUP(F822,КВР!A$1:B$5001,2),IF(E822&gt;0,VLOOKUP(E822,Направление!A$1:B$4783,2))))))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2" s="117"/>
      <c r="C822" s="112"/>
      <c r="D822" s="113"/>
      <c r="E822" s="112">
        <v>70870</v>
      </c>
      <c r="F822" s="114"/>
      <c r="G822" s="277"/>
      <c r="H822" s="339">
        <f>H823</f>
        <v>1456000</v>
      </c>
      <c r="I822" s="120">
        <f t="shared" si="173"/>
        <v>1456000</v>
      </c>
    </row>
    <row r="823" spans="1:9" s="122" customFormat="1" ht="63" x14ac:dyDescent="0.25">
      <c r="A823" s="772" t="str">
        <f>IF(B823&gt;0,VLOOKUP(B823,КВСР!A320:B1485,2),IF(C823&gt;0,VLOOKUP(C823,КФСР!A320:B1832,2),IF(D823&gt;0,VLOOKUP(D823,Программа!A$1:B$5110,2),IF(F823&gt;0,VLOOKUP(F823,КВР!A$1:B$5001,2),IF(E823&gt;0,VLOOKUP(E823,Направление!A$1:B$4783,2))))))</f>
        <v xml:space="preserve">Закупка товаров, работ и услуг для обеспечения государственных (муниципальных) нужд
</v>
      </c>
      <c r="B823" s="117"/>
      <c r="C823" s="112"/>
      <c r="D823" s="114"/>
      <c r="E823" s="112"/>
      <c r="F823" s="114">
        <v>200</v>
      </c>
      <c r="G823" s="277"/>
      <c r="H823" s="339">
        <v>1456000</v>
      </c>
      <c r="I823" s="120">
        <f t="shared" si="173"/>
        <v>1456000</v>
      </c>
    </row>
    <row r="824" spans="1:9" s="122" customFormat="1" ht="94.5" hidden="1" x14ac:dyDescent="0.25">
      <c r="A824" s="772" t="str">
        <f>IF(B824&gt;0,VLOOKUP(B824,КВСР!A321:B1486,2),IF(C824&gt;0,VLOOKUP(C824,КФСР!A321:B1833,2),IF(D824&gt;0,VLOOKUP(D824,Программа!A$1:B$5110,2),IF(F824&gt;0,VLOOKUP(F824,КВР!A$1:B$5001,2),IF(E824&gt;0,VLOOKUP(E824,Направление!A$1:B$4783,2))))))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4" s="117"/>
      <c r="C824" s="112"/>
      <c r="D824" s="114" t="s">
        <v>405</v>
      </c>
      <c r="E824" s="112"/>
      <c r="F824" s="114"/>
      <c r="G824" s="277"/>
      <c r="H824" s="339">
        <f t="shared" ref="H824:I826" si="187">H825</f>
        <v>0</v>
      </c>
      <c r="I824" s="289">
        <f t="shared" si="187"/>
        <v>0</v>
      </c>
    </row>
    <row r="825" spans="1:9" s="122" customFormat="1" ht="78.75" hidden="1" x14ac:dyDescent="0.25">
      <c r="A825" s="772" t="str">
        <f>IF(B825&gt;0,VLOOKUP(B825,КВСР!A322:B1487,2),IF(C825&gt;0,VLOOKUP(C825,КФСР!A322:B1834,2),IF(D825&gt;0,VLOOKUP(D825,Программа!A$1:B$5110,2),IF(F825&gt;0,VLOOKUP(F825,КВР!A$1:B$5001,2),IF(E825&gt;0,VLOOKUP(E825,Направление!A$1:B$4783,2))))))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5" s="117"/>
      <c r="C825" s="112"/>
      <c r="D825" s="114" t="s">
        <v>1826</v>
      </c>
      <c r="E825" s="112"/>
      <c r="F825" s="114"/>
      <c r="G825" s="277"/>
      <c r="H825" s="339">
        <f t="shared" si="187"/>
        <v>0</v>
      </c>
      <c r="I825" s="289">
        <f t="shared" si="187"/>
        <v>0</v>
      </c>
    </row>
    <row r="826" spans="1:9" s="122" customFormat="1" ht="31.5" hidden="1" x14ac:dyDescent="0.25">
      <c r="A826" s="772" t="str">
        <f>IF(B826&gt;0,VLOOKUP(B826,КВСР!A323:B1488,2),IF(C826&gt;0,VLOOKUP(C826,КФСР!A323:B1835,2),IF(D826&gt;0,VLOOKUP(D826,Программа!A$1:B$5110,2),IF(F826&gt;0,VLOOKUP(F826,КВР!A$1:B$5001,2),IF(E826&gt;0,VLOOKUP(E826,Направление!A$1:B$4783,2))))))</f>
        <v>Внедрение проектной деятельности и бережливых технологий</v>
      </c>
      <c r="B826" s="117"/>
      <c r="C826" s="112"/>
      <c r="D826" s="114"/>
      <c r="E826" s="112">
        <v>12300</v>
      </c>
      <c r="F826" s="114"/>
      <c r="G826" s="277"/>
      <c r="H826" s="339">
        <f t="shared" si="187"/>
        <v>0</v>
      </c>
      <c r="I826" s="289">
        <f t="shared" si="187"/>
        <v>0</v>
      </c>
    </row>
    <row r="827" spans="1:9" s="122" customFormat="1" ht="110.25" hidden="1" x14ac:dyDescent="0.25">
      <c r="A827" s="772" t="str">
        <f>IF(B827&gt;0,VLOOKUP(B827,КВСР!A324:B1489,2),IF(C827&gt;0,VLOOKUP(C827,КФСР!A324:B1836,2),IF(D827&gt;0,VLOOKUP(D827,Программа!A$1:B$5110,2),IF(F827&gt;0,VLOOKUP(F827,КВР!A$1:B$5001,2),IF(E827&gt;0,VLOOKUP(E827,Направление!A$1:B$4783,2))))))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7" s="117"/>
      <c r="C827" s="112"/>
      <c r="D827" s="114"/>
      <c r="E827" s="112"/>
      <c r="F827" s="114">
        <v>100</v>
      </c>
      <c r="G827" s="277"/>
      <c r="H827" s="339"/>
      <c r="I827" s="120">
        <f>G827+H827</f>
        <v>0</v>
      </c>
    </row>
    <row r="828" spans="1:9" s="122" customFormat="1" ht="63" x14ac:dyDescent="0.25">
      <c r="A828" s="772" t="str">
        <f>IF(B828&gt;0,VLOOKUP(B828,КВСР!A321:B1486,2),IF(C828&gt;0,VLOOKUP(C828,КФСР!A321:B1833,2),IF(D828&gt;0,VLOOKUP(D828,Программа!A$1:B$5110,2),IF(F828&gt;0,VLOOKUP(F828,КВР!A$1:B$5001,2),IF(E828&gt;0,VLOOKUP(E828,Направление!A$1:B$4783,2))))))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8" s="117"/>
      <c r="C828" s="112"/>
      <c r="D828" s="114" t="s">
        <v>513</v>
      </c>
      <c r="E828" s="112"/>
      <c r="F828" s="114"/>
      <c r="G828" s="277"/>
      <c r="H828" s="339">
        <f t="shared" ref="H828:I829" si="188">H829</f>
        <v>6000</v>
      </c>
      <c r="I828" s="289">
        <f t="shared" si="188"/>
        <v>6000</v>
      </c>
    </row>
    <row r="829" spans="1:9" s="122" customFormat="1" ht="31.5" x14ac:dyDescent="0.25">
      <c r="A829" s="772" t="str">
        <f>IF(B829&gt;0,VLOOKUP(B829,КВСР!A322:B1487,2),IF(C829&gt;0,VLOOKUP(C829,КФСР!A322:B1834,2),IF(D829&gt;0,VLOOKUP(D829,Программа!A$1:B$5110,2),IF(F829&gt;0,VLOOKUP(F829,КВР!A$1:B$5001,2),IF(E829&gt;0,VLOOKUP(E829,Направление!A$1:B$4783,2))))))</f>
        <v>Реализация мероприятий по профилактике правонарушений</v>
      </c>
      <c r="B829" s="117"/>
      <c r="C829" s="112"/>
      <c r="D829" s="114" t="s">
        <v>515</v>
      </c>
      <c r="E829" s="112"/>
      <c r="F829" s="114"/>
      <c r="G829" s="277"/>
      <c r="H829" s="339">
        <f t="shared" si="188"/>
        <v>6000</v>
      </c>
      <c r="I829" s="289">
        <f t="shared" si="188"/>
        <v>6000</v>
      </c>
    </row>
    <row r="830" spans="1:9" s="122" customFormat="1" ht="47.25" x14ac:dyDescent="0.25">
      <c r="A830" s="772" t="str">
        <f>IF(B830&gt;0,VLOOKUP(B830,КВСР!A323:B1488,2),IF(C830&gt;0,VLOOKUP(C830,КФСР!A323:B1835,2),IF(D830&gt;0,VLOOKUP(D830,Программа!A$1:B$5110,2),IF(F830&gt;0,VLOOKUP(F830,КВР!A$1:B$5001,2),IF(E830&gt;0,VLOOKUP(E830,Направление!A$1:B$4783,2))))))</f>
        <v>Расходы на профилактику правонарушений и усиления борьбы с преступностью</v>
      </c>
      <c r="B830" s="117"/>
      <c r="C830" s="112"/>
      <c r="D830" s="114"/>
      <c r="E830" s="112">
        <v>12250</v>
      </c>
      <c r="F830" s="114"/>
      <c r="G830" s="277"/>
      <c r="H830" s="339">
        <f t="shared" ref="H830:I830" si="189">H831</f>
        <v>6000</v>
      </c>
      <c r="I830" s="289">
        <f t="shared" si="189"/>
        <v>6000</v>
      </c>
    </row>
    <row r="831" spans="1:9" s="122" customFormat="1" ht="47.25" x14ac:dyDescent="0.25">
      <c r="A831" s="772" t="str">
        <f>IF(B831&gt;0,VLOOKUP(B831,КВСР!A324:B1489,2),IF(C831&gt;0,VLOOKUP(C831,КФСР!A324:B1836,2),IF(D831&gt;0,VLOOKUP(D831,Программа!A$1:B$5110,2),IF(F831&gt;0,VLOOKUP(F831,КВР!A$1:B$5001,2),IF(E831&gt;0,VLOOKUP(E831,Направление!A$1:B$4783,2))))))</f>
        <v>Предоставление субсидий бюджетным, автономным учреждениям и иным некоммерческим организациям</v>
      </c>
      <c r="B831" s="117"/>
      <c r="C831" s="112"/>
      <c r="D831" s="114"/>
      <c r="E831" s="112"/>
      <c r="F831" s="114">
        <v>600</v>
      </c>
      <c r="G831" s="277"/>
      <c r="H831" s="339">
        <v>6000</v>
      </c>
      <c r="I831" s="120">
        <f>G831+H831</f>
        <v>6000</v>
      </c>
    </row>
    <row r="832" spans="1:9" s="122" customFormat="1" ht="31.5" x14ac:dyDescent="0.25">
      <c r="A832" s="771" t="str">
        <f>IF(B832&gt;0,VLOOKUP(B832,КВСР!A318:B1483,2),IF(C832&gt;0,VLOOKUP(C832,КФСР!A318:B1830,2),IF(D832&gt;0,VLOOKUP(D832,Программа!A$1:B$5110,2),IF(F832&gt;0,VLOOKUP(F832,КВР!A$1:B$5001,2),IF(E832&gt;0,VLOOKUP(E832,Направление!A$1:B$4783,2))))))</f>
        <v>Департамент финансов администрации ТМР</v>
      </c>
      <c r="B832" s="111">
        <v>955</v>
      </c>
      <c r="C832" s="112"/>
      <c r="D832" s="113"/>
      <c r="E832" s="112"/>
      <c r="F832" s="114"/>
      <c r="G832" s="384"/>
      <c r="H832" s="338">
        <f>H833+H839+H868+H872+H860</f>
        <v>29558399</v>
      </c>
      <c r="I832" s="384">
        <f>I833+I839+I868+I872+I860</f>
        <v>29558399</v>
      </c>
    </row>
    <row r="833" spans="1:9" s="122" customFormat="1" ht="63" x14ac:dyDescent="0.25">
      <c r="A833" s="772" t="str">
        <f>IF(B833&gt;0,VLOOKUP(B833,КВСР!A319:B1484,2),IF(C833&gt;0,VLOOKUP(C833,КФСР!A319:B1831,2),IF(D833&gt;0,VLOOKUP(D833,Программа!A$1:B$5110,2),IF(F833&gt;0,VLOOKUP(F833,КВР!A$1:B$5001,2),IF(E833&gt;0,VLOOKUP(E833,Направление!A$1:B$4783,2))))))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3" s="117"/>
      <c r="C833" s="112">
        <v>106</v>
      </c>
      <c r="D833" s="113"/>
      <c r="E833" s="112"/>
      <c r="F833" s="114"/>
      <c r="G833" s="277"/>
      <c r="H833" s="339">
        <f t="shared" ref="H833:I833" si="190">H834</f>
        <v>17861083</v>
      </c>
      <c r="I833" s="339">
        <f t="shared" si="190"/>
        <v>17861083</v>
      </c>
    </row>
    <row r="834" spans="1:9" x14ac:dyDescent="0.25">
      <c r="A834" s="772" t="str">
        <f>IF(B834&gt;0,VLOOKUP(B834,КВСР!A328:B1493,2),IF(C834&gt;0,VLOOKUP(C834,КФСР!A328:B1840,2),IF(D834&gt;0,VLOOKUP(D834,Программа!A$1:B$5110,2),IF(F834&gt;0,VLOOKUP(F834,КВР!A$1:B$5001,2),IF(E834&gt;0,VLOOKUP(E834,Направление!A$1:B$4783,2))))))</f>
        <v>Непрограммные расходы бюджета</v>
      </c>
      <c r="B834" s="117"/>
      <c r="C834" s="112"/>
      <c r="D834" s="114" t="s">
        <v>394</v>
      </c>
      <c r="E834" s="112"/>
      <c r="F834" s="114"/>
      <c r="G834" s="295"/>
      <c r="H834" s="284">
        <f>H835</f>
        <v>17861083</v>
      </c>
      <c r="I834" s="120">
        <f t="shared" si="173"/>
        <v>17861083</v>
      </c>
    </row>
    <row r="835" spans="1:9" x14ac:dyDescent="0.25">
      <c r="A835" s="772" t="str">
        <f>IF(B835&gt;0,VLOOKUP(B835,КВСР!A329:B1494,2),IF(C835&gt;0,VLOOKUP(C835,КФСР!A329:B1841,2),IF(D835&gt;0,VLOOKUP(D835,Программа!A$1:B$5110,2),IF(F835&gt;0,VLOOKUP(F835,КВР!A$1:B$5001,2),IF(E835&gt;0,VLOOKUP(E835,Направление!A$1:B$4783,2))))))</f>
        <v>Содержание центрального аппарата</v>
      </c>
      <c r="B835" s="117"/>
      <c r="C835" s="112"/>
      <c r="D835" s="114"/>
      <c r="E835" s="112">
        <v>12010</v>
      </c>
      <c r="F835" s="114"/>
      <c r="G835" s="295"/>
      <c r="H835" s="284">
        <f>H836+H837+H838</f>
        <v>17861083</v>
      </c>
      <c r="I835" s="120">
        <f t="shared" si="173"/>
        <v>17861083</v>
      </c>
    </row>
    <row r="836" spans="1:9" ht="110.25" x14ac:dyDescent="0.25">
      <c r="A836" s="772" t="str">
        <f>IF(B836&gt;0,VLOOKUP(B836,КВСР!A330:B1495,2),IF(C836&gt;0,VLOOKUP(C836,КФСР!A330:B1842,2),IF(D836&gt;0,VLOOKUP(D836,Программа!A$1:B$5110,2),IF(F836&gt;0,VLOOKUP(F836,КВР!A$1:B$5001,2),IF(E836&gt;0,VLOOKUP(E836,Направление!A$1:B$4783,2))))))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6" s="117"/>
      <c r="C836" s="112"/>
      <c r="D836" s="114"/>
      <c r="E836" s="112"/>
      <c r="F836" s="114">
        <v>100</v>
      </c>
      <c r="G836" s="295"/>
      <c r="H836" s="284">
        <f>12526736+3793074</f>
        <v>16319810</v>
      </c>
      <c r="I836" s="120">
        <f t="shared" si="173"/>
        <v>16319810</v>
      </c>
    </row>
    <row r="837" spans="1:9" ht="63" x14ac:dyDescent="0.25">
      <c r="A837" s="772" t="str">
        <f>IF(B837&gt;0,VLOOKUP(B837,КВСР!A331:B1496,2),IF(C837&gt;0,VLOOKUP(C837,КФСР!A331:B1843,2),IF(D837&gt;0,VLOOKUP(D837,Программа!A$1:B$5110,2),IF(F837&gt;0,VLOOKUP(F837,КВР!A$1:B$5001,2),IF(E837&gt;0,VLOOKUP(E837,Направление!A$1:B$4783,2))))))</f>
        <v xml:space="preserve">Закупка товаров, работ и услуг для обеспечения государственных (муниципальных) нужд
</v>
      </c>
      <c r="B837" s="117"/>
      <c r="C837" s="112"/>
      <c r="D837" s="114"/>
      <c r="E837" s="112"/>
      <c r="F837" s="114">
        <v>200</v>
      </c>
      <c r="G837" s="295"/>
      <c r="H837" s="284">
        <v>1507773</v>
      </c>
      <c r="I837" s="120">
        <f t="shared" si="173"/>
        <v>1507773</v>
      </c>
    </row>
    <row r="838" spans="1:9" x14ac:dyDescent="0.25">
      <c r="A838" s="772" t="str">
        <f>IF(B838&gt;0,VLOOKUP(B838,КВСР!A332:B1497,2),IF(C838&gt;0,VLOOKUP(C838,КФСР!A332:B1844,2),IF(D838&gt;0,VLOOKUP(D838,Программа!A$1:B$5110,2),IF(F838&gt;0,VLOOKUP(F838,КВР!A$1:B$5001,2),IF(E838&gt;0,VLOOKUP(E838,Направление!A$1:B$4783,2))))))</f>
        <v>Иные бюджетные ассигнования</v>
      </c>
      <c r="B838" s="117"/>
      <c r="C838" s="112"/>
      <c r="D838" s="114"/>
      <c r="E838" s="112"/>
      <c r="F838" s="114">
        <v>800</v>
      </c>
      <c r="G838" s="295"/>
      <c r="H838" s="284">
        <v>33500</v>
      </c>
      <c r="I838" s="120">
        <f t="shared" si="173"/>
        <v>33500</v>
      </c>
    </row>
    <row r="839" spans="1:9" x14ac:dyDescent="0.25">
      <c r="A839" s="772" t="str">
        <f>IF(B839&gt;0,VLOOKUP(B839,КВСР!A328:B1493,2),IF(C839&gt;0,VLOOKUP(C839,КФСР!A328:B1840,2),IF(D839&gt;0,VLOOKUP(D839,Программа!A$1:B$5110,2),IF(F839&gt;0,VLOOKUP(F839,КВР!A$1:B$5001,2),IF(E839&gt;0,VLOOKUP(E839,Направление!A$1:B$4783,2))))))</f>
        <v>Другие общегосударственные вопросы</v>
      </c>
      <c r="B839" s="117"/>
      <c r="C839" s="112">
        <v>113</v>
      </c>
      <c r="D839" s="114"/>
      <c r="E839" s="112"/>
      <c r="F839" s="114"/>
      <c r="G839" s="295"/>
      <c r="H839" s="284">
        <f t="shared" ref="H839:I839" si="191">H847+H840+H854</f>
        <v>11097316</v>
      </c>
      <c r="I839" s="284">
        <f t="shared" si="191"/>
        <v>11097316</v>
      </c>
    </row>
    <row r="840" spans="1:9" ht="94.5" x14ac:dyDescent="0.25">
      <c r="A840" s="772" t="str">
        <f>IF(B840&gt;0,VLOOKUP(B840,КВСР!A334:B1499,2),IF(C840&gt;0,VLOOKUP(C840,КФСР!A334:B1846,2),IF(D840&gt;0,VLOOKUP(D840,Программа!A$1:B$5110,2),IF(F840&gt;0,VLOOKUP(F840,КВР!A$1:B$5001,2),IF(E840&gt;0,VLOOKUP(E840,Направление!A$1:B$4783,2))))))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40" s="117"/>
      <c r="C840" s="112"/>
      <c r="D840" s="114" t="s">
        <v>405</v>
      </c>
      <c r="E840" s="112"/>
      <c r="F840" s="114"/>
      <c r="G840" s="118"/>
      <c r="H840" s="284">
        <f>H841+H844</f>
        <v>20000</v>
      </c>
      <c r="I840" s="120">
        <f t="shared" ref="I840:I936" si="192">SUM(G840:H840)</f>
        <v>20000</v>
      </c>
    </row>
    <row r="841" spans="1:9" ht="63" x14ac:dyDescent="0.25">
      <c r="A841" s="772" t="str">
        <f>IF(B841&gt;0,VLOOKUP(B841,КВСР!A335:B1500,2),IF(C841&gt;0,VLOOKUP(C841,КФСР!A335:B1847,2),IF(D841&gt;0,VLOOKUP(D841,Программа!A$1:B$5110,2),IF(F841&gt;0,VLOOKUP(F841,КВР!A$1:B$5001,2),IF(E841&gt;0,VLOOKUP(E841,Направление!A$1:B$4783,2))))))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41" s="117"/>
      <c r="C841" s="112"/>
      <c r="D841" s="114" t="s">
        <v>406</v>
      </c>
      <c r="E841" s="112"/>
      <c r="F841" s="114"/>
      <c r="G841" s="118"/>
      <c r="H841" s="284">
        <f t="shared" ref="H841:H842" si="193">H842</f>
        <v>20000</v>
      </c>
      <c r="I841" s="120">
        <f t="shared" si="192"/>
        <v>20000</v>
      </c>
    </row>
    <row r="842" spans="1:9" ht="31.5" x14ac:dyDescent="0.25">
      <c r="A842" s="772" t="str">
        <f>IF(B842&gt;0,VLOOKUP(B842,КВСР!A336:B1501,2),IF(C842&gt;0,VLOOKUP(C842,КФСР!A336:B1848,2),IF(D842&gt;0,VLOOKUP(D842,Программа!A$1:B$5110,2),IF(F842&gt;0,VLOOKUP(F842,КВР!A$1:B$5001,2),IF(E842&gt;0,VLOOKUP(E842,Направление!A$1:B$4783,2))))))</f>
        <v>Расходы на развитие муниципальной службы</v>
      </c>
      <c r="B842" s="117"/>
      <c r="C842" s="112"/>
      <c r="D842" s="114"/>
      <c r="E842" s="112">
        <v>12200</v>
      </c>
      <c r="F842" s="114"/>
      <c r="G842" s="118"/>
      <c r="H842" s="284">
        <f t="shared" si="193"/>
        <v>20000</v>
      </c>
      <c r="I842" s="120">
        <f t="shared" si="192"/>
        <v>20000</v>
      </c>
    </row>
    <row r="843" spans="1:9" ht="63" x14ac:dyDescent="0.25">
      <c r="A843" s="772" t="str">
        <f>IF(B843&gt;0,VLOOKUP(B843,КВСР!A337:B1502,2),IF(C843&gt;0,VLOOKUP(C843,КФСР!A337:B1849,2),IF(D843&gt;0,VLOOKUP(D843,Программа!A$1:B$5110,2),IF(F843&gt;0,VLOOKUP(F843,КВР!A$1:B$5001,2),IF(E843&gt;0,VLOOKUP(E843,Направление!A$1:B$4783,2))))))</f>
        <v xml:space="preserve">Закупка товаров, работ и услуг для обеспечения государственных (муниципальных) нужд
</v>
      </c>
      <c r="B843" s="117"/>
      <c r="C843" s="112"/>
      <c r="D843" s="114"/>
      <c r="E843" s="112"/>
      <c r="F843" s="114">
        <v>200</v>
      </c>
      <c r="G843" s="295"/>
      <c r="H843" s="284">
        <v>20000</v>
      </c>
      <c r="I843" s="120">
        <f t="shared" si="192"/>
        <v>20000</v>
      </c>
    </row>
    <row r="844" spans="1:9" ht="78.75" hidden="1" x14ac:dyDescent="0.25">
      <c r="A844" s="772" t="str">
        <f>IF(B844&gt;0,VLOOKUP(B844,КВСР!A338:B1503,2),IF(C844&gt;0,VLOOKUP(C844,КФСР!A338:B1850,2),IF(D844&gt;0,VLOOKUP(D844,Программа!A$1:B$5110,2),IF(F844&gt;0,VLOOKUP(F844,КВР!A$1:B$5001,2),IF(E844&gt;0,VLOOKUP(E844,Направление!A$1:B$4783,2))))))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4" s="117"/>
      <c r="C844" s="112"/>
      <c r="D844" s="114" t="s">
        <v>1826</v>
      </c>
      <c r="E844" s="112"/>
      <c r="F844" s="114"/>
      <c r="G844" s="295"/>
      <c r="H844" s="284">
        <f t="shared" ref="H844:I845" si="194">H845</f>
        <v>0</v>
      </c>
      <c r="I844" s="295">
        <f t="shared" si="194"/>
        <v>0</v>
      </c>
    </row>
    <row r="845" spans="1:9" ht="31.5" hidden="1" x14ac:dyDescent="0.25">
      <c r="A845" s="772" t="str">
        <f>IF(B845&gt;0,VLOOKUP(B845,КВСР!A339:B1504,2),IF(C845&gt;0,VLOOKUP(C845,КФСР!A339:B1851,2),IF(D845&gt;0,VLOOKUP(D845,Программа!A$1:B$5110,2),IF(F845&gt;0,VLOOKUP(F845,КВР!A$1:B$5001,2),IF(E845&gt;0,VLOOKUP(E845,Направление!A$1:B$4783,2))))))</f>
        <v>Внедрение проектной деятельности и бережливых технологий</v>
      </c>
      <c r="B845" s="117"/>
      <c r="C845" s="112"/>
      <c r="D845" s="114"/>
      <c r="E845" s="112">
        <v>12300</v>
      </c>
      <c r="F845" s="114"/>
      <c r="G845" s="295"/>
      <c r="H845" s="284">
        <f t="shared" si="194"/>
        <v>0</v>
      </c>
      <c r="I845" s="295">
        <f t="shared" si="194"/>
        <v>0</v>
      </c>
    </row>
    <row r="846" spans="1:9" ht="110.25" hidden="1" x14ac:dyDescent="0.25">
      <c r="A846" s="772" t="str">
        <f>IF(B846&gt;0,VLOOKUP(B846,КВСР!A340:B1505,2),IF(C846&gt;0,VLOOKUP(C846,КФСР!A340:B1852,2),IF(D846&gt;0,VLOOKUP(D846,Программа!A$1:B$5110,2),IF(F846&gt;0,VLOOKUP(F846,КВР!A$1:B$5001,2),IF(E846&gt;0,VLOOKUP(E846,Направление!A$1:B$4783,2))))))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7"/>
      <c r="C846" s="112"/>
      <c r="D846" s="114"/>
      <c r="E846" s="112"/>
      <c r="F846" s="114">
        <v>100</v>
      </c>
      <c r="G846" s="295"/>
      <c r="H846" s="284"/>
      <c r="I846" s="120">
        <f>G846+H846</f>
        <v>0</v>
      </c>
    </row>
    <row r="847" spans="1:9" ht="63" x14ac:dyDescent="0.25">
      <c r="A847" s="772" t="str">
        <f>IF(B847&gt;0,VLOOKUP(B847,КВСР!A329:B1494,2),IF(C847&gt;0,VLOOKUP(C847,КФСР!A329:B1841,2),IF(D847&gt;0,VLOOKUP(D847,Программа!A$1:B$5110,2),IF(F847&gt;0,VLOOKUP(F847,КВР!A$1:B$5001,2),IF(E847&gt;0,VLOOKUP(E847,Направление!A$1:B$4783,2))))))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847" s="117"/>
      <c r="C847" s="112"/>
      <c r="D847" s="114" t="s">
        <v>409</v>
      </c>
      <c r="E847" s="112"/>
      <c r="F847" s="114"/>
      <c r="G847" s="118"/>
      <c r="H847" s="284">
        <f>H848+H851</f>
        <v>1691700</v>
      </c>
      <c r="I847" s="120">
        <f t="shared" si="192"/>
        <v>1691700</v>
      </c>
    </row>
    <row r="848" spans="1:9" ht="31.5" x14ac:dyDescent="0.25">
      <c r="A848" s="772" t="str">
        <f>IF(B848&gt;0,VLOOKUP(B848,КВСР!A330:B1495,2),IF(C848&gt;0,VLOOKUP(C848,КФСР!A330:B1842,2),IF(D848&gt;0,VLOOKUP(D848,Программа!A$1:B$5110,2),IF(F848&gt;0,VLOOKUP(F848,КВР!A$1:B$5001,2),IF(E848&gt;0,VLOOKUP(E848,Направление!A$1:B$4783,2))))))</f>
        <v>Бесперебойное функционирование информационных систем</v>
      </c>
      <c r="B848" s="117"/>
      <c r="C848" s="112"/>
      <c r="D848" s="114" t="s">
        <v>445</v>
      </c>
      <c r="E848" s="112"/>
      <c r="F848" s="114"/>
      <c r="G848" s="118"/>
      <c r="H848" s="284">
        <f>H849</f>
        <v>1691700</v>
      </c>
      <c r="I848" s="120">
        <f t="shared" si="192"/>
        <v>1691700</v>
      </c>
    </row>
    <row r="849" spans="1:9" ht="31.5" x14ac:dyDescent="0.25">
      <c r="A849" s="772" t="str">
        <f>IF(B849&gt;0,VLOOKUP(B849,КВСР!A331:B1496,2),IF(C849&gt;0,VLOOKUP(C849,КФСР!A331:B1843,2),IF(D849&gt;0,VLOOKUP(D849,Программа!A$1:B$5110,2),IF(F849&gt;0,VLOOKUP(F849,КВР!A$1:B$5001,2),IF(E849&gt;0,VLOOKUP(E849,Направление!A$1:B$4783,2))))))</f>
        <v>Расходы на проведение мероприятий по информатизации</v>
      </c>
      <c r="B849" s="117"/>
      <c r="C849" s="112"/>
      <c r="D849" s="114"/>
      <c r="E849" s="112">
        <v>12210</v>
      </c>
      <c r="F849" s="114"/>
      <c r="G849" s="118"/>
      <c r="H849" s="284">
        <f>H850</f>
        <v>1691700</v>
      </c>
      <c r="I849" s="120">
        <f t="shared" si="192"/>
        <v>1691700</v>
      </c>
    </row>
    <row r="850" spans="1:9" ht="63" x14ac:dyDescent="0.25">
      <c r="A850" s="772" t="str">
        <f>IF(B850&gt;0,VLOOKUP(B850,КВСР!A332:B1497,2),IF(C850&gt;0,VLOOKUP(C850,КФСР!A332:B1844,2),IF(D850&gt;0,VLOOKUP(D850,Программа!A$1:B$5110,2),IF(F850&gt;0,VLOOKUP(F850,КВР!A$1:B$5001,2),IF(E850&gt;0,VLOOKUP(E850,Направление!A$1:B$4783,2))))))</f>
        <v xml:space="preserve">Закупка товаров, работ и услуг для обеспечения государственных (муниципальных) нужд
</v>
      </c>
      <c r="B850" s="117"/>
      <c r="C850" s="112"/>
      <c r="D850" s="114"/>
      <c r="E850" s="112"/>
      <c r="F850" s="114">
        <v>200</v>
      </c>
      <c r="G850" s="295"/>
      <c r="H850" s="284">
        <v>1691700</v>
      </c>
      <c r="I850" s="120">
        <f t="shared" si="192"/>
        <v>1691700</v>
      </c>
    </row>
    <row r="851" spans="1:9" ht="63" hidden="1" x14ac:dyDescent="0.25">
      <c r="A851" s="772" t="str">
        <f>IF(B851&gt;0,VLOOKUP(B851,КВСР!A333:B1498,2),IF(C851&gt;0,VLOOKUP(C851,КФСР!A333:B1845,2),IF(D851&gt;0,VLOOKUP(D851,Программа!A$1:B$5110,2),IF(F851&gt;0,VLOOKUP(F851,КВР!A$1:B$5001,2),IF(E851&gt;0,VLOOKUP(E851,Направление!A$1:B$4783,2))))))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51" s="117"/>
      <c r="C851" s="112"/>
      <c r="D851" s="114" t="s">
        <v>411</v>
      </c>
      <c r="E851" s="112"/>
      <c r="F851" s="114"/>
      <c r="G851" s="295"/>
      <c r="H851" s="284">
        <f>H852</f>
        <v>0</v>
      </c>
      <c r="I851" s="120">
        <f t="shared" si="192"/>
        <v>0</v>
      </c>
    </row>
    <row r="852" spans="1:9" ht="31.5" hidden="1" x14ac:dyDescent="0.25">
      <c r="A852" s="772" t="str">
        <f>IF(B852&gt;0,VLOOKUP(B852,КВСР!A334:B1499,2),IF(C852&gt;0,VLOOKUP(C852,КФСР!A334:B1846,2),IF(D852&gt;0,VLOOKUP(D852,Программа!A$1:B$5110,2),IF(F852&gt;0,VLOOKUP(F852,КВР!A$1:B$5001,2),IF(E852&gt;0,VLOOKUP(E852,Направление!A$1:B$4783,2))))))</f>
        <v>Расходы на проведение мероприятий по информатизации</v>
      </c>
      <c r="B852" s="117"/>
      <c r="C852" s="112"/>
      <c r="D852" s="114"/>
      <c r="E852" s="112">
        <v>12210</v>
      </c>
      <c r="F852" s="114"/>
      <c r="G852" s="295"/>
      <c r="H852" s="284">
        <f>H853</f>
        <v>0</v>
      </c>
      <c r="I852" s="120">
        <f t="shared" si="192"/>
        <v>0</v>
      </c>
    </row>
    <row r="853" spans="1:9" ht="63" hidden="1" x14ac:dyDescent="0.25">
      <c r="A853" s="772" t="str">
        <f>IF(B853&gt;0,VLOOKUP(B853,КВСР!A335:B1500,2),IF(C853&gt;0,VLOOKUP(C853,КФСР!A335:B1847,2),IF(D853&gt;0,VLOOKUP(D853,Программа!A$1:B$5110,2),IF(F853&gt;0,VLOOKUP(F853,КВР!A$1:B$5001,2),IF(E853&gt;0,VLOOKUP(E853,Направление!A$1:B$4783,2))))))</f>
        <v xml:space="preserve">Закупка товаров, работ и услуг для обеспечения государственных (муниципальных) нужд
</v>
      </c>
      <c r="B853" s="117"/>
      <c r="C853" s="112"/>
      <c r="D853" s="114"/>
      <c r="E853" s="112"/>
      <c r="F853" s="114">
        <v>200</v>
      </c>
      <c r="G853" s="295"/>
      <c r="H853" s="284"/>
      <c r="I853" s="120">
        <f t="shared" si="192"/>
        <v>0</v>
      </c>
    </row>
    <row r="854" spans="1:9" x14ac:dyDescent="0.25">
      <c r="A854" s="772" t="str">
        <f>IF(B854&gt;0,VLOOKUP(B854,КВСР!A336:B1501,2),IF(C854&gt;0,VLOOKUP(C854,КФСР!A336:B1848,2),IF(D854&gt;0,VLOOKUP(D854,Программа!A$1:B$5110,2),IF(F854&gt;0,VLOOKUP(F854,КВР!A$1:B$5001,2),IF(E854&gt;0,VLOOKUP(E854,Направление!A$1:B$4783,2))))))</f>
        <v>Непрограммные расходы бюджета</v>
      </c>
      <c r="B854" s="117"/>
      <c r="C854" s="112"/>
      <c r="D854" s="114" t="s">
        <v>394</v>
      </c>
      <c r="E854" s="112"/>
      <c r="F854" s="114"/>
      <c r="G854" s="283"/>
      <c r="H854" s="284">
        <f t="shared" ref="H854:I854" si="195">H855+H857</f>
        <v>9385616</v>
      </c>
      <c r="I854" s="283">
        <f t="shared" si="195"/>
        <v>9385616</v>
      </c>
    </row>
    <row r="855" spans="1:9" ht="31.5" hidden="1" x14ac:dyDescent="0.25">
      <c r="A855" s="772" t="str">
        <f>IF(B855&gt;0,VLOOKUP(B855,КВСР!A337:B1502,2),IF(C855&gt;0,VLOOKUP(C855,КФСР!A337:B1849,2),IF(D855&gt;0,VLOOKUP(D855,Программа!A$1:B$5110,2),IF(F855&gt;0,VLOOKUP(F855,КВР!A$1:B$5001,2),IF(E855&gt;0,VLOOKUP(E855,Направление!A$1:B$4783,2))))))</f>
        <v>Выполнение других обязательств органов местного самоуправления</v>
      </c>
      <c r="B855" s="117"/>
      <c r="C855" s="112"/>
      <c r="D855" s="114"/>
      <c r="E855" s="112">
        <v>12080</v>
      </c>
      <c r="F855" s="114"/>
      <c r="G855" s="295"/>
      <c r="H855" s="284">
        <f t="shared" ref="H855:I855" si="196">H856</f>
        <v>0</v>
      </c>
      <c r="I855" s="295">
        <f t="shared" si="196"/>
        <v>0</v>
      </c>
    </row>
    <row r="856" spans="1:9" ht="63" hidden="1" x14ac:dyDescent="0.25">
      <c r="A856" s="772" t="str">
        <f>IF(B856&gt;0,VLOOKUP(B856,КВСР!A338:B1503,2),IF(C856&gt;0,VLOOKUP(C856,КФСР!A338:B1850,2),IF(D856&gt;0,VLOOKUP(D856,Программа!A$1:B$5110,2),IF(F856&gt;0,VLOOKUP(F856,КВР!A$1:B$5001,2),IF(E856&gt;0,VLOOKUP(E856,Направление!A$1:B$4783,2))))))</f>
        <v xml:space="preserve">Закупка товаров, работ и услуг для обеспечения государственных (муниципальных) нужд
</v>
      </c>
      <c r="B856" s="117"/>
      <c r="C856" s="112"/>
      <c r="D856" s="114"/>
      <c r="E856" s="112"/>
      <c r="F856" s="114">
        <v>200</v>
      </c>
      <c r="G856" s="295"/>
      <c r="H856" s="284"/>
      <c r="I856" s="120">
        <f t="shared" si="192"/>
        <v>0</v>
      </c>
    </row>
    <row r="857" spans="1:9" ht="47.25" x14ac:dyDescent="0.25">
      <c r="A857" s="772" t="str">
        <f>IF(B857&gt;0,VLOOKUP(B857,КВСР!A339:B1504,2),IF(C857&gt;0,VLOOKUP(C857,КФСР!A339:B1851,2),IF(D857&gt;0,VLOOKUP(D857,Программа!A$1:B$5110,2),IF(F857&gt;0,VLOOKUP(F857,КВР!A$1:B$5001,2),IF(E857&gt;0,VLOOKUP(E857,Направление!A$1:B$4783,2))))))</f>
        <v>Обеспечение деятельности подведомственных учреждений органов местного самоуправления</v>
      </c>
      <c r="B857" s="117"/>
      <c r="C857" s="112"/>
      <c r="D857" s="114"/>
      <c r="E857" s="112">
        <v>12100</v>
      </c>
      <c r="F857" s="114"/>
      <c r="G857" s="295"/>
      <c r="H857" s="284">
        <f t="shared" ref="H857:I857" si="197">H858+H859</f>
        <v>9385616</v>
      </c>
      <c r="I857" s="283">
        <f t="shared" si="197"/>
        <v>9385616</v>
      </c>
    </row>
    <row r="858" spans="1:9" ht="110.25" x14ac:dyDescent="0.25">
      <c r="A858" s="772" t="str">
        <f>IF(B858&gt;0,VLOOKUP(B858,КВСР!A340:B1505,2),IF(C858&gt;0,VLOOKUP(C858,КФСР!A340:B1852,2),IF(D858&gt;0,VLOOKUP(D858,Программа!A$1:B$5110,2),IF(F858&gt;0,VLOOKUP(F858,КВР!A$1:B$5001,2),IF(E858&gt;0,VLOOKUP(E858,Направление!A$1:B$4783,2))))))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8" s="117"/>
      <c r="C858" s="112"/>
      <c r="D858" s="114"/>
      <c r="E858" s="112"/>
      <c r="F858" s="114">
        <v>100</v>
      </c>
      <c r="G858" s="295"/>
      <c r="H858" s="284">
        <f>6432000+1942464</f>
        <v>8374464</v>
      </c>
      <c r="I858" s="120">
        <f>G858+H858</f>
        <v>8374464</v>
      </c>
    </row>
    <row r="859" spans="1:9" ht="63" x14ac:dyDescent="0.25">
      <c r="A859" s="772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IF(B859&gt;0,VLOOKUP(B859,КВСР!A340:B1505,2),IF(C859&gt;0,VLOOKUP(C859,КФСР!A340:B1852,2),IF(D859&gt;0,VLOOKUP(D859,Программа!A$1:B$5110,2),IF(F859&gt;0,VLOOKUP(F859,КВР!A$1:B$5001,2),IF(E859&gt;0,VLOOKUP(E859,Направление!A$1:B$4783,2))))))</f>
        <v xml:space="preserve">Закупка товаров, работ и услуг для обеспечения государственных (муниципальных) нужд
</v>
      </c>
      <c r="B859" s="117"/>
      <c r="C859" s="112"/>
      <c r="D859" s="114"/>
      <c r="E859" s="112"/>
      <c r="F859" s="114">
        <v>200</v>
      </c>
      <c r="G859" s="295"/>
      <c r="H859" s="284">
        <v>1011152</v>
      </c>
      <c r="I859" s="120">
        <f>G859+H859</f>
        <v>1011152</v>
      </c>
    </row>
    <row r="860" spans="1:9" ht="47.25" hidden="1" x14ac:dyDescent="0.25">
      <c r="A860" s="772" t="str">
        <f>IF(B860&gt;0,VLOOKUP(B860,КВСР!A338:B1503,2),IF(C860&gt;0,VLOOKUP(C860,КФСР!A338:B1850,2),IF(D860&gt;0,VLOOKUP(D860,Программа!A$1:B$5110,2),IF(F860&gt;0,VLOOKUP(F860,КВР!A$1:B$5001,2),IF(E860&gt;0,VLOOKUP(E860,Направление!A$1:B$4783,2))))))</f>
        <v>Профессиональная подготовка, переподготовка и повышение квалификации</v>
      </c>
      <c r="B860" s="117"/>
      <c r="C860" s="112">
        <v>705</v>
      </c>
      <c r="D860" s="114"/>
      <c r="E860" s="112"/>
      <c r="F860" s="114"/>
      <c r="G860" s="295"/>
      <c r="H860" s="284">
        <f t="shared" ref="H860:I860" si="198">H861+H865</f>
        <v>0</v>
      </c>
      <c r="I860" s="295">
        <f t="shared" si="198"/>
        <v>0</v>
      </c>
    </row>
    <row r="861" spans="1:9" ht="94.5" hidden="1" x14ac:dyDescent="0.25">
      <c r="A861" s="772" t="str">
        <f>IF(B861&gt;0,VLOOKUP(B861,КВСР!A339:B1504,2),IF(C861&gt;0,VLOOKUP(C861,КФСР!A339:B1851,2),IF(D861&gt;0,VLOOKUP(D861,Программа!A$1:B$5110,2),IF(F861&gt;0,VLOOKUP(F861,КВР!A$1:B$5001,2),IF(E861&gt;0,VLOOKUP(E861,Направление!A$1:B$4783,2))))))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1" s="117"/>
      <c r="C861" s="112"/>
      <c r="D861" s="114" t="s">
        <v>405</v>
      </c>
      <c r="E861" s="112"/>
      <c r="F861" s="114"/>
      <c r="G861" s="295"/>
      <c r="H861" s="284">
        <f t="shared" ref="H861:I863" si="199">H862</f>
        <v>0</v>
      </c>
      <c r="I861" s="295">
        <f t="shared" si="199"/>
        <v>0</v>
      </c>
    </row>
    <row r="862" spans="1:9" ht="63" hidden="1" x14ac:dyDescent="0.25">
      <c r="A862" s="772" t="str">
        <f>IF(B862&gt;0,VLOOKUP(B862,КВСР!A340:B1505,2),IF(C862&gt;0,VLOOKUP(C862,КФСР!A340:B1852,2),IF(D862&gt;0,VLOOKUP(D862,Программа!A$1:B$5110,2),IF(F862&gt;0,VLOOKUP(F862,КВР!A$1:B$5001,2),IF(E862&gt;0,VLOOKUP(E862,Направление!A$1:B$4783,2))))))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62" s="117"/>
      <c r="C862" s="112"/>
      <c r="D862" s="114" t="s">
        <v>406</v>
      </c>
      <c r="E862" s="112"/>
      <c r="F862" s="114"/>
      <c r="G862" s="295"/>
      <c r="H862" s="284">
        <f t="shared" si="199"/>
        <v>0</v>
      </c>
      <c r="I862" s="295">
        <f t="shared" si="199"/>
        <v>0</v>
      </c>
    </row>
    <row r="863" spans="1:9" ht="31.5" hidden="1" x14ac:dyDescent="0.25">
      <c r="A863" s="772" t="str">
        <f>IF(B863&gt;0,VLOOKUP(B863,КВСР!A341:B1506,2),IF(C863&gt;0,VLOOKUP(C863,КФСР!A341:B1853,2),IF(D863&gt;0,VLOOKUP(D863,Программа!A$1:B$5110,2),IF(F863&gt;0,VLOOKUP(F863,КВР!A$1:B$5001,2),IF(E863&gt;0,VLOOKUP(E863,Направление!A$1:B$4783,2))))))</f>
        <v>Расходы на развитие муниципальной службы</v>
      </c>
      <c r="B863" s="117"/>
      <c r="C863" s="112"/>
      <c r="D863" s="114"/>
      <c r="E863" s="112">
        <v>12200</v>
      </c>
      <c r="F863" s="114"/>
      <c r="G863" s="295"/>
      <c r="H863" s="284">
        <f t="shared" si="199"/>
        <v>0</v>
      </c>
      <c r="I863" s="295">
        <f t="shared" si="199"/>
        <v>0</v>
      </c>
    </row>
    <row r="864" spans="1:9" ht="63" hidden="1" x14ac:dyDescent="0.25">
      <c r="A864" s="772" t="str">
        <f>IF(B864&gt;0,VLOOKUP(B864,КВСР!A342:B1507,2),IF(C864&gt;0,VLOOKUP(C864,КФСР!A342:B1854,2),IF(D864&gt;0,VLOOKUP(D864,Программа!A$1:B$5110,2),IF(F864&gt;0,VLOOKUP(F864,КВР!A$1:B$5001,2),IF(E864&gt;0,VLOOKUP(E864,Направление!A$1:B$4783,2))))))</f>
        <v xml:space="preserve">Закупка товаров, работ и услуг для обеспечения государственных (муниципальных) нужд
</v>
      </c>
      <c r="B864" s="117"/>
      <c r="C864" s="112"/>
      <c r="D864" s="114"/>
      <c r="E864" s="112"/>
      <c r="F864" s="114">
        <v>200</v>
      </c>
      <c r="G864" s="295"/>
      <c r="H864" s="284"/>
      <c r="I864" s="120">
        <f>G864+H864</f>
        <v>0</v>
      </c>
    </row>
    <row r="865" spans="1:9" hidden="1" x14ac:dyDescent="0.25">
      <c r="A865" s="772" t="str">
        <f>IF(B865&gt;0,VLOOKUP(B865,КВСР!A343:B1508,2),IF(C865&gt;0,VLOOKUP(C865,КФСР!A343:B1855,2),IF(D865&gt;0,VLOOKUP(D865,Программа!A$1:B$5110,2),IF(F865&gt;0,VLOOKUP(F865,КВР!A$1:B$5001,2),IF(E865&gt;0,VLOOKUP(E865,Направление!A$1:B$4783,2))))))</f>
        <v>Непрограммные расходы бюджета</v>
      </c>
      <c r="B865" s="117"/>
      <c r="C865" s="112"/>
      <c r="D865" s="114" t="s">
        <v>394</v>
      </c>
      <c r="E865" s="112"/>
      <c r="F865" s="114"/>
      <c r="G865" s="295"/>
      <c r="H865" s="284">
        <f t="shared" ref="H865:I866" si="200">H866</f>
        <v>0</v>
      </c>
      <c r="I865" s="295">
        <f t="shared" si="200"/>
        <v>0</v>
      </c>
    </row>
    <row r="866" spans="1:9" ht="47.25" hidden="1" x14ac:dyDescent="0.25">
      <c r="A866" s="772" t="str">
        <f>IF(B866&gt;0,VLOOKUP(B866,КВСР!A344:B1509,2),IF(C866&gt;0,VLOOKUP(C866,КФСР!A344:B1856,2),IF(D866&gt;0,VLOOKUP(D866,Программа!A$1:B$5110,2),IF(F866&gt;0,VLOOKUP(F866,КВР!A$1:B$5001,2),IF(E866&gt;0,VLOOKUP(E866,Направление!A$1:B$4783,2))))))</f>
        <v>Обеспечение деятельности подведомственных учреждений органов местного самоуправления</v>
      </c>
      <c r="B866" s="117"/>
      <c r="C866" s="112"/>
      <c r="D866" s="114"/>
      <c r="E866" s="112">
        <v>12100</v>
      </c>
      <c r="F866" s="114"/>
      <c r="G866" s="295"/>
      <c r="H866" s="284">
        <f t="shared" si="200"/>
        <v>0</v>
      </c>
      <c r="I866" s="295">
        <f t="shared" si="200"/>
        <v>0</v>
      </c>
    </row>
    <row r="867" spans="1:9" ht="63" hidden="1" x14ac:dyDescent="0.25">
      <c r="A867" s="772" t="str">
        <f>IF(B867&gt;0,VLOOKUP(B867,КВСР!A345:B1510,2),IF(C867&gt;0,VLOOKUP(C867,КФСР!A345:B1857,2),IF(D867&gt;0,VLOOKUP(D867,Программа!A$1:B$5110,2),IF(F867&gt;0,VLOOKUP(F867,КВР!A$1:B$5001,2),IF(E867&gt;0,VLOOKUP(E867,Направление!A$1:B$4783,2))))))</f>
        <v xml:space="preserve">Закупка товаров, работ и услуг для обеспечения государственных (муниципальных) нужд
</v>
      </c>
      <c r="B867" s="117"/>
      <c r="C867" s="112"/>
      <c r="D867" s="114"/>
      <c r="E867" s="112"/>
      <c r="F867" s="114">
        <v>200</v>
      </c>
      <c r="G867" s="295"/>
      <c r="H867" s="284"/>
      <c r="I867" s="120">
        <f>G867+H867</f>
        <v>0</v>
      </c>
    </row>
    <row r="868" spans="1:9" ht="31.5" x14ac:dyDescent="0.25">
      <c r="A868" s="772" t="str">
        <f>IF(B868&gt;0,VLOOKUP(B868,КВСР!A338:B1503,2),IF(C868&gt;0,VLOOKUP(C868,КФСР!A338:B1850,2),IF(D868&gt;0,VLOOKUP(D868,Программа!A$1:B$5110,2),IF(F868&gt;0,VLOOKUP(F868,КВР!A$1:B$5001,2),IF(E868&gt;0,VLOOKUP(E868,Направление!A$1:B$4783,2))))))</f>
        <v>Обслуживание государственного (муниципального) внутреннего долга</v>
      </c>
      <c r="B868" s="117"/>
      <c r="C868" s="112">
        <v>1301</v>
      </c>
      <c r="D868" s="113"/>
      <c r="E868" s="112"/>
      <c r="F868" s="114"/>
      <c r="G868" s="277"/>
      <c r="H868" s="339">
        <f t="shared" ref="H868:I868" si="201">H869</f>
        <v>500000</v>
      </c>
      <c r="I868" s="339">
        <f t="shared" si="201"/>
        <v>500000</v>
      </c>
    </row>
    <row r="869" spans="1:9" x14ac:dyDescent="0.25">
      <c r="A869" s="772" t="str">
        <f>IF(B869&gt;0,VLOOKUP(B869,КВСР!A339:B1504,2),IF(C869&gt;0,VLOOKUP(C869,КФСР!A339:B1851,2),IF(D869&gt;0,VLOOKUP(D869,Программа!A$1:B$5110,2),IF(F869&gt;0,VLOOKUP(F869,КВР!A$1:B$5001,2),IF(E869&gt;0,VLOOKUP(E869,Направление!A$1:B$4783,2))))))</f>
        <v>Непрограммные расходы бюджета</v>
      </c>
      <c r="B869" s="117"/>
      <c r="C869" s="112"/>
      <c r="D869" s="113" t="s">
        <v>394</v>
      </c>
      <c r="E869" s="112"/>
      <c r="F869" s="114"/>
      <c r="G869" s="277"/>
      <c r="H869" s="339">
        <f t="shared" ref="H869:I869" si="202">H870</f>
        <v>500000</v>
      </c>
      <c r="I869" s="339">
        <f t="shared" si="202"/>
        <v>500000</v>
      </c>
    </row>
    <row r="870" spans="1:9" ht="31.5" x14ac:dyDescent="0.25">
      <c r="A870" s="772" t="str">
        <f>IF(B870&gt;0,VLOOKUP(B870,КВСР!A340:B1505,2),IF(C870&gt;0,VLOOKUP(C870,КФСР!A340:B1852,2),IF(D870&gt;0,VLOOKUP(D870,Программа!A$1:B$5110,2),IF(F870&gt;0,VLOOKUP(F870,КВР!A$1:B$5001,2),IF(E870&gt;0,VLOOKUP(E870,Направление!A$1:B$4783,2))))))</f>
        <v>Процентные платежи по обслуживанию муниципального долга</v>
      </c>
      <c r="B870" s="117"/>
      <c r="C870" s="112"/>
      <c r="D870" s="113"/>
      <c r="E870" s="112">
        <v>12800</v>
      </c>
      <c r="F870" s="114"/>
      <c r="G870" s="277"/>
      <c r="H870" s="339">
        <f t="shared" ref="H870" si="203">H871</f>
        <v>500000</v>
      </c>
      <c r="I870" s="120">
        <f t="shared" si="192"/>
        <v>500000</v>
      </c>
    </row>
    <row r="871" spans="1:9" ht="31.5" x14ac:dyDescent="0.25">
      <c r="A871" s="772" t="str">
        <f>IF(B871&gt;0,VLOOKUP(B871,КВСР!A341:B1506,2),IF(C871&gt;0,VLOOKUP(C871,КФСР!A341:B1853,2),IF(D871&gt;0,VLOOKUP(D871,Программа!A$1:B$5110,2),IF(F871&gt;0,VLOOKUP(F871,КВР!A$1:B$5001,2),IF(E871&gt;0,VLOOKUP(E871,Направление!A$1:B$4783,2))))))</f>
        <v>Обслуживание государственного долга Российской Федерации</v>
      </c>
      <c r="B871" s="117"/>
      <c r="C871" s="112"/>
      <c r="D871" s="114"/>
      <c r="E871" s="112"/>
      <c r="F871" s="114">
        <v>700</v>
      </c>
      <c r="G871" s="295"/>
      <c r="H871" s="284">
        <v>500000</v>
      </c>
      <c r="I871" s="120">
        <f t="shared" si="192"/>
        <v>500000</v>
      </c>
    </row>
    <row r="872" spans="1:9" ht="63" x14ac:dyDescent="0.25">
      <c r="A872" s="772" t="str">
        <f>IF(B872&gt;0,VLOOKUP(B872,КВСР!A342:B1507,2),IF(C872&gt;0,VLOOKUP(C872,КФСР!A342:B1854,2),IF(D872&gt;0,VLOOKUP(D872,Программа!A$1:B$5110,2),IF(F872&gt;0,VLOOKUP(F872,КВР!A$1:B$5001,2),IF(E872&gt;0,VLOOKUP(E872,Направление!A$1:B$4783,2))))))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872" s="117"/>
      <c r="C872" s="112">
        <v>1401</v>
      </c>
      <c r="D872" s="113"/>
      <c r="E872" s="112"/>
      <c r="F872" s="114"/>
      <c r="G872" s="277"/>
      <c r="H872" s="339">
        <f t="shared" ref="H872:I872" si="204">H873</f>
        <v>100000</v>
      </c>
      <c r="I872" s="339">
        <f t="shared" si="204"/>
        <v>100000</v>
      </c>
    </row>
    <row r="873" spans="1:9" ht="31.5" x14ac:dyDescent="0.25">
      <c r="A873" s="772" t="str">
        <f>IF(B873&gt;0,VLOOKUP(B873,КВСР!A343:B1508,2),IF(C873&gt;0,VLOOKUP(C873,КФСР!A343:B1855,2),IF(D873&gt;0,VLOOKUP(D873,Программа!A$1:B$5110,2),IF(F873&gt;0,VLOOKUP(F873,КВР!A$1:B$5001,2),IF(E873&gt;0,VLOOKUP(E873,Направление!A$1:B$4783,2))))))</f>
        <v>Межбюджетные трансферты  поселениям района</v>
      </c>
      <c r="B873" s="117"/>
      <c r="C873" s="112"/>
      <c r="D873" s="113" t="s">
        <v>565</v>
      </c>
      <c r="E873" s="112"/>
      <c r="F873" s="114"/>
      <c r="G873" s="277"/>
      <c r="H873" s="339">
        <f>H874</f>
        <v>100000</v>
      </c>
      <c r="I873" s="277">
        <f>I874</f>
        <v>100000</v>
      </c>
    </row>
    <row r="874" spans="1:9" ht="47.25" x14ac:dyDescent="0.25">
      <c r="A874" s="772" t="str">
        <f>IF(B874&gt;0,VLOOKUP(B874,КВСР!A347:B1512,2),IF(C874&gt;0,VLOOKUP(C874,КФСР!A347:B1859,2),IF(D874&gt;0,VLOOKUP(D874,Программа!A$1:B$5110,2),IF(F874&gt;0,VLOOKUP(F874,КВР!A$1:B$5001,2),IF(E874&gt;0,VLOOKUP(E874,Направление!A$1:B$4783,2))))))</f>
        <v>Дотации поселениям района  на выравнивание бюджетной обеспеченности</v>
      </c>
      <c r="B874" s="117"/>
      <c r="C874" s="112"/>
      <c r="D874" s="113"/>
      <c r="E874" s="112">
        <v>10800</v>
      </c>
      <c r="F874" s="114"/>
      <c r="G874" s="277"/>
      <c r="H874" s="339">
        <f>H875</f>
        <v>100000</v>
      </c>
      <c r="I874" s="120">
        <f t="shared" si="192"/>
        <v>100000</v>
      </c>
    </row>
    <row r="875" spans="1:9" x14ac:dyDescent="0.25">
      <c r="A875" s="772" t="str">
        <f>IF(B875&gt;0,VLOOKUP(B875,КВСР!A348:B1513,2),IF(C875&gt;0,VLOOKUP(C875,КФСР!A348:B1860,2),IF(D875&gt;0,VLOOKUP(D875,Программа!A$1:B$5110,2),IF(F875&gt;0,VLOOKUP(F875,КВР!A$1:B$5001,2),IF(E875&gt;0,VLOOKUP(E875,Направление!A$1:B$4783,2))))))</f>
        <v xml:space="preserve"> Межбюджетные трансферты</v>
      </c>
      <c r="B875" s="117"/>
      <c r="C875" s="112"/>
      <c r="D875" s="114"/>
      <c r="E875" s="112"/>
      <c r="F875" s="114">
        <v>500</v>
      </c>
      <c r="G875" s="277"/>
      <c r="H875" s="339">
        <v>100000</v>
      </c>
      <c r="I875" s="120">
        <f t="shared" si="192"/>
        <v>100000</v>
      </c>
    </row>
    <row r="876" spans="1:9" ht="47.25" x14ac:dyDescent="0.25">
      <c r="A876" s="771" t="str">
        <f>IF(B876&gt;0,VLOOKUP(B876,КВСР!A352:B1517,2),IF(C876&gt;0,VLOOKUP(C876,КФСР!A352:B1864,2),IF(D876&gt;0,VLOOKUP(D876,Программа!A$1:B$5110,2),IF(F876&gt;0,VLOOKUP(F876,КВР!A$1:B$5001,2),IF(E876&gt;0,VLOOKUP(E876,Направление!A$1:B$4783,2))))))</f>
        <v>Департамент культуры, туризма и молодежной политики Администрации ТМР</v>
      </c>
      <c r="B876" s="111">
        <v>956</v>
      </c>
      <c r="C876" s="112"/>
      <c r="D876" s="113"/>
      <c r="E876" s="112"/>
      <c r="F876" s="114"/>
      <c r="G876" s="384"/>
      <c r="H876" s="338">
        <f>H890+H894+H918+H954+H1017+H1068+H877+H1062+H882</f>
        <v>180930900</v>
      </c>
      <c r="I876" s="384">
        <f>I890+I894+I918+I954+I1017+I1068+I877+I1062+I882</f>
        <v>180930900</v>
      </c>
    </row>
    <row r="877" spans="1:9" ht="47.25" hidden="1" x14ac:dyDescent="0.25">
      <c r="A877" s="772" t="str">
        <f>IF(B877&gt;0,VLOOKUP(B877,КВСР!A349:B1514,2),IF(C877&gt;0,VLOOKUP(C877,КФСР!A349:B1861,2),IF(D877&gt;0,VLOOKUP(D877,Программа!A$1:B$5110,2),IF(F877&gt;0,VLOOKUP(F877,КВР!A$1:B$5001,2),IF(E877&gt;0,VLOOKUP(E877,Направление!A$1:B$4783,2))))))</f>
        <v>Другие вопросы в области национальной безопасности и правоохранительной деятельности</v>
      </c>
      <c r="B877" s="111"/>
      <c r="C877" s="112">
        <v>314</v>
      </c>
      <c r="D877" s="113"/>
      <c r="E877" s="112"/>
      <c r="F877" s="114"/>
      <c r="G877" s="445"/>
      <c r="H877" s="781">
        <f t="shared" ref="H877:I880" si="205">H878</f>
        <v>0</v>
      </c>
      <c r="I877" s="445">
        <f t="shared" si="205"/>
        <v>0</v>
      </c>
    </row>
    <row r="878" spans="1:9" ht="63" hidden="1" x14ac:dyDescent="0.25">
      <c r="A878" s="772" t="str">
        <f>IF(B878&gt;0,VLOOKUP(B878,КВСР!A350:B1515,2),IF(C878&gt;0,VLOOKUP(C878,КФСР!A350:B1862,2),IF(D878&gt;0,VLOOKUP(D878,Программа!A$1:B$5110,2),IF(F878&gt;0,VLOOKUP(F878,КВР!A$1:B$5001,2),IF(E878&gt;0,VLOOKUP(E878,Направление!A$1:B$4783,2))))))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8" s="111"/>
      <c r="C878" s="112"/>
      <c r="D878" s="113" t="s">
        <v>513</v>
      </c>
      <c r="E878" s="112"/>
      <c r="F878" s="114"/>
      <c r="G878" s="445"/>
      <c r="H878" s="781">
        <f t="shared" si="205"/>
        <v>0</v>
      </c>
      <c r="I878" s="445">
        <f t="shared" si="205"/>
        <v>0</v>
      </c>
    </row>
    <row r="879" spans="1:9" ht="31.5" hidden="1" x14ac:dyDescent="0.25">
      <c r="A879" s="772" t="str">
        <f>IF(B879&gt;0,VLOOKUP(B879,КВСР!A351:B1516,2),IF(C879&gt;0,VLOOKUP(C879,КФСР!A351:B1863,2),IF(D879&gt;0,VLOOKUP(D879,Программа!A$1:B$5110,2),IF(F879&gt;0,VLOOKUP(F879,КВР!A$1:B$5001,2),IF(E879&gt;0,VLOOKUP(E879,Направление!A$1:B$4783,2))))))</f>
        <v>Реализация мероприятий по профилактике правонарушений</v>
      </c>
      <c r="B879" s="111"/>
      <c r="C879" s="112"/>
      <c r="D879" s="113" t="s">
        <v>515</v>
      </c>
      <c r="E879" s="112"/>
      <c r="F879" s="114"/>
      <c r="G879" s="445"/>
      <c r="H879" s="781">
        <f t="shared" si="205"/>
        <v>0</v>
      </c>
      <c r="I879" s="445">
        <f t="shared" si="205"/>
        <v>0</v>
      </c>
    </row>
    <row r="880" spans="1:9" ht="31.5" hidden="1" x14ac:dyDescent="0.25">
      <c r="A880" s="772" t="str">
        <f>IF(B880&gt;0,VLOOKUP(B880,КВСР!A352:B1517,2),IF(C880&gt;0,VLOOKUP(C880,КФСР!A352:B1864,2),IF(D880&gt;0,VLOOKUP(D880,Программа!A$1:B$5110,2),IF(F880&gt;0,VLOOKUP(F880,КВР!A$1:B$5001,2),IF(E880&gt;0,VLOOKUP(E880,Направление!A$1:B$4783,2))))))</f>
        <v>Обеспечение деятельности народных дружин</v>
      </c>
      <c r="B880" s="111"/>
      <c r="C880" s="112"/>
      <c r="D880" s="113"/>
      <c r="E880" s="112">
        <v>29486</v>
      </c>
      <c r="F880" s="114"/>
      <c r="G880" s="445"/>
      <c r="H880" s="781">
        <f t="shared" si="205"/>
        <v>0</v>
      </c>
      <c r="I880" s="445">
        <f t="shared" si="205"/>
        <v>0</v>
      </c>
    </row>
    <row r="881" spans="1:9" ht="47.25" hidden="1" x14ac:dyDescent="0.25">
      <c r="A881" s="772" t="str">
        <f>IF(B881&gt;0,VLOOKUP(B881,КВСР!A353:B1518,2),IF(C881&gt;0,VLOOKUP(C881,КФСР!A353:B1865,2),IF(D881&gt;0,VLOOKUP(D881,Программа!A$1:B$5110,2),IF(F881&gt;0,VLOOKUP(F881,КВР!A$1:B$5001,2),IF(E881&gt;0,VLOOKUP(E881,Направление!A$1:B$4783,2))))))</f>
        <v>Предоставление субсидий бюджетным, автономным учреждениям и иным некоммерческим организациям</v>
      </c>
      <c r="B881" s="111"/>
      <c r="C881" s="112"/>
      <c r="D881" s="113"/>
      <c r="E881" s="112"/>
      <c r="F881" s="114">
        <v>600</v>
      </c>
      <c r="G881" s="445"/>
      <c r="H881" s="781"/>
      <c r="I881" s="446">
        <f>G881+H881</f>
        <v>0</v>
      </c>
    </row>
    <row r="882" spans="1:9" x14ac:dyDescent="0.25">
      <c r="A882" s="772" t="str">
        <f>IF(B882&gt;0,VLOOKUP(B882,КВСР!A354:B1519,2),IF(C882&gt;0,VLOOKUP(C882,КФСР!A354:B1866,2),IF(D882&gt;0,VLOOKUP(D882,Программа!A$1:B$5110,2),IF(F882&gt;0,VLOOKUP(F882,КВР!A$1:B$5001,2),IF(E882&gt;0,VLOOKUP(E882,Направление!A$1:B$4783,2))))))</f>
        <v xml:space="preserve"> Общеэкономические вопросы</v>
      </c>
      <c r="B882" s="111"/>
      <c r="C882" s="112">
        <v>401</v>
      </c>
      <c r="D882" s="113"/>
      <c r="E882" s="112"/>
      <c r="F882" s="114"/>
      <c r="G882" s="445"/>
      <c r="H882" s="781">
        <f>H883</f>
        <v>48450</v>
      </c>
      <c r="I882" s="445">
        <f t="shared" ref="H882:I888" si="206">I883</f>
        <v>48450</v>
      </c>
    </row>
    <row r="883" spans="1:9" ht="63" x14ac:dyDescent="0.25">
      <c r="A883" s="772" t="str">
        <f>IF(B883&gt;0,VLOOKUP(B883,КВСР!A355:B1520,2),IF(C883&gt;0,VLOOKUP(C883,КФСР!A355:B1867,2),IF(D883&gt;0,VLOOKUP(D883,Программа!A$1:B$5110,2),IF(F883&gt;0,VLOOKUP(F883,КВР!A$1:B$5001,2),IF(E883&gt;0,VLOOKUP(E883,Направление!A$1:B$4783,2))))))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83" s="111"/>
      <c r="C883" s="112"/>
      <c r="D883" s="113" t="s">
        <v>482</v>
      </c>
      <c r="E883" s="112"/>
      <c r="F883" s="114"/>
      <c r="G883" s="445"/>
      <c r="H883" s="781">
        <f>H884</f>
        <v>48450</v>
      </c>
      <c r="I883" s="445">
        <f t="shared" si="206"/>
        <v>48450</v>
      </c>
    </row>
    <row r="884" spans="1:9" ht="31.5" x14ac:dyDescent="0.25">
      <c r="A884" s="772" t="str">
        <f>IF(B884&gt;0,VLOOKUP(B884,КВСР!A356:B1521,2),IF(C884&gt;0,VLOOKUP(C884,КФСР!A356:B1868,2),IF(D884&gt;0,VLOOKUP(D884,Программа!A$1:B$5110,2),IF(F884&gt;0,VLOOKUP(F884,КВР!A$1:B$5001,2),IF(E884&gt;0,VLOOKUP(E884,Направление!A$1:B$4783,2))))))</f>
        <v>Ведомственная целевая программа «Молодежь»</v>
      </c>
      <c r="B884" s="111"/>
      <c r="C884" s="112"/>
      <c r="D884" s="113" t="s">
        <v>586</v>
      </c>
      <c r="E884" s="112"/>
      <c r="F884" s="114"/>
      <c r="G884" s="445"/>
      <c r="H884" s="781">
        <f t="shared" si="206"/>
        <v>48450</v>
      </c>
      <c r="I884" s="445">
        <f t="shared" si="206"/>
        <v>48450</v>
      </c>
    </row>
    <row r="885" spans="1:9" ht="47.25" x14ac:dyDescent="0.25">
      <c r="A885" s="772" t="str">
        <f>IF(B885&gt;0,VLOOKUP(B885,КВСР!A357:B1522,2),IF(C885&gt;0,VLOOKUP(C885,КФСР!A357:B1869,2),IF(D885&gt;0,VLOOKUP(D885,Программа!A$1:B$5110,2),IF(F885&gt;0,VLOOKUP(F885,КВР!A$1:B$5001,2),IF(E885&gt;0,VLOOKUP(E885,Направление!A$1:B$4783,2))))))</f>
        <v>Обеспечение качества и доступности услуг(работ) в сфере молодежной политики</v>
      </c>
      <c r="B885" s="111"/>
      <c r="C885" s="112"/>
      <c r="D885" s="113" t="s">
        <v>1194</v>
      </c>
      <c r="E885" s="112"/>
      <c r="F885" s="114"/>
      <c r="G885" s="445"/>
      <c r="H885" s="781">
        <f>H888+H886</f>
        <v>48450</v>
      </c>
      <c r="I885" s="445">
        <f>I888+I886</f>
        <v>48450</v>
      </c>
    </row>
    <row r="886" spans="1:9" ht="47.25" x14ac:dyDescent="0.25">
      <c r="A886" s="772" t="str">
        <f>IF(B886&gt;0,VLOOKUP(B886,КВСР!A358:B1523,2),IF(C886&gt;0,VLOOKUP(C886,КФСР!A358:B1870,2),IF(D886&gt;0,VLOOKUP(D886,Программа!A$1:B$5110,2),IF(F886&gt;0,VLOOKUP(F886,КВР!A$1:B$5001,2),IF(E886&gt;0,VLOOKUP(E886,Направление!A$1:B$4783,2))))))</f>
        <v>Расходы на обеспечение трудоустройства несовершеннолетних граждан на временные рабочие места</v>
      </c>
      <c r="B886" s="111"/>
      <c r="C886" s="112"/>
      <c r="D886" s="113"/>
      <c r="E886" s="112">
        <v>16950</v>
      </c>
      <c r="F886" s="114"/>
      <c r="G886" s="445"/>
      <c r="H886" s="781">
        <f t="shared" ref="H886:I886" si="207">H887</f>
        <v>48450</v>
      </c>
      <c r="I886" s="445">
        <f t="shared" si="207"/>
        <v>48450</v>
      </c>
    </row>
    <row r="887" spans="1:9" ht="47.25" x14ac:dyDescent="0.25">
      <c r="A887" s="772" t="str">
        <f>IF(B887&gt;0,VLOOKUP(B887,КВСР!A359:B1524,2),IF(C887&gt;0,VLOOKUP(C887,КФСР!A359:B1871,2),IF(D887&gt;0,VLOOKUP(D887,Программа!A$1:B$5110,2),IF(F887&gt;0,VLOOKUP(F887,КВР!A$1:B$5001,2),IF(E887&gt;0,VLOOKUP(E887,Направление!A$1:B$4783,2))))))</f>
        <v>Предоставление субсидий бюджетным, автономным учреждениям и иным некоммерческим организациям</v>
      </c>
      <c r="B887" s="111"/>
      <c r="C887" s="112"/>
      <c r="D887" s="113"/>
      <c r="E887" s="112"/>
      <c r="F887" s="114">
        <v>600</v>
      </c>
      <c r="G887" s="445"/>
      <c r="H887" s="781">
        <v>48450</v>
      </c>
      <c r="I887" s="445">
        <f>G887+H887</f>
        <v>48450</v>
      </c>
    </row>
    <row r="888" spans="1:9" ht="47.25" hidden="1" x14ac:dyDescent="0.25">
      <c r="A888" s="772" t="str">
        <f>IF(B888&gt;0,VLOOKUP(B888,КВСР!A358:B1523,2),IF(C888&gt;0,VLOOKUP(C888,КФСР!A358:B1870,2),IF(D888&gt;0,VLOOKUP(D888,Программа!A$1:B$5110,2),IF(F888&gt;0,VLOOKUP(F888,КВР!A$1:B$5001,2),IF(E888&gt;0,VLOOKUP(E888,Направление!A$1:B$4783,2))))))</f>
        <v>Расходы на обеспечение трудоустройства несовершеннолетних граждан на временные рабочие места</v>
      </c>
      <c r="B888" s="111"/>
      <c r="C888" s="112"/>
      <c r="D888" s="113"/>
      <c r="E888" s="112">
        <v>76950</v>
      </c>
      <c r="F888" s="114"/>
      <c r="G888" s="445"/>
      <c r="H888" s="781">
        <f t="shared" si="206"/>
        <v>0</v>
      </c>
      <c r="I888" s="445">
        <f t="shared" si="206"/>
        <v>0</v>
      </c>
    </row>
    <row r="889" spans="1:9" ht="47.25" hidden="1" x14ac:dyDescent="0.25">
      <c r="A889" s="772" t="str">
        <f>IF(B889&gt;0,VLOOKUP(B889,КВСР!A359:B1524,2),IF(C889&gt;0,VLOOKUP(C889,КФСР!A359:B1871,2),IF(D889&gt;0,VLOOKUP(D889,Программа!A$1:B$5110,2),IF(F889&gt;0,VLOOKUP(F889,КВР!A$1:B$5001,2),IF(E889&gt;0,VLOOKUP(E889,Направление!A$1:B$4783,2))))))</f>
        <v>Предоставление субсидий бюджетным, автономным учреждениям и иным некоммерческим организациям</v>
      </c>
      <c r="B889" s="111"/>
      <c r="C889" s="112"/>
      <c r="D889" s="113"/>
      <c r="E889" s="112"/>
      <c r="F889" s="114">
        <v>600</v>
      </c>
      <c r="G889" s="445"/>
      <c r="H889" s="781"/>
      <c r="I889" s="446">
        <f>G889+H889</f>
        <v>0</v>
      </c>
    </row>
    <row r="890" spans="1:9" hidden="1" x14ac:dyDescent="0.25">
      <c r="A890" s="772" t="str">
        <f>IF(B890&gt;0,VLOOKUP(B890,КВСР!A353:B1518,2),IF(C890&gt;0,VLOOKUP(C890,КФСР!A353:B1865,2),IF(D890&gt;0,VLOOKUP(D890,Программа!A$1:B$5110,2),IF(F890&gt;0,VLOOKUP(F890,КВР!A$1:B$5001,2),IF(E890&gt;0,VLOOKUP(E890,Направление!A$1:B$4783,2))))))</f>
        <v>Благоустройство</v>
      </c>
      <c r="B890" s="111"/>
      <c r="C890" s="112">
        <v>503</v>
      </c>
      <c r="D890" s="114"/>
      <c r="E890" s="112"/>
      <c r="F890" s="114"/>
      <c r="G890" s="295"/>
      <c r="H890" s="284">
        <f>H891</f>
        <v>0</v>
      </c>
      <c r="I890" s="120">
        <f t="shared" si="192"/>
        <v>0</v>
      </c>
    </row>
    <row r="891" spans="1:9" ht="31.5" hidden="1" x14ac:dyDescent="0.25">
      <c r="A891" s="772" t="str">
        <f>IF(B891&gt;0,VLOOKUP(B891,КВСР!A354:B1519,2),IF(C891&gt;0,VLOOKUP(C891,КФСР!A354:B1866,2),IF(D891&gt;0,VLOOKUP(D891,Программа!A$1:B$5110,2),IF(F891&gt;0,VLOOKUP(F891,КВР!A$1:B$5001,2),IF(E891&gt;0,VLOOKUP(E891,Направление!A$1:B$4783,2))))))</f>
        <v>Межбюджетные трансферты  поселениям района</v>
      </c>
      <c r="B891" s="111"/>
      <c r="C891" s="112"/>
      <c r="D891" s="113" t="s">
        <v>565</v>
      </c>
      <c r="E891" s="112"/>
      <c r="F891" s="114"/>
      <c r="G891" s="295"/>
      <c r="H891" s="284">
        <f>H892</f>
        <v>0</v>
      </c>
      <c r="I891" s="120">
        <f t="shared" si="192"/>
        <v>0</v>
      </c>
    </row>
    <row r="892" spans="1:9" ht="78.75" hidden="1" x14ac:dyDescent="0.25">
      <c r="A892" s="772" t="str">
        <f>IF(B892&gt;0,VLOOKUP(B892,КВСР!A355:B1520,2),IF(C892&gt;0,VLOOKUP(C892,КФСР!A355:B1867,2),IF(D892&gt;0,VLOOKUP(D892,Программа!A$1:B$5110,2),IF(F892&gt;0,VLOOKUP(F892,КВР!A$1:B$5001,2),IF(E892&gt;0,VLOOKUP(E892,Направление!A$1:B$4783,2))))))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92" s="111"/>
      <c r="C892" s="112"/>
      <c r="D892" s="114"/>
      <c r="E892" s="112">
        <v>71750</v>
      </c>
      <c r="F892" s="114"/>
      <c r="G892" s="295"/>
      <c r="H892" s="284">
        <f>SUM(H893:H893)</f>
        <v>0</v>
      </c>
      <c r="I892" s="120">
        <f t="shared" si="192"/>
        <v>0</v>
      </c>
    </row>
    <row r="893" spans="1:9" hidden="1" x14ac:dyDescent="0.25">
      <c r="A893" s="772" t="str">
        <f>IF(B893&gt;0,VLOOKUP(B893,КВСР!A357:B1522,2),IF(C893&gt;0,VLOOKUP(C893,КФСР!A357:B1869,2),IF(D893&gt;0,VLOOKUP(D893,Программа!A$1:B$5110,2),IF(F893&gt;0,VLOOKUP(F893,КВР!A$1:B$5001,2),IF(E893&gt;0,VLOOKUP(E893,Направление!A$1:B$4783,2))))))</f>
        <v xml:space="preserve"> Межбюджетные трансферты</v>
      </c>
      <c r="B893" s="111"/>
      <c r="C893" s="112"/>
      <c r="D893" s="114"/>
      <c r="E893" s="112"/>
      <c r="F893" s="114">
        <v>500</v>
      </c>
      <c r="G893" s="295"/>
      <c r="H893" s="284"/>
      <c r="I893" s="120">
        <f t="shared" si="192"/>
        <v>0</v>
      </c>
    </row>
    <row r="894" spans="1:9" s="133" customFormat="1" x14ac:dyDescent="0.25">
      <c r="A894" s="772" t="str">
        <f>IF(B894&gt;0,VLOOKUP(B894,КВСР!A358:B1523,2),IF(C894&gt;0,VLOOKUP(C894,КФСР!A358:B1870,2),IF(D894&gt;0,VLOOKUP(D894,Программа!A$1:B$5110,2),IF(F894&gt;0,VLOOKUP(F894,КВР!A$1:B$5001,2),IF(E894&gt;0,VLOOKUP(E894,Направление!A$1:B$4783,2))))))</f>
        <v>Дополнительное образование детей</v>
      </c>
      <c r="B894" s="117"/>
      <c r="C894" s="112">
        <v>703</v>
      </c>
      <c r="D894" s="113"/>
      <c r="E894" s="112"/>
      <c r="F894" s="114"/>
      <c r="G894" s="277"/>
      <c r="H894" s="339">
        <f>H895+H907</f>
        <v>36380520</v>
      </c>
      <c r="I894" s="120">
        <f t="shared" si="192"/>
        <v>36380520</v>
      </c>
    </row>
    <row r="895" spans="1:9" s="133" customFormat="1" ht="63" x14ac:dyDescent="0.25">
      <c r="A895" s="772" t="str">
        <f>IF(B895&gt;0,VLOOKUP(B895,КВСР!A359:B1524,2),IF(C895&gt;0,VLOOKUP(C895,КФСР!A359:B1871,2),IF(D895&gt;0,VLOOKUP(D895,Программа!A$1:B$5110,2),IF(F895&gt;0,VLOOKUP(F895,КВР!A$1:B$5001,2),IF(E895&gt;0,VLOOKUP(E895,Направление!A$1:B$4783,2))))))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95" s="117"/>
      <c r="C895" s="112"/>
      <c r="D895" s="126" t="s">
        <v>482</v>
      </c>
      <c r="E895" s="124"/>
      <c r="F895" s="114"/>
      <c r="G895" s="277"/>
      <c r="H895" s="339">
        <f>H896</f>
        <v>36229520</v>
      </c>
      <c r="I895" s="120">
        <f t="shared" si="192"/>
        <v>36229520</v>
      </c>
    </row>
    <row r="896" spans="1:9" s="133" customFormat="1" ht="47.25" x14ac:dyDescent="0.25">
      <c r="A896" s="772" t="str">
        <f>IF(B896&gt;0,VLOOKUP(B896,КВСР!A360:B1525,2),IF(C896&gt;0,VLOOKUP(C896,КФСР!A360:B1872,2),IF(D896&gt;0,VLOOKUP(D896,Программа!A$1:B$5110,2),IF(F896&gt;0,VLOOKUP(F896,КВР!A$1:B$5001,2),IF(E896&gt;0,VLOOKUP(E896,Направление!A$1:B$4783,2))))))</f>
        <v>Ведомственная целевая программа «Сохранение и развитие культуры Тутаевского муниципального района»</v>
      </c>
      <c r="B896" s="117"/>
      <c r="C896" s="112"/>
      <c r="D896" s="126" t="s">
        <v>581</v>
      </c>
      <c r="E896" s="124"/>
      <c r="F896" s="114"/>
      <c r="G896" s="277"/>
      <c r="H896" s="339">
        <f>H897+H904</f>
        <v>36229520</v>
      </c>
      <c r="I896" s="868">
        <f>I897+I904</f>
        <v>36229520</v>
      </c>
    </row>
    <row r="897" spans="1:9" s="133" customFormat="1" ht="47.25" x14ac:dyDescent="0.25">
      <c r="A897" s="772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IF(B897&gt;0,VLOOKUP(B897,КВСР!A361:B1526,2),IF(C897&gt;0,VLOOKUP(C897,КФСР!A361:B1873,2),IF(D897&gt;0,VLOOKUP(D897,Программа!A$1:B$5110,2),IF(F897&gt;0,VLOOKUP(F897,КВР!A$1:B$5001,2),IF(E897&gt;0,VLOOKUP(E897,Направление!A$1:B$4783,2))))))</f>
        <v>Реализация дополнительных образовательных программ в сфере культуры</v>
      </c>
      <c r="B897" s="117"/>
      <c r="C897" s="112"/>
      <c r="D897" s="113" t="s">
        <v>583</v>
      </c>
      <c r="E897" s="112"/>
      <c r="F897" s="114"/>
      <c r="G897" s="277"/>
      <c r="H897" s="339">
        <f>H900+H902+H898</f>
        <v>32570312</v>
      </c>
      <c r="I897" s="120">
        <f t="shared" si="192"/>
        <v>32570312</v>
      </c>
    </row>
    <row r="898" spans="1:9" s="133" customFormat="1" ht="31.5" x14ac:dyDescent="0.25">
      <c r="A898" s="772" t="str">
        <f>IF(B898&gt;0,VLOOKUP(B898,КВСР!A361:B1526,2),IF(C898&gt;0,VLOOKUP(C898,КФСР!A361:B1873,2),IF(D898&gt;0,VLOOKUP(D898,Программа!A$1:B$5110,2),IF(F898&gt;0,VLOOKUP(F898,КВР!A$1:B$5001,2),IF(E898&gt;0,VLOOKUP(E898,Направление!A$1:B$4783,2))))))</f>
        <v xml:space="preserve">Выплата ежемесячных и разовых стипендий главы </v>
      </c>
      <c r="B898" s="117"/>
      <c r="C898" s="112"/>
      <c r="D898" s="113"/>
      <c r="E898" s="112">
        <v>12700</v>
      </c>
      <c r="F898" s="114"/>
      <c r="G898" s="277"/>
      <c r="H898" s="339">
        <f>H899</f>
        <v>40000</v>
      </c>
      <c r="I898" s="120">
        <f t="shared" si="192"/>
        <v>40000</v>
      </c>
    </row>
    <row r="899" spans="1:9" s="133" customFormat="1" ht="47.25" x14ac:dyDescent="0.25">
      <c r="A899" s="772" t="str">
        <f>IF(B899&gt;0,VLOOKUP(B899,КВСР!A362:B1527,2),IF(C899&gt;0,VLOOKUP(C899,КФСР!A362:B1874,2),IF(D899&gt;0,VLOOKUP(D899,Программа!A$1:B$5110,2),IF(F899&gt;0,VLOOKUP(F899,КВР!A$1:B$5001,2),IF(E899&gt;0,VLOOKUP(E899,Направление!A$1:B$4783,2))))))</f>
        <v>Предоставление субсидий бюджетным, автономным учреждениям и иным некоммерческим организациям</v>
      </c>
      <c r="B899" s="117"/>
      <c r="C899" s="112"/>
      <c r="D899" s="114"/>
      <c r="E899" s="112"/>
      <c r="F899" s="114">
        <v>600</v>
      </c>
      <c r="G899" s="277"/>
      <c r="H899" s="339">
        <v>40000</v>
      </c>
      <c r="I899" s="120">
        <f t="shared" si="192"/>
        <v>40000</v>
      </c>
    </row>
    <row r="900" spans="1:9" s="133" customFormat="1" ht="31.5" x14ac:dyDescent="0.25">
      <c r="A900" s="772" t="str">
        <f>IF(B900&gt;0,VLOOKUP(B900,КВСР!A361:B1526,2),IF(C900&gt;0,VLOOKUP(C900,КФСР!A361:B1873,2),IF(D900&gt;0,VLOOKUP(D900,Программа!A$1:B$5110,2),IF(F900&gt;0,VLOOKUP(F900,КВР!A$1:B$5001,2),IF(E900&gt;0,VLOOKUP(E900,Направление!A$1:B$4783,2))))))</f>
        <v>Обеспечение деятельности учреждений дополнительного образования</v>
      </c>
      <c r="B900" s="117"/>
      <c r="C900" s="112"/>
      <c r="D900" s="113"/>
      <c r="E900" s="112">
        <v>13210</v>
      </c>
      <c r="F900" s="114"/>
      <c r="G900" s="295"/>
      <c r="H900" s="284">
        <f>H901</f>
        <v>32530312</v>
      </c>
      <c r="I900" s="120">
        <f t="shared" si="192"/>
        <v>32530312</v>
      </c>
    </row>
    <row r="901" spans="1:9" s="133" customFormat="1" ht="47.25" x14ac:dyDescent="0.25">
      <c r="A901" s="772" t="str">
        <f>IF(B901&gt;0,VLOOKUP(B901,КВСР!A362:B1527,2),IF(C901&gt;0,VLOOKUP(C901,КФСР!A362:B1874,2),IF(D901&gt;0,VLOOKUP(D901,Программа!A$1:B$5110,2),IF(F901&gt;0,VLOOKUP(F901,КВР!A$1:B$5001,2),IF(E901&gt;0,VLOOKUP(E901,Направление!A$1:B$4783,2))))))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4"/>
      <c r="E901" s="112"/>
      <c r="F901" s="114">
        <v>600</v>
      </c>
      <c r="G901" s="295"/>
      <c r="H901" s="284">
        <f>5413312+27117000</f>
        <v>32530312</v>
      </c>
      <c r="I901" s="120">
        <f t="shared" si="192"/>
        <v>32530312</v>
      </c>
    </row>
    <row r="902" spans="1:9" s="133" customFormat="1" hidden="1" x14ac:dyDescent="0.25">
      <c r="A902" s="772" t="str">
        <f>IF(B902&gt;0,VLOOKUP(B902,КВСР!A363:B1528,2),IF(C902&gt;0,VLOOKUP(C902,КФСР!A363:B1875,2),IF(D902&gt;0,VLOOKUP(D902,Программа!A$1:B$5110,2),IF(F902&gt;0,VLOOKUP(F902,КВР!A$1:B$5001,2),IF(E902&gt;0,VLOOKUP(E902,Направление!A$1:B$4783,2))))))</f>
        <v>Мероприятия в сфере культуры</v>
      </c>
      <c r="B902" s="117"/>
      <c r="C902" s="112"/>
      <c r="D902" s="113"/>
      <c r="E902" s="112">
        <v>15220</v>
      </c>
      <c r="F902" s="114"/>
      <c r="G902" s="295"/>
      <c r="H902" s="284">
        <f>H903</f>
        <v>0</v>
      </c>
      <c r="I902" s="120">
        <f t="shared" si="192"/>
        <v>0</v>
      </c>
    </row>
    <row r="903" spans="1:9" s="133" customFormat="1" ht="47.25" hidden="1" x14ac:dyDescent="0.25">
      <c r="A903" s="772" t="str">
        <f>IF(B903&gt;0,VLOOKUP(B903,КВСР!A364:B1529,2),IF(C903&gt;0,VLOOKUP(C903,КФСР!A364:B1876,2),IF(D903&gt;0,VLOOKUP(D903,Программа!A$1:B$5110,2),IF(F903&gt;0,VLOOKUP(F903,КВР!A$1:B$5001,2),IF(E903&gt;0,VLOOKUP(E903,Направление!A$1:B$4783,2))))))</f>
        <v>Предоставление субсидий бюджетным, автономным учреждениям и иным некоммерческим организациям</v>
      </c>
      <c r="B903" s="117"/>
      <c r="C903" s="112"/>
      <c r="D903" s="114"/>
      <c r="E903" s="112"/>
      <c r="F903" s="114">
        <v>600</v>
      </c>
      <c r="G903" s="295"/>
      <c r="H903" s="284"/>
      <c r="I903" s="120">
        <f t="shared" si="192"/>
        <v>0</v>
      </c>
    </row>
    <row r="904" spans="1:9" s="133" customFormat="1" x14ac:dyDescent="0.25">
      <c r="A904" s="772" t="str">
        <f>IF(B904&gt;0,VLOOKUP(B904,КВСР!A365:B1530,2),IF(C904&gt;0,VLOOKUP(C904,КФСР!A365:B1877,2),IF(D904&gt;0,VLOOKUP(D904,Программа!A$1:B$5110,2),IF(F904&gt;0,VLOOKUP(F904,КВР!A$1:B$5001,2),IF(E904&gt;0,VLOOKUP(E904,Направление!A$1:B$4783,2))))))</f>
        <v>Федеральный проект "Культурная среда"</v>
      </c>
      <c r="B904" s="117"/>
      <c r="C904" s="112"/>
      <c r="D904" s="114" t="s">
        <v>1927</v>
      </c>
      <c r="E904" s="112"/>
      <c r="F904" s="114"/>
      <c r="G904" s="295">
        <f>G905</f>
        <v>0</v>
      </c>
      <c r="H904" s="284">
        <f t="shared" ref="H904:I905" si="208">H905</f>
        <v>3659208</v>
      </c>
      <c r="I904" s="295">
        <f t="shared" si="208"/>
        <v>3659208</v>
      </c>
    </row>
    <row r="905" spans="1:9" s="133" customFormat="1" ht="78.75" x14ac:dyDescent="0.25">
      <c r="A905" s="774" t="str">
        <f>IF(B905&gt;0,VLOOKUP(B905,КВСР!A366:B1531,2),IF(C905&gt;0,VLOOKUP(C905,КФСР!A366:B1878,2),IF(D905&gt;0,VLOOKUP(D905,Программа!A$1:B$5110,2),IF(F905&gt;0,VLOOKUP(F905,КВР!A$1:B$5001,2),IF(E905&gt;0,VLOOKUP(E905,Направление!A$1:B$4783,2))))))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05" s="117"/>
      <c r="C905" s="112"/>
      <c r="D905" s="114"/>
      <c r="E905" s="112">
        <v>55191</v>
      </c>
      <c r="F905" s="114"/>
      <c r="G905" s="295">
        <f>G906</f>
        <v>0</v>
      </c>
      <c r="H905" s="284">
        <f t="shared" si="208"/>
        <v>3659208</v>
      </c>
      <c r="I905" s="295">
        <f t="shared" si="208"/>
        <v>3659208</v>
      </c>
    </row>
    <row r="906" spans="1:9" s="133" customFormat="1" ht="47.25" x14ac:dyDescent="0.25">
      <c r="A906" s="772" t="str">
        <f>IF(B906&gt;0,VLOOKUP(B906,КВСР!A367:B1532,2),IF(C906&gt;0,VLOOKUP(C906,КФСР!A367:B1879,2),IF(D906&gt;0,VLOOKUP(D906,Программа!A$1:B$5110,2),IF(F906&gt;0,VLOOKUP(F906,КВР!A$1:B$5001,2),IF(E906&gt;0,VLOOKUP(E906,Направление!A$1:B$4783,2))))))</f>
        <v>Предоставление субсидий бюджетным, автономным учреждениям и иным некоммерческим организациям</v>
      </c>
      <c r="B906" s="117"/>
      <c r="C906" s="112"/>
      <c r="D906" s="114"/>
      <c r="E906" s="112"/>
      <c r="F906" s="114">
        <v>600</v>
      </c>
      <c r="G906" s="295"/>
      <c r="H906" s="284">
        <f>2468135+1008112+182961</f>
        <v>3659208</v>
      </c>
      <c r="I906" s="120">
        <f>G906+H906</f>
        <v>3659208</v>
      </c>
    </row>
    <row r="907" spans="1:9" s="133" customFormat="1" ht="47.25" x14ac:dyDescent="0.25">
      <c r="A907" s="772" t="str">
        <f>IF(B907&gt;0,VLOOKUP(B907,КВСР!A365:B1530,2),IF(C907&gt;0,VLOOKUP(C907,КФСР!A365:B1877,2),IF(D907&gt;0,VLOOKUP(D907,Программа!A$1:B$5110,2),IF(F907&gt;0,VLOOKUP(F907,КВР!A$1:B$5001,2),IF(E907&gt;0,VLOOKUP(E907,Направление!A$1:B$4783,2))))))</f>
        <v>Муниципальная программа "Социальная поддержка населения Тутаевского муниципального района"</v>
      </c>
      <c r="B907" s="117"/>
      <c r="C907" s="112"/>
      <c r="D907" s="114" t="s">
        <v>461</v>
      </c>
      <c r="E907" s="112"/>
      <c r="F907" s="114"/>
      <c r="G907" s="295"/>
      <c r="H907" s="284">
        <f t="shared" ref="H907:H913" si="209">H908</f>
        <v>151000</v>
      </c>
      <c r="I907" s="120">
        <f t="shared" si="192"/>
        <v>151000</v>
      </c>
    </row>
    <row r="908" spans="1:9" s="133" customFormat="1" ht="47.25" x14ac:dyDescent="0.25">
      <c r="A908" s="772" t="str">
        <f>IF(B908&gt;0,VLOOKUP(B908,КВСР!A366:B1531,2),IF(C908&gt;0,VLOOKUP(C908,КФСР!A366:B1878,2),IF(D908&gt;0,VLOOKUP(D908,Программа!A$1:B$5110,2),IF(F908&gt;0,VLOOKUP(F908,КВР!A$1:B$5001,2),IF(E908&gt;0,VLOOKUP(E908,Направление!A$1:B$4783,2))))))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08" s="117"/>
      <c r="C908" s="112"/>
      <c r="D908" s="113" t="s">
        <v>463</v>
      </c>
      <c r="E908" s="112"/>
      <c r="F908" s="114"/>
      <c r="G908" s="295"/>
      <c r="H908" s="284">
        <f>H912+H909+H915</f>
        <v>151000</v>
      </c>
      <c r="I908" s="295">
        <f>I912+I909+I915</f>
        <v>151000</v>
      </c>
    </row>
    <row r="909" spans="1:9" s="133" customFormat="1" ht="63" hidden="1" x14ac:dyDescent="0.25">
      <c r="A909" s="772" t="str">
        <f>IF(B909&gt;0,VLOOKUP(B909,КВСР!A367:B1532,2),IF(C909&gt;0,VLOOKUP(C909,КФСР!A367:B1879,2),IF(D909&gt;0,VLOOKUP(D909,Программа!A$1:B$5110,2),IF(F909&gt;0,VLOOKUP(F909,КВР!A$1:B$5001,2),IF(E909&gt;0,VLOOKUP(E909,Направление!A$1:B$4783,2))))))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9" s="117"/>
      <c r="C909" s="112"/>
      <c r="D909" s="113" t="s">
        <v>464</v>
      </c>
      <c r="E909" s="112"/>
      <c r="F909" s="114"/>
      <c r="G909" s="295"/>
      <c r="H909" s="284">
        <f>H910</f>
        <v>0</v>
      </c>
      <c r="I909" s="120">
        <f t="shared" si="192"/>
        <v>0</v>
      </c>
    </row>
    <row r="910" spans="1:9" s="133" customFormat="1" ht="31.5" hidden="1" x14ac:dyDescent="0.25">
      <c r="A910" s="772" t="str">
        <f>IF(B910&gt;0,VLOOKUP(B910,КВСР!A368:B1533,2),IF(C910&gt;0,VLOOKUP(C910,КФСР!A368:B1880,2),IF(D910&gt;0,VLOOKUP(D910,Программа!A$1:B$5110,2),IF(F910&gt;0,VLOOKUP(F910,КВР!A$1:B$5001,2),IF(E910&gt;0,VLOOKUP(E910,Направление!A$1:B$4783,2))))))</f>
        <v>Расходы на реализацию МЦП "Улучшение условий и охраны труда"</v>
      </c>
      <c r="B910" s="117"/>
      <c r="C910" s="112"/>
      <c r="D910" s="113"/>
      <c r="E910" s="112">
        <v>16150</v>
      </c>
      <c r="F910" s="114"/>
      <c r="G910" s="295"/>
      <c r="H910" s="284">
        <f>H911</f>
        <v>0</v>
      </c>
      <c r="I910" s="120">
        <f t="shared" si="192"/>
        <v>0</v>
      </c>
    </row>
    <row r="911" spans="1:9" s="133" customFormat="1" ht="47.25" hidden="1" x14ac:dyDescent="0.25">
      <c r="A911" s="772" t="str">
        <f>IF(B911&gt;0,VLOOKUP(B911,КВСР!A369:B1534,2),IF(C911&gt;0,VLOOKUP(C911,КФСР!A369:B1881,2),IF(D911&gt;0,VLOOKUP(D911,Программа!A$1:B$5110,2),IF(F911&gt;0,VLOOKUP(F911,КВР!A$1:B$5001,2),IF(E911&gt;0,VLOOKUP(E911,Направление!A$1:B$4783,2))))))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3"/>
      <c r="E911" s="112"/>
      <c r="F911" s="114">
        <v>600</v>
      </c>
      <c r="G911" s="295"/>
      <c r="H911" s="284"/>
      <c r="I911" s="120">
        <f t="shared" si="192"/>
        <v>0</v>
      </c>
    </row>
    <row r="912" spans="1:9" s="133" customFormat="1" ht="63" x14ac:dyDescent="0.25">
      <c r="A912" s="772" t="str">
        <f>IF(B912&gt;0,VLOOKUP(B912,КВСР!A366:B1531,2),IF(C912&gt;0,VLOOKUP(C912,КФСР!A366:B1878,2),IF(D912&gt;0,VLOOKUP(D912,Программа!A$1:B$5110,2),IF(F912&gt;0,VLOOKUP(F912,КВР!A$1:B$5001,2),IF(E912&gt;0,VLOOKUP(E912,Направление!A$1:B$4783,2))))))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912" s="117"/>
      <c r="C912" s="112"/>
      <c r="D912" s="113" t="s">
        <v>1568</v>
      </c>
      <c r="E912" s="112"/>
      <c r="F912" s="114"/>
      <c r="G912" s="295"/>
      <c r="H912" s="284">
        <f t="shared" si="209"/>
        <v>120000</v>
      </c>
      <c r="I912" s="120">
        <f t="shared" si="192"/>
        <v>120000</v>
      </c>
    </row>
    <row r="913" spans="1:9" s="133" customFormat="1" ht="31.5" x14ac:dyDescent="0.25">
      <c r="A913" s="772" t="str">
        <f>IF(B913&gt;0,VLOOKUP(B913,КВСР!A367:B1532,2),IF(C913&gt;0,VLOOKUP(C913,КФСР!A367:B1879,2),IF(D913&gt;0,VLOOKUP(D913,Программа!A$1:B$5110,2),IF(F913&gt;0,VLOOKUP(F913,КВР!A$1:B$5001,2),IF(E913&gt;0,VLOOKUP(E913,Направление!A$1:B$4783,2))))))</f>
        <v>Расходы на реализацию МЦП "Улучшение условий и охраны труда"</v>
      </c>
      <c r="B913" s="117"/>
      <c r="C913" s="112"/>
      <c r="D913" s="114"/>
      <c r="E913" s="112">
        <v>16150</v>
      </c>
      <c r="F913" s="114"/>
      <c r="G913" s="295"/>
      <c r="H913" s="284">
        <f t="shared" si="209"/>
        <v>120000</v>
      </c>
      <c r="I913" s="120">
        <f t="shared" si="192"/>
        <v>120000</v>
      </c>
    </row>
    <row r="914" spans="1:9" s="133" customFormat="1" ht="47.25" x14ac:dyDescent="0.25">
      <c r="A914" s="772" t="str">
        <f>IF(B914&gt;0,VLOOKUP(B914,КВСР!A368:B1533,2),IF(C914&gt;0,VLOOKUP(C914,КФСР!A368:B1880,2),IF(D914&gt;0,VLOOKUP(D914,Программа!A$1:B$5110,2),IF(F914&gt;0,VLOOKUP(F914,КВР!A$1:B$5001,2),IF(E914&gt;0,VLOOKUP(E914,Направление!A$1:B$4783,2))))))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4"/>
      <c r="E914" s="112"/>
      <c r="F914" s="114">
        <v>600</v>
      </c>
      <c r="G914" s="295"/>
      <c r="H914" s="284">
        <v>120000</v>
      </c>
      <c r="I914" s="120">
        <f t="shared" si="192"/>
        <v>120000</v>
      </c>
    </row>
    <row r="915" spans="1:9" s="133" customFormat="1" ht="47.25" x14ac:dyDescent="0.25">
      <c r="A915" s="772" t="str">
        <f>IF(B915&gt;0,VLOOKUP(B915,КВСР!A369:B1534,2),IF(C915&gt;0,VLOOKUP(C915,КФСР!A369:B1881,2),IF(D915&gt;0,VLOOKUP(D915,Программа!A$1:B$5110,2),IF(F915&gt;0,VLOOKUP(F915,КВР!A$1:B$5001,2),IF(E915&gt;0,VLOOKUP(E915,Направление!A$1:B$4783,2))))))</f>
        <v>Обучение по охране труда работников организаций Тутаевского муниципального района</v>
      </c>
      <c r="B915" s="117"/>
      <c r="C915" s="112"/>
      <c r="D915" s="113" t="s">
        <v>1131</v>
      </c>
      <c r="E915" s="112"/>
      <c r="F915" s="114"/>
      <c r="G915" s="295"/>
      <c r="H915" s="284">
        <f>H916</f>
        <v>31000</v>
      </c>
      <c r="I915" s="120">
        <f t="shared" ref="I915:I917" si="210">SUM(G915:H915)</f>
        <v>31000</v>
      </c>
    </row>
    <row r="916" spans="1:9" s="133" customFormat="1" ht="31.5" x14ac:dyDescent="0.25">
      <c r="A916" s="772" t="str">
        <f>IF(B916&gt;0,VLOOKUP(B916,КВСР!A370:B1535,2),IF(C916&gt;0,VLOOKUP(C916,КФСР!A370:B1882,2),IF(D916&gt;0,VLOOKUP(D916,Программа!A$1:B$5110,2),IF(F916&gt;0,VLOOKUP(F916,КВР!A$1:B$5001,2),IF(E916&gt;0,VLOOKUP(E916,Направление!A$1:B$4783,2))))))</f>
        <v>Расходы на реализацию МЦП "Улучшение условий и охраны труда"</v>
      </c>
      <c r="B916" s="117"/>
      <c r="C916" s="112"/>
      <c r="D916" s="114"/>
      <c r="E916" s="112">
        <v>16150</v>
      </c>
      <c r="F916" s="114"/>
      <c r="G916" s="295"/>
      <c r="H916" s="284">
        <f>H917</f>
        <v>31000</v>
      </c>
      <c r="I916" s="120">
        <f t="shared" si="210"/>
        <v>31000</v>
      </c>
    </row>
    <row r="917" spans="1:9" s="133" customFormat="1" ht="47.25" x14ac:dyDescent="0.25">
      <c r="A917" s="772" t="str">
        <f>IF(B917&gt;0,VLOOKUP(B917,КВСР!A371:B1536,2),IF(C917&gt;0,VLOOKUP(C917,КФСР!A371:B1883,2),IF(D917&gt;0,VLOOKUP(D917,Программа!A$1:B$5110,2),IF(F917&gt;0,VLOOKUP(F917,КВР!A$1:B$5001,2),IF(E917&gt;0,VLOOKUP(E917,Направление!A$1:B$4783,2))))))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4"/>
      <c r="E917" s="112"/>
      <c r="F917" s="114">
        <v>600</v>
      </c>
      <c r="G917" s="295"/>
      <c r="H917" s="284">
        <v>31000</v>
      </c>
      <c r="I917" s="120">
        <f t="shared" si="210"/>
        <v>31000</v>
      </c>
    </row>
    <row r="918" spans="1:9" s="133" customFormat="1" x14ac:dyDescent="0.25">
      <c r="A918" s="772" t="str">
        <f>IF(B918&gt;0,VLOOKUP(B918,КВСР!A362:B1527,2),IF(C918&gt;0,VLOOKUP(C918,КФСР!A362:B1874,2),IF(D918&gt;0,VLOOKUP(D918,Программа!A$1:B$5110,2),IF(F918&gt;0,VLOOKUP(F918,КВР!A$1:B$5001,2),IF(E918&gt;0,VLOOKUP(E918,Направление!A$1:B$4783,2))))))</f>
        <v>Молодежная политика</v>
      </c>
      <c r="B918" s="117"/>
      <c r="C918" s="112">
        <v>707</v>
      </c>
      <c r="D918" s="113"/>
      <c r="E918" s="112"/>
      <c r="F918" s="114"/>
      <c r="G918" s="277"/>
      <c r="H918" s="339">
        <f>H919+H949</f>
        <v>12089000</v>
      </c>
      <c r="I918" s="120">
        <f t="shared" si="192"/>
        <v>12089000</v>
      </c>
    </row>
    <row r="919" spans="1:9" s="133" customFormat="1" ht="63" x14ac:dyDescent="0.25">
      <c r="A919" s="772" t="str">
        <f>IF(B919&gt;0,VLOOKUP(B919,КВСР!A363:B1528,2),IF(C919&gt;0,VLOOKUP(C919,КФСР!A363:B1875,2),IF(D919&gt;0,VLOOKUP(D919,Программа!A$1:B$5110,2),IF(F919&gt;0,VLOOKUP(F919,КВР!A$1:B$5001,2),IF(E919&gt;0,VLOOKUP(E919,Направление!A$1:B$4783,2))))))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19" s="117"/>
      <c r="C919" s="112"/>
      <c r="D919" s="113" t="s">
        <v>482</v>
      </c>
      <c r="E919" s="112"/>
      <c r="F919" s="114"/>
      <c r="G919" s="277"/>
      <c r="H919" s="339">
        <f>H920+H939+H945</f>
        <v>12089000</v>
      </c>
      <c r="I919" s="120">
        <f t="shared" si="192"/>
        <v>12089000</v>
      </c>
    </row>
    <row r="920" spans="1:9" s="133" customFormat="1" ht="31.5" x14ac:dyDescent="0.25">
      <c r="A920" s="772" t="str">
        <f>IF(B920&gt;0,VLOOKUP(B920,КВСР!A364:B1529,2),IF(C920&gt;0,VLOOKUP(C920,КФСР!A364:B1876,2),IF(D920&gt;0,VLOOKUP(D920,Программа!A$1:B$5110,2),IF(F920&gt;0,VLOOKUP(F920,КВР!A$1:B$5001,2),IF(E920&gt;0,VLOOKUP(E920,Направление!A$1:B$4783,2))))))</f>
        <v>Ведомственная целевая программа «Молодежь»</v>
      </c>
      <c r="B920" s="117"/>
      <c r="C920" s="112"/>
      <c r="D920" s="113" t="s">
        <v>586</v>
      </c>
      <c r="E920" s="112"/>
      <c r="F920" s="114"/>
      <c r="G920" s="277"/>
      <c r="H920" s="339">
        <f>H921+H934</f>
        <v>11759000</v>
      </c>
      <c r="I920" s="120">
        <f t="shared" si="192"/>
        <v>11759000</v>
      </c>
    </row>
    <row r="921" spans="1:9" s="133" customFormat="1" ht="63" x14ac:dyDescent="0.25">
      <c r="A921" s="772" t="str">
        <f>IF(B921&gt;0,VLOOKUP(B921,КВСР!A364:B1529,2),IF(C921&gt;0,VLOOKUP(C921,КФСР!A364:B1876,2),IF(D921&gt;0,VLOOKUP(D921,Программа!A$1:B$5110,2),IF(F921&gt;0,VLOOKUP(F921,КВР!A$1:B$5001,2),IF(E921&gt;0,VLOOKUP(E921,Направление!A$1:B$4783,2))))))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21" s="117"/>
      <c r="C921" s="112"/>
      <c r="D921" s="113" t="s">
        <v>588</v>
      </c>
      <c r="E921" s="112"/>
      <c r="F921" s="114"/>
      <c r="G921" s="277"/>
      <c r="H921" s="339">
        <f>H922+H924+H930+H926+H928+H932</f>
        <v>11669000</v>
      </c>
      <c r="I921" s="277">
        <f t="shared" ref="I921" si="211">I922+I924+I930+I926+I928+I932</f>
        <v>11669000</v>
      </c>
    </row>
    <row r="922" spans="1:9" s="133" customFormat="1" ht="31.5" hidden="1" x14ac:dyDescent="0.25">
      <c r="A922" s="772" t="str">
        <f>IF(B922&gt;0,VLOOKUP(B922,КВСР!A365:B1530,2),IF(C922&gt;0,VLOOKUP(C922,КФСР!A365:B1877,2),IF(D922&gt;0,VLOOKUP(D922,Программа!A$1:B$5110,2),IF(F922&gt;0,VLOOKUP(F922,КВР!A$1:B$5001,2),IF(E922&gt;0,VLOOKUP(E922,Направление!A$1:B$4783,2))))))</f>
        <v>Расходы на природоохранные мероприятия</v>
      </c>
      <c r="B922" s="117"/>
      <c r="C922" s="112"/>
      <c r="D922" s="113"/>
      <c r="E922" s="112">
        <v>10650</v>
      </c>
      <c r="F922" s="114"/>
      <c r="G922" s="295"/>
      <c r="H922" s="284">
        <f>H923</f>
        <v>0</v>
      </c>
      <c r="I922" s="120">
        <f t="shared" si="192"/>
        <v>0</v>
      </c>
    </row>
    <row r="923" spans="1:9" s="133" customFormat="1" ht="47.25" hidden="1" x14ac:dyDescent="0.25">
      <c r="A923" s="772" t="str">
        <f>IF(B923&gt;0,VLOOKUP(B923,КВСР!A366:B1531,2),IF(C923&gt;0,VLOOKUP(C923,КФСР!A366:B1878,2),IF(D923&gt;0,VLOOKUP(D923,Программа!A$1:B$5110,2),IF(F923&gt;0,VLOOKUP(F923,КВР!A$1:B$5001,2),IF(E923&gt;0,VLOOKUP(E923,Направление!A$1:B$4783,2))))))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4"/>
      <c r="E923" s="112"/>
      <c r="F923" s="114">
        <v>600</v>
      </c>
      <c r="G923" s="295"/>
      <c r="H923" s="284"/>
      <c r="I923" s="120">
        <f t="shared" si="192"/>
        <v>0</v>
      </c>
    </row>
    <row r="924" spans="1:9" s="133" customFormat="1" ht="31.5" x14ac:dyDescent="0.25">
      <c r="A924" s="772" t="str">
        <f>IF(B924&gt;0,VLOOKUP(B924,КВСР!A367:B1532,2),IF(C924&gt;0,VLOOKUP(C924,КФСР!A367:B1879,2),IF(D924&gt;0,VLOOKUP(D924,Программа!A$1:B$5110,2),IF(F924&gt;0,VLOOKUP(F924,КВР!A$1:B$5001,2),IF(E924&gt;0,VLOOKUP(E924,Направление!A$1:B$4783,2))))))</f>
        <v xml:space="preserve">Обеспечение деятельности учреждений в сфере молодежной политики </v>
      </c>
      <c r="B924" s="117"/>
      <c r="C924" s="112"/>
      <c r="D924" s="113"/>
      <c r="E924" s="112">
        <v>14510</v>
      </c>
      <c r="F924" s="114"/>
      <c r="G924" s="277"/>
      <c r="H924" s="339">
        <f>H925</f>
        <v>11669000</v>
      </c>
      <c r="I924" s="120">
        <f>I925</f>
        <v>11669000</v>
      </c>
    </row>
    <row r="925" spans="1:9" s="133" customFormat="1" ht="47.25" x14ac:dyDescent="0.25">
      <c r="A925" s="772" t="str">
        <f>IF(B925&gt;0,VLOOKUP(B925,КВСР!A368:B1533,2),IF(C925&gt;0,VLOOKUP(C925,КФСР!A368:B1880,2),IF(D925&gt;0,VLOOKUP(D925,Программа!A$1:B$5110,2),IF(F925&gt;0,VLOOKUP(F925,КВР!A$1:B$5001,2),IF(E925&gt;0,VLOOKUP(E925,Направление!A$1:B$4783,2))))))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4"/>
      <c r="E925" s="112"/>
      <c r="F925" s="114">
        <v>600</v>
      </c>
      <c r="G925" s="295"/>
      <c r="H925" s="284">
        <v>11669000</v>
      </c>
      <c r="I925" s="120">
        <f t="shared" si="192"/>
        <v>11669000</v>
      </c>
    </row>
    <row r="926" spans="1:9" s="133" customFormat="1" ht="63" hidden="1" x14ac:dyDescent="0.25">
      <c r="A926" s="772" t="str">
        <f>IF(B926&gt;0,VLOOKUP(B926,КВСР!A369:B1534,2),IF(C926&gt;0,VLOOKUP(C926,КФСР!A369:B1881,2),IF(D926&gt;0,VLOOKUP(D926,Программа!A$1:B$5110,2),IF(F926&gt;0,VLOOKUP(F926,КВР!A$1:B$5001,2),IF(E926&gt;0,VLOOKUP(E926,Направление!A$1:B$4783,2))))))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6" s="117"/>
      <c r="C926" s="112"/>
      <c r="D926" s="114"/>
      <c r="E926" s="112">
        <v>70650</v>
      </c>
      <c r="F926" s="114"/>
      <c r="G926" s="295"/>
      <c r="H926" s="284">
        <f>H927</f>
        <v>0</v>
      </c>
      <c r="I926" s="120">
        <f t="shared" si="192"/>
        <v>0</v>
      </c>
    </row>
    <row r="927" spans="1:9" s="133" customFormat="1" ht="47.25" hidden="1" x14ac:dyDescent="0.25">
      <c r="A927" s="772" t="str">
        <f>IF(B927&gt;0,VLOOKUP(B927,КВСР!A370:B1535,2),IF(C927&gt;0,VLOOKUP(C927,КФСР!A370:B1882,2),IF(D927&gt;0,VLOOKUP(D927,Программа!A$1:B$5110,2),IF(F927&gt;0,VLOOKUP(F927,КВР!A$1:B$5001,2),IF(E927&gt;0,VLOOKUP(E927,Направление!A$1:B$4783,2))))))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95"/>
      <c r="H927" s="284"/>
      <c r="I927" s="120">
        <f t="shared" si="192"/>
        <v>0</v>
      </c>
    </row>
    <row r="928" spans="1:9" s="133" customFormat="1" hidden="1" x14ac:dyDescent="0.25">
      <c r="A928" s="772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IF(B928&gt;0,VLOOKUP(B928,КВСР!A371:B1536,2),IF(C928&gt;0,VLOOKUP(C928,КФСР!A371:B1883,2),IF(D928&gt;0,VLOOKUP(D928,Программа!A$1:B$5110,2),IF(F928&gt;0,VLOOKUP(F928,КВР!A$1:B$5001,2),IF(E928&gt;0,VLOOKUP(E928,Направление!A$1:B$4783,2))))))</f>
        <v xml:space="preserve">Иная дотация </v>
      </c>
      <c r="B928" s="117"/>
      <c r="C928" s="112"/>
      <c r="D928" s="113"/>
      <c r="E928" s="112">
        <v>73260</v>
      </c>
      <c r="F928" s="114"/>
      <c r="G928" s="295"/>
      <c r="H928" s="284">
        <f t="shared" ref="H928:I928" si="212">H929</f>
        <v>0</v>
      </c>
      <c r="I928" s="295">
        <f t="shared" si="212"/>
        <v>0</v>
      </c>
    </row>
    <row r="929" spans="1:9" s="133" customFormat="1" ht="47.25" hidden="1" x14ac:dyDescent="0.25">
      <c r="A929" s="772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IF(B929&gt;0,VLOOKUP(B929,КВСР!A372:B1537,2),IF(C929&gt;0,VLOOKUP(C929,КФСР!A372:B1884,2),IF(D929&gt;0,VLOOKUP(D929,Программа!A$1:B$5110,2),IF(F929&gt;0,VLOOKUP(F929,КВР!A$1:B$5001,2),IF(E929&gt;0,VLOOKUP(E929,Направление!A$1:B$4783,2))))))</f>
        <v>Предоставление субсидий бюджетным, автономным учреждениям и иным некоммерческим организациям</v>
      </c>
      <c r="B929" s="117"/>
      <c r="C929" s="112"/>
      <c r="D929" s="113"/>
      <c r="E929" s="112"/>
      <c r="F929" s="114">
        <v>600</v>
      </c>
      <c r="G929" s="295"/>
      <c r="H929" s="284"/>
      <c r="I929" s="120">
        <f>G929+H929</f>
        <v>0</v>
      </c>
    </row>
    <row r="930" spans="1:9" s="133" customFormat="1" ht="78.75" hidden="1" x14ac:dyDescent="0.25">
      <c r="A930" s="772" t="str">
        <f>IF(B930&gt;0,VLOOKUP(B930,КВСР!A371:B1536,2),IF(C930&gt;0,VLOOKUP(C930,КФСР!A371:B1883,2),IF(D930&gt;0,VLOOKUP(D930,Программа!A$1:B$5110,2),IF(F930&gt;0,VLOOKUP(F930,КВР!A$1:B$5001,2),IF(E930&gt;0,VLOOKUP(E930,Направление!A$1:B$4783,2))))))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30" s="117"/>
      <c r="C930" s="112"/>
      <c r="D930" s="113"/>
      <c r="E930" s="112">
        <v>75870</v>
      </c>
      <c r="F930" s="114"/>
      <c r="G930" s="295"/>
      <c r="H930" s="284">
        <f>H931</f>
        <v>0</v>
      </c>
      <c r="I930" s="120">
        <f t="shared" si="192"/>
        <v>0</v>
      </c>
    </row>
    <row r="931" spans="1:9" s="133" customFormat="1" ht="47.25" hidden="1" x14ac:dyDescent="0.25">
      <c r="A931" s="772" t="str">
        <f>IF(B931&gt;0,VLOOKUP(B931,КВСР!A370:B1535,2),IF(C931&gt;0,VLOOKUP(C931,КФСР!A370:B1882,2),IF(D931&gt;0,VLOOKUP(D931,Программа!A$1:B$5110,2),IF(F931&gt;0,VLOOKUP(F931,КВР!A$1:B$5001,2),IF(E931&gt;0,VLOOKUP(E931,Направление!A$1:B$4783,2))))))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13"/>
      <c r="E931" s="112"/>
      <c r="F931" s="114">
        <v>600</v>
      </c>
      <c r="G931" s="277"/>
      <c r="H931" s="339"/>
      <c r="I931" s="120">
        <f t="shared" si="192"/>
        <v>0</v>
      </c>
    </row>
    <row r="932" spans="1:9" s="133" customFormat="1" ht="47.25" hidden="1" x14ac:dyDescent="0.25">
      <c r="A932" s="772" t="str">
        <f>IF(B932&gt;0,VLOOKUP(B932,КВСР!A371:B1536,2),IF(C932&gt;0,VLOOKUP(C932,КФСР!A371:B1883,2),IF(D932&gt;0,VLOOKUP(D932,Программа!A$1:B$5110,2),IF(F932&gt;0,VLOOKUP(F932,КВР!A$1:B$5001,2),IF(E932&gt;0,VLOOKUP(E932,Направление!A$1:B$4783,2))))))</f>
        <v>Расходы на обеспечение трудоустройства несовершеннолетних граждан на временные рабочие места</v>
      </c>
      <c r="B932" s="117"/>
      <c r="C932" s="112"/>
      <c r="D932" s="113"/>
      <c r="E932" s="112">
        <v>76150</v>
      </c>
      <c r="F932" s="114"/>
      <c r="G932" s="277"/>
      <c r="H932" s="339">
        <f t="shared" ref="H932:I932" si="213">H933</f>
        <v>0</v>
      </c>
      <c r="I932" s="277">
        <f t="shared" si="213"/>
        <v>0</v>
      </c>
    </row>
    <row r="933" spans="1:9" s="133" customFormat="1" ht="47.25" hidden="1" x14ac:dyDescent="0.25">
      <c r="A933" s="772" t="str">
        <f>IF(B933&gt;0,VLOOKUP(B933,КВСР!A372:B1537,2),IF(C933&gt;0,VLOOKUP(C933,КФСР!A372:B1884,2),IF(D933&gt;0,VLOOKUP(D933,Программа!A$1:B$5110,2),IF(F933&gt;0,VLOOKUP(F933,КВР!A$1:B$5001,2),IF(E933&gt;0,VLOOKUP(E933,Направление!A$1:B$4783,2))))))</f>
        <v>Предоставление субсидий бюджетным, автономным учреждениям и иным некоммерческим организациям</v>
      </c>
      <c r="B933" s="117"/>
      <c r="C933" s="112"/>
      <c r="D933" s="113"/>
      <c r="E933" s="112"/>
      <c r="F933" s="114">
        <v>600</v>
      </c>
      <c r="G933" s="277"/>
      <c r="H933" s="339"/>
      <c r="I933" s="120">
        <f>G933+H933</f>
        <v>0</v>
      </c>
    </row>
    <row r="934" spans="1:9" s="133" customFormat="1" ht="47.25" x14ac:dyDescent="0.25">
      <c r="A934" s="772" t="str">
        <f>IF(B934&gt;0,VLOOKUP(B934,КВСР!A371:B1536,2),IF(C934&gt;0,VLOOKUP(C934,КФСР!A371:B1883,2),IF(D934&gt;0,VLOOKUP(D934,Программа!A$1:B$5110,2),IF(F934&gt;0,VLOOKUP(F934,КВР!A$1:B$5001,2),IF(E934&gt;0,VLOOKUP(E934,Направление!A$1:B$4783,2))))))</f>
        <v>Обеспечение качества и доступности услуг(работ) в сфере молодежной политики</v>
      </c>
      <c r="B934" s="117"/>
      <c r="C934" s="112"/>
      <c r="D934" s="113" t="s">
        <v>1194</v>
      </c>
      <c r="E934" s="112"/>
      <c r="F934" s="114"/>
      <c r="G934" s="277"/>
      <c r="H934" s="339">
        <f>H935+H937</f>
        <v>90000</v>
      </c>
      <c r="I934" s="120">
        <f t="shared" si="192"/>
        <v>90000</v>
      </c>
    </row>
    <row r="935" spans="1:9" s="133" customFormat="1" ht="31.5" x14ac:dyDescent="0.25">
      <c r="A935" s="772" t="str">
        <f>IF(B935&gt;0,VLOOKUP(B935,КВСР!A372:B1537,2),IF(C935&gt;0,VLOOKUP(C935,КФСР!A372:B1884,2),IF(D935&gt;0,VLOOKUP(D935,Программа!A$1:B$5110,2),IF(F935&gt;0,VLOOKUP(F935,КВР!A$1:B$5001,2),IF(E935&gt;0,VLOOKUP(E935,Направление!A$1:B$4783,2))))))</f>
        <v xml:space="preserve">Выплата ежемесячных и разовых стипендий главы </v>
      </c>
      <c r="B935" s="117"/>
      <c r="C935" s="112"/>
      <c r="D935" s="113"/>
      <c r="E935" s="112">
        <v>12700</v>
      </c>
      <c r="F935" s="114"/>
      <c r="G935" s="277"/>
      <c r="H935" s="339">
        <f>H936</f>
        <v>90000</v>
      </c>
      <c r="I935" s="120">
        <f t="shared" si="192"/>
        <v>90000</v>
      </c>
    </row>
    <row r="936" spans="1:9" s="133" customFormat="1" ht="47.25" x14ac:dyDescent="0.25">
      <c r="A936" s="772" t="str">
        <f>IF(B936&gt;0,VLOOKUP(B936,КВСР!A373:B1538,2),IF(C936&gt;0,VLOOKUP(C936,КФСР!A373:B1885,2),IF(D936&gt;0,VLOOKUP(D936,Программа!A$1:B$5110,2),IF(F936&gt;0,VLOOKUP(F936,КВР!A$1:B$5001,2),IF(E936&gt;0,VLOOKUP(E936,Направление!A$1:B$4783,2))))))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13"/>
      <c r="E936" s="112"/>
      <c r="F936" s="114">
        <v>600</v>
      </c>
      <c r="G936" s="277"/>
      <c r="H936" s="339">
        <v>90000</v>
      </c>
      <c r="I936" s="120">
        <f t="shared" si="192"/>
        <v>90000</v>
      </c>
    </row>
    <row r="937" spans="1:9" s="133" customFormat="1" ht="31.5" hidden="1" x14ac:dyDescent="0.25">
      <c r="A937" s="772" t="str">
        <f>IF(B937&gt;0,VLOOKUP(B937,КВСР!A374:B1539,2),IF(C937&gt;0,VLOOKUP(C937,КФСР!A374:B1886,2),IF(D937&gt;0,VLOOKUP(D937,Программа!A$1:B$5110,2),IF(F937&gt;0,VLOOKUP(F937,КВР!A$1:B$5001,2),IF(E937&gt;0,VLOOKUP(E937,Направление!A$1:B$4783,2))))))</f>
        <v xml:space="preserve">Обеспечение деятельности учреждений в сфере молодежной политики </v>
      </c>
      <c r="B937" s="117"/>
      <c r="C937" s="112"/>
      <c r="D937" s="113"/>
      <c r="E937" s="112">
        <v>14510</v>
      </c>
      <c r="F937" s="114"/>
      <c r="G937" s="277"/>
      <c r="H937" s="339">
        <f>H938</f>
        <v>0</v>
      </c>
      <c r="I937" s="120">
        <f t="shared" ref="I937:I1035" si="214">SUM(G937:H937)</f>
        <v>0</v>
      </c>
    </row>
    <row r="938" spans="1:9" s="133" customFormat="1" ht="47.25" hidden="1" x14ac:dyDescent="0.25">
      <c r="A938" s="772" t="str">
        <f>IF(B938&gt;0,VLOOKUP(B938,КВСР!A374:B1539,2),IF(C938&gt;0,VLOOKUP(C938,КФСР!A374:B1886,2),IF(D938&gt;0,VLOOKUP(D938,Программа!A$1:B$5110,2),IF(F938&gt;0,VLOOKUP(F938,КВР!A$1:B$5001,2),IF(E938&gt;0,VLOOKUP(E938,Направление!A$1:B$4783,2))))))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77"/>
      <c r="H938" s="339"/>
      <c r="I938" s="120">
        <f t="shared" si="214"/>
        <v>0</v>
      </c>
    </row>
    <row r="939" spans="1:9" s="133" customFormat="1" ht="94.5" x14ac:dyDescent="0.25">
      <c r="A939" s="772" t="str">
        <f>IF(B939&gt;0,VLOOKUP(B939,КВСР!A371:B1536,2),IF(C939&gt;0,VLOOKUP(C939,КФСР!A371:B1883,2),IF(D939&gt;0,VLOOKUP(D939,Программа!A$1:B$5110,2),IF(F939&gt;0,VLOOKUP(F939,КВР!A$1:B$5001,2),IF(E939&gt;0,VLOOKUP(E939,Направление!A$1:B$4783,2))))))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9" s="117"/>
      <c r="C939" s="112"/>
      <c r="D939" s="113" t="s">
        <v>484</v>
      </c>
      <c r="E939" s="112"/>
      <c r="F939" s="114"/>
      <c r="G939" s="277"/>
      <c r="H939" s="339">
        <f t="shared" ref="H939:H941" si="215">H940</f>
        <v>200000</v>
      </c>
      <c r="I939" s="120">
        <f t="shared" si="214"/>
        <v>200000</v>
      </c>
    </row>
    <row r="940" spans="1:9" s="133" customFormat="1" ht="78.75" x14ac:dyDescent="0.25">
      <c r="A940" s="772" t="str">
        <f>IF(B940&gt;0,VLOOKUP(B940,КВСР!A372:B1537,2),IF(C940&gt;0,VLOOKUP(C940,КФСР!A372:B1884,2),IF(D940&gt;0,VLOOKUP(D940,Программа!A$1:B$5110,2),IF(F940&gt;0,VLOOKUP(F940,КВР!A$1:B$5001,2),IF(E940&gt;0,VLOOKUP(E940,Направление!A$1:B$4783,2))))))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40" s="117"/>
      <c r="C940" s="112"/>
      <c r="D940" s="113" t="s">
        <v>486</v>
      </c>
      <c r="E940" s="112"/>
      <c r="F940" s="114"/>
      <c r="G940" s="277"/>
      <c r="H940" s="339">
        <f t="shared" ref="H940:I940" si="216">H941+H943</f>
        <v>200000</v>
      </c>
      <c r="I940" s="277">
        <f t="shared" si="216"/>
        <v>200000</v>
      </c>
    </row>
    <row r="941" spans="1:9" s="133" customFormat="1" ht="31.5" x14ac:dyDescent="0.25">
      <c r="A941" s="772" t="str">
        <f>IF(B941&gt;0,VLOOKUP(B941,КВСР!A374:B1539,2),IF(C941&gt;0,VLOOKUP(C941,КФСР!A374:B1886,2),IF(D941&gt;0,VLOOKUP(D941,Программа!A$1:B$5110,2),IF(F941&gt;0,VLOOKUP(F941,КВР!A$1:B$5001,2),IF(E941&gt;0,VLOOKUP(E941,Направление!A$1:B$4783,2))))))</f>
        <v>Мероприятия по патриотическому воспитанию граждан</v>
      </c>
      <c r="B941" s="117"/>
      <c r="C941" s="112"/>
      <c r="D941" s="113"/>
      <c r="E941" s="112">
        <v>14880</v>
      </c>
      <c r="F941" s="114"/>
      <c r="G941" s="277"/>
      <c r="H941" s="339">
        <f t="shared" si="215"/>
        <v>200000</v>
      </c>
      <c r="I941" s="120">
        <f t="shared" si="214"/>
        <v>200000</v>
      </c>
    </row>
    <row r="942" spans="1:9" s="133" customFormat="1" ht="47.25" x14ac:dyDescent="0.25">
      <c r="A942" s="772" t="str">
        <f>IF(B942&gt;0,VLOOKUP(B942,КВСР!A375:B1540,2),IF(C942&gt;0,VLOOKUP(C942,КФСР!A375:B1887,2),IF(D942&gt;0,VLOOKUP(D942,Программа!A$1:B$5110,2),IF(F942&gt;0,VLOOKUP(F942,КВР!A$1:B$5001,2),IF(E942&gt;0,VLOOKUP(E942,Направление!A$1:B$4783,2))))))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13"/>
      <c r="E942" s="112"/>
      <c r="F942" s="114">
        <v>600</v>
      </c>
      <c r="G942" s="277"/>
      <c r="H942" s="339">
        <v>200000</v>
      </c>
      <c r="I942" s="120">
        <f t="shared" si="214"/>
        <v>200000</v>
      </c>
    </row>
    <row r="943" spans="1:9" s="133" customFormat="1" ht="31.5" hidden="1" x14ac:dyDescent="0.25">
      <c r="A943" s="772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IF(B943&gt;0,VLOOKUP(B943,КВСР!A376:B1541,2),IF(C943&gt;0,VLOOKUP(C943,КФСР!A376:B1888,2),IF(D943&gt;0,VLOOKUP(D943,Программа!A$1:B$5110,2),IF(F943&gt;0,VLOOKUP(F943,КВР!A$1:B$5001,2),IF(E943&gt;0,VLOOKUP(E943,Направление!A$1:B$4783,2))))))</f>
        <v>Мероприятия по патриотическому воспитанию граждан</v>
      </c>
      <c r="B943" s="117"/>
      <c r="C943" s="112"/>
      <c r="D943" s="113"/>
      <c r="E943" s="112">
        <v>74880</v>
      </c>
      <c r="F943" s="114"/>
      <c r="G943" s="277"/>
      <c r="H943" s="339">
        <f t="shared" ref="H943:I943" si="217">H944</f>
        <v>0</v>
      </c>
      <c r="I943" s="277">
        <f t="shared" si="217"/>
        <v>0</v>
      </c>
    </row>
    <row r="944" spans="1:9" s="133" customFormat="1" ht="47.25" hidden="1" x14ac:dyDescent="0.25">
      <c r="A944" s="772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IF(B944&gt;0,VLOOKUP(B944,КВСР!A377:B1542,2),IF(C944&gt;0,VLOOKUP(C944,КФСР!A377:B1889,2),IF(D944&gt;0,VLOOKUP(D944,Программа!A$1:B$5110,2),IF(F944&gt;0,VLOOKUP(F944,КВР!A$1:B$5001,2),IF(E944&gt;0,VLOOKUP(E944,Направление!A$1:B$4783,2))))))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13"/>
      <c r="E944" s="112"/>
      <c r="F944" s="114">
        <v>600</v>
      </c>
      <c r="G944" s="277"/>
      <c r="H944" s="339"/>
      <c r="I944" s="120">
        <f>G944+H944</f>
        <v>0</v>
      </c>
    </row>
    <row r="945" spans="1:9" s="133" customFormat="1" ht="63" x14ac:dyDescent="0.25">
      <c r="A945" s="772" t="str">
        <f>IF(B945&gt;0,VLOOKUP(B945,КВСР!A376:B1541,2),IF(C945&gt;0,VLOOKUP(C945,КФСР!A376:B1888,2),IF(D945&gt;0,VLOOKUP(D945,Программа!A$1:B$5110,2),IF(F945&gt;0,VLOOKUP(F945,КВР!A$1:B$5001,2),IF(E945&gt;0,VLOOKUP(E945,Направление!A$1:B$4783,2))))))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45" s="117"/>
      <c r="C945" s="112"/>
      <c r="D945" s="113" t="s">
        <v>489</v>
      </c>
      <c r="E945" s="112"/>
      <c r="F945" s="114"/>
      <c r="G945" s="277"/>
      <c r="H945" s="339">
        <f t="shared" ref="H945:H947" si="218">H946</f>
        <v>130000</v>
      </c>
      <c r="I945" s="120">
        <f t="shared" si="214"/>
        <v>130000</v>
      </c>
    </row>
    <row r="946" spans="1:9" s="133" customFormat="1" ht="47.25" x14ac:dyDescent="0.25">
      <c r="A946" s="772" t="str">
        <f>IF(B946&gt;0,VLOOKUP(B946,КВСР!A377:B1542,2),IF(C946&gt;0,VLOOKUP(C946,КФСР!A377:B1889,2),IF(D946&gt;0,VLOOKUP(D946,Программа!A$1:B$5110,2),IF(F946&gt;0,VLOOKUP(F946,КВР!A$1:B$5001,2),IF(E946&gt;0,VLOOKUP(E946,Направление!A$1:B$4783,2))))))</f>
        <v>Развитие системы профилактики немедицинского потребления наркотиков</v>
      </c>
      <c r="B946" s="117"/>
      <c r="C946" s="112"/>
      <c r="D946" s="113" t="s">
        <v>491</v>
      </c>
      <c r="E946" s="112"/>
      <c r="F946" s="114"/>
      <c r="G946" s="277"/>
      <c r="H946" s="339">
        <f t="shared" si="218"/>
        <v>130000</v>
      </c>
      <c r="I946" s="120">
        <f t="shared" si="214"/>
        <v>130000</v>
      </c>
    </row>
    <row r="947" spans="1:9" s="133" customFormat="1" ht="63" x14ac:dyDescent="0.25">
      <c r="A947" s="772" t="str">
        <f>IF(B947&gt;0,VLOOKUP(B947,КВСР!A378:B1543,2),IF(C947&gt;0,VLOOKUP(C947,КФСР!A378:B1890,2),IF(D947&gt;0,VLOOKUP(D947,Программа!A$1:B$5110,2),IF(F947&gt;0,VLOOKUP(F947,КВР!A$1:B$5001,2),IF(E947&gt;0,VLOOKUP(E947,Направление!A$1:B$4783,2))))))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947" s="135"/>
      <c r="C947" s="130"/>
      <c r="D947" s="129"/>
      <c r="E947" s="130">
        <v>13820</v>
      </c>
      <c r="F947" s="132"/>
      <c r="G947" s="295"/>
      <c r="H947" s="284">
        <f t="shared" si="218"/>
        <v>130000</v>
      </c>
      <c r="I947" s="120">
        <f t="shared" si="214"/>
        <v>130000</v>
      </c>
    </row>
    <row r="948" spans="1:9" s="133" customFormat="1" ht="47.25" x14ac:dyDescent="0.25">
      <c r="A948" s="772" t="str">
        <f>IF(B948&gt;0,VLOOKUP(B948,КВСР!A379:B1544,2),IF(C948&gt;0,VLOOKUP(C948,КФСР!A379:B1891,2),IF(D948&gt;0,VLOOKUP(D948,Программа!A$1:B$5110,2),IF(F948&gt;0,VLOOKUP(F948,КВР!A$1:B$5001,2),IF(E948&gt;0,VLOOKUP(E948,Направление!A$1:B$4783,2))))))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77"/>
      <c r="H948" s="339">
        <v>130000</v>
      </c>
      <c r="I948" s="120">
        <f t="shared" si="214"/>
        <v>130000</v>
      </c>
    </row>
    <row r="949" spans="1:9" s="133" customFormat="1" ht="47.25" hidden="1" x14ac:dyDescent="0.25">
      <c r="A949" s="772" t="str">
        <f>IF(B949&gt;0,VLOOKUP(B949,КВСР!A376:B1541,2),IF(C949&gt;0,VLOOKUP(C949,КФСР!A376:B1888,2),IF(D949&gt;0,VLOOKUP(D949,Программа!A$1:B$5110,2),IF(F949&gt;0,VLOOKUP(F949,КВР!A$1:B$5001,2),IF(E949&gt;0,VLOOKUP(E949,Направление!A$1:B$4783,2))))))</f>
        <v>Муниципальная программа "Социальная поддержка населения Тутаевского муниципального района"</v>
      </c>
      <c r="B949" s="117"/>
      <c r="C949" s="112"/>
      <c r="D949" s="113" t="s">
        <v>461</v>
      </c>
      <c r="E949" s="112"/>
      <c r="F949" s="114"/>
      <c r="G949" s="277"/>
      <c r="H949" s="339">
        <f t="shared" ref="H949:H952" si="219">H950</f>
        <v>0</v>
      </c>
      <c r="I949" s="120">
        <f t="shared" si="214"/>
        <v>0</v>
      </c>
    </row>
    <row r="950" spans="1:9" s="133" customFormat="1" ht="47.25" hidden="1" x14ac:dyDescent="0.25">
      <c r="A950" s="772" t="str">
        <f>IF(B950&gt;0,VLOOKUP(B950,КВСР!A377:B1542,2),IF(C950&gt;0,VLOOKUP(C950,КФСР!A377:B1889,2),IF(D950&gt;0,VLOOKUP(D950,Программа!A$1:B$5110,2),IF(F950&gt;0,VLOOKUP(F950,КВР!A$1:B$5001,2),IF(E950&gt;0,VLOOKUP(E950,Направление!A$1:B$4783,2))))))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50" s="117"/>
      <c r="C950" s="112"/>
      <c r="D950" s="113" t="s">
        <v>463</v>
      </c>
      <c r="E950" s="112"/>
      <c r="F950" s="114"/>
      <c r="G950" s="277"/>
      <c r="H950" s="339">
        <f>H952</f>
        <v>0</v>
      </c>
      <c r="I950" s="120">
        <f t="shared" si="214"/>
        <v>0</v>
      </c>
    </row>
    <row r="951" spans="1:9" s="133" customFormat="1" ht="47.25" hidden="1" x14ac:dyDescent="0.25">
      <c r="A951" s="772" t="str">
        <f>IF(B951&gt;0,VLOOKUP(B951,КВСР!A378:B1543,2),IF(C951&gt;0,VLOOKUP(C951,КФСР!A378:B1890,2),IF(D951&gt;0,VLOOKUP(D951,Программа!A$1:B$5110,2),IF(F951&gt;0,VLOOKUP(F951,КВР!A$1:B$5001,2),IF(E951&gt;0,VLOOKUP(E951,Направление!A$1:B$4783,2))))))</f>
        <v>Обучение по охране труда работников организаций Тутаевского муниципального района</v>
      </c>
      <c r="B951" s="117"/>
      <c r="C951" s="112"/>
      <c r="D951" s="113" t="s">
        <v>1131</v>
      </c>
      <c r="E951" s="112"/>
      <c r="F951" s="114"/>
      <c r="G951" s="277"/>
      <c r="H951" s="339">
        <f t="shared" ref="H951:I951" si="220">H952</f>
        <v>0</v>
      </c>
      <c r="I951" s="277">
        <f t="shared" si="220"/>
        <v>0</v>
      </c>
    </row>
    <row r="952" spans="1:9" s="133" customFormat="1" ht="31.5" hidden="1" x14ac:dyDescent="0.25">
      <c r="A952" s="772" t="str">
        <f>IF(B952&gt;0,VLOOKUP(B952,КВСР!A378:B1543,2),IF(C952&gt;0,VLOOKUP(C952,КФСР!A378:B1890,2),IF(D952&gt;0,VLOOKUP(D952,Программа!A$1:B$5110,2),IF(F952&gt;0,VLOOKUP(F952,КВР!A$1:B$5001,2),IF(E952&gt;0,VLOOKUP(E952,Направление!A$1:B$4783,2))))))</f>
        <v>Расходы на реализацию МЦП "Улучшение условий и охраны труда"</v>
      </c>
      <c r="B952" s="117"/>
      <c r="C952" s="112"/>
      <c r="D952" s="113"/>
      <c r="E952" s="112">
        <v>16150</v>
      </c>
      <c r="F952" s="114"/>
      <c r="G952" s="277"/>
      <c r="H952" s="339">
        <f t="shared" si="219"/>
        <v>0</v>
      </c>
      <c r="I952" s="120">
        <f t="shared" si="214"/>
        <v>0</v>
      </c>
    </row>
    <row r="953" spans="1:9" s="133" customFormat="1" ht="47.25" hidden="1" x14ac:dyDescent="0.25">
      <c r="A953" s="772" t="str">
        <f>IF(B953&gt;0,VLOOKUP(B953,КВСР!A379:B1544,2),IF(C953&gt;0,VLOOKUP(C953,КФСР!A379:B1891,2),IF(D953&gt;0,VLOOKUP(D953,Программа!A$1:B$5110,2),IF(F953&gt;0,VLOOKUP(F953,КВР!A$1:B$5001,2),IF(E953&gt;0,VLOOKUP(E953,Направление!A$1:B$4783,2))))))</f>
        <v>Предоставление субсидий бюджетным, автономным учреждениям и иным некоммерческим организациям</v>
      </c>
      <c r="B953" s="117"/>
      <c r="C953" s="112"/>
      <c r="D953" s="114"/>
      <c r="E953" s="112"/>
      <c r="F953" s="114">
        <v>600</v>
      </c>
      <c r="G953" s="277"/>
      <c r="H953" s="339"/>
      <c r="I953" s="120">
        <f t="shared" si="214"/>
        <v>0</v>
      </c>
    </row>
    <row r="954" spans="1:9" s="133" customFormat="1" x14ac:dyDescent="0.25">
      <c r="A954" s="772" t="str">
        <f>IF(B954&gt;0,VLOOKUP(B954,КВСР!A386:B1551,2),IF(C954&gt;0,VLOOKUP(C954,КФСР!A386:B1898,2),IF(D954&gt;0,VLOOKUP(D954,Программа!A$1:B$5110,2),IF(F954&gt;0,VLOOKUP(F954,КВР!A$1:B$5001,2),IF(E954&gt;0,VLOOKUP(E954,Направление!A$1:B$4783,2))))))</f>
        <v>Культура</v>
      </c>
      <c r="B954" s="117"/>
      <c r="C954" s="112">
        <v>801</v>
      </c>
      <c r="D954" s="126"/>
      <c r="E954" s="124"/>
      <c r="F954" s="125"/>
      <c r="G954" s="277"/>
      <c r="H954" s="339">
        <f>H955+H1013+H1002</f>
        <v>100357953</v>
      </c>
      <c r="I954" s="120">
        <f t="shared" si="214"/>
        <v>100357953</v>
      </c>
    </row>
    <row r="955" spans="1:9" s="133" customFormat="1" ht="63" x14ac:dyDescent="0.25">
      <c r="A955" s="772" t="str">
        <f>IF(B955&gt;0,VLOOKUP(B955,КВСР!A387:B1552,2),IF(C955&gt;0,VLOOKUP(C955,КФСР!A387:B1899,2),IF(D955&gt;0,VLOOKUP(D955,Программа!A$1:B$5110,2),IF(F955&gt;0,VLOOKUP(F955,КВР!A$1:B$5001,2),IF(E955&gt;0,VLOOKUP(E955,Направление!A$1:B$4783,2))))))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55" s="117"/>
      <c r="C955" s="112"/>
      <c r="D955" s="126" t="s">
        <v>482</v>
      </c>
      <c r="E955" s="124"/>
      <c r="F955" s="125"/>
      <c r="G955" s="277"/>
      <c r="H955" s="339">
        <f t="shared" ref="H955:I955" si="221">H965+H956</f>
        <v>99901453</v>
      </c>
      <c r="I955" s="277">
        <f t="shared" si="221"/>
        <v>99901453</v>
      </c>
    </row>
    <row r="956" spans="1:9" s="133" customFormat="1" ht="94.5" hidden="1" x14ac:dyDescent="0.25">
      <c r="A956" s="772" t="str">
        <f>IF(B956&gt;0,VLOOKUP(B956,КВСР!A388:B1553,2),IF(C956&gt;0,VLOOKUP(C956,КФСР!A388:B1900,2),IF(D956&gt;0,VLOOKUP(D956,Программа!A$1:B$5110,2),IF(F956&gt;0,VLOOKUP(F956,КВР!A$1:B$5001,2),IF(E956&gt;0,VLOOKUP(E956,Направление!A$1:B$4783,2))))))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6" s="117"/>
      <c r="C956" s="112"/>
      <c r="D956" s="126" t="s">
        <v>484</v>
      </c>
      <c r="E956" s="124"/>
      <c r="F956" s="125"/>
      <c r="G956" s="277"/>
      <c r="H956" s="339">
        <f>H960+H957</f>
        <v>0</v>
      </c>
      <c r="I956" s="277">
        <f>I960+I957</f>
        <v>0</v>
      </c>
    </row>
    <row r="957" spans="1:9" s="133" customFormat="1" ht="78.75" hidden="1" x14ac:dyDescent="0.25">
      <c r="A957" s="772" t="str">
        <f>IF(B957&gt;0,VLOOKUP(B957,КВСР!A389:B1554,2),IF(C957&gt;0,VLOOKUP(C957,КФСР!A389:B1901,2),IF(D957&gt;0,VLOOKUP(D957,Программа!A$1:B$5110,2),IF(F957&gt;0,VLOOKUP(F957,КВР!A$1:B$5001,2),IF(E957&gt;0,VLOOKUP(E957,Направление!A$1:B$4783,2))))))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7" s="117"/>
      <c r="C957" s="112"/>
      <c r="D957" s="126" t="s">
        <v>486</v>
      </c>
      <c r="E957" s="124"/>
      <c r="F957" s="125"/>
      <c r="G957" s="277"/>
      <c r="H957" s="339">
        <f t="shared" ref="H957:I958" si="222">H958</f>
        <v>0</v>
      </c>
      <c r="I957" s="277">
        <f t="shared" si="222"/>
        <v>0</v>
      </c>
    </row>
    <row r="958" spans="1:9" s="133" customFormat="1" ht="31.5" hidden="1" x14ac:dyDescent="0.25">
      <c r="A958" s="772" t="str">
        <f>IF(B958&gt;0,VLOOKUP(B958,КВСР!A390:B1555,2),IF(C958&gt;0,VLOOKUP(C958,КФСР!A390:B1902,2),IF(D958&gt;0,VLOOKUP(D958,Программа!A$1:B$5110,2),IF(F958&gt;0,VLOOKUP(F958,КВР!A$1:B$5001,2),IF(E958&gt;0,VLOOKUP(E958,Направление!A$1:B$4783,2))))))</f>
        <v>Мероприятия по патриотическому воспитанию граждан</v>
      </c>
      <c r="B958" s="117"/>
      <c r="C958" s="112"/>
      <c r="D958" s="126"/>
      <c r="E958" s="124">
        <v>74880</v>
      </c>
      <c r="F958" s="125"/>
      <c r="G958" s="277"/>
      <c r="H958" s="339">
        <f t="shared" si="222"/>
        <v>0</v>
      </c>
      <c r="I958" s="277">
        <f t="shared" si="222"/>
        <v>0</v>
      </c>
    </row>
    <row r="959" spans="1:9" s="133" customFormat="1" ht="47.25" hidden="1" x14ac:dyDescent="0.25">
      <c r="A959" s="772" t="str">
        <f>IF(B959&gt;0,VLOOKUP(B959,КВСР!A391:B1556,2),IF(C959&gt;0,VLOOKUP(C959,КФСР!A391:B1903,2),IF(D959&gt;0,VLOOKUP(D959,Программа!A$1:B$5110,2),IF(F959&gt;0,VLOOKUP(F959,КВР!A$1:B$5001,2),IF(E959&gt;0,VLOOKUP(E959,Направление!A$1:B$4783,2))))))</f>
        <v>Предоставление субсидий бюджетным, автономным учреждениям и иным некоммерческим организациям</v>
      </c>
      <c r="B959" s="117"/>
      <c r="C959" s="112"/>
      <c r="D959" s="126"/>
      <c r="E959" s="124"/>
      <c r="F959" s="125">
        <v>600</v>
      </c>
      <c r="G959" s="277"/>
      <c r="H959" s="339"/>
      <c r="I959" s="277">
        <f>G959+H959</f>
        <v>0</v>
      </c>
    </row>
    <row r="960" spans="1:9" s="133" customFormat="1" ht="78.75" hidden="1" x14ac:dyDescent="0.25">
      <c r="A960" s="772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60" s="117"/>
      <c r="C960" s="112"/>
      <c r="D960" s="126" t="s">
        <v>1712</v>
      </c>
      <c r="E960" s="124"/>
      <c r="F960" s="125"/>
      <c r="G960" s="277"/>
      <c r="H960" s="339">
        <f t="shared" ref="H960:I960" si="223">H961+H963</f>
        <v>0</v>
      </c>
      <c r="I960" s="277">
        <f t="shared" si="223"/>
        <v>0</v>
      </c>
    </row>
    <row r="961" spans="1:9" s="133" customFormat="1" ht="47.25" hidden="1" x14ac:dyDescent="0.25">
      <c r="A961" s="772" t="str">
        <f>IF(B961&gt;0,VLOOKUP(B961,КВСР!A390:B1555,2),IF(C961&gt;0,VLOOKUP(C961,КФСР!A390:B1902,2),IF(D961&gt;0,VLOOKUP(D961,Программа!A$1:B$5110,2),IF(F961&gt;0,VLOOKUP(F961,КВР!A$1:B$5001,2),IF(E961&gt;0,VLOOKUP(E961,Направление!A$1:B$4783,2))))))</f>
        <v>Обеспечение мероприятий по содержанию  военно-мемориального комплекса пл.Юности</v>
      </c>
      <c r="B961" s="117"/>
      <c r="C961" s="112"/>
      <c r="D961" s="126"/>
      <c r="E961" s="124">
        <v>29686</v>
      </c>
      <c r="F961" s="125"/>
      <c r="G961" s="277"/>
      <c r="H961" s="339">
        <f t="shared" ref="H961:I961" si="224">H962</f>
        <v>0</v>
      </c>
      <c r="I961" s="277">
        <f t="shared" si="224"/>
        <v>0</v>
      </c>
    </row>
    <row r="962" spans="1:9" s="133" customFormat="1" ht="47.25" hidden="1" x14ac:dyDescent="0.25">
      <c r="A962" s="772" t="str">
        <f>IF(B962&gt;0,VLOOKUP(B962,КВСР!A391:B1556,2),IF(C962&gt;0,VLOOKUP(C962,КФСР!A391:B1903,2),IF(D962&gt;0,VLOOKUP(D962,Программа!A$1:B$5110,2),IF(F962&gt;0,VLOOKUP(F962,КВР!A$1:B$5001,2),IF(E962&gt;0,VLOOKUP(E962,Направление!A$1:B$4783,2))))))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6"/>
      <c r="E962" s="124"/>
      <c r="F962" s="125">
        <v>600</v>
      </c>
      <c r="G962" s="277"/>
      <c r="H962" s="339"/>
      <c r="I962" s="120">
        <f>G962+H962</f>
        <v>0</v>
      </c>
    </row>
    <row r="963" spans="1:9" s="133" customFormat="1" ht="31.5" hidden="1" x14ac:dyDescent="0.25">
      <c r="A963" s="772" t="str">
        <f>IF(B963&gt;0,VLOOKUP(B963,КВСР!A392:B1557,2),IF(C963&gt;0,VLOOKUP(C963,КФСР!A392:B1904,2),IF(D963&gt;0,VLOOKUP(D963,Программа!A$1:B$5110,2),IF(F963&gt;0,VLOOKUP(F963,КВР!A$1:B$5001,2),IF(E963&gt;0,VLOOKUP(E963,Направление!A$1:B$4783,2))))))</f>
        <v>Мероприятия по патриотическому воспитанию граждан</v>
      </c>
      <c r="B963" s="117"/>
      <c r="C963" s="112"/>
      <c r="D963" s="126"/>
      <c r="E963" s="124">
        <v>74880</v>
      </c>
      <c r="F963" s="125"/>
      <c r="G963" s="277"/>
      <c r="H963" s="339">
        <f t="shared" ref="H963:I963" si="225">H964</f>
        <v>0</v>
      </c>
      <c r="I963" s="277">
        <f t="shared" si="225"/>
        <v>0</v>
      </c>
    </row>
    <row r="964" spans="1:9" s="133" customFormat="1" ht="47.25" hidden="1" x14ac:dyDescent="0.25">
      <c r="A964" s="772" t="str">
        <f>IF(B964&gt;0,VLOOKUP(B964,КВСР!A393:B1558,2),IF(C964&gt;0,VLOOKUP(C964,КФСР!A393:B1905,2),IF(D964&gt;0,VLOOKUP(D964,Программа!A$1:B$5110,2),IF(F964&gt;0,VLOOKUP(F964,КВР!A$1:B$5001,2),IF(E964&gt;0,VLOOKUP(E964,Направление!A$1:B$4783,2))))))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6"/>
      <c r="E964" s="124"/>
      <c r="F964" s="125">
        <v>600</v>
      </c>
      <c r="G964" s="277"/>
      <c r="H964" s="339"/>
      <c r="I964" s="120">
        <f>G964+H964</f>
        <v>0</v>
      </c>
    </row>
    <row r="965" spans="1:9" s="133" customFormat="1" ht="47.25" x14ac:dyDescent="0.25">
      <c r="A965" s="772" t="str">
        <f>IF(B965&gt;0,VLOOKUP(B965,КВСР!A388:B1553,2),IF(C965&gt;0,VLOOKUP(C965,КФСР!A388:B1900,2),IF(D965&gt;0,VLOOKUP(D965,Программа!A$1:B$5110,2),IF(F965&gt;0,VLOOKUP(F965,КВР!A$1:B$5001,2),IF(E965&gt;0,VLOOKUP(E965,Направление!A$1:B$4783,2))))))</f>
        <v>Ведомственная целевая программа «Сохранение и развитие культуры Тутаевского муниципального района»</v>
      </c>
      <c r="B965" s="117"/>
      <c r="C965" s="112"/>
      <c r="D965" s="126" t="s">
        <v>581</v>
      </c>
      <c r="E965" s="124"/>
      <c r="F965" s="125"/>
      <c r="G965" s="277"/>
      <c r="H965" s="339">
        <f>H966+H987</f>
        <v>99901453</v>
      </c>
      <c r="I965" s="120">
        <f t="shared" si="214"/>
        <v>99901453</v>
      </c>
    </row>
    <row r="966" spans="1:9" s="133" customFormat="1" ht="31.5" x14ac:dyDescent="0.25">
      <c r="A966" s="772" t="str">
        <f>IF(B966&gt;0,VLOOKUP(B966,КВСР!A389:B1554,2),IF(C966&gt;0,VLOOKUP(C966,КФСР!A389:B1901,2),IF(D966&gt;0,VLOOKUP(D966,Программа!A$1:B$5110,2),IF(F966&gt;0,VLOOKUP(F966,КВР!A$1:B$5001,2),IF(E966&gt;0,VLOOKUP(E966,Направление!A$1:B$4783,2))))))</f>
        <v>Содействие доступу граждан к культурным ценностям</v>
      </c>
      <c r="B966" s="117"/>
      <c r="C966" s="112"/>
      <c r="D966" s="126" t="s">
        <v>600</v>
      </c>
      <c r="E966" s="124"/>
      <c r="F966" s="125"/>
      <c r="G966" s="277"/>
      <c r="H966" s="339">
        <f>H969+H975+H967+H971+H983+H973+H979+H981+H977+H985</f>
        <v>77210101</v>
      </c>
      <c r="I966" s="277">
        <f>I969+I975+I967+I971+I983+I973+I979+I981+I977+I985</f>
        <v>77210101</v>
      </c>
    </row>
    <row r="967" spans="1:9" s="133" customFormat="1" ht="31.5" x14ac:dyDescent="0.25">
      <c r="A967" s="772" t="str">
        <f>IF(B967&gt;0,VLOOKUP(B967,КВСР!A389:B1554,2),IF(C967&gt;0,VLOOKUP(C967,КФСР!A389:B1901,2),IF(D967&gt;0,VLOOKUP(D967,Программа!A$1:B$5110,2),IF(F967&gt;0,VLOOKUP(F967,КВР!A$1:B$5001,2),IF(E967&gt;0,VLOOKUP(E967,Направление!A$1:B$4783,2))))))</f>
        <v xml:space="preserve">Выплата ежемесячных и разовых стипендий главы </v>
      </c>
      <c r="B967" s="117"/>
      <c r="C967" s="112"/>
      <c r="D967" s="126"/>
      <c r="E967" s="124">
        <v>12700</v>
      </c>
      <c r="F967" s="125"/>
      <c r="G967" s="277"/>
      <c r="H967" s="339">
        <f>H968</f>
        <v>40000</v>
      </c>
      <c r="I967" s="120">
        <f t="shared" si="214"/>
        <v>40000</v>
      </c>
    </row>
    <row r="968" spans="1:9" s="133" customFormat="1" ht="47.25" x14ac:dyDescent="0.25">
      <c r="A968" s="772" t="str">
        <f>IF(B968&gt;0,VLOOKUP(B968,КВСР!A390:B1555,2),IF(C968&gt;0,VLOOKUP(C968,КФСР!A390:B1902,2),IF(D968&gt;0,VLOOKUP(D968,Программа!A$1:B$5110,2),IF(F968&gt;0,VLOOKUP(F968,КВР!A$1:B$5001,2),IF(E968&gt;0,VLOOKUP(E968,Направление!A$1:B$4783,2))))))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25"/>
      <c r="E968" s="124"/>
      <c r="F968" s="125">
        <v>600</v>
      </c>
      <c r="G968" s="277"/>
      <c r="H968" s="339">
        <v>40000</v>
      </c>
      <c r="I968" s="120">
        <f t="shared" si="214"/>
        <v>40000</v>
      </c>
    </row>
    <row r="969" spans="1:9" s="133" customFormat="1" ht="31.5" x14ac:dyDescent="0.25">
      <c r="A969" s="772" t="str">
        <f>IF(B969&gt;0,VLOOKUP(B969,КВСР!A389:B1554,2),IF(C969&gt;0,VLOOKUP(C969,КФСР!A389:B1901,2),IF(D969&gt;0,VLOOKUP(D969,Программа!A$1:B$5110,2),IF(F969&gt;0,VLOOKUP(F969,КВР!A$1:B$5001,2),IF(E969&gt;0,VLOOKUP(E969,Направление!A$1:B$4783,2))))))</f>
        <v>Обеспечение деятельности учреждений по организации досуга в сфере культуры</v>
      </c>
      <c r="B969" s="117"/>
      <c r="C969" s="112"/>
      <c r="D969" s="126"/>
      <c r="E969" s="124">
        <v>15010</v>
      </c>
      <c r="F969" s="125"/>
      <c r="G969" s="277"/>
      <c r="H969" s="339">
        <f>H970</f>
        <v>74712794</v>
      </c>
      <c r="I969" s="120">
        <f t="shared" si="214"/>
        <v>74712794</v>
      </c>
    </row>
    <row r="970" spans="1:9" s="133" customFormat="1" ht="47.25" x14ac:dyDescent="0.25">
      <c r="A970" s="772" t="str">
        <f>IF(B970&gt;0,VLOOKUP(B970,КВСР!A390:B1555,2),IF(C970&gt;0,VLOOKUP(C970,КФСР!A390:B1902,2),IF(D970&gt;0,VLOOKUP(D970,Программа!A$1:B$5110,2),IF(F970&gt;0,VLOOKUP(F970,КВР!A$1:B$5001,2),IF(E970&gt;0,VLOOKUP(E970,Направление!A$1:B$4783,2))))))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25"/>
      <c r="E970" s="124"/>
      <c r="F970" s="125">
        <v>600</v>
      </c>
      <c r="G970" s="277"/>
      <c r="H970" s="339">
        <f>18325418+9517000+16964000+28886000+250000+300000+1040407+172376-742407</f>
        <v>74712794</v>
      </c>
      <c r="I970" s="120">
        <f t="shared" si="214"/>
        <v>74712794</v>
      </c>
    </row>
    <row r="971" spans="1:9" s="133" customFormat="1" x14ac:dyDescent="0.25">
      <c r="A971" s="772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IF(B971&gt;0,VLOOKUP(B971,КВСР!A393:B1558,2),IF(C971&gt;0,VLOOKUP(C971,КФСР!A393:B1905,2),IF(D971&gt;0,VLOOKUP(D971,Программа!A$1:B$5110,2),IF(F971&gt;0,VLOOKUP(F971,КВР!A$1:B$5001,2),IF(E971&gt;0,VLOOKUP(E971,Направление!A$1:B$4783,2))))))</f>
        <v>Мероприятия в сфере культуры</v>
      </c>
      <c r="B971" s="117"/>
      <c r="C971" s="112"/>
      <c r="D971" s="126"/>
      <c r="E971" s="124">
        <v>15220</v>
      </c>
      <c r="F971" s="125"/>
      <c r="G971" s="277"/>
      <c r="H971" s="339">
        <f>H972</f>
        <v>2457307</v>
      </c>
      <c r="I971" s="120">
        <f t="shared" si="214"/>
        <v>2457307</v>
      </c>
    </row>
    <row r="972" spans="1:9" s="133" customFormat="1" ht="47.25" x14ac:dyDescent="0.25">
      <c r="A972" s="772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IF(B972&gt;0,VLOOKUP(B972,КВСР!A394:B1559,2),IF(C972&gt;0,VLOOKUP(C972,КФСР!A394:B1906,2),IF(D972&gt;0,VLOOKUP(D972,Программа!A$1:B$5110,2),IF(F972&gt;0,VLOOKUP(F972,КВР!A$1:B$5001,2),IF(E972&gt;0,VLOOKUP(E972,Направление!A$1:B$4783,2))))))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26"/>
      <c r="E972" s="124"/>
      <c r="F972" s="125">
        <v>600</v>
      </c>
      <c r="G972" s="277"/>
      <c r="H972" s="339">
        <v>2457307</v>
      </c>
      <c r="I972" s="120">
        <f t="shared" si="214"/>
        <v>2457307</v>
      </c>
    </row>
    <row r="973" spans="1:9" s="133" customFormat="1" ht="47.25" hidden="1" x14ac:dyDescent="0.25">
      <c r="A973" s="772" t="str">
        <f>IF(B973&gt;0,VLOOKUP(B973,КВСР!A395:B1560,2),IF(C973&gt;0,VLOOKUP(C973,КФСР!A395:B1907,2),IF(D973&gt;0,VLOOKUP(D973,Программа!A$1:B$5110,2),IF(F973&gt;0,VLOOKUP(F973,КВР!A$1:B$5001,2),IF(E973&gt;0,VLOOKUP(E973,Направление!A$1:B$4783,2))))))</f>
        <v>Расходы на реализацию мероприятий инициативного бюджетирования на территории Ярославской области</v>
      </c>
      <c r="B973" s="117"/>
      <c r="C973" s="112"/>
      <c r="D973" s="126"/>
      <c r="E973" s="124">
        <v>15350</v>
      </c>
      <c r="F973" s="125"/>
      <c r="G973" s="277"/>
      <c r="H973" s="339">
        <f t="shared" ref="H973:I973" si="226">H974</f>
        <v>0</v>
      </c>
      <c r="I973" s="277">
        <f t="shared" si="226"/>
        <v>0</v>
      </c>
    </row>
    <row r="974" spans="1:9" s="133" customFormat="1" ht="47.25" hidden="1" x14ac:dyDescent="0.25">
      <c r="A974" s="772" t="str">
        <f>IF(B974&gt;0,VLOOKUP(B974,КВСР!A396:B1561,2),IF(C974&gt;0,VLOOKUP(C974,КФСР!A396:B1908,2),IF(D974&gt;0,VLOOKUP(D974,Программа!A$1:B$5110,2),IF(F974&gt;0,VLOOKUP(F974,КВР!A$1:B$5001,2),IF(E974&gt;0,VLOOKUP(E974,Направление!A$1:B$4783,2))))))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26"/>
      <c r="E974" s="124"/>
      <c r="F974" s="125">
        <v>600</v>
      </c>
      <c r="G974" s="277"/>
      <c r="H974" s="339"/>
      <c r="I974" s="120">
        <f t="shared" si="214"/>
        <v>0</v>
      </c>
    </row>
    <row r="975" spans="1:9" s="133" customFormat="1" ht="31.5" hidden="1" x14ac:dyDescent="0.25">
      <c r="A975" s="772" t="str">
        <f>IF(B975&gt;0,VLOOKUP(B975,КВСР!A391:B1556,2),IF(C975&gt;0,VLOOKUP(C975,КФСР!A391:B1903,2),IF(D975&gt;0,VLOOKUP(D975,Программа!A$1:B$5110,2),IF(F975&gt;0,VLOOKUP(F975,КВР!A$1:B$5001,2),IF(E975&gt;0,VLOOKUP(E975,Направление!A$1:B$4783,2))))))</f>
        <v xml:space="preserve">Обеспечение культурно-досуговых мероприятий </v>
      </c>
      <c r="B975" s="117"/>
      <c r="C975" s="112"/>
      <c r="D975" s="126"/>
      <c r="E975" s="124">
        <v>29216</v>
      </c>
      <c r="F975" s="125"/>
      <c r="G975" s="277"/>
      <c r="H975" s="339">
        <f>H976</f>
        <v>0</v>
      </c>
      <c r="I975" s="120">
        <f t="shared" si="214"/>
        <v>0</v>
      </c>
    </row>
    <row r="976" spans="1:9" s="133" customFormat="1" ht="47.25" hidden="1" x14ac:dyDescent="0.25">
      <c r="A976" s="772" t="str">
        <f>IF(B976&gt;0,VLOOKUP(B976,КВСР!A392:B1557,2),IF(C976&gt;0,VLOOKUP(C976,КФСР!A392:B1904,2),IF(D976&gt;0,VLOOKUP(D976,Программа!A$1:B$5110,2),IF(F976&gt;0,VLOOKUP(F976,КВР!A$1:B$5001,2),IF(E976&gt;0,VLOOKUP(E976,Направление!A$1:B$4783,2))))))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77"/>
      <c r="H976" s="339"/>
      <c r="I976" s="120">
        <f t="shared" si="214"/>
        <v>0</v>
      </c>
    </row>
    <row r="977" spans="1:9" s="133" customFormat="1" ht="31.5" hidden="1" x14ac:dyDescent="0.25">
      <c r="A977" s="772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IF(B977&gt;0,VLOOKUP(B977,КВСР!A393:B1558,2),IF(C977&gt;0,VLOOKUP(C977,КФСР!A393:B1905,2),IF(D977&gt;0,VLOOKUP(D977,Программа!A$1:B$5110,2),IF(F977&gt;0,VLOOKUP(F977,КВР!A$1:B$5001,2),IF(E977&gt;0,VLOOKUP(E977,Направление!A$1:B$4783,2))))))</f>
        <v>Обеспечение мероприятий  по работе с детьми и молодежью</v>
      </c>
      <c r="B977" s="117"/>
      <c r="C977" s="112"/>
      <c r="D977" s="113"/>
      <c r="E977" s="112">
        <v>29346</v>
      </c>
      <c r="F977" s="114"/>
      <c r="G977" s="277"/>
      <c r="H977" s="339">
        <f t="shared" ref="H977:I977" si="227">H978</f>
        <v>0</v>
      </c>
      <c r="I977" s="277">
        <f t="shared" si="227"/>
        <v>0</v>
      </c>
    </row>
    <row r="978" spans="1:9" s="133" customFormat="1" ht="47.25" hidden="1" x14ac:dyDescent="0.25">
      <c r="A978" s="772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IF(B978&gt;0,VLOOKUP(B978,КВСР!A394:B1559,2),IF(C978&gt;0,VLOOKUP(C978,КФСР!A394:B1906,2),IF(D978&gt;0,VLOOKUP(D978,Программа!A$1:B$5110,2),IF(F978&gt;0,VLOOKUP(F978,КВР!A$1:B$5001,2),IF(E978&gt;0,VLOOKUP(E978,Направление!A$1:B$4783,2))))))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77"/>
      <c r="H978" s="339"/>
      <c r="I978" s="120">
        <f>G978+H978</f>
        <v>0</v>
      </c>
    </row>
    <row r="979" spans="1:9" s="133" customFormat="1" ht="63" hidden="1" x14ac:dyDescent="0.25">
      <c r="A979" s="772" t="str">
        <f>IF(B979&gt;0,VLOOKUP(B979,КВСР!A393:B1558,2),IF(C979&gt;0,VLOOKUP(C979,КФСР!A393:B1905,2),IF(D979&gt;0,VLOOKUP(D979,Программа!A$1:B$5110,2),IF(F979&gt;0,VLOOKUP(F979,КВР!A$1:B$5001,2),IF(E979&gt;0,VLOOKUP(E979,Направление!A$1:B$4783,2))))))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9" s="117"/>
      <c r="C979" s="112"/>
      <c r="D979" s="113"/>
      <c r="E979" s="112">
        <v>29556</v>
      </c>
      <c r="F979" s="114"/>
      <c r="G979" s="277"/>
      <c r="H979" s="339">
        <f t="shared" ref="H979:I979" si="228">H980</f>
        <v>0</v>
      </c>
      <c r="I979" s="277">
        <f t="shared" si="228"/>
        <v>0</v>
      </c>
    </row>
    <row r="980" spans="1:9" s="133" customFormat="1" ht="47.25" hidden="1" x14ac:dyDescent="0.25">
      <c r="A980" s="772" t="str">
        <f>IF(B980&gt;0,VLOOKUP(B980,КВСР!A394:B1559,2),IF(C980&gt;0,VLOOKUP(C980,КФСР!A394:B1906,2),IF(D980&gt;0,VLOOKUP(D980,Программа!A$1:B$5110,2),IF(F980&gt;0,VLOOKUP(F980,КВР!A$1:B$5001,2),IF(E980&gt;0,VLOOKUP(E980,Направление!A$1:B$4783,2))))))</f>
        <v>Предоставление субсидий бюджетным, автономным учреждениям и иным некоммерческим организациям</v>
      </c>
      <c r="B980" s="117"/>
      <c r="C980" s="112"/>
      <c r="D980" s="113"/>
      <c r="E980" s="112"/>
      <c r="F980" s="114">
        <v>600</v>
      </c>
      <c r="G980" s="277"/>
      <c r="H980" s="339"/>
      <c r="I980" s="120">
        <f>G980+H980</f>
        <v>0</v>
      </c>
    </row>
    <row r="981" spans="1:9" s="133" customFormat="1" hidden="1" x14ac:dyDescent="0.25">
      <c r="A981" s="772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IF(B981&gt;0,VLOOKUP(B981,КВСР!A395:B1560,2),IF(C981&gt;0,VLOOKUP(C981,КФСР!A395:B1907,2),IF(D981&gt;0,VLOOKUP(D981,Программа!A$1:B$5110,2),IF(F981&gt;0,VLOOKUP(F981,КВР!A$1:B$5001,2),IF(E981&gt;0,VLOOKUP(E981,Направление!A$1:B$4783,2))))))</f>
        <v xml:space="preserve">Иная дотация </v>
      </c>
      <c r="B981" s="117"/>
      <c r="C981" s="112"/>
      <c r="D981" s="113"/>
      <c r="E981" s="112">
        <v>73260</v>
      </c>
      <c r="F981" s="114"/>
      <c r="G981" s="277"/>
      <c r="H981" s="339">
        <f t="shared" ref="H981:I981" si="229">H982</f>
        <v>0</v>
      </c>
      <c r="I981" s="277">
        <f t="shared" si="229"/>
        <v>0</v>
      </c>
    </row>
    <row r="982" spans="1:9" s="133" customFormat="1" ht="47.25" hidden="1" x14ac:dyDescent="0.25">
      <c r="A982" s="772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IF(B982&gt;0,VLOOKUP(B982,КВСР!A396:B1561,2),IF(C982&gt;0,VLOOKUP(C982,КФСР!A396:B1908,2),IF(D982&gt;0,VLOOKUP(D982,Программа!A$1:B$5110,2),IF(F982&gt;0,VLOOKUP(F982,КВР!A$1:B$5001,2),IF(E982&gt;0,VLOOKUP(E982,Направление!A$1:B$4783,2))))))</f>
        <v>Предоставление субсидий бюджетным, автономным учреждениям и иным некоммерческим организациям</v>
      </c>
      <c r="B982" s="117"/>
      <c r="C982" s="112"/>
      <c r="D982" s="113"/>
      <c r="E982" s="112"/>
      <c r="F982" s="114">
        <v>600</v>
      </c>
      <c r="G982" s="277"/>
      <c r="H982" s="339"/>
      <c r="I982" s="120">
        <f>G982+H982</f>
        <v>0</v>
      </c>
    </row>
    <row r="983" spans="1:9" s="133" customFormat="1" ht="47.25" hidden="1" x14ac:dyDescent="0.25">
      <c r="A983" s="772" t="str">
        <f>IF(B983&gt;0,VLOOKUP(B983,КВСР!A393:B1558,2),IF(C983&gt;0,VLOOKUP(C983,КФСР!A393:B1905,2),IF(D983&gt;0,VLOOKUP(D983,Программа!A$1:B$5110,2),IF(F983&gt;0,VLOOKUP(F983,КВР!A$1:B$5001,2),IF(E983&gt;0,VLOOKUP(E983,Направление!A$1:B$4783,2))))))</f>
        <v>Расходы на реализацию мероприятий инициативного бюджетирования на территории Ярославской области</v>
      </c>
      <c r="B983" s="117"/>
      <c r="C983" s="112"/>
      <c r="D983" s="113"/>
      <c r="E983" s="112">
        <v>75350</v>
      </c>
      <c r="F983" s="114"/>
      <c r="G983" s="277"/>
      <c r="H983" s="339">
        <f>H984</f>
        <v>0</v>
      </c>
      <c r="I983" s="120">
        <f t="shared" si="214"/>
        <v>0</v>
      </c>
    </row>
    <row r="984" spans="1:9" s="133" customFormat="1" ht="47.25" hidden="1" x14ac:dyDescent="0.25">
      <c r="A984" s="772" t="str">
        <f>IF(B984&gt;0,VLOOKUP(B984,КВСР!A394:B1559,2),IF(C984&gt;0,VLOOKUP(C984,КФСР!A394:B1906,2),IF(D984&gt;0,VLOOKUP(D984,Программа!A$1:B$5110,2),IF(F984&gt;0,VLOOKUP(F984,КВР!A$1:B$5001,2),IF(E984&gt;0,VLOOKUP(E984,Направление!A$1:B$4783,2))))))</f>
        <v>Предоставление субсидий бюджетным, автономным учреждениям и иным некоммерческим организациям</v>
      </c>
      <c r="B984" s="117"/>
      <c r="C984" s="112"/>
      <c r="D984" s="113"/>
      <c r="E984" s="112"/>
      <c r="F984" s="114">
        <v>600</v>
      </c>
      <c r="G984" s="277"/>
      <c r="H984" s="339"/>
      <c r="I984" s="120">
        <f t="shared" si="214"/>
        <v>0</v>
      </c>
    </row>
    <row r="985" spans="1:9" s="133" customFormat="1" ht="78.75" hidden="1" x14ac:dyDescent="0.25">
      <c r="A985" s="772" t="str">
        <f>IF(B985&gt;0,VLOOKUP(B985,КВСР!A395:B1560,2),IF(C985&gt;0,VLOOKUP(C985,КФСР!A395:B1907,2),IF(D985&gt;0,VLOOKUP(D985,Программа!A$1:B$5110,2),IF(F985&gt;0,VLOOKUP(F985,КВР!A$1:B$5001,2),IF(E985&gt;0,VLOOKUP(E985,Направление!A$1:B$4783,2))))))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85" s="117"/>
      <c r="C985" s="112"/>
      <c r="D985" s="113"/>
      <c r="E985" s="112" t="s">
        <v>1798</v>
      </c>
      <c r="F985" s="114"/>
      <c r="G985" s="277"/>
      <c r="H985" s="339">
        <f t="shared" ref="H985:I985" si="230">H986</f>
        <v>0</v>
      </c>
      <c r="I985" s="277">
        <f t="shared" si="230"/>
        <v>0</v>
      </c>
    </row>
    <row r="986" spans="1:9" s="133" customFormat="1" ht="47.25" hidden="1" x14ac:dyDescent="0.25">
      <c r="A986" s="772" t="str">
        <f>IF(B986&gt;0,VLOOKUP(B986,КВСР!A396:B1561,2),IF(C986&gt;0,VLOOKUP(C986,КФСР!A396:B1908,2),IF(D986&gt;0,VLOOKUP(D986,Программа!A$1:B$5110,2),IF(F986&gt;0,VLOOKUP(F986,КВР!A$1:B$5001,2),IF(E986&gt;0,VLOOKUP(E986,Направление!A$1:B$4783,2))))))</f>
        <v>Предоставление субсидий бюджетным, автономным учреждениям и иным некоммерческим организациям</v>
      </c>
      <c r="B986" s="117"/>
      <c r="C986" s="112"/>
      <c r="D986" s="113"/>
      <c r="E986" s="112"/>
      <c r="F986" s="114">
        <v>600</v>
      </c>
      <c r="G986" s="277"/>
      <c r="H986" s="339"/>
      <c r="I986" s="120">
        <f>G986+H986</f>
        <v>0</v>
      </c>
    </row>
    <row r="987" spans="1:9" s="133" customFormat="1" ht="47.25" x14ac:dyDescent="0.25">
      <c r="A987" s="772" t="str">
        <f>IF(B987&gt;0,VLOOKUP(B987,КВСР!A395:B1560,2),IF(C987&gt;0,VLOOKUP(C987,КФСР!A395:B1907,2),IF(D987&gt;0,VLOOKUP(D987,Программа!A$1:B$5110,2),IF(F987&gt;0,VLOOKUP(F987,КВР!A$1:B$5001,2),IF(E987&gt;0,VLOOKUP(E987,Направление!A$1:B$4783,2))))))</f>
        <v>Поддержка доступа граждан к информационно-библиотечным ресурсам</v>
      </c>
      <c r="B987" s="117"/>
      <c r="C987" s="112"/>
      <c r="D987" s="113" t="s">
        <v>605</v>
      </c>
      <c r="E987" s="112"/>
      <c r="F987" s="114"/>
      <c r="G987" s="277"/>
      <c r="H987" s="339">
        <f>H988+H990+H994+H992+H1000+H998+H996</f>
        <v>22691352</v>
      </c>
      <c r="I987" s="277">
        <f>I988+I990+I994+I992+I1000+I998+I996</f>
        <v>22691352</v>
      </c>
    </row>
    <row r="988" spans="1:9" s="133" customFormat="1" x14ac:dyDescent="0.25">
      <c r="A988" s="772" t="str">
        <f>IF(B988&gt;0,VLOOKUP(B988,КВСР!A396:B1561,2),IF(C988&gt;0,VLOOKUP(C988,КФСР!A396:B1908,2),IF(D988&gt;0,VLOOKUP(D988,Программа!A$1:B$5110,2),IF(F988&gt;0,VLOOKUP(F988,КВР!A$1:B$5001,2),IF(E988&gt;0,VLOOKUP(E988,Направление!A$1:B$4783,2))))))</f>
        <v>Обеспечение деятельности библиотек</v>
      </c>
      <c r="B988" s="117"/>
      <c r="C988" s="112"/>
      <c r="D988" s="113"/>
      <c r="E988" s="112">
        <v>15110</v>
      </c>
      <c r="F988" s="114"/>
      <c r="G988" s="277"/>
      <c r="H988" s="339">
        <f>H989</f>
        <v>22391352</v>
      </c>
      <c r="I988" s="120">
        <f t="shared" si="214"/>
        <v>22391352</v>
      </c>
    </row>
    <row r="989" spans="1:9" s="133" customFormat="1" ht="47.25" x14ac:dyDescent="0.25">
      <c r="A989" s="772" t="str">
        <f>IF(B989&gt;0,VLOOKUP(B989,КВСР!A397:B1562,2),IF(C989&gt;0,VLOOKUP(C989,КФСР!A397:B1909,2),IF(D989&gt;0,VLOOKUP(D989,Программа!A$1:B$5110,2),IF(F989&gt;0,VLOOKUP(F989,КВР!A$1:B$5001,2),IF(E989&gt;0,VLOOKUP(E989,Направление!A$1:B$4783,2))))))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77"/>
      <c r="H989" s="339">
        <f>6472170+15491650+200000+227532</f>
        <v>22391352</v>
      </c>
      <c r="I989" s="120">
        <f t="shared" si="214"/>
        <v>22391352</v>
      </c>
    </row>
    <row r="990" spans="1:9" s="133" customFormat="1" x14ac:dyDescent="0.25">
      <c r="A990" s="772" t="str">
        <f>IF(B990&gt;0,VLOOKUP(B990,КВСР!A398:B1563,2),IF(C990&gt;0,VLOOKUP(C990,КФСР!A398:B1910,2),IF(D990&gt;0,VLOOKUP(D990,Программа!A$1:B$5110,2),IF(F990&gt;0,VLOOKUP(F990,КВР!A$1:B$5001,2),IF(E990&gt;0,VLOOKUP(E990,Направление!A$1:B$4783,2))))))</f>
        <v>Мероприятия в сфере культуры</v>
      </c>
      <c r="B990" s="117"/>
      <c r="C990" s="112"/>
      <c r="D990" s="113"/>
      <c r="E990" s="112">
        <v>15220</v>
      </c>
      <c r="F990" s="114"/>
      <c r="G990" s="277"/>
      <c r="H990" s="339">
        <f>H991</f>
        <v>300000</v>
      </c>
      <c r="I990" s="120">
        <f t="shared" si="214"/>
        <v>300000</v>
      </c>
    </row>
    <row r="991" spans="1:9" s="133" customFormat="1" ht="47.25" x14ac:dyDescent="0.25">
      <c r="A991" s="772" t="str">
        <f>IF(B991&gt;0,VLOOKUP(B991,КВСР!A399:B1564,2),IF(C991&gt;0,VLOOKUP(C991,КФСР!A399:B1911,2),IF(D991&gt;0,VLOOKUP(D991,Программа!A$1:B$5110,2),IF(F991&gt;0,VLOOKUP(F991,КВР!A$1:B$5001,2),IF(E991&gt;0,VLOOKUP(E991,Направление!A$1:B$4783,2))))))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77"/>
      <c r="H991" s="339">
        <v>300000</v>
      </c>
      <c r="I991" s="120">
        <f t="shared" si="214"/>
        <v>300000</v>
      </c>
    </row>
    <row r="992" spans="1:9" s="133" customFormat="1" ht="47.25" hidden="1" x14ac:dyDescent="0.25">
      <c r="A992" s="772" t="str">
        <f>IF(B992&gt;0,VLOOKUP(B992,КВСР!A400:B1565,2),IF(C992&gt;0,VLOOKUP(C992,КФСР!A400:B1912,2),IF(D992&gt;0,VLOOKUP(D992,Программа!A$1:B$5110,2),IF(F992&gt;0,VLOOKUP(F992,КВР!A$1:B$5001,2),IF(E992&gt;0,VLOOKUP(E992,Направление!A$1:B$4783,2))))))</f>
        <v>Расходы на реализацию мероприятий инициативного бюджетирования на территории Ярославской области</v>
      </c>
      <c r="B992" s="117"/>
      <c r="C992" s="112"/>
      <c r="D992" s="113"/>
      <c r="E992" s="112">
        <v>15350</v>
      </c>
      <c r="F992" s="114"/>
      <c r="G992" s="277"/>
      <c r="H992" s="339">
        <f t="shared" ref="H992:I992" si="231">H993</f>
        <v>0</v>
      </c>
      <c r="I992" s="277">
        <f t="shared" si="231"/>
        <v>0</v>
      </c>
    </row>
    <row r="993" spans="1:9" s="133" customFormat="1" ht="47.25" hidden="1" x14ac:dyDescent="0.25">
      <c r="A993" s="772" t="str">
        <f>IF(B993&gt;0,VLOOKUP(B993,КВСР!A401:B1566,2),IF(C993&gt;0,VLOOKUP(C993,КФСР!A401:B1913,2),IF(D993&gt;0,VLOOKUP(D993,Программа!A$1:B$5110,2),IF(F993&gt;0,VLOOKUP(F993,КВР!A$1:B$5001,2),IF(E993&gt;0,VLOOKUP(E993,Направление!A$1:B$4783,2))))))</f>
        <v>Предоставление субсидий бюджетным, автономным учреждениям и иным некоммерческим организациям</v>
      </c>
      <c r="B993" s="117"/>
      <c r="C993" s="112"/>
      <c r="D993" s="113"/>
      <c r="E993" s="112"/>
      <c r="F993" s="114">
        <v>600</v>
      </c>
      <c r="G993" s="277"/>
      <c r="H993" s="339"/>
      <c r="I993" s="120">
        <f t="shared" si="214"/>
        <v>0</v>
      </c>
    </row>
    <row r="994" spans="1:9" s="133" customFormat="1" ht="31.5" hidden="1" x14ac:dyDescent="0.25">
      <c r="A994" s="772" t="str">
        <f>IF(B994&gt;0,VLOOKUP(B994,КВСР!A400:B1565,2),IF(C994&gt;0,VLOOKUP(C994,КФСР!A400:B1912,2),IF(D994&gt;0,VLOOKUP(D994,Программа!A$1:B$5110,2),IF(F994&gt;0,VLOOKUP(F994,КВР!A$1:B$5001,2),IF(E994&gt;0,VLOOKUP(E994,Направление!A$1:B$4783,2))))))</f>
        <v xml:space="preserve">Обеспечение культурно-досуговых мероприятий </v>
      </c>
      <c r="B994" s="117"/>
      <c r="C994" s="112"/>
      <c r="D994" s="113"/>
      <c r="E994" s="112">
        <v>29216</v>
      </c>
      <c r="F994" s="114"/>
      <c r="G994" s="277"/>
      <c r="H994" s="339">
        <f t="shared" ref="H994:I994" si="232">H995</f>
        <v>0</v>
      </c>
      <c r="I994" s="277">
        <f t="shared" si="232"/>
        <v>0</v>
      </c>
    </row>
    <row r="995" spans="1:9" s="133" customFormat="1" ht="47.25" hidden="1" x14ac:dyDescent="0.25">
      <c r="A995" s="772" t="str">
        <f>IF(B995&gt;0,VLOOKUP(B995,КВСР!A401:B1566,2),IF(C995&gt;0,VLOOKUP(C995,КФСР!A401:B1913,2),IF(D995&gt;0,VLOOKUP(D995,Программа!A$1:B$5110,2),IF(F995&gt;0,VLOOKUP(F995,КВР!A$1:B$5001,2),IF(E995&gt;0,VLOOKUP(E995,Направление!A$1:B$4783,2))))))</f>
        <v>Предоставление субсидий бюджетным, автономным учреждениям и иным некоммерческим организациям</v>
      </c>
      <c r="B995" s="117"/>
      <c r="C995" s="112"/>
      <c r="D995" s="113"/>
      <c r="E995" s="112"/>
      <c r="F995" s="114">
        <v>600</v>
      </c>
      <c r="G995" s="277"/>
      <c r="H995" s="339"/>
      <c r="I995" s="120">
        <f>G995+H995</f>
        <v>0</v>
      </c>
    </row>
    <row r="996" spans="1:9" s="133" customFormat="1" hidden="1" x14ac:dyDescent="0.25">
      <c r="A996" s="772" t="str">
        <f>IF(B996&gt;0,VLOOKUP(B996,КВСР!A402:B1567,2),IF(C996&gt;0,VLOOKUP(C996,КФСР!A402:B1914,2),IF(D996&gt;0,VLOOKUP(D996,Программа!A$1:B$5110,2),IF(F996&gt;0,VLOOKUP(F996,КВР!A$1:B$5001,2),IF(E996&gt;0,VLOOKUP(E996,Направление!A$1:B$4783,2))))))</f>
        <v>Библиотечное обслуживание населения</v>
      </c>
      <c r="B996" s="117"/>
      <c r="C996" s="112"/>
      <c r="D996" s="113"/>
      <c r="E996" s="112">
        <v>29786</v>
      </c>
      <c r="F996" s="114"/>
      <c r="G996" s="277"/>
      <c r="H996" s="339">
        <f t="shared" ref="H996:I996" si="233">H997</f>
        <v>0</v>
      </c>
      <c r="I996" s="277">
        <f t="shared" si="233"/>
        <v>0</v>
      </c>
    </row>
    <row r="997" spans="1:9" s="133" customFormat="1" ht="47.25" hidden="1" x14ac:dyDescent="0.25">
      <c r="A997" s="772" t="str">
        <f>IF(B997&gt;0,VLOOKUP(B997,КВСР!A403:B1568,2),IF(C997&gt;0,VLOOKUP(C997,КФСР!A403:B1915,2),IF(D997&gt;0,VLOOKUP(D997,Программа!A$1:B$5110,2),IF(F997&gt;0,VLOOKUP(F997,КВР!A$1:B$5001,2),IF(E997&gt;0,VLOOKUP(E997,Направление!A$1:B$4783,2))))))</f>
        <v>Предоставление субсидий бюджетным, автономным учреждениям и иным некоммерческим организациям</v>
      </c>
      <c r="B997" s="117"/>
      <c r="C997" s="112"/>
      <c r="D997" s="113"/>
      <c r="E997" s="112"/>
      <c r="F997" s="114">
        <v>600</v>
      </c>
      <c r="G997" s="277"/>
      <c r="H997" s="339"/>
      <c r="I997" s="120">
        <f t="shared" ref="I997" si="234">G997+H997</f>
        <v>0</v>
      </c>
    </row>
    <row r="998" spans="1:9" s="133" customFormat="1" ht="47.25" hidden="1" x14ac:dyDescent="0.25">
      <c r="A998" s="772" t="str">
        <f>IF(B998&gt;0,VLOOKUP(B998,КВСР!A402:B1567,2),IF(C998&gt;0,VLOOKUP(C998,КФСР!A402:B1914,2),IF(D998&gt;0,VLOOKUP(D998,Программа!A$1:B$5110,2),IF(F998&gt;0,VLOOKUP(F998,КВР!A$1:B$5001,2),IF(E998&gt;0,VLOOKUP(E998,Направление!A$1:B$4783,2))))))</f>
        <v>Расходы на подключение общедоступных библиотек к сети "Интернет"</v>
      </c>
      <c r="B998" s="117"/>
      <c r="C998" s="112"/>
      <c r="D998" s="113"/>
      <c r="E998" s="112" t="s">
        <v>1697</v>
      </c>
      <c r="F998" s="114"/>
      <c r="G998" s="277"/>
      <c r="H998" s="339">
        <f t="shared" ref="H998:I998" si="235">H999</f>
        <v>0</v>
      </c>
      <c r="I998" s="277">
        <f t="shared" si="235"/>
        <v>0</v>
      </c>
    </row>
    <row r="999" spans="1:9" s="133" customFormat="1" ht="47.25" hidden="1" x14ac:dyDescent="0.25">
      <c r="A999" s="772" t="str">
        <f>IF(B999&gt;0,VLOOKUP(B999,КВСР!A403:B1568,2),IF(C999&gt;0,VLOOKUP(C999,КФСР!A403:B1915,2),IF(D999&gt;0,VLOOKUP(D999,Программа!A$1:B$5110,2),IF(F999&gt;0,VLOOKUP(F999,КВР!A$1:B$5001,2),IF(E999&gt;0,VLOOKUP(E999,Направление!A$1:B$4783,2))))))</f>
        <v>Предоставление субсидий бюджетным, автономным учреждениям и иным некоммерческим организациям</v>
      </c>
      <c r="B999" s="117"/>
      <c r="C999" s="112"/>
      <c r="D999" s="113"/>
      <c r="E999" s="112"/>
      <c r="F999" s="114">
        <v>600</v>
      </c>
      <c r="G999" s="277"/>
      <c r="H999" s="339"/>
      <c r="I999" s="120">
        <f>G999+H999</f>
        <v>0</v>
      </c>
    </row>
    <row r="1000" spans="1:9" s="133" customFormat="1" ht="47.25" hidden="1" x14ac:dyDescent="0.25">
      <c r="A1000" s="772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$4783,2))))))</f>
        <v>Расходы на реализацию мероприятий инициативного бюджетирования на территории Ярославской области</v>
      </c>
      <c r="B1000" s="117"/>
      <c r="C1000" s="112"/>
      <c r="D1000" s="113"/>
      <c r="E1000" s="112">
        <v>75350</v>
      </c>
      <c r="F1000" s="114"/>
      <c r="G1000" s="277"/>
      <c r="H1000" s="339">
        <f t="shared" ref="H1000:I1000" si="236">H1001</f>
        <v>0</v>
      </c>
      <c r="I1000" s="277">
        <f t="shared" si="236"/>
        <v>0</v>
      </c>
    </row>
    <row r="1001" spans="1:9" s="133" customFormat="1" ht="47.25" hidden="1" x14ac:dyDescent="0.25">
      <c r="A1001" s="772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$4783,2))))))</f>
        <v>Предоставление субсидий бюджетным, автономным учреждениям и иным некоммерческим организациям</v>
      </c>
      <c r="B1001" s="117"/>
      <c r="C1001" s="112"/>
      <c r="D1001" s="113"/>
      <c r="E1001" s="112"/>
      <c r="F1001" s="114">
        <v>600</v>
      </c>
      <c r="G1001" s="277"/>
      <c r="H1001" s="339"/>
      <c r="I1001" s="120">
        <f t="shared" ref="I1001" si="237">G1001+H1001</f>
        <v>0</v>
      </c>
    </row>
    <row r="1002" spans="1:9" s="133" customFormat="1" ht="47.25" x14ac:dyDescent="0.25">
      <c r="A1002" s="772" t="str">
        <f>IF(B1002&gt;0,VLOOKUP(B1002,КВСР!A398:B1563,2),IF(C1002&gt;0,VLOOKUP(C1002,КФСР!A398:B1910,2),IF(D1002&gt;0,VLOOKUP(D1002,Программа!A$1:B$5110,2),IF(F1002&gt;0,VLOOKUP(F1002,КВР!A$1:B$5001,2),IF(E1002&gt;0,VLOOKUP(E1002,Направление!A$1:B$4783,2))))))</f>
        <v>Муниципальная программа "Социальная поддержка населения Тутаевского муниципального района"</v>
      </c>
      <c r="B1002" s="117"/>
      <c r="C1002" s="112"/>
      <c r="D1002" s="113" t="s">
        <v>461</v>
      </c>
      <c r="E1002" s="112"/>
      <c r="F1002" s="114"/>
      <c r="G1002" s="277"/>
      <c r="H1002" s="339">
        <f>H1003</f>
        <v>456500</v>
      </c>
      <c r="I1002" s="120">
        <f t="shared" si="214"/>
        <v>456500</v>
      </c>
    </row>
    <row r="1003" spans="1:9" s="133" customFormat="1" ht="47.25" x14ac:dyDescent="0.25">
      <c r="A1003" s="772" t="str">
        <f>IF(B1003&gt;0,VLOOKUP(B1003,КВСР!A399:B1564,2),IF(C1003&gt;0,VLOOKUP(C1003,КФСР!A399:B1911,2),IF(D1003&gt;0,VLOOKUP(D1003,Программа!A$1:B$5110,2),IF(F1003&gt;0,VLOOKUP(F1003,КВР!A$1:B$5001,2),IF(E1003&gt;0,VLOOKUP(E1003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03" s="117"/>
      <c r="C1003" s="112"/>
      <c r="D1003" s="113" t="s">
        <v>463</v>
      </c>
      <c r="E1003" s="112"/>
      <c r="F1003" s="114"/>
      <c r="G1003" s="277"/>
      <c r="H1003" s="339">
        <f t="shared" ref="H1003:I1003" si="238">H1004+H1010+H1007</f>
        <v>456500</v>
      </c>
      <c r="I1003" s="277">
        <f t="shared" si="238"/>
        <v>456500</v>
      </c>
    </row>
    <row r="1004" spans="1:9" s="133" customFormat="1" ht="63" x14ac:dyDescent="0.25">
      <c r="A1004" s="772" t="str">
        <f>IF(B1004&gt;0,VLOOKUP(B1004,КВСР!A400:B1565,2),IF(C1004&gt;0,VLOOKUP(C1004,КФСР!A400:B1912,2),IF(D1004&gt;0,VLOOKUP(D1004,Программа!A$1:B$5110,2),IF(F1004&gt;0,VLOOKUP(F1004,КВР!A$1:B$5001,2),IF(E1004&gt;0,VLOOKUP(E1004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04" s="117"/>
      <c r="C1004" s="112"/>
      <c r="D1004" s="113" t="s">
        <v>464</v>
      </c>
      <c r="E1004" s="112"/>
      <c r="F1004" s="114"/>
      <c r="G1004" s="277"/>
      <c r="H1004" s="339">
        <f>H1005</f>
        <v>31500</v>
      </c>
      <c r="I1004" s="120">
        <f t="shared" si="214"/>
        <v>31500</v>
      </c>
    </row>
    <row r="1005" spans="1:9" s="133" customFormat="1" ht="31.5" x14ac:dyDescent="0.25">
      <c r="A1005" s="772" t="str">
        <f>IF(B1005&gt;0,VLOOKUP(B1005,КВСР!A401:B1566,2),IF(C1005&gt;0,VLOOKUP(C1005,КФСР!A401:B1913,2),IF(D1005&gt;0,VLOOKUP(D1005,Программа!A$1:B$5110,2),IF(F1005&gt;0,VLOOKUP(F1005,КВР!A$1:B$5001,2),IF(E1005&gt;0,VLOOKUP(E1005,Направление!A$1:B$4783,2))))))</f>
        <v>Расходы на реализацию МЦП "Улучшение условий и охраны труда"</v>
      </c>
      <c r="B1005" s="117"/>
      <c r="C1005" s="112"/>
      <c r="D1005" s="113"/>
      <c r="E1005" s="112">
        <v>16150</v>
      </c>
      <c r="F1005" s="114"/>
      <c r="G1005" s="277"/>
      <c r="H1005" s="339">
        <f>H1006</f>
        <v>31500</v>
      </c>
      <c r="I1005" s="120">
        <f t="shared" si="214"/>
        <v>31500</v>
      </c>
    </row>
    <row r="1006" spans="1:9" s="133" customFormat="1" ht="47.25" x14ac:dyDescent="0.25">
      <c r="A1006" s="772" t="str">
        <f>IF(B1006&gt;0,VLOOKUP(B1006,КВСР!A402:B1567,2),IF(C1006&gt;0,VLOOKUP(C1006,КФСР!A402:B1914,2),IF(D1006&gt;0,VLOOKUP(D1006,Программа!A$1:B$5110,2),IF(F1006&gt;0,VLOOKUP(F1006,КВР!A$1:B$5001,2),IF(E1006&gt;0,VLOOKUP(E1006,Направление!A$1:B$4783,2)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3"/>
      <c r="E1006" s="112"/>
      <c r="F1006" s="114">
        <v>600</v>
      </c>
      <c r="G1006" s="277"/>
      <c r="H1006" s="339">
        <f>25000+6500</f>
        <v>31500</v>
      </c>
      <c r="I1006" s="120">
        <f t="shared" si="214"/>
        <v>31500</v>
      </c>
    </row>
    <row r="1007" spans="1:9" s="133" customFormat="1" ht="63" x14ac:dyDescent="0.25">
      <c r="A1007" s="772" t="str">
        <f>IF(B1007&gt;0,VLOOKUP(B1007,КВСР!A403:B1568,2),IF(C1007&gt;0,VLOOKUP(C1007,КФСР!A403:B1915,2),IF(D1007&gt;0,VLOOKUP(D1007,Программа!A$1:B$5110,2),IF(F1007&gt;0,VLOOKUP(F1007,КВР!A$1:B$5001,2),IF(E1007&gt;0,VLOOKUP(E1007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1007" s="117"/>
      <c r="C1007" s="112"/>
      <c r="D1007" s="113" t="s">
        <v>1568</v>
      </c>
      <c r="E1007" s="112"/>
      <c r="F1007" s="114"/>
      <c r="G1007" s="277"/>
      <c r="H1007" s="339">
        <f t="shared" ref="H1007:I1008" si="239">H1008</f>
        <v>389500</v>
      </c>
      <c r="I1007" s="277">
        <f t="shared" si="239"/>
        <v>389500</v>
      </c>
    </row>
    <row r="1008" spans="1:9" s="133" customFormat="1" ht="31.5" x14ac:dyDescent="0.25">
      <c r="A1008" s="772" t="str">
        <f>IF(B1008&gt;0,VLOOKUP(B1008,КВСР!A404:B1569,2),IF(C1008&gt;0,VLOOKUP(C1008,КФСР!A404:B1916,2),IF(D1008&gt;0,VLOOKUP(D1008,Программа!A$1:B$5110,2),IF(F1008&gt;0,VLOOKUP(F1008,КВР!A$1:B$5001,2),IF(E1008&gt;0,VLOOKUP(E1008,Направление!A$1:B$4783,2))))))</f>
        <v>Расходы на реализацию МЦП "Улучшение условий и охраны труда"</v>
      </c>
      <c r="B1008" s="117"/>
      <c r="C1008" s="112"/>
      <c r="D1008" s="113"/>
      <c r="E1008" s="112">
        <v>16150</v>
      </c>
      <c r="F1008" s="114"/>
      <c r="G1008" s="277"/>
      <c r="H1008" s="339">
        <f t="shared" si="239"/>
        <v>389500</v>
      </c>
      <c r="I1008" s="277">
        <f t="shared" si="239"/>
        <v>389500</v>
      </c>
    </row>
    <row r="1009" spans="1:9" s="133" customFormat="1" ht="47.25" x14ac:dyDescent="0.25">
      <c r="A1009" s="772" t="str">
        <f>IF(B1009&gt;0,VLOOKUP(B1009,КВСР!A405:B1570,2),IF(C1009&gt;0,VLOOKUP(C1009,КФСР!A405:B1917,2),IF(D1009&gt;0,VLOOKUP(D1009,Программа!A$1:B$5110,2),IF(F1009&gt;0,VLOOKUP(F1009,КВР!A$1:B$5001,2),IF(E1009&gt;0,VLOOKUP(E1009,Направление!A$1:B$4783,2))))))</f>
        <v>Предоставление субсидий бюджетным, автономным учреждениям и иным некоммерческим организациям</v>
      </c>
      <c r="B1009" s="117"/>
      <c r="C1009" s="112"/>
      <c r="D1009" s="113"/>
      <c r="E1009" s="112"/>
      <c r="F1009" s="114">
        <v>600</v>
      </c>
      <c r="G1009" s="277"/>
      <c r="H1009" s="339">
        <f>76000+213500+100000</f>
        <v>389500</v>
      </c>
      <c r="I1009" s="120">
        <f t="shared" si="214"/>
        <v>389500</v>
      </c>
    </row>
    <row r="1010" spans="1:9" s="133" customFormat="1" ht="47.25" x14ac:dyDescent="0.25">
      <c r="A1010" s="772" t="str">
        <f>IF(B1010&gt;0,VLOOKUP(B1010,КВСР!A403:B1568,2),IF(C1010&gt;0,VLOOKUP(C1010,КФСР!A403:B1915,2),IF(D1010&gt;0,VLOOKUP(D1010,Программа!A$1:B$5110,2),IF(F1010&gt;0,VLOOKUP(F1010,КВР!A$1:B$5001,2),IF(E1010&gt;0,VLOOKUP(E1010,Направление!A$1:B$4783,2))))))</f>
        <v>Обучение по охране труда работников организаций Тутаевского муниципального района</v>
      </c>
      <c r="B1010" s="117"/>
      <c r="C1010" s="112"/>
      <c r="D1010" s="113" t="s">
        <v>1131</v>
      </c>
      <c r="E1010" s="112"/>
      <c r="F1010" s="114"/>
      <c r="G1010" s="277"/>
      <c r="H1010" s="339">
        <f>H1011</f>
        <v>35500</v>
      </c>
      <c r="I1010" s="120">
        <f t="shared" si="214"/>
        <v>35500</v>
      </c>
    </row>
    <row r="1011" spans="1:9" s="133" customFormat="1" ht="31.5" x14ac:dyDescent="0.25">
      <c r="A1011" s="772" t="str">
        <f>IF(B1011&gt;0,VLOOKUP(B1011,КВСР!A404:B1569,2),IF(C1011&gt;0,VLOOKUP(C1011,КФСР!A404:B1916,2),IF(D1011&gt;0,VLOOKUP(D1011,Программа!A$1:B$5110,2),IF(F1011&gt;0,VLOOKUP(F1011,КВР!A$1:B$5001,2),IF(E1011&gt;0,VLOOKUP(E1011,Направление!A$1:B$4783,2))))))</f>
        <v>Расходы на реализацию МЦП "Улучшение условий и охраны труда"</v>
      </c>
      <c r="B1011" s="117"/>
      <c r="C1011" s="112"/>
      <c r="D1011" s="113"/>
      <c r="E1011" s="112">
        <v>16150</v>
      </c>
      <c r="F1011" s="114"/>
      <c r="G1011" s="277"/>
      <c r="H1011" s="339">
        <f>H1012</f>
        <v>35500</v>
      </c>
      <c r="I1011" s="120">
        <f t="shared" si="214"/>
        <v>35500</v>
      </c>
    </row>
    <row r="1012" spans="1:9" s="133" customFormat="1" ht="47.25" x14ac:dyDescent="0.25">
      <c r="A1012" s="772" t="str">
        <f>IF(B1012&gt;0,VLOOKUP(B1012,КВСР!A405:B1570,2),IF(C1012&gt;0,VLOOKUP(C1012,КФСР!A405:B1917,2),IF(D1012&gt;0,VLOOKUP(D1012,Программа!A$1:B$5110,2),IF(F1012&gt;0,VLOOKUP(F1012,КВР!A$1:B$5001,2),IF(E1012&gt;0,VLOOKUP(E1012,Направление!A$1:B$4783,2))))))</f>
        <v>Предоставление субсидий бюджетным, автономным учреждениям и иным некоммерческим организациям</v>
      </c>
      <c r="B1012" s="117"/>
      <c r="C1012" s="112"/>
      <c r="D1012" s="113"/>
      <c r="E1012" s="112"/>
      <c r="F1012" s="114">
        <v>600</v>
      </c>
      <c r="G1012" s="277"/>
      <c r="H1012" s="339">
        <f>24000+11500</f>
        <v>35500</v>
      </c>
      <c r="I1012" s="120">
        <f t="shared" si="214"/>
        <v>35500</v>
      </c>
    </row>
    <row r="1013" spans="1:9" s="133" customFormat="1" ht="31.5" hidden="1" x14ac:dyDescent="0.25">
      <c r="A1013" s="772" t="str">
        <f>IF(B1013&gt;0,VLOOKUP(B1013,КВСР!A401:B1566,2),IF(C1013&gt;0,VLOOKUP(C1013,КФСР!A401:B1913,2),IF(D1013&gt;0,VLOOKUP(D1013,Программа!A$1:B$5110,2),IF(F1013&gt;0,VLOOKUP(F1013,КВР!A$1:B$5001,2),IF(E1013&gt;0,VLOOKUP(E1013,Направление!A$1:B$4783,2))))))</f>
        <v>Муниципальная программа "Доступная среда "</v>
      </c>
      <c r="B1013" s="117"/>
      <c r="C1013" s="112"/>
      <c r="D1013" s="113" t="s">
        <v>595</v>
      </c>
      <c r="E1013" s="112"/>
      <c r="F1013" s="114"/>
      <c r="G1013" s="277"/>
      <c r="H1013" s="339">
        <f t="shared" ref="H1013:H1015" si="240">H1014</f>
        <v>0</v>
      </c>
      <c r="I1013" s="120">
        <f t="shared" si="214"/>
        <v>0</v>
      </c>
    </row>
    <row r="1014" spans="1:9" s="133" customFormat="1" ht="78.75" hidden="1" x14ac:dyDescent="0.25">
      <c r="A1014" s="772" t="str">
        <f>IF(B1014&gt;0,VLOOKUP(B1014,КВСР!A396:B1561,2),IF(C1014&gt;0,VLOOKUP(C1014,КФСР!A396:B1908,2),IF(D1014&gt;0,VLOOKUP(D1014,Программа!A$1:B$5110,2),IF(F1014&gt;0,VLOOKUP(F1014,КВР!A$1:B$5001,2),IF(E1014&gt;0,VLOOKUP(E1014,Направление!A$1:B$4783,2)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14" s="117"/>
      <c r="C1014" s="112"/>
      <c r="D1014" s="113" t="s">
        <v>597</v>
      </c>
      <c r="E1014" s="112"/>
      <c r="F1014" s="114"/>
      <c r="G1014" s="277"/>
      <c r="H1014" s="339">
        <f t="shared" si="240"/>
        <v>0</v>
      </c>
      <c r="I1014" s="120">
        <f t="shared" si="214"/>
        <v>0</v>
      </c>
    </row>
    <row r="1015" spans="1:9" s="133" customFormat="1" ht="47.25" hidden="1" x14ac:dyDescent="0.25">
      <c r="A1015" s="772" t="str">
        <f>IF(B1015&gt;0,VLOOKUP(B1015,КВСР!A397:B1562,2),IF(C1015&gt;0,VLOOKUP(C1015,КФСР!A397:B1909,2),IF(D1015&gt;0,VLOOKUP(D1015,Программа!A$1:B$5110,2),IF(F1015&gt;0,VLOOKUP(F1015,КВР!A$1:B$5001,2),IF(E1015&gt;0,VLOOKUP(E1015,Направление!A$1:B$4783,2))))))</f>
        <v>Расходы на оборудование социально значимых объектов с целью обеспечения доступности для инвалидов</v>
      </c>
      <c r="B1015" s="117"/>
      <c r="C1015" s="112"/>
      <c r="D1015" s="113"/>
      <c r="E1015" s="112">
        <v>16250</v>
      </c>
      <c r="F1015" s="114"/>
      <c r="G1015" s="277"/>
      <c r="H1015" s="339">
        <f t="shared" si="240"/>
        <v>0</v>
      </c>
      <c r="I1015" s="120">
        <f t="shared" si="214"/>
        <v>0</v>
      </c>
    </row>
    <row r="1016" spans="1:9" s="133" customFormat="1" ht="47.25" hidden="1" x14ac:dyDescent="0.25">
      <c r="A1016" s="772" t="str">
        <f>IF(B1016&gt;0,VLOOKUP(B1016,КВСР!A398:B1563,2),IF(C1016&gt;0,VLOOKUP(C1016,КФСР!A398:B1910,2),IF(D1016&gt;0,VLOOKUP(D1016,Программа!A$1:B$5110,2),IF(F1016&gt;0,VLOOKUP(F1016,КВР!A$1:B$5001,2),IF(E1016&gt;0,VLOOKUP(E1016,Направление!A$1:B$4783,2)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4"/>
      <c r="E1016" s="112"/>
      <c r="F1016" s="114">
        <v>600</v>
      </c>
      <c r="G1016" s="277"/>
      <c r="H1016" s="339"/>
      <c r="I1016" s="120">
        <f t="shared" si="214"/>
        <v>0</v>
      </c>
    </row>
    <row r="1017" spans="1:9" s="133" customFormat="1" ht="31.5" x14ac:dyDescent="0.25">
      <c r="A1017" s="772" t="str">
        <f>IF(B1017&gt;0,VLOOKUP(B1017,КВСР!A402:B1567,2),IF(C1017&gt;0,VLOOKUP(C1017,КФСР!A402:B1914,2),IF(D1017&gt;0,VLOOKUP(D1017,Программа!A$1:B$5110,2),IF(F1017&gt;0,VLOOKUP(F1017,КВР!A$1:B$5001,2),IF(E1017&gt;0,VLOOKUP(E1017,Направление!A$1:B$4783,2))))))</f>
        <v>Другие вопросы в области культуры, кинематографии</v>
      </c>
      <c r="B1017" s="117"/>
      <c r="C1017" s="112">
        <v>804</v>
      </c>
      <c r="D1017" s="113"/>
      <c r="E1017" s="112"/>
      <c r="F1017" s="114"/>
      <c r="G1017" s="277"/>
      <c r="H1017" s="339">
        <f>H1018+H1058+H1040+H1045+H1050+H1054</f>
        <v>32054977</v>
      </c>
      <c r="I1017" s="120">
        <f t="shared" si="214"/>
        <v>32054977</v>
      </c>
    </row>
    <row r="1018" spans="1:9" s="133" customFormat="1" ht="63" x14ac:dyDescent="0.25">
      <c r="A1018" s="772" t="str">
        <f>IF(B1018&gt;0,VLOOKUP(B1018,КВСР!A403:B1568,2),IF(C1018&gt;0,VLOOKUP(C1018,КФСР!A403:B1915,2),IF(D1018&gt;0,VLOOKUP(D1018,Программа!A$1:B$5110,2),IF(F1018&gt;0,VLOOKUP(F1018,КВР!A$1:B$5001,2),IF(E1018&gt;0,VLOOKUP(E1018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18" s="117"/>
      <c r="C1018" s="112"/>
      <c r="D1018" s="113" t="s">
        <v>482</v>
      </c>
      <c r="E1018" s="112"/>
      <c r="F1018" s="114"/>
      <c r="G1018" s="277"/>
      <c r="H1018" s="339">
        <f>H1027+H1023+H1019</f>
        <v>32054977</v>
      </c>
      <c r="I1018" s="120">
        <f t="shared" si="214"/>
        <v>32054977</v>
      </c>
    </row>
    <row r="1019" spans="1:9" s="133" customFormat="1" ht="94.5" hidden="1" x14ac:dyDescent="0.25">
      <c r="A1019" s="772" t="str">
        <f>IF(B1019&gt;0,VLOOKUP(B1019,КВСР!A404:B1569,2),IF(C1019&gt;0,VLOOKUP(C1019,КФСР!A404:B1916,2),IF(D1019&gt;0,VLOOKUP(D1019,Программа!A$1:B$5110,2),IF(F1019&gt;0,VLOOKUP(F1019,КВР!A$1:B$5001,2),IF(E1019&gt;0,VLOOKUP(E1019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9" s="117"/>
      <c r="C1019" s="112"/>
      <c r="D1019" s="113" t="s">
        <v>484</v>
      </c>
      <c r="E1019" s="112"/>
      <c r="F1019" s="114"/>
      <c r="G1019" s="277"/>
      <c r="H1019" s="339">
        <f t="shared" ref="H1019:H1021" si="241">H1020</f>
        <v>0</v>
      </c>
      <c r="I1019" s="120">
        <f t="shared" si="214"/>
        <v>0</v>
      </c>
    </row>
    <row r="1020" spans="1:9" s="133" customFormat="1" ht="78.75" hidden="1" x14ac:dyDescent="0.25">
      <c r="A1020" s="772" t="str">
        <f>IF(B1020&gt;0,VLOOKUP(B1020,КВСР!A405:B1570,2),IF(C1020&gt;0,VLOOKUP(C1020,КФСР!A405:B1917,2),IF(D1020&gt;0,VLOOKUP(D1020,Программа!A$1:B$5110,2),IF(F1020&gt;0,VLOOKUP(F1020,КВР!A$1:B$5001,2),IF(E1020&gt;0,VLOOKUP(E1020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0" s="117"/>
      <c r="C1020" s="112"/>
      <c r="D1020" s="113" t="s">
        <v>486</v>
      </c>
      <c r="E1020" s="112"/>
      <c r="F1020" s="114"/>
      <c r="G1020" s="277"/>
      <c r="H1020" s="339">
        <f t="shared" si="241"/>
        <v>0</v>
      </c>
      <c r="I1020" s="120">
        <f t="shared" si="214"/>
        <v>0</v>
      </c>
    </row>
    <row r="1021" spans="1:9" s="133" customFormat="1" ht="31.5" hidden="1" x14ac:dyDescent="0.25">
      <c r="A1021" s="772" t="str">
        <f>IF(B1021&gt;0,VLOOKUP(B1021,КВСР!A406:B1571,2),IF(C1021&gt;0,VLOOKUP(C1021,КФСР!A406:B1918,2),IF(D1021&gt;0,VLOOKUP(D1021,Программа!A$1:B$5110,2),IF(F1021&gt;0,VLOOKUP(F1021,КВР!A$1:B$5001,2),IF(E1021&gt;0,VLOOKUP(E1021,Направление!A$1:B$4783,2))))))</f>
        <v>Расходы на реализацию мероприятий патриотического воспитания молодежи</v>
      </c>
      <c r="B1021" s="117"/>
      <c r="C1021" s="112"/>
      <c r="D1021" s="113"/>
      <c r="E1021" s="112">
        <v>14560</v>
      </c>
      <c r="F1021" s="114"/>
      <c r="G1021" s="277"/>
      <c r="H1021" s="339">
        <f t="shared" si="241"/>
        <v>0</v>
      </c>
      <c r="I1021" s="120">
        <f t="shared" si="214"/>
        <v>0</v>
      </c>
    </row>
    <row r="1022" spans="1:9" s="133" customFormat="1" ht="47.25" hidden="1" x14ac:dyDescent="0.25">
      <c r="A1022" s="772" t="str">
        <f>IF(B1022&gt;0,VLOOKUP(B1022,КВСР!A407:B1572,2),IF(C1022&gt;0,VLOOKUP(C1022,КФСР!A407:B1919,2),IF(D1022&gt;0,VLOOKUP(D1022,Программа!A$1:B$5110,2),IF(F1022&gt;0,VLOOKUP(F1022,КВР!A$1:B$5001,2),IF(E1022&gt;0,VLOOKUP(E1022,Направление!A$1:B$4783,2))))))</f>
        <v>Предоставление субсидий бюджетным, автономным учреждениям и иным некоммерческим организациям</v>
      </c>
      <c r="B1022" s="117"/>
      <c r="C1022" s="112"/>
      <c r="D1022" s="113"/>
      <c r="E1022" s="112"/>
      <c r="F1022" s="114">
        <v>600</v>
      </c>
      <c r="G1022" s="277"/>
      <c r="H1022" s="339"/>
      <c r="I1022" s="120">
        <f t="shared" si="214"/>
        <v>0</v>
      </c>
    </row>
    <row r="1023" spans="1:9" s="133" customFormat="1" ht="63" hidden="1" x14ac:dyDescent="0.25">
      <c r="A1023" s="772" t="str">
        <f>IF(B1023&gt;0,VLOOKUP(B1023,КВСР!A404:B1569,2),IF(C1023&gt;0,VLOOKUP(C1023,КФСР!A404:B1916,2),IF(D1023&gt;0,VLOOKUP(D1023,Программа!A$1:B$5110,2),IF(F1023&gt;0,VLOOKUP(F1023,КВР!A$1:B$5001,2),IF(E1023&gt;0,VLOOKUP(E1023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23" s="117"/>
      <c r="C1023" s="112"/>
      <c r="D1023" s="113" t="s">
        <v>489</v>
      </c>
      <c r="E1023" s="112"/>
      <c r="F1023" s="114"/>
      <c r="G1023" s="277"/>
      <c r="H1023" s="339">
        <f t="shared" ref="H1023:H1025" si="242">H1024</f>
        <v>0</v>
      </c>
      <c r="I1023" s="120">
        <f t="shared" si="214"/>
        <v>0</v>
      </c>
    </row>
    <row r="1024" spans="1:9" s="133" customFormat="1" ht="47.25" hidden="1" x14ac:dyDescent="0.25">
      <c r="A1024" s="772" t="str">
        <f>IF(B1024&gt;0,VLOOKUP(B1024,КВСР!A405:B1570,2),IF(C1024&gt;0,VLOOKUP(C1024,КФСР!A405:B1917,2),IF(D1024&gt;0,VLOOKUP(D1024,Программа!A$1:B$5110,2),IF(F1024&gt;0,VLOOKUP(F1024,КВР!A$1:B$5001,2),IF(E1024&gt;0,VLOOKUP(E1024,Направление!A$1:B$4783,2))))))</f>
        <v>Развитие системы профилактики немедицинского потребления наркотиков</v>
      </c>
      <c r="B1024" s="117"/>
      <c r="C1024" s="112"/>
      <c r="D1024" s="113" t="s">
        <v>491</v>
      </c>
      <c r="E1024" s="112"/>
      <c r="F1024" s="114"/>
      <c r="G1024" s="277"/>
      <c r="H1024" s="339">
        <f t="shared" si="242"/>
        <v>0</v>
      </c>
      <c r="I1024" s="120">
        <f t="shared" si="214"/>
        <v>0</v>
      </c>
    </row>
    <row r="1025" spans="1:9" s="133" customFormat="1" ht="63" hidden="1" x14ac:dyDescent="0.25">
      <c r="A1025" s="772" t="str">
        <f>IF(B1025&gt;0,VLOOKUP(B1025,КВСР!A406:B1571,2),IF(C1025&gt;0,VLOOKUP(C1025,КФСР!A406:B1918,2),IF(D1025&gt;0,VLOOKUP(D1025,Программа!A$1:B$5110,2),IF(F1025&gt;0,VLOOKUP(F1025,КВР!A$1:B$5001,2),IF(E1025&gt;0,VLOOKUP(E1025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1025" s="135"/>
      <c r="C1025" s="130"/>
      <c r="D1025" s="129"/>
      <c r="E1025" s="130">
        <v>13820</v>
      </c>
      <c r="F1025" s="132"/>
      <c r="G1025" s="295"/>
      <c r="H1025" s="284">
        <f t="shared" si="242"/>
        <v>0</v>
      </c>
      <c r="I1025" s="120">
        <f t="shared" si="214"/>
        <v>0</v>
      </c>
    </row>
    <row r="1026" spans="1:9" s="133" customFormat="1" ht="47.25" hidden="1" x14ac:dyDescent="0.25">
      <c r="A1026" s="772" t="str">
        <f>IF(B1026&gt;0,VLOOKUP(B1026,КВСР!A407:B1572,2),IF(C1026&gt;0,VLOOKUP(C1026,КФСР!A407:B1919,2),IF(D1026&gt;0,VLOOKUP(D1026,Программа!A$1:B$5110,2),IF(F1026&gt;0,VLOOKUP(F1026,КВР!A$1:B$5001,2),IF(E1026&gt;0,VLOOKUP(E1026,Направление!A$1:B$4783,2))))))</f>
        <v>Предоставление субсидий бюджетным, автономным учреждениям и иным некоммерческим организациям</v>
      </c>
      <c r="B1026" s="117"/>
      <c r="C1026" s="112"/>
      <c r="D1026" s="113"/>
      <c r="E1026" s="112"/>
      <c r="F1026" s="114">
        <v>600</v>
      </c>
      <c r="G1026" s="277"/>
      <c r="H1026" s="339"/>
      <c r="I1026" s="120">
        <f t="shared" si="214"/>
        <v>0</v>
      </c>
    </row>
    <row r="1027" spans="1:9" s="133" customFormat="1" ht="47.25" x14ac:dyDescent="0.25">
      <c r="A1027" s="772" t="str">
        <f>IF(B1027&gt;0,VLOOKUP(B1027,КВСР!A404:B1569,2),IF(C1027&gt;0,VLOOKUP(C1027,КФСР!A404:B1916,2),IF(D1027&gt;0,VLOOKUP(D1027,Программа!A$1:B$5110,2),IF(F1027&gt;0,VLOOKUP(F1027,КВР!A$1:B$5001,2),IF(E1027&gt;0,VLOOKUP(E1027,Направление!A$1:B$4783,2))))))</f>
        <v>Ведомственная целевая программа «Сохранение и развитие культуры Тутаевского муниципального района»</v>
      </c>
      <c r="B1027" s="117"/>
      <c r="C1027" s="112"/>
      <c r="D1027" s="113" t="s">
        <v>581</v>
      </c>
      <c r="E1027" s="112"/>
      <c r="F1027" s="114"/>
      <c r="G1027" s="277"/>
      <c r="H1027" s="339">
        <f>H1028</f>
        <v>32054977</v>
      </c>
      <c r="I1027" s="120">
        <f t="shared" si="214"/>
        <v>32054977</v>
      </c>
    </row>
    <row r="1028" spans="1:9" s="133" customFormat="1" ht="31.5" x14ac:dyDescent="0.25">
      <c r="A1028" s="772" t="str">
        <f>IF(B1028&gt;0,VLOOKUP(B1028,КВСР!A405:B1570,2),IF(C1028&gt;0,VLOOKUP(C1028,КФСР!A405:B1917,2),IF(D1028&gt;0,VLOOKUP(D1028,Программа!A$1:B$5110,2),IF(F1028&gt;0,VLOOKUP(F1028,КВР!A$1:B$5001,2),IF(E1028&gt;0,VLOOKUP(E1028,Направление!A$1:B$4783,2))))))</f>
        <v>Обеспечение эффективности управления системой культуры</v>
      </c>
      <c r="B1028" s="117"/>
      <c r="C1028" s="112"/>
      <c r="D1028" s="113" t="s">
        <v>608</v>
      </c>
      <c r="E1028" s="112"/>
      <c r="F1028" s="114"/>
      <c r="G1028" s="277"/>
      <c r="H1028" s="339">
        <f>H1029+H1033+H1037</f>
        <v>32054977</v>
      </c>
      <c r="I1028" s="120">
        <f t="shared" si="214"/>
        <v>32054977</v>
      </c>
    </row>
    <row r="1029" spans="1:9" s="133" customFormat="1" x14ac:dyDescent="0.25">
      <c r="A1029" s="772" t="str">
        <f>IF(B1029&gt;0,VLOOKUP(B1029,КВСР!A405:B1570,2),IF(C1029&gt;0,VLOOKUP(C1029,КФСР!A405:B1917,2),IF(D1029&gt;0,VLOOKUP(D1029,Программа!A$1:B$5110,2),IF(F1029&gt;0,VLOOKUP(F1029,КВР!A$1:B$5001,2),IF(E1029&gt;0,VLOOKUP(E1029,Направление!A$1:B$4783,2))))))</f>
        <v>Содержание центрального аппарата</v>
      </c>
      <c r="B1029" s="117"/>
      <c r="C1029" s="112"/>
      <c r="D1029" s="113"/>
      <c r="E1029" s="112">
        <v>12010</v>
      </c>
      <c r="F1029" s="114"/>
      <c r="G1029" s="295"/>
      <c r="H1029" s="284">
        <f>H1030+H1031+H1032</f>
        <v>4745600</v>
      </c>
      <c r="I1029" s="120">
        <f t="shared" si="214"/>
        <v>4745600</v>
      </c>
    </row>
    <row r="1030" spans="1:9" s="133" customFormat="1" ht="110.25" x14ac:dyDescent="0.25">
      <c r="A1030" s="772" t="str">
        <f>IF(B1030&gt;0,VLOOKUP(B1030,КВСР!A406:B1571,2),IF(C1030&gt;0,VLOOKUP(C1030,КФСР!A406:B1918,2),IF(D1030&gt;0,VLOOKUP(D1030,Программа!A$1:B$5110,2),IF(F1030&gt;0,VLOOKUP(F1030,КВР!A$1:B$5001,2),IF(E1030&gt;0,VLOOKUP(E1030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0" s="117"/>
      <c r="C1030" s="112"/>
      <c r="D1030" s="114"/>
      <c r="E1030" s="112"/>
      <c r="F1030" s="114">
        <v>100</v>
      </c>
      <c r="G1030" s="295"/>
      <c r="H1030" s="284">
        <f>3164800+60000+955800</f>
        <v>4180600</v>
      </c>
      <c r="I1030" s="120">
        <f t="shared" si="214"/>
        <v>4180600</v>
      </c>
    </row>
    <row r="1031" spans="1:9" s="133" customFormat="1" ht="63" x14ac:dyDescent="0.25">
      <c r="A1031" s="772" t="str">
        <f>IF(B1031&gt;0,VLOOKUP(B1031,КВСР!A407:B1572,2),IF(C1031&gt;0,VLOOKUP(C1031,КФСР!A407:B1919,2),IF(D1031&gt;0,VLOOKUP(D1031,Программа!A$1:B$5110,2),IF(F1031&gt;0,VLOOKUP(F1031,КВР!A$1:B$5001,2),IF(E1031&gt;0,VLOOKUP(E1031,Направление!A$1:B$4783,2))))))</f>
        <v xml:space="preserve">Закупка товаров, работ и услуг для обеспечения государственных (муниципальных) нужд
</v>
      </c>
      <c r="B1031" s="117"/>
      <c r="C1031" s="112"/>
      <c r="D1031" s="114"/>
      <c r="E1031" s="112"/>
      <c r="F1031" s="114">
        <v>200</v>
      </c>
      <c r="G1031" s="295"/>
      <c r="H1031" s="284">
        <v>522000</v>
      </c>
      <c r="I1031" s="120">
        <f t="shared" si="214"/>
        <v>522000</v>
      </c>
    </row>
    <row r="1032" spans="1:9" s="133" customFormat="1" x14ac:dyDescent="0.25">
      <c r="A1032" s="772" t="str">
        <f>IF(B1032&gt;0,VLOOKUP(B1032,КВСР!A408:B1573,2),IF(C1032&gt;0,VLOOKUP(C1032,КФСР!A408:B1920,2),IF(D1032&gt;0,VLOOKUP(D1032,Программа!A$1:B$5110,2),IF(F1032&gt;0,VLOOKUP(F1032,КВР!A$1:B$5001,2),IF(E1032&gt;0,VLOOKUP(E1032,Направление!A$1:B$4783,2))))))</f>
        <v>Иные бюджетные ассигнования</v>
      </c>
      <c r="B1032" s="117"/>
      <c r="C1032" s="112"/>
      <c r="D1032" s="114"/>
      <c r="E1032" s="112"/>
      <c r="F1032" s="114">
        <v>800</v>
      </c>
      <c r="G1032" s="295"/>
      <c r="H1032" s="284">
        <v>43000</v>
      </c>
      <c r="I1032" s="120">
        <f t="shared" si="214"/>
        <v>43000</v>
      </c>
    </row>
    <row r="1033" spans="1:9" s="133" customFormat="1" ht="31.5" x14ac:dyDescent="0.25">
      <c r="A1033" s="772" t="str">
        <f>IF(B1033&gt;0,VLOOKUP(B1033,КВСР!A409:B1574,2),IF(C1033&gt;0,VLOOKUP(C1033,КФСР!A409:B1921,2),IF(D1033&gt;0,VLOOKUP(D1033,Программа!A$1:B$5110,2),IF(F1033&gt;0,VLOOKUP(F1033,КВР!A$1:B$5001,2),IF(E1033&gt;0,VLOOKUP(E1033,Направление!A$1:B$4783,2))))))</f>
        <v>Обеспечение деятельности прочих учреждений в сфере культуры</v>
      </c>
      <c r="B1033" s="117"/>
      <c r="C1033" s="112"/>
      <c r="D1033" s="113"/>
      <c r="E1033" s="112">
        <v>15210</v>
      </c>
      <c r="F1033" s="114"/>
      <c r="G1033" s="295"/>
      <c r="H1033" s="284">
        <f>H1034+H1035+H1036</f>
        <v>27309377</v>
      </c>
      <c r="I1033" s="120">
        <f t="shared" si="214"/>
        <v>27309377</v>
      </c>
    </row>
    <row r="1034" spans="1:9" s="133" customFormat="1" ht="110.25" x14ac:dyDescent="0.25">
      <c r="A1034" s="772" t="str">
        <f>IF(B1034&gt;0,VLOOKUP(B1034,КВСР!A410:B1575,2),IF(C1034&gt;0,VLOOKUP(C1034,КФСР!A410:B1922,2),IF(D1034&gt;0,VLOOKUP(D1034,Программа!A$1:B$5110,2),IF(F1034&gt;0,VLOOKUP(F1034,КВР!A$1:B$5001,2),IF(E1034&gt;0,VLOOKUP(E1034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4" s="117"/>
      <c r="C1034" s="112"/>
      <c r="D1034" s="114"/>
      <c r="E1034" s="112"/>
      <c r="F1034" s="114">
        <v>100</v>
      </c>
      <c r="G1034" s="277"/>
      <c r="H1034" s="339">
        <f>20304800+6132177</f>
        <v>26436977</v>
      </c>
      <c r="I1034" s="120">
        <f t="shared" si="214"/>
        <v>26436977</v>
      </c>
    </row>
    <row r="1035" spans="1:9" s="133" customFormat="1" ht="63" x14ac:dyDescent="0.25">
      <c r="A1035" s="772" t="str">
        <f>IF(B1035&gt;0,VLOOKUP(B1035,КВСР!A411:B1576,2),IF(C1035&gt;0,VLOOKUP(C1035,КФСР!A411:B1923,2),IF(D1035&gt;0,VLOOKUP(D1035,Программа!A$1:B$5110,2),IF(F1035&gt;0,VLOOKUP(F1035,КВР!A$1:B$5001,2),IF(E1035&gt;0,VLOOKUP(E1035,Направление!A$1:B$4783,2))))))</f>
        <v xml:space="preserve">Закупка товаров, работ и услуг для обеспечения государственных (муниципальных) нужд
</v>
      </c>
      <c r="B1035" s="117"/>
      <c r="C1035" s="112"/>
      <c r="D1035" s="114"/>
      <c r="E1035" s="112"/>
      <c r="F1035" s="114">
        <v>200</v>
      </c>
      <c r="G1035" s="277"/>
      <c r="H1035" s="339">
        <v>844400</v>
      </c>
      <c r="I1035" s="120">
        <f t="shared" si="214"/>
        <v>844400</v>
      </c>
    </row>
    <row r="1036" spans="1:9" s="133" customFormat="1" x14ac:dyDescent="0.25">
      <c r="A1036" s="772" t="str">
        <f>IF(B1036&gt;0,VLOOKUP(B1036,КВСР!A412:B1577,2),IF(C1036&gt;0,VLOOKUP(C1036,КФСР!A412:B1924,2),IF(D1036&gt;0,VLOOKUP(D1036,Программа!A$1:B$5110,2),IF(F1036&gt;0,VLOOKUP(F1036,КВР!A$1:B$5001,2),IF(E1036&gt;0,VLOOKUP(E1036,Направление!A$1:B$4783,2))))))</f>
        <v>Иные бюджетные ассигнования</v>
      </c>
      <c r="B1036" s="117"/>
      <c r="C1036" s="112"/>
      <c r="D1036" s="114"/>
      <c r="E1036" s="112"/>
      <c r="F1036" s="114">
        <v>800</v>
      </c>
      <c r="G1036" s="277"/>
      <c r="H1036" s="339">
        <f>17000+11000</f>
        <v>28000</v>
      </c>
      <c r="I1036" s="120">
        <f t="shared" ref="I1036:I1071" si="243">SUM(G1036:H1036)</f>
        <v>28000</v>
      </c>
    </row>
    <row r="1037" spans="1:9" s="133" customFormat="1" ht="47.25" hidden="1" x14ac:dyDescent="0.25">
      <c r="A1037" s="772" t="str">
        <f>IF(B1037&gt;0,VLOOKUP(B1037,КВСР!A412:B1577,2),IF(C1037&gt;0,VLOOKUP(C1037,КФСР!A412:B1924,2),IF(D1037&gt;0,VLOOKUP(D1037,Программа!A$1:B$5110,2),IF(F1037&gt;0,VLOOKUP(F1037,КВР!A$1:B$5001,2),IF(E1037&gt;0,VLOOKUP(E1037,Направление!A$1:B$4783,2))))))</f>
        <v>Содержание органов местного самоуправления за счет средств поселений</v>
      </c>
      <c r="B1037" s="117"/>
      <c r="C1037" s="112"/>
      <c r="D1037" s="113"/>
      <c r="E1037" s="112">
        <v>29016</v>
      </c>
      <c r="F1037" s="114"/>
      <c r="G1037" s="277"/>
      <c r="H1037" s="339">
        <f>H1038+H1039</f>
        <v>0</v>
      </c>
      <c r="I1037" s="120">
        <f t="shared" si="243"/>
        <v>0</v>
      </c>
    </row>
    <row r="1038" spans="1:9" s="133" customFormat="1" ht="110.25" hidden="1" x14ac:dyDescent="0.25">
      <c r="A1038" s="772" t="str">
        <f>IF(B1038&gt;0,VLOOKUP(B1038,КВСР!A413:B1578,2),IF(C1038&gt;0,VLOOKUP(C1038,КФСР!A413:B1925,2),IF(D1038&gt;0,VLOOKUP(D1038,Программа!A$1:B$5110,2),IF(F1038&gt;0,VLOOKUP(F1038,КВР!A$1:B$5001,2),IF(E1038&gt;0,VLOOKUP(E1038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8" s="117"/>
      <c r="C1038" s="112"/>
      <c r="D1038" s="114"/>
      <c r="E1038" s="112"/>
      <c r="F1038" s="114">
        <v>100</v>
      </c>
      <c r="G1038" s="277"/>
      <c r="H1038" s="339"/>
      <c r="I1038" s="120">
        <f t="shared" si="243"/>
        <v>0</v>
      </c>
    </row>
    <row r="1039" spans="1:9" s="133" customFormat="1" ht="63" hidden="1" x14ac:dyDescent="0.25">
      <c r="A1039" s="772" t="str">
        <f>IF(B1039&gt;0,VLOOKUP(B1039,КВСР!A414:B1579,2),IF(C1039&gt;0,VLOOKUP(C1039,КФСР!A414:B1926,2),IF(D1039&gt;0,VLOOKUP(D1039,Программа!A$1:B$5110,2),IF(F1039&gt;0,VLOOKUP(F1039,КВР!A$1:B$5001,2),IF(E1039&gt;0,VLOOKUP(E1039,Направление!A$1:B$4783,2))))))</f>
        <v xml:space="preserve">Закупка товаров, работ и услуг для обеспечения государственных (муниципальных) нужд
</v>
      </c>
      <c r="B1039" s="117"/>
      <c r="C1039" s="112"/>
      <c r="D1039" s="114"/>
      <c r="E1039" s="112"/>
      <c r="F1039" s="114">
        <v>200</v>
      </c>
      <c r="G1039" s="277"/>
      <c r="H1039" s="339"/>
      <c r="I1039" s="120">
        <f t="shared" si="243"/>
        <v>0</v>
      </c>
    </row>
    <row r="1040" spans="1:9" s="133" customFormat="1" ht="63" hidden="1" x14ac:dyDescent="0.25">
      <c r="A1040" s="772" t="str">
        <f>IF(B1040&gt;0,VLOOKUP(B1040,КВСР!A415:B1580,2),IF(C1040&gt;0,VLOOKUP(C1040,КФСР!A415:B1927,2),IF(D1040&gt;0,VLOOKUP(D1040,Программа!A$1:B$5110,2),IF(F1040&gt;0,VLOOKUP(F1040,КВР!A$1:B$5001,2),IF(E1040&gt;0,VLOOKUP(E1040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1040" s="117"/>
      <c r="C1040" s="112"/>
      <c r="D1040" s="113" t="s">
        <v>452</v>
      </c>
      <c r="E1040" s="112"/>
      <c r="F1040" s="114"/>
      <c r="G1040" s="277"/>
      <c r="H1040" s="339">
        <f t="shared" ref="H1040:H1043" si="244">H1041</f>
        <v>0</v>
      </c>
      <c r="I1040" s="120">
        <f t="shared" si="243"/>
        <v>0</v>
      </c>
    </row>
    <row r="1041" spans="1:9" s="133" customFormat="1" ht="63" hidden="1" x14ac:dyDescent="0.25">
      <c r="A1041" s="772" t="str">
        <f>IF(B1041&gt;0,VLOOKUP(B1041,КВСР!A416:B1581,2),IF(C1041&gt;0,VLOOKUP(C1041,КФСР!A416:B1928,2),IF(D1041&gt;0,VLOOKUP(D1041,Программа!A$1:B$5110,2),IF(F1041&gt;0,VLOOKUP(F1041,КВР!A$1:B$5001,2),IF(E1041&gt;0,VLOOKUP(E1041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41" s="117"/>
      <c r="C1041" s="112"/>
      <c r="D1041" s="113" t="s">
        <v>505</v>
      </c>
      <c r="E1041" s="112"/>
      <c r="F1041" s="114"/>
      <c r="G1041" s="277"/>
      <c r="H1041" s="339">
        <f t="shared" si="244"/>
        <v>0</v>
      </c>
      <c r="I1041" s="120">
        <f t="shared" si="243"/>
        <v>0</v>
      </c>
    </row>
    <row r="1042" spans="1:9" s="133" customFormat="1" ht="47.25" hidden="1" x14ac:dyDescent="0.25">
      <c r="A1042" s="772" t="str">
        <f>IF(B1042&gt;0,VLOOKUP(B1042,КВСР!A417:B1582,2),IF(C1042&gt;0,VLOOKUP(C1042,КФСР!A417:B1929,2),IF(D1042&gt;0,VLOOKUP(D1042,Программа!A$1:B$5110,2),IF(F1042&gt;0,VLOOKUP(F1042,КВР!A$1:B$5001,2),IF(E1042&gt;0,VLOOKUP(E1042,Направление!A$1:B$4783,2))))))</f>
        <v>Реализация мер по созданию целостной системы духовно-нравственного воспитания и просвещения населения</v>
      </c>
      <c r="B1042" s="117"/>
      <c r="C1042" s="112"/>
      <c r="D1042" s="113" t="s">
        <v>507</v>
      </c>
      <c r="E1042" s="112"/>
      <c r="F1042" s="114"/>
      <c r="G1042" s="277"/>
      <c r="H1042" s="339">
        <f t="shared" si="244"/>
        <v>0</v>
      </c>
      <c r="I1042" s="120">
        <f t="shared" si="243"/>
        <v>0</v>
      </c>
    </row>
    <row r="1043" spans="1:9" s="133" customFormat="1" ht="47.25" hidden="1" x14ac:dyDescent="0.25">
      <c r="A1043" s="772" t="str">
        <f>IF(B1043&gt;0,VLOOKUP(B1043,КВСР!A418:B1583,2),IF(C1043&gt;0,VLOOKUP(C1043,КФСР!A418:B1930,2),IF(D1043&gt;0,VLOOKUP(D1043,Программа!A$1:B$5110,2),IF(F1043&gt;0,VLOOKUP(F1043,КВР!A$1:B$5001,2),IF(E1043&gt;0,VLOOKUP(E1043,Направление!A$1:B$4783,2))))))</f>
        <v>Расходы на реализацию МЦП "Духовно - нравственное воспитание и просвещение населения ТМР"</v>
      </c>
      <c r="B1043" s="117"/>
      <c r="C1043" s="112"/>
      <c r="D1043" s="113"/>
      <c r="E1043" s="112">
        <v>13810</v>
      </c>
      <c r="F1043" s="114"/>
      <c r="G1043" s="277"/>
      <c r="H1043" s="339">
        <f t="shared" si="244"/>
        <v>0</v>
      </c>
      <c r="I1043" s="120">
        <f t="shared" si="243"/>
        <v>0</v>
      </c>
    </row>
    <row r="1044" spans="1:9" s="133" customFormat="1" ht="63" hidden="1" x14ac:dyDescent="0.25">
      <c r="A1044" s="772" t="str">
        <f>IF(B1044&gt;0,VLOOKUP(B1044,КВСР!A418:B1583,2),IF(C1044&gt;0,VLOOKUP(C1044,КФСР!A418:B1930,2),IF(D1044&gt;0,VLOOKUP(D1044,Программа!A$1:B$5110,2),IF(F1044&gt;0,VLOOKUP(F1044,КВР!A$1:B$5001,2),IF(E1044&gt;0,VLOOKUP(E1044,Направление!A$1:B$4783,2))))))</f>
        <v xml:space="preserve">Закупка товаров, работ и услуг для обеспечения государственных (муниципальных) нужд
</v>
      </c>
      <c r="B1044" s="117"/>
      <c r="C1044" s="112"/>
      <c r="D1044" s="114"/>
      <c r="E1044" s="112"/>
      <c r="F1044" s="114">
        <v>200</v>
      </c>
      <c r="G1044" s="277"/>
      <c r="H1044" s="339"/>
      <c r="I1044" s="120">
        <f t="shared" si="243"/>
        <v>0</v>
      </c>
    </row>
    <row r="1045" spans="1:9" s="133" customFormat="1" ht="47.25" hidden="1" x14ac:dyDescent="0.25">
      <c r="A1045" s="772" t="str">
        <f>IF(B1045&gt;0,VLOOKUP(B1045,КВСР!A419:B1584,2),IF(C1045&gt;0,VLOOKUP(C1045,КФСР!A419:B1931,2),IF(D1045&gt;0,VLOOKUP(D1045,Программа!A$1:B$5110,2),IF(F1045&gt;0,VLOOKUP(F1045,КВР!A$1:B$5001,2),IF(E1045&gt;0,VLOOKUP(E1045,Направление!A$1:B$4783,2))))))</f>
        <v>Муниципальная программа "Социальная поддержка населения Тутаевского муниципального района"</v>
      </c>
      <c r="B1045" s="117"/>
      <c r="C1045" s="112"/>
      <c r="D1045" s="113" t="s">
        <v>461</v>
      </c>
      <c r="E1045" s="112"/>
      <c r="F1045" s="114"/>
      <c r="G1045" s="277"/>
      <c r="H1045" s="339">
        <f t="shared" ref="H1045:H1048" si="245">H1046</f>
        <v>0</v>
      </c>
      <c r="I1045" s="120">
        <f t="shared" si="243"/>
        <v>0</v>
      </c>
    </row>
    <row r="1046" spans="1:9" s="133" customFormat="1" ht="47.25" hidden="1" x14ac:dyDescent="0.25">
      <c r="A1046" s="772" t="str">
        <f>IF(B1046&gt;0,VLOOKUP(B1046,КВСР!A420:B1585,2),IF(C1046&gt;0,VLOOKUP(C1046,КФСР!A420:B1932,2),IF(D1046&gt;0,VLOOKUP(D1046,Программа!A$1:B$5110,2),IF(F1046&gt;0,VLOOKUP(F1046,КВР!A$1:B$5001,2),IF(E1046&gt;0,VLOOKUP(E1046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46" s="117"/>
      <c r="C1046" s="112"/>
      <c r="D1046" s="113" t="s">
        <v>463</v>
      </c>
      <c r="E1046" s="112"/>
      <c r="F1046" s="114"/>
      <c r="G1046" s="277"/>
      <c r="H1046" s="339">
        <f t="shared" si="245"/>
        <v>0</v>
      </c>
      <c r="I1046" s="120">
        <f t="shared" si="243"/>
        <v>0</v>
      </c>
    </row>
    <row r="1047" spans="1:9" s="133" customFormat="1" ht="47.25" hidden="1" x14ac:dyDescent="0.25">
      <c r="A1047" s="772" t="str">
        <f>IF(B1047&gt;0,VLOOKUP(B1047,КВСР!A421:B1586,2),IF(C1047&gt;0,VLOOKUP(C1047,КФСР!A421:B1933,2),IF(D1047&gt;0,VLOOKUP(D1047,Программа!A$1:B$5110,2),IF(F1047&gt;0,VLOOKUP(F1047,КВР!A$1:B$5001,2),IF(E1047&gt;0,VLOOKUP(E1047,Направление!A$1:B$4783,2))))))</f>
        <v>Обучение по охране труда работников организаций Тутаевского муниципального района</v>
      </c>
      <c r="B1047" s="117"/>
      <c r="C1047" s="112"/>
      <c r="D1047" s="113" t="s">
        <v>1131</v>
      </c>
      <c r="E1047" s="112"/>
      <c r="F1047" s="114"/>
      <c r="G1047" s="277"/>
      <c r="H1047" s="339">
        <f t="shared" si="245"/>
        <v>0</v>
      </c>
      <c r="I1047" s="120">
        <f t="shared" si="243"/>
        <v>0</v>
      </c>
    </row>
    <row r="1048" spans="1:9" s="133" customFormat="1" ht="31.5" hidden="1" x14ac:dyDescent="0.25">
      <c r="A1048" s="772" t="str">
        <f>IF(B1048&gt;0,VLOOKUP(B1048,КВСР!A422:B1587,2),IF(C1048&gt;0,VLOOKUP(C1048,КФСР!A422:B1934,2),IF(D1048&gt;0,VLOOKUP(D1048,Программа!A$1:B$5110,2),IF(F1048&gt;0,VLOOKUP(F1048,КВР!A$1:B$5001,2),IF(E1048&gt;0,VLOOKUP(E1048,Направление!A$1:B$4783,2))))))</f>
        <v>Расходы на реализацию МЦП "Улучшение условий и охраны труда"</v>
      </c>
      <c r="B1048" s="117"/>
      <c r="C1048" s="112"/>
      <c r="D1048" s="113"/>
      <c r="E1048" s="112">
        <v>16150</v>
      </c>
      <c r="F1048" s="114"/>
      <c r="G1048" s="277"/>
      <c r="H1048" s="339">
        <f t="shared" si="245"/>
        <v>0</v>
      </c>
      <c r="I1048" s="120">
        <f t="shared" si="243"/>
        <v>0</v>
      </c>
    </row>
    <row r="1049" spans="1:9" s="133" customFormat="1" ht="47.25" hidden="1" x14ac:dyDescent="0.25">
      <c r="A1049" s="772" t="str">
        <f>IF(B1049&gt;0,VLOOKUP(B1049,КВСР!A423:B1588,2),IF(C1049&gt;0,VLOOKUP(C1049,КФСР!A423:B1935,2),IF(D1049&gt;0,VLOOKUP(D1049,Программа!A$1:B$5110,2),IF(F1049&gt;0,VLOOKUP(F1049,КВР!A$1:B$5001,2),IF(E1049&gt;0,VLOOKUP(E1049,Направление!A$1:B$4783,2))))))</f>
        <v>Предоставление субсидий бюджетным, автономным учреждениям и иным некоммерческим организациям</v>
      </c>
      <c r="B1049" s="117"/>
      <c r="C1049" s="112"/>
      <c r="D1049" s="113"/>
      <c r="E1049" s="112"/>
      <c r="F1049" s="114">
        <v>600</v>
      </c>
      <c r="G1049" s="277"/>
      <c r="H1049" s="339"/>
      <c r="I1049" s="120">
        <f t="shared" si="243"/>
        <v>0</v>
      </c>
    </row>
    <row r="1050" spans="1:9" s="133" customFormat="1" ht="94.5" hidden="1" x14ac:dyDescent="0.25">
      <c r="A1050" s="772" t="str">
        <f>IF(B1050&gt;0,VLOOKUP(B1050,КВСР!A424:B1589,2),IF(C1050&gt;0,VLOOKUP(C1050,КФСР!A424:B1936,2),IF(D1050&gt;0,VLOOKUP(D1050,Программа!A$1:B$5110,2),IF(F1050&gt;0,VLOOKUP(F1050,КВР!A$1:B$5001,2),IF(E1050&gt;0,VLOOKUP(E1050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0" s="117"/>
      <c r="C1050" s="112"/>
      <c r="D1050" s="113" t="s">
        <v>405</v>
      </c>
      <c r="E1050" s="112"/>
      <c r="F1050" s="114"/>
      <c r="G1050" s="277"/>
      <c r="H1050" s="339">
        <f t="shared" ref="H1050:H1052" si="246">H1051</f>
        <v>0</v>
      </c>
      <c r="I1050" s="120">
        <f t="shared" si="243"/>
        <v>0</v>
      </c>
    </row>
    <row r="1051" spans="1:9" s="133" customFormat="1" ht="63" hidden="1" x14ac:dyDescent="0.25">
      <c r="A1051" s="772" t="str">
        <f>IF(B1051&gt;0,VLOOKUP(B1051,КВСР!A425:B1590,2),IF(C1051&gt;0,VLOOKUP(C1051,КФСР!A425:B1937,2),IF(D1051&gt;0,VLOOKUP(D1051,Программа!A$1:B$5110,2),IF(F1051&gt;0,VLOOKUP(F1051,КВР!A$1:B$5001,2),IF(E1051&gt;0,VLOOKUP(E1051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51" s="117"/>
      <c r="C1051" s="112"/>
      <c r="D1051" s="113" t="s">
        <v>406</v>
      </c>
      <c r="E1051" s="112"/>
      <c r="F1051" s="114"/>
      <c r="G1051" s="277"/>
      <c r="H1051" s="339">
        <f t="shared" si="246"/>
        <v>0</v>
      </c>
      <c r="I1051" s="120">
        <f t="shared" si="243"/>
        <v>0</v>
      </c>
    </row>
    <row r="1052" spans="1:9" s="133" customFormat="1" ht="31.5" hidden="1" x14ac:dyDescent="0.25">
      <c r="A1052" s="772" t="str">
        <f>IF(B1052&gt;0,VLOOKUP(B1052,КВСР!A426:B1591,2),IF(C1052&gt;0,VLOOKUP(C1052,КФСР!A426:B1938,2),IF(D1052&gt;0,VLOOKUP(D1052,Программа!A$1:B$5110,2),IF(F1052&gt;0,VLOOKUP(F1052,КВР!A$1:B$5001,2),IF(E1052&gt;0,VLOOKUP(E1052,Направление!A$1:B$4783,2))))))</f>
        <v>Расходы на развитие муниципальной службы</v>
      </c>
      <c r="B1052" s="117"/>
      <c r="C1052" s="112"/>
      <c r="D1052" s="113"/>
      <c r="E1052" s="112">
        <v>12200</v>
      </c>
      <c r="F1052" s="114"/>
      <c r="G1052" s="277"/>
      <c r="H1052" s="339">
        <f t="shared" si="246"/>
        <v>0</v>
      </c>
      <c r="I1052" s="120">
        <f t="shared" si="243"/>
        <v>0</v>
      </c>
    </row>
    <row r="1053" spans="1:9" s="133" customFormat="1" ht="63" hidden="1" x14ac:dyDescent="0.25">
      <c r="A1053" s="772" t="str">
        <f>IF(B1053&gt;0,VLOOKUP(B1053,КВСР!A427:B1592,2),IF(C1053&gt;0,VLOOKUP(C1053,КФСР!A427:B1939,2),IF(D1053&gt;0,VLOOKUP(D1053,Программа!A$1:B$5110,2),IF(F1053&gt;0,VLOOKUP(F1053,КВР!A$1:B$5001,2),IF(E1053&gt;0,VLOOKUP(E1053,Направление!A$1:B$4783,2))))))</f>
        <v xml:space="preserve">Закупка товаров, работ и услуг для обеспечения государственных (муниципальных) нужд
</v>
      </c>
      <c r="B1053" s="117"/>
      <c r="C1053" s="112"/>
      <c r="D1053" s="113"/>
      <c r="E1053" s="112"/>
      <c r="F1053" s="114">
        <v>200</v>
      </c>
      <c r="G1053" s="277"/>
      <c r="H1053" s="339"/>
      <c r="I1053" s="120">
        <f t="shared" si="243"/>
        <v>0</v>
      </c>
    </row>
    <row r="1054" spans="1:9" s="133" customFormat="1" ht="63" hidden="1" x14ac:dyDescent="0.25">
      <c r="A1054" s="772" t="str">
        <f>IF(B1054&gt;0,VLOOKUP(B1054,КВСР!A428:B1593,2),IF(C1054&gt;0,VLOOKUP(C1054,КФСР!A428:B1940,2),IF(D1054&gt;0,VLOOKUP(D1054,Программа!A$1:B$5110,2),IF(F1054&gt;0,VLOOKUP(F1054,КВР!A$1:B$5001,2),IF(E1054&gt;0,VLOOKUP(E1054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1054" s="117"/>
      <c r="C1054" s="112"/>
      <c r="D1054" s="113" t="s">
        <v>409</v>
      </c>
      <c r="E1054" s="112"/>
      <c r="F1054" s="114"/>
      <c r="G1054" s="277"/>
      <c r="H1054" s="339">
        <f t="shared" ref="H1054:H1056" si="247">H1055</f>
        <v>0</v>
      </c>
      <c r="I1054" s="120">
        <f t="shared" si="243"/>
        <v>0</v>
      </c>
    </row>
    <row r="1055" spans="1:9" s="133" customFormat="1" ht="31.5" hidden="1" x14ac:dyDescent="0.25">
      <c r="A1055" s="772" t="str">
        <f>IF(B1055&gt;0,VLOOKUP(B1055,КВСР!A429:B1594,2),IF(C1055&gt;0,VLOOKUP(C1055,КФСР!A429:B1941,2),IF(D1055&gt;0,VLOOKUP(D1055,Программа!A$1:B$5110,2),IF(F1055&gt;0,VLOOKUP(F1055,КВР!A$1:B$5001,2),IF(E1055&gt;0,VLOOKUP(E1055,Направление!A$1:B$4783,2))))))</f>
        <v>Бесперебойное функционирование информационных систем</v>
      </c>
      <c r="B1055" s="117"/>
      <c r="C1055" s="112"/>
      <c r="D1055" s="113" t="s">
        <v>445</v>
      </c>
      <c r="E1055" s="112"/>
      <c r="F1055" s="114"/>
      <c r="G1055" s="277"/>
      <c r="H1055" s="339">
        <f t="shared" si="247"/>
        <v>0</v>
      </c>
      <c r="I1055" s="120">
        <f t="shared" si="243"/>
        <v>0</v>
      </c>
    </row>
    <row r="1056" spans="1:9" s="133" customFormat="1" ht="31.5" hidden="1" x14ac:dyDescent="0.25">
      <c r="A1056" s="772" t="str">
        <f>IF(B1056&gt;0,VLOOKUP(B1056,КВСР!A430:B1595,2),IF(C1056&gt;0,VLOOKUP(C1056,КФСР!A430:B1942,2),IF(D1056&gt;0,VLOOKUP(D1056,Программа!A$1:B$5110,2),IF(F1056&gt;0,VLOOKUP(F1056,КВР!A$1:B$5001,2),IF(E1056&gt;0,VLOOKUP(E1056,Направление!A$1:B$4783,2))))))</f>
        <v>Расходы на проведение мероприятий по информатизации</v>
      </c>
      <c r="B1056" s="117"/>
      <c r="C1056" s="112"/>
      <c r="D1056" s="113"/>
      <c r="E1056" s="112">
        <v>12210</v>
      </c>
      <c r="F1056" s="114"/>
      <c r="G1056" s="277"/>
      <c r="H1056" s="339">
        <f t="shared" si="247"/>
        <v>0</v>
      </c>
      <c r="I1056" s="120">
        <f t="shared" si="243"/>
        <v>0</v>
      </c>
    </row>
    <row r="1057" spans="1:9" s="133" customFormat="1" ht="63" hidden="1" x14ac:dyDescent="0.25">
      <c r="A1057" s="772" t="str">
        <f>IF(B1057&gt;0,VLOOKUP(B1057,КВСР!A431:B1596,2),IF(C1057&gt;0,VLOOKUP(C1057,КФСР!A431:B1943,2),IF(D1057&gt;0,VLOOKUP(D1057,Программа!A$1:B$5110,2),IF(F1057&gt;0,VLOOKUP(F1057,КВР!A$1:B$5001,2),IF(E1057&gt;0,VLOOKUP(E1057,Направление!A$1:B$4783,2))))))</f>
        <v xml:space="preserve">Закупка товаров, работ и услуг для обеспечения государственных (муниципальных) нужд
</v>
      </c>
      <c r="B1057" s="117"/>
      <c r="C1057" s="112"/>
      <c r="D1057" s="113"/>
      <c r="E1057" s="112"/>
      <c r="F1057" s="114">
        <v>200</v>
      </c>
      <c r="G1057" s="277"/>
      <c r="H1057" s="339"/>
      <c r="I1057" s="120">
        <f t="shared" si="243"/>
        <v>0</v>
      </c>
    </row>
    <row r="1058" spans="1:9" ht="94.5" hidden="1" x14ac:dyDescent="0.25">
      <c r="A1058" s="772" t="str">
        <f>IF(B1058&gt;0,VLOOKUP(B1058,КВСР!A433:B1598,2),IF(C1058&gt;0,VLOOKUP(C1058,КФСР!A433:B1945,2),IF(D1058&gt;0,VLOOKUP(D1058,Программа!A$1:B$5110,2),IF(F1058&gt;0,VLOOKUP(F1058,КВР!A$1:B$5001,2),IF(E1058&gt;0,VLOOKUP(E1058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8" s="117"/>
      <c r="C1058" s="112"/>
      <c r="D1058" s="113" t="s">
        <v>405</v>
      </c>
      <c r="E1058" s="112"/>
      <c r="F1058" s="114"/>
      <c r="G1058" s="277"/>
      <c r="H1058" s="339">
        <f t="shared" ref="H1058:H1060" si="248">H1059</f>
        <v>0</v>
      </c>
      <c r="I1058" s="120">
        <f t="shared" si="243"/>
        <v>0</v>
      </c>
    </row>
    <row r="1059" spans="1:9" ht="78.75" hidden="1" x14ac:dyDescent="0.25">
      <c r="A1059" s="772" t="str">
        <f>IF(B1059&gt;0,VLOOKUP(B1059,КВСР!A434:B1599,2),IF(C1059&gt;0,VLOOKUP(C1059,КФСР!A434:B1946,2),IF(D1059&gt;0,VLOOKUP(D1059,Программа!A$1:B$5110,2),IF(F1059&gt;0,VLOOKUP(F1059,КВР!A$1:B$5001,2),IF(E1059&gt;0,VLOOKUP(E1059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9" s="117"/>
      <c r="C1059" s="112"/>
      <c r="D1059" s="113" t="s">
        <v>1826</v>
      </c>
      <c r="E1059" s="112"/>
      <c r="F1059" s="114"/>
      <c r="G1059" s="277"/>
      <c r="H1059" s="339">
        <f t="shared" si="248"/>
        <v>0</v>
      </c>
      <c r="I1059" s="120">
        <f t="shared" si="243"/>
        <v>0</v>
      </c>
    </row>
    <row r="1060" spans="1:9" ht="31.5" hidden="1" x14ac:dyDescent="0.25">
      <c r="A1060" s="772" t="str">
        <f>IF(B1060&gt;0,VLOOKUP(B1060,КВСР!A435:B1600,2),IF(C1060&gt;0,VLOOKUP(C1060,КФСР!A435:B1947,2),IF(D1060&gt;0,VLOOKUP(D1060,Программа!A$1:B$5110,2),IF(F1060&gt;0,VLOOKUP(F1060,КВР!A$1:B$5001,2),IF(E1060&gt;0,VLOOKUP(E1060,Направление!A$1:B$4783,2))))))</f>
        <v>Внедрение проектной деятельности и бережливых технологий</v>
      </c>
      <c r="B1060" s="117"/>
      <c r="C1060" s="112"/>
      <c r="D1060" s="113"/>
      <c r="E1060" s="112">
        <v>12300</v>
      </c>
      <c r="F1060" s="114"/>
      <c r="G1060" s="277"/>
      <c r="H1060" s="339">
        <f t="shared" si="248"/>
        <v>0</v>
      </c>
      <c r="I1060" s="120">
        <f t="shared" si="243"/>
        <v>0</v>
      </c>
    </row>
    <row r="1061" spans="1:9" ht="110.25" hidden="1" x14ac:dyDescent="0.25">
      <c r="A1061" s="772" t="str">
        <f>IF(B1061&gt;0,VLOOKUP(B1061,КВСР!A436:B1601,2),IF(C1061&gt;0,VLOOKUP(C1061,КФСР!A436:B1948,2),IF(D1061&gt;0,VLOOKUP(D1061,Программа!A$1:B$5110,2),IF(F1061&gt;0,VLOOKUP(F1061,КВР!A$1:B$5001,2),IF(E1061&gt;0,VLOOKUP(E1061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7"/>
      <c r="C1061" s="112"/>
      <c r="D1061" s="114"/>
      <c r="E1061" s="112"/>
      <c r="F1061" s="114">
        <v>100</v>
      </c>
      <c r="G1061" s="277"/>
      <c r="H1061" s="339"/>
      <c r="I1061" s="120">
        <f t="shared" si="243"/>
        <v>0</v>
      </c>
    </row>
    <row r="1062" spans="1:9" hidden="1" x14ac:dyDescent="0.25">
      <c r="A1062" s="772" t="str">
        <f>IF(B1062&gt;0,VLOOKUP(B1062,КВСР!A437:B1602,2),IF(C1062&gt;0,VLOOKUP(C1062,КФСР!A437:B1949,2),IF(D1062&gt;0,VLOOKUP(D1062,Программа!A$1:B$5110,2),IF(F1062&gt;0,VLOOKUP(F1062,КВР!A$1:B$5001,2),IF(E1062&gt;0,VLOOKUP(E1062,Направление!A$1:B$4783,2))))))</f>
        <v>Охрана семьи и детства</v>
      </c>
      <c r="B1062" s="117"/>
      <c r="C1062" s="112">
        <v>1004</v>
      </c>
      <c r="D1062" s="114"/>
      <c r="E1062" s="112"/>
      <c r="F1062" s="114"/>
      <c r="G1062" s="277"/>
      <c r="H1062" s="339">
        <f t="shared" ref="H1062:I1066" si="249">H1063</f>
        <v>0</v>
      </c>
      <c r="I1062" s="277">
        <f t="shared" si="249"/>
        <v>0</v>
      </c>
    </row>
    <row r="1063" spans="1:9" ht="63" hidden="1" x14ac:dyDescent="0.25">
      <c r="A1063" s="772" t="str">
        <f>IF(B1063&gt;0,VLOOKUP(B1063,КВСР!A438:B1603,2),IF(C1063&gt;0,VLOOKUP(C1063,КФСР!A438:B1950,2),IF(D1063&gt;0,VLOOKUP(D1063,Программа!A$1:B$5110,2),IF(F1063&gt;0,VLOOKUP(F1063,КВР!A$1:B$5001,2),IF(E1063&gt;0,VLOOKUP(E1063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63" s="117"/>
      <c r="C1063" s="112"/>
      <c r="D1063" s="114" t="s">
        <v>482</v>
      </c>
      <c r="E1063" s="112"/>
      <c r="F1063" s="114"/>
      <c r="G1063" s="277"/>
      <c r="H1063" s="339">
        <f t="shared" si="249"/>
        <v>0</v>
      </c>
      <c r="I1063" s="277">
        <f t="shared" si="249"/>
        <v>0</v>
      </c>
    </row>
    <row r="1064" spans="1:9" ht="47.25" hidden="1" x14ac:dyDescent="0.25">
      <c r="A1064" s="772" t="str">
        <f>IF(B1064&gt;0,VLOOKUP(B1064,КВСР!A439:B1604,2),IF(C1064&gt;0,VLOOKUP(C1064,КФСР!A439:B1951,2),IF(D1064&gt;0,VLOOKUP(D1064,Программа!A$1:B$5110,2),IF(F1064&gt;0,VLOOKUP(F1064,КВР!A$1:B$5001,2),IF(E1064&gt;0,VLOOKUP(E1064,Направление!A$1:B$4783,2))))))</f>
        <v>Ведомственная целевая программа «Сохранение и развитие культуры Тутаевского муниципального района»</v>
      </c>
      <c r="B1064" s="117"/>
      <c r="C1064" s="112"/>
      <c r="D1064" s="113" t="s">
        <v>581</v>
      </c>
      <c r="E1064" s="112"/>
      <c r="F1064" s="114"/>
      <c r="G1064" s="277"/>
      <c r="H1064" s="339">
        <f t="shared" si="249"/>
        <v>0</v>
      </c>
      <c r="I1064" s="277">
        <f t="shared" si="249"/>
        <v>0</v>
      </c>
    </row>
    <row r="1065" spans="1:9" ht="31.5" hidden="1" x14ac:dyDescent="0.25">
      <c r="A1065" s="772" t="str">
        <f>IF(B1065&gt;0,VLOOKUP(B1065,КВСР!A440:B1605,2),IF(C1065&gt;0,VLOOKUP(C1065,КФСР!A440:B1952,2),IF(D1065&gt;0,VLOOKUP(D1065,Программа!A$1:B$5110,2),IF(F1065&gt;0,VLOOKUP(F1065,КВР!A$1:B$5001,2),IF(E1065&gt;0,VLOOKUP(E1065,Направление!A$1:B$4783,2))))))</f>
        <v>Обеспечение эффективности управления системой культуры</v>
      </c>
      <c r="B1065" s="117"/>
      <c r="C1065" s="112"/>
      <c r="D1065" s="113" t="s">
        <v>608</v>
      </c>
      <c r="E1065" s="112"/>
      <c r="F1065" s="114"/>
      <c r="G1065" s="277"/>
      <c r="H1065" s="339">
        <f t="shared" si="249"/>
        <v>0</v>
      </c>
      <c r="I1065" s="277">
        <f t="shared" si="249"/>
        <v>0</v>
      </c>
    </row>
    <row r="1066" spans="1:9" ht="31.5" hidden="1" x14ac:dyDescent="0.25">
      <c r="A1066" s="772" t="str">
        <f>IF(B1066&gt;0,VLOOKUP(B1066,КВСР!A441:B1606,2),IF(C1066&gt;0,VLOOKUP(C1066,КФСР!A441:B1953,2),IF(D1066&gt;0,VLOOKUP(D1066,Программа!A$1:B$5110,2),IF(F1066&gt;0,VLOOKUP(F1066,КВР!A$1:B$5001,2),IF(E1066&gt;0,VLOOKUP(E1066,Направление!A$1:B$4783,2))))))</f>
        <v>Обеспечение деятельности прочих учреждений в сфере культуры</v>
      </c>
      <c r="B1066" s="117"/>
      <c r="C1066" s="112"/>
      <c r="D1066" s="113"/>
      <c r="E1066" s="112">
        <v>15210</v>
      </c>
      <c r="F1066" s="114"/>
      <c r="G1066" s="277"/>
      <c r="H1066" s="339">
        <f t="shared" si="249"/>
        <v>0</v>
      </c>
      <c r="I1066" s="277">
        <f t="shared" si="249"/>
        <v>0</v>
      </c>
    </row>
    <row r="1067" spans="1:9" ht="110.25" hidden="1" x14ac:dyDescent="0.25">
      <c r="A1067" s="772" t="str">
        <f>IF(B1067&gt;0,VLOOKUP(B1067,КВСР!A442:B1607,2),IF(C1067&gt;0,VLOOKUP(C1067,КФСР!A442:B1954,2),IF(D1067&gt;0,VLOOKUP(D1067,Программа!A$1:B$5110,2),IF(F1067&gt;0,VLOOKUP(F1067,КВР!A$1:B$5001,2),IF(E1067&gt;0,VLOOKUP(E1067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7" s="117"/>
      <c r="C1067" s="112"/>
      <c r="D1067" s="114"/>
      <c r="E1067" s="112"/>
      <c r="F1067" s="114">
        <v>100</v>
      </c>
      <c r="G1067" s="277"/>
      <c r="H1067" s="339"/>
      <c r="I1067" s="120">
        <f>H1067+G1067</f>
        <v>0</v>
      </c>
    </row>
    <row r="1068" spans="1:9" hidden="1" x14ac:dyDescent="0.25">
      <c r="A1068" s="772" t="str">
        <f>IF(B1068&gt;0,VLOOKUP(B1068,КВСР!A436:B1601,2),IF(C1068&gt;0,VLOOKUP(C1068,КФСР!A436:B1948,2),IF(D1068&gt;0,VLOOKUP(D1068,Программа!A$1:B$5110,2),IF(F1068&gt;0,VLOOKUP(F1068,КВР!A$1:B$5001,2),IF(E1068&gt;0,VLOOKUP(E1068,Направление!A$1:B$4783,2))))))</f>
        <v>Периодическая печать и издательства</v>
      </c>
      <c r="B1068" s="117"/>
      <c r="C1068" s="112">
        <v>1202</v>
      </c>
      <c r="D1068" s="113"/>
      <c r="E1068" s="112"/>
      <c r="F1068" s="114"/>
      <c r="G1068" s="277"/>
      <c r="H1068" s="339">
        <f t="shared" ref="H1068:H1070" si="250">H1069</f>
        <v>0</v>
      </c>
      <c r="I1068" s="120">
        <f t="shared" si="243"/>
        <v>0</v>
      </c>
    </row>
    <row r="1069" spans="1:9" hidden="1" x14ac:dyDescent="0.25">
      <c r="A1069" s="772" t="str">
        <f>IF(B1069&gt;0,VLOOKUP(B1069,КВСР!A437:B1602,2),IF(C1069&gt;0,VLOOKUP(C1069,КФСР!A437:B1949,2),IF(D1069&gt;0,VLOOKUP(D1069,Программа!A$1:B$5110,2),IF(F1069&gt;0,VLOOKUP(F1069,КВР!A$1:B$5001,2),IF(E1069&gt;0,VLOOKUP(E1069,Направление!A$1:B$4783,2))))))</f>
        <v>Непрограммные расходы бюджета</v>
      </c>
      <c r="B1069" s="117"/>
      <c r="C1069" s="112"/>
      <c r="D1069" s="113" t="s">
        <v>394</v>
      </c>
      <c r="E1069" s="112"/>
      <c r="F1069" s="114"/>
      <c r="G1069" s="277"/>
      <c r="H1069" s="339">
        <f t="shared" si="250"/>
        <v>0</v>
      </c>
      <c r="I1069" s="120">
        <f t="shared" si="243"/>
        <v>0</v>
      </c>
    </row>
    <row r="1070" spans="1:9" hidden="1" x14ac:dyDescent="0.25">
      <c r="A1070" s="772" t="str">
        <f>IF(B1070&gt;0,VLOOKUP(B1070,КВСР!A438:B1603,2),IF(C1070&gt;0,VLOOKUP(C1070,КФСР!A438:B1950,2),IF(D1070&gt;0,VLOOKUP(D1070,Программа!A$1:B$5110,2),IF(F1070&gt;0,VLOOKUP(F1070,КВР!A$1:B$5001,2),IF(E1070&gt;0,VLOOKUP(E1070,Направление!A$1:B$4783,2))))))</f>
        <v xml:space="preserve">Поддержка периодических изданий </v>
      </c>
      <c r="B1070" s="117"/>
      <c r="C1070" s="112"/>
      <c r="D1070" s="113"/>
      <c r="E1070" s="112">
        <v>12750</v>
      </c>
      <c r="F1070" s="114"/>
      <c r="G1070" s="277"/>
      <c r="H1070" s="339">
        <f t="shared" si="250"/>
        <v>0</v>
      </c>
      <c r="I1070" s="120">
        <f t="shared" si="243"/>
        <v>0</v>
      </c>
    </row>
    <row r="1071" spans="1:9" ht="47.25" hidden="1" x14ac:dyDescent="0.25">
      <c r="A1071" s="772" t="str">
        <f>IF(B1071&gt;0,VLOOKUP(B1071,КВСР!A439:B1604,2),IF(C1071&gt;0,VLOOKUP(C1071,КФСР!A439:B1951,2),IF(D1071&gt;0,VLOOKUP(D1071,Программа!A$1:B$5110,2),IF(F1071&gt;0,VLOOKUP(F1071,КВР!A$1:B$5001,2),IF(E1071&gt;0,VLOOKUP(E1071,Направление!A$1:B$4783,2))))))</f>
        <v>Предоставление субсидий бюджетным, автономным учреждениям и иным некоммерческим организациям</v>
      </c>
      <c r="B1071" s="117"/>
      <c r="C1071" s="112"/>
      <c r="D1071" s="114"/>
      <c r="E1071" s="112"/>
      <c r="F1071" s="114">
        <v>600</v>
      </c>
      <c r="G1071" s="295"/>
      <c r="H1071" s="284"/>
      <c r="I1071" s="120">
        <f t="shared" si="243"/>
        <v>0</v>
      </c>
    </row>
    <row r="1072" spans="1:9" x14ac:dyDescent="0.25">
      <c r="A1072" s="771" t="str">
        <f>IF(B1072&gt;0,VLOOKUP(B1072,КВСР!A527:B1692,2),IF(C1072&gt;0,VLOOKUP(C1072,КФСР!A527:B2039,2),IF(D1072&gt;0,VLOOKUP(D1072,Программа!A$1:B$5110,2),IF(F1072&gt;0,VLOOKUP(F1072,КВР!A$1:B$5001,2),IF(E1072&gt;0,VLOOKUP(E1072,Направление!A$1:B$4783,2))))))</f>
        <v>МУ Контрольно-счетная палата ТМР</v>
      </c>
      <c r="B1072" s="111">
        <v>982</v>
      </c>
      <c r="C1072" s="136"/>
      <c r="D1072" s="137"/>
      <c r="E1072" s="136"/>
      <c r="F1072" s="138"/>
      <c r="G1072" s="115"/>
      <c r="H1072" s="338">
        <f>H1073+H1085</f>
        <v>1629826</v>
      </c>
      <c r="I1072" s="384">
        <f>I1073+I1085</f>
        <v>1629826</v>
      </c>
    </row>
    <row r="1073" spans="1:9" ht="63" x14ac:dyDescent="0.25">
      <c r="A1073" s="772" t="str">
        <f>IF(B1073&gt;0,VLOOKUP(B1073,КВСР!A528:B1693,2),IF(C1073&gt;0,VLOOKUP(C1073,КФСР!A528:B2040,2),IF(D1073&gt;0,VLOOKUP(D1073,Программа!A$1:B$5110,2),IF(F1073&gt;0,VLOOKUP(F1073,КВР!A$1:B$5001,2),IF(E1073&gt;0,VLOOKUP(E1073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73" s="135"/>
      <c r="C1073" s="112">
        <v>106</v>
      </c>
      <c r="D1073" s="129"/>
      <c r="E1073" s="130"/>
      <c r="F1073" s="132"/>
      <c r="G1073" s="118"/>
      <c r="H1073" s="284">
        <f>H1074</f>
        <v>1629826</v>
      </c>
      <c r="I1073" s="120">
        <f t="shared" ref="I1073:I1084" si="251">SUM(G1073:H1073)</f>
        <v>1629826</v>
      </c>
    </row>
    <row r="1074" spans="1:9" x14ac:dyDescent="0.25">
      <c r="A1074" s="772" t="str">
        <f>IF(B1074&gt;0,VLOOKUP(B1074,КВСР!A529:B1694,2),IF(C1074&gt;0,VLOOKUP(C1074,КФСР!A529:B2041,2),IF(D1074&gt;0,VLOOKUP(D1074,Программа!A$1:B$5110,2),IF(F1074&gt;0,VLOOKUP(F1074,КВР!A$1:B$5001,2),IF(E1074&gt;0,VLOOKUP(E1074,Направление!A$1:B$4783,2))))))</f>
        <v>Непрограммные расходы бюджета</v>
      </c>
      <c r="B1074" s="135"/>
      <c r="C1074" s="112"/>
      <c r="D1074" s="129" t="s">
        <v>394</v>
      </c>
      <c r="E1074" s="130"/>
      <c r="F1074" s="132"/>
      <c r="G1074" s="118"/>
      <c r="H1074" s="284">
        <f>H1075+H1080+H1082</f>
        <v>1629826</v>
      </c>
      <c r="I1074" s="120">
        <f t="shared" si="251"/>
        <v>1629826</v>
      </c>
    </row>
    <row r="1075" spans="1:9" x14ac:dyDescent="0.25">
      <c r="A1075" s="772" t="str">
        <f>IF(B1075&gt;0,VLOOKUP(B1075,КВСР!A530:B1695,2),IF(C1075&gt;0,VLOOKUP(C1075,КФСР!A530:B2042,2),IF(D1075&gt;0,VLOOKUP(D1075,Программа!A$1:B$5110,2),IF(F1075&gt;0,VLOOKUP(F1075,КВР!A$1:B$5001,2),IF(E1075&gt;0,VLOOKUP(E1075,Направление!A$1:B$4783,2))))))</f>
        <v>Содержание центрального аппарата</v>
      </c>
      <c r="B1075" s="135"/>
      <c r="C1075" s="130"/>
      <c r="D1075" s="113"/>
      <c r="E1075" s="112">
        <v>12010</v>
      </c>
      <c r="F1075" s="132"/>
      <c r="G1075" s="118"/>
      <c r="H1075" s="284">
        <f>H1076+H1077+H1078+H1079</f>
        <v>617902</v>
      </c>
      <c r="I1075" s="120">
        <f t="shared" si="251"/>
        <v>617902</v>
      </c>
    </row>
    <row r="1076" spans="1:9" ht="110.25" x14ac:dyDescent="0.25">
      <c r="A1076" s="772" t="str">
        <f>IF(B1076&gt;0,VLOOKUP(B1076,КВСР!A531:B1696,2),IF(C1076&gt;0,VLOOKUP(C1076,КФСР!A531:B2043,2),IF(D1076&gt;0,VLOOKUP(D1076,Программа!A$1:B$5110,2),IF(F1076&gt;0,VLOOKUP(F1076,КВР!A$1:B$5001,2),IF(E1076&gt;0,VLOOKUP(E1076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6" s="135"/>
      <c r="C1076" s="130"/>
      <c r="D1076" s="132"/>
      <c r="E1076" s="130"/>
      <c r="F1076" s="132">
        <v>100</v>
      </c>
      <c r="G1076" s="295"/>
      <c r="H1076" s="284">
        <f>468000+141336</f>
        <v>609336</v>
      </c>
      <c r="I1076" s="120">
        <f t="shared" si="251"/>
        <v>609336</v>
      </c>
    </row>
    <row r="1077" spans="1:9" ht="63" x14ac:dyDescent="0.25">
      <c r="A1077" s="772" t="str">
        <f>IF(B1077&gt;0,VLOOKUP(B1077,КВСР!A532:B1697,2),IF(C1077&gt;0,VLOOKUP(C1077,КФСР!A532:B2044,2),IF(D1077&gt;0,VLOOKUP(D1077,Программа!A$1:B$5110,2),IF(F1077&gt;0,VLOOKUP(F1077,КВР!A$1:B$5001,2),IF(E1077&gt;0,VLOOKUP(E1077,Направление!A$1:B$4783,2))))))</f>
        <v xml:space="preserve">Закупка товаров, работ и услуг для обеспечения государственных (муниципальных) нужд
</v>
      </c>
      <c r="B1077" s="135"/>
      <c r="C1077" s="130"/>
      <c r="D1077" s="132"/>
      <c r="E1077" s="130"/>
      <c r="F1077" s="132">
        <v>200</v>
      </c>
      <c r="G1077" s="295"/>
      <c r="H1077" s="284">
        <f>21000-10260-2174</f>
        <v>8566</v>
      </c>
      <c r="I1077" s="120">
        <f t="shared" si="251"/>
        <v>8566</v>
      </c>
    </row>
    <row r="1078" spans="1:9" ht="31.5" hidden="1" x14ac:dyDescent="0.25">
      <c r="A1078" s="772" t="str">
        <f>IF(B1078&gt;0,VLOOKUP(B1078,КВСР!A533:B1698,2),IF(C1078&gt;0,VLOOKUP(C1078,КФСР!A533:B2045,2),IF(D1078&gt;0,VLOOKUP(D1078,Программа!A$1:B$5110,2),IF(F1078&gt;0,VLOOKUP(F1078,КВР!A$1:B$5001,2),IF(E1078&gt;0,VLOOKUP(E1078,Направление!A$1:B$4783,2))))))</f>
        <v>Социальное обеспечение и иные выплаты населению</v>
      </c>
      <c r="B1078" s="135"/>
      <c r="C1078" s="130"/>
      <c r="D1078" s="132"/>
      <c r="E1078" s="130"/>
      <c r="F1078" s="132">
        <v>300</v>
      </c>
      <c r="G1078" s="295"/>
      <c r="H1078" s="284"/>
      <c r="I1078" s="120">
        <f t="shared" si="251"/>
        <v>0</v>
      </c>
    </row>
    <row r="1079" spans="1:9" hidden="1" x14ac:dyDescent="0.25">
      <c r="A1079" s="772" t="str">
        <f>IF(B1079&gt;0,VLOOKUP(B1079,КВСР!A534:B1699,2),IF(C1079&gt;0,VLOOKUP(C1079,КФСР!A534:B2046,2),IF(D1079&gt;0,VLOOKUP(D1079,Программа!A$1:B$5110,2),IF(F1079&gt;0,VLOOKUP(F1079,КВР!A$1:B$5001,2),IF(E1079&gt;0,VLOOKUP(E1079,Направление!A$1:B$4783,2))))))</f>
        <v>Иные бюджетные ассигнования</v>
      </c>
      <c r="B1079" s="135"/>
      <c r="C1079" s="130"/>
      <c r="D1079" s="132"/>
      <c r="E1079" s="130"/>
      <c r="F1079" s="132">
        <v>800</v>
      </c>
      <c r="G1079" s="295"/>
      <c r="H1079" s="284"/>
      <c r="I1079" s="120">
        <f t="shared" si="251"/>
        <v>0</v>
      </c>
    </row>
    <row r="1080" spans="1:9" ht="47.25" x14ac:dyDescent="0.25">
      <c r="A1080" s="772" t="str">
        <f>IF(B1080&gt;0,VLOOKUP(B1080,КВСР!A534:B1699,2),IF(C1080&gt;0,VLOOKUP(C1080,КФСР!A534:B2046,2),IF(D1080&gt;0,VLOOKUP(D1080,Программа!A$1:B$5110,2),IF(F1080&gt;0,VLOOKUP(F1080,КВР!A$1:B$5001,2),IF(E1080&gt;0,VLOOKUP(E1080,Направление!A$1:B$4783,2))))))</f>
        <v>Содержание руководителя контрольно-счетной палаты муниципального образования и его заместителей</v>
      </c>
      <c r="B1080" s="135"/>
      <c r="C1080" s="130"/>
      <c r="D1080" s="129"/>
      <c r="E1080" s="130">
        <v>12030</v>
      </c>
      <c r="F1080" s="132"/>
      <c r="G1080" s="295"/>
      <c r="H1080" s="284">
        <f>H1081</f>
        <v>958829</v>
      </c>
      <c r="I1080" s="120">
        <f t="shared" si="251"/>
        <v>958829</v>
      </c>
    </row>
    <row r="1081" spans="1:9" ht="110.25" x14ac:dyDescent="0.25">
      <c r="A1081" s="772" t="str">
        <f>IF(B1081&gt;0,VLOOKUP(B1081,КВСР!A535:B1700,2),IF(C1081&gt;0,VLOOKUP(C1081,КФСР!A535:B2047,2),IF(D1081&gt;0,VLOOKUP(D1081,Программа!A$1:B$5110,2),IF(F1081&gt;0,VLOOKUP(F1081,КВР!A$1:B$5001,2),IF(E1081&gt;0,VLOOKUP(E1081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1" s="135"/>
      <c r="C1081" s="130"/>
      <c r="D1081" s="132"/>
      <c r="E1081" s="130"/>
      <c r="F1081" s="132">
        <v>100</v>
      </c>
      <c r="G1081" s="295"/>
      <c r="H1081" s="284">
        <f>736428+222401</f>
        <v>958829</v>
      </c>
      <c r="I1081" s="120">
        <f t="shared" si="251"/>
        <v>958829</v>
      </c>
    </row>
    <row r="1082" spans="1:9" ht="47.25" x14ac:dyDescent="0.25">
      <c r="A1082" s="772" t="str">
        <f>IF(B1082&gt;0,VLOOKUP(B1082,КВСР!A536:B1701,2),IF(C1082&gt;0,VLOOKUP(C1082,КФСР!A536:B2048,2),IF(D1082&gt;0,VLOOKUP(D1082,Программа!A$1:B$5110,2),IF(F1082&gt;0,VLOOKUP(F1082,КВР!A$1:B$5001,2),IF(E1082&gt;0,VLOOKUP(E1082,Направление!A$1:B$4783,2))))))</f>
        <v>Обеспечение мероприятий по осуществлению внешнего муниципального контроля</v>
      </c>
      <c r="B1082" s="135"/>
      <c r="C1082" s="130"/>
      <c r="D1082" s="132"/>
      <c r="E1082" s="130">
        <v>29386</v>
      </c>
      <c r="F1082" s="132"/>
      <c r="G1082" s="295"/>
      <c r="H1082" s="284">
        <f>H1084+H1083</f>
        <v>53095</v>
      </c>
      <c r="I1082" s="120">
        <f t="shared" si="251"/>
        <v>53095</v>
      </c>
    </row>
    <row r="1083" spans="1:9" ht="110.25" x14ac:dyDescent="0.25">
      <c r="A1083" s="772" t="str">
        <f>IF(B1083&gt;0,VLOOKUP(B1083,КВСР!A537:B1702,2),IF(C1083&gt;0,VLOOKUP(C1083,КФСР!A537:B2049,2),IF(D1083&gt;0,VLOOKUP(D1083,Программа!A$1:B$5110,2),IF(F1083&gt;0,VLOOKUP(F1083,КВР!A$1:B$5001,2),IF(E1083&gt;0,VLOOKUP(E1083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3" s="135"/>
      <c r="C1083" s="130"/>
      <c r="D1083" s="132"/>
      <c r="E1083" s="130"/>
      <c r="F1083" s="132">
        <v>100</v>
      </c>
      <c r="G1083" s="295"/>
      <c r="H1083" s="284">
        <v>48268</v>
      </c>
      <c r="I1083" s="120">
        <f t="shared" si="251"/>
        <v>48268</v>
      </c>
    </row>
    <row r="1084" spans="1:9" ht="63" x14ac:dyDescent="0.25">
      <c r="A1084" s="772" t="str">
        <f>IF(B1084&gt;0,VLOOKUP(B1084,КВСР!A537:B1702,2),IF(C1084&gt;0,VLOOKUP(C1084,КФСР!A537:B2049,2),IF(D1084&gt;0,VLOOKUP(D1084,Программа!A$1:B$5110,2),IF(F1084&gt;0,VLOOKUP(F1084,КВР!A$1:B$5001,2),IF(E1084&gt;0,VLOOKUP(E1084,Направление!A$1:B$4783,2))))))</f>
        <v xml:space="preserve">Закупка товаров, работ и услуг для обеспечения государственных (муниципальных) нужд
</v>
      </c>
      <c r="B1084" s="135"/>
      <c r="C1084" s="130"/>
      <c r="D1084" s="132"/>
      <c r="E1084" s="130"/>
      <c r="F1084" s="132">
        <v>200</v>
      </c>
      <c r="G1084" s="295"/>
      <c r="H1084" s="284">
        <v>4827</v>
      </c>
      <c r="I1084" s="120">
        <f t="shared" si="251"/>
        <v>4827</v>
      </c>
    </row>
    <row r="1085" spans="1:9" ht="47.25" hidden="1" x14ac:dyDescent="0.25">
      <c r="A1085" s="772" t="str">
        <f>IF(B1085&gt;0,VLOOKUP(B1085,КВСР!A538:B1703,2),IF(C1085&gt;0,VLOOKUP(C1085,КФСР!A538:B2050,2),IF(D1085&gt;0,VLOOKUP(D1085,Программа!A$1:B$5110,2),IF(F1085&gt;0,VLOOKUP(F1085,КВР!A$1:B$5001,2),IF(E1085&gt;0,VLOOKUP(E1085,Направление!A$1:B$4783,2))))))</f>
        <v>Профессиональная подготовка, переподготовка и повышение квалификации</v>
      </c>
      <c r="B1085" s="135"/>
      <c r="C1085" s="112">
        <v>705</v>
      </c>
      <c r="D1085" s="132"/>
      <c r="E1085" s="130"/>
      <c r="F1085" s="132"/>
      <c r="G1085" s="295"/>
      <c r="H1085" s="284">
        <f t="shared" ref="H1085:I1087" si="252">H1086</f>
        <v>0</v>
      </c>
      <c r="I1085" s="295">
        <f t="shared" si="252"/>
        <v>0</v>
      </c>
    </row>
    <row r="1086" spans="1:9" hidden="1" x14ac:dyDescent="0.25">
      <c r="A1086" s="772" t="str">
        <f>IF(B1086&gt;0,VLOOKUP(B1086,КВСР!A539:B1704,2),IF(C1086&gt;0,VLOOKUP(C1086,КФСР!A539:B2051,2),IF(D1086&gt;0,VLOOKUP(D1086,Программа!A$1:B$5110,2),IF(F1086&gt;0,VLOOKUP(F1086,КВР!A$1:B$5001,2),IF(E1086&gt;0,VLOOKUP(E1086,Направление!A$1:B$4783,2))))))</f>
        <v>Непрограммные расходы бюджета</v>
      </c>
      <c r="B1086" s="135"/>
      <c r="C1086" s="130"/>
      <c r="D1086" s="114" t="s">
        <v>394</v>
      </c>
      <c r="E1086" s="130"/>
      <c r="F1086" s="132"/>
      <c r="G1086" s="295"/>
      <c r="H1086" s="284">
        <f t="shared" si="252"/>
        <v>0</v>
      </c>
      <c r="I1086" s="295">
        <f t="shared" si="252"/>
        <v>0</v>
      </c>
    </row>
    <row r="1087" spans="1:9" hidden="1" x14ac:dyDescent="0.25">
      <c r="A1087" s="772" t="str">
        <f>IF(B1087&gt;0,VLOOKUP(B1087,КВСР!A540:B1705,2),IF(C1087&gt;0,VLOOKUP(C1087,КФСР!A540:B2052,2),IF(D1087&gt;0,VLOOKUP(D1087,Программа!A$1:B$5110,2),IF(F1087&gt;0,VLOOKUP(F1087,КВР!A$1:B$5001,2),IF(E1087&gt;0,VLOOKUP(E1087,Направление!A$1:B$4783,2))))))</f>
        <v>Содержание центрального аппарата</v>
      </c>
      <c r="B1087" s="135"/>
      <c r="C1087" s="130"/>
      <c r="D1087" s="132"/>
      <c r="E1087" s="130">
        <v>12010</v>
      </c>
      <c r="F1087" s="132"/>
      <c r="G1087" s="295"/>
      <c r="H1087" s="284">
        <f t="shared" si="252"/>
        <v>0</v>
      </c>
      <c r="I1087" s="295">
        <f t="shared" si="252"/>
        <v>0</v>
      </c>
    </row>
    <row r="1088" spans="1:9" ht="63" hidden="1" x14ac:dyDescent="0.25">
      <c r="A1088" s="772" t="str">
        <f>IF(B1088&gt;0,VLOOKUP(B1088,КВСР!A541:B1706,2),IF(C1088&gt;0,VLOOKUP(C1088,КФСР!A541:B2053,2),IF(D1088&gt;0,VLOOKUP(D1088,Программа!A$1:B$5110,2),IF(F1088&gt;0,VLOOKUP(F1088,КВР!A$1:B$5001,2),IF(E1088&gt;0,VLOOKUP(E1088,Направление!A$1:B$4783,2))))))</f>
        <v xml:space="preserve">Закупка товаров, работ и услуг для обеспечения государственных (муниципальных) нужд
</v>
      </c>
      <c r="B1088" s="135"/>
      <c r="C1088" s="130"/>
      <c r="D1088" s="132"/>
      <c r="E1088" s="130"/>
      <c r="F1088" s="132">
        <v>200</v>
      </c>
      <c r="G1088" s="295"/>
      <c r="H1088" s="284"/>
      <c r="I1088" s="120">
        <f>G1088+H1088</f>
        <v>0</v>
      </c>
    </row>
    <row r="1089" spans="1:9" x14ac:dyDescent="0.25">
      <c r="A1089" s="771" t="s">
        <v>150</v>
      </c>
      <c r="B1089" s="113"/>
      <c r="C1089" s="113"/>
      <c r="D1089" s="114"/>
      <c r="E1089" s="112"/>
      <c r="F1089" s="113"/>
      <c r="G1089" s="384"/>
      <c r="H1089" s="338">
        <f>SUM(H10+H359+H409+H693+H832+H876+H1072)</f>
        <v>1942084708</v>
      </c>
      <c r="I1089" s="341">
        <f t="shared" ref="I1089" si="253">SUM(G1089:H1089)</f>
        <v>1942084708</v>
      </c>
    </row>
    <row r="1093" spans="1:9" x14ac:dyDescent="0.25">
      <c r="G1093" s="139"/>
    </row>
  </sheetData>
  <autoFilter ref="A8:I1089" xr:uid="{00000000-0009-0000-0000-00000B000000}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11811023622047245" right="0.11811023622047245" top="0.15748031496062992" bottom="0.15748031496062992" header="0" footer="0.11811023622047245"/>
  <pageSetup paperSize="9" scale="96" fitToHeight="0" orientation="portrait" r:id="rId1"/>
  <headerFooter>
    <oddFooter>&amp;C&amp;P</oddFooter>
  </headerFooter>
  <rowBreaks count="1" manualBreakCount="1">
    <brk id="756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00"/>
  <sheetViews>
    <sheetView showGridLines="0" view="pageBreakPreview" zoomScaleSheetLayoutView="100" workbookViewId="0">
      <selection activeCell="K202" sqref="K202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3" hidden="1" customWidth="1"/>
    <col min="8" max="8" width="15.85546875" style="877" customWidth="1"/>
    <col min="9" max="10" width="14.140625" style="651" hidden="1" customWidth="1"/>
    <col min="11" max="11" width="14.140625" style="877" customWidth="1"/>
    <col min="12" max="12" width="14.140625" style="42" hidden="1" customWidth="1"/>
    <col min="13" max="16384" width="9.140625" style="42"/>
  </cols>
  <sheetData>
    <row r="1" spans="1:12" ht="15.75" x14ac:dyDescent="0.25">
      <c r="A1" s="887" t="s">
        <v>1666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</row>
    <row r="2" spans="1:12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</row>
    <row r="3" spans="1:12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</row>
    <row r="4" spans="1:12" ht="15.75" x14ac:dyDescent="0.25">
      <c r="A4" s="887" t="s">
        <v>1859</v>
      </c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</row>
    <row r="5" spans="1:12" ht="15.75" x14ac:dyDescent="0.25">
      <c r="A5" s="103"/>
      <c r="B5" s="104"/>
      <c r="C5" s="104"/>
      <c r="D5" s="105"/>
      <c r="E5" s="106"/>
      <c r="F5" s="104"/>
      <c r="G5" s="904"/>
      <c r="H5" s="904"/>
      <c r="I5" s="904"/>
      <c r="J5" s="904"/>
      <c r="K5" s="904"/>
      <c r="L5" s="904"/>
    </row>
    <row r="6" spans="1:12" ht="58.7" customHeight="1" x14ac:dyDescent="0.3">
      <c r="A6" s="974" t="s">
        <v>1862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</row>
    <row r="7" spans="1:12" ht="15.75" x14ac:dyDescent="0.25">
      <c r="A7" s="99"/>
      <c r="B7" s="100"/>
      <c r="C7" s="100"/>
      <c r="D7" s="101"/>
      <c r="E7" s="102"/>
      <c r="F7" s="100"/>
      <c r="G7" s="972"/>
      <c r="H7" s="972"/>
      <c r="I7" s="972"/>
      <c r="J7" s="972"/>
      <c r="K7" s="972"/>
      <c r="L7" s="972"/>
    </row>
    <row r="8" spans="1:12" ht="12.75" customHeight="1" x14ac:dyDescent="0.2">
      <c r="A8" s="968" t="s">
        <v>161</v>
      </c>
      <c r="B8" s="970" t="s">
        <v>386</v>
      </c>
      <c r="C8" s="970" t="s">
        <v>387</v>
      </c>
      <c r="D8" s="971" t="s">
        <v>388</v>
      </c>
      <c r="E8" s="971"/>
      <c r="F8" s="970" t="s">
        <v>389</v>
      </c>
      <c r="G8" s="965" t="s">
        <v>1619</v>
      </c>
      <c r="H8" s="973" t="s">
        <v>1619</v>
      </c>
      <c r="I8" s="973" t="s">
        <v>1619</v>
      </c>
      <c r="J8" s="973" t="s">
        <v>1860</v>
      </c>
      <c r="K8" s="973" t="s">
        <v>1860</v>
      </c>
      <c r="L8" s="973" t="s">
        <v>1860</v>
      </c>
    </row>
    <row r="9" spans="1:12" ht="55.5" customHeight="1" x14ac:dyDescent="0.2">
      <c r="A9" s="968"/>
      <c r="B9" s="970"/>
      <c r="C9" s="970"/>
      <c r="D9" s="534" t="s">
        <v>390</v>
      </c>
      <c r="E9" s="535" t="s">
        <v>391</v>
      </c>
      <c r="F9" s="970"/>
      <c r="G9" s="965"/>
      <c r="H9" s="973"/>
      <c r="I9" s="973"/>
      <c r="J9" s="973"/>
      <c r="K9" s="973"/>
      <c r="L9" s="973"/>
    </row>
    <row r="10" spans="1:12" ht="31.5" x14ac:dyDescent="0.2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/>
      <c r="H10" s="388">
        <f>H11+H15+H27+H31+H64+H85+H95+H146+H187+H193+H23+H141+H163+H59+H133+H205+H199</f>
        <v>157024520</v>
      </c>
      <c r="I10" s="388">
        <f t="shared" ref="I10:L10" si="0">I11+I15+I27+I31+I64+I85+I95+I146+I187+I193+I23+I141+I163+I59+I133+I205+I199</f>
        <v>157024520</v>
      </c>
      <c r="J10" s="388">
        <f t="shared" si="0"/>
        <v>0</v>
      </c>
      <c r="K10" s="388">
        <f t="shared" si="0"/>
        <v>97313327</v>
      </c>
      <c r="L10" s="388">
        <f t="shared" si="0"/>
        <v>97313327</v>
      </c>
    </row>
    <row r="11" spans="1:12" ht="63" x14ac:dyDescent="0.2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0"/>
      <c r="H11" s="385">
        <f t="shared" ref="H11:H13" si="1">H12</f>
        <v>1647072</v>
      </c>
      <c r="I11" s="385">
        <f t="shared" ref="I11:I14" si="2">SUM(G11:H11)</f>
        <v>1647072</v>
      </c>
      <c r="J11" s="385"/>
      <c r="K11" s="385">
        <f t="shared" ref="K11:L13" si="3">K12</f>
        <v>1647072</v>
      </c>
      <c r="L11" s="385">
        <f t="shared" si="3"/>
        <v>1647072</v>
      </c>
    </row>
    <row r="12" spans="1:12" ht="15.75" x14ac:dyDescent="0.2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394</v>
      </c>
      <c r="E12" s="112"/>
      <c r="F12" s="114"/>
      <c r="G12" s="390"/>
      <c r="H12" s="385">
        <f t="shared" si="1"/>
        <v>1647072</v>
      </c>
      <c r="I12" s="385">
        <f t="shared" si="2"/>
        <v>1647072</v>
      </c>
      <c r="J12" s="385"/>
      <c r="K12" s="385">
        <f t="shared" si="3"/>
        <v>1647072</v>
      </c>
      <c r="L12" s="385">
        <f t="shared" si="3"/>
        <v>1647072</v>
      </c>
    </row>
    <row r="13" spans="1:12" ht="31.5" x14ac:dyDescent="0.2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0"/>
      <c r="H13" s="385">
        <f t="shared" si="1"/>
        <v>1647072</v>
      </c>
      <c r="I13" s="385">
        <f t="shared" si="2"/>
        <v>1647072</v>
      </c>
      <c r="J13" s="385"/>
      <c r="K13" s="385">
        <f t="shared" si="3"/>
        <v>1647072</v>
      </c>
      <c r="L13" s="385">
        <f t="shared" si="3"/>
        <v>1647072</v>
      </c>
    </row>
    <row r="14" spans="1:12" ht="94.5" x14ac:dyDescent="0.2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2"/>
      <c r="H14" s="385">
        <v>1647072</v>
      </c>
      <c r="I14" s="385">
        <f t="shared" si="2"/>
        <v>1647072</v>
      </c>
      <c r="J14" s="385"/>
      <c r="K14" s="295">
        <v>1647072</v>
      </c>
      <c r="L14" s="295">
        <f t="shared" ref="L14" si="4">SUM(J14:K14)</f>
        <v>1647072</v>
      </c>
    </row>
    <row r="15" spans="1:12" ht="94.5" x14ac:dyDescent="0.2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0"/>
      <c r="H15" s="385">
        <f t="shared" ref="H15:L15" si="5">H16</f>
        <v>51092406</v>
      </c>
      <c r="I15" s="385">
        <f t="shared" si="5"/>
        <v>51092406</v>
      </c>
      <c r="J15" s="385"/>
      <c r="K15" s="385">
        <f t="shared" si="5"/>
        <v>15092406</v>
      </c>
      <c r="L15" s="385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394</v>
      </c>
      <c r="E16" s="112"/>
      <c r="F16" s="114"/>
      <c r="G16" s="390"/>
      <c r="H16" s="385">
        <f t="shared" ref="H16:I16" si="6">H17+H21</f>
        <v>51092406</v>
      </c>
      <c r="I16" s="385">
        <f t="shared" si="6"/>
        <v>51092406</v>
      </c>
      <c r="J16" s="385"/>
      <c r="K16" s="385">
        <f t="shared" ref="K16:L16" si="7">K17+K21</f>
        <v>15092406</v>
      </c>
      <c r="L16" s="385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0"/>
      <c r="H17" s="385">
        <f t="shared" ref="H17:I17" si="8">H18+H19+H20</f>
        <v>36000000</v>
      </c>
      <c r="I17" s="385">
        <f t="shared" si="8"/>
        <v>36000000</v>
      </c>
      <c r="J17" s="385"/>
      <c r="K17" s="385">
        <f t="shared" ref="K17:L17" si="9">K18+K19+K20</f>
        <v>0</v>
      </c>
      <c r="L17" s="385">
        <f t="shared" si="9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2"/>
      <c r="H18" s="385">
        <f>36000000-3000000</f>
        <v>33000000</v>
      </c>
      <c r="I18" s="385">
        <f t="shared" ref="I18:I278" si="10">SUM(G18:H18)</f>
        <v>33000000</v>
      </c>
      <c r="J18" s="385"/>
      <c r="K18" s="295">
        <v>0</v>
      </c>
      <c r="L18" s="295">
        <f t="shared" ref="L18:L278" si="11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2"/>
      <c r="H19" s="385">
        <v>3000000</v>
      </c>
      <c r="I19" s="385">
        <f t="shared" si="10"/>
        <v>3000000</v>
      </c>
      <c r="J19" s="385"/>
      <c r="K19" s="295">
        <v>0</v>
      </c>
      <c r="L19" s="295">
        <f t="shared" si="11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IF(B20&gt;0,VLOOKUP(B20,КВСР!A14:B1179,2),IF(C20&gt;0,VLOOKUP(C20,КФСР!A14:B1526,2),IF(D20&gt;0,VLOOKUP(D20,Программа!A$1:B$5110,2),IF(F20&gt;0,VLOOKUP(F20,КВР!A$1:B$5001,2),IF(E20&gt;0,VLOOKUP(E20,Направление!A$1:B$4783,2))))))</f>
        <v>Иные бюджетные ассигнования</v>
      </c>
      <c r="B20" s="117"/>
      <c r="C20" s="112"/>
      <c r="D20" s="113"/>
      <c r="E20" s="112"/>
      <c r="F20" s="114">
        <v>800</v>
      </c>
      <c r="G20" s="392"/>
      <c r="H20" s="385"/>
      <c r="I20" s="385">
        <f t="shared" si="10"/>
        <v>0</v>
      </c>
      <c r="J20" s="385"/>
      <c r="K20" s="295"/>
      <c r="L20" s="295">
        <f t="shared" si="11"/>
        <v>0</v>
      </c>
    </row>
    <row r="21" spans="1:12" ht="47.25" x14ac:dyDescent="0.2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IF(B21&gt;0,VLOOKUP(B21,КВСР!A15:B1180,2),IF(C21&gt;0,VLOOKUP(C21,КФСР!A15:B1527,2),IF(D21&gt;0,VLOOKUP(D21,Программа!A$1:B$5110,2),IF(F21&gt;0,VLOOKUP(F21,КВР!A$1:B$5001,2),IF(E21&gt;0,VLOOKUP(E21,Направление!A$1:B$4783,2))))))</f>
        <v>Содержание органов местного самоуправления за счет средств поселений</v>
      </c>
      <c r="B21" s="117"/>
      <c r="C21" s="112"/>
      <c r="D21" s="113"/>
      <c r="E21" s="112">
        <v>29016</v>
      </c>
      <c r="F21" s="114"/>
      <c r="G21" s="392"/>
      <c r="H21" s="385">
        <f t="shared" ref="H21:L21" si="12">H22</f>
        <v>15092406</v>
      </c>
      <c r="I21" s="385">
        <f t="shared" si="12"/>
        <v>15092406</v>
      </c>
      <c r="J21" s="385"/>
      <c r="K21" s="385">
        <f t="shared" si="12"/>
        <v>15092406</v>
      </c>
      <c r="L21" s="385">
        <f t="shared" si="12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2"/>
      <c r="H22" s="385">
        <v>15092406</v>
      </c>
      <c r="I22" s="385">
        <f>G22+H22</f>
        <v>15092406</v>
      </c>
      <c r="J22" s="385"/>
      <c r="K22" s="295">
        <v>15092406</v>
      </c>
      <c r="L22" s="295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IF(B23&gt;0,VLOOKUP(B23,КВСР!A17:B1182,2),IF(C23&gt;0,VLOOKUP(C23,КФСР!A17:B1529,2),IF(D23&gt;0,VLOOKUP(D23,Программа!A$1:B$5110,2),IF(F23&gt;0,VLOOKUP(F23,КВР!A$1:B$5001,2),IF(E23&gt;0,VLOOKUP(E23,Направление!A$1:B$4783,2))))))</f>
        <v>Судебная система</v>
      </c>
      <c r="B23" s="117"/>
      <c r="C23" s="112">
        <v>105</v>
      </c>
      <c r="D23" s="113"/>
      <c r="E23" s="112"/>
      <c r="F23" s="114"/>
      <c r="G23" s="392"/>
      <c r="H23" s="385">
        <f t="shared" ref="H23:L25" si="13">H24</f>
        <v>40685</v>
      </c>
      <c r="I23" s="385">
        <f t="shared" si="13"/>
        <v>40685</v>
      </c>
      <c r="J23" s="385"/>
      <c r="K23" s="385">
        <f t="shared" si="13"/>
        <v>2691</v>
      </c>
      <c r="L23" s="385">
        <f t="shared" si="13"/>
        <v>2691</v>
      </c>
    </row>
    <row r="24" spans="1:12" ht="15.75" x14ac:dyDescent="0.2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IF(B24&gt;0,VLOOKUP(B24,КВСР!A18:B1183,2),IF(C24&gt;0,VLOOKUP(C24,КФСР!A18:B1530,2),IF(D24&gt;0,VLOOKUP(D24,Программа!A$1:B$5110,2),IF(F24&gt;0,VLOOKUP(F24,КВР!A$1:B$5001,2),IF(E24&gt;0,VLOOKUP(E24,Направление!A$1:B$4783,2))))))</f>
        <v>Непрограммные расходы бюджета</v>
      </c>
      <c r="B24" s="117"/>
      <c r="C24" s="112"/>
      <c r="D24" s="113" t="s">
        <v>394</v>
      </c>
      <c r="E24" s="112"/>
      <c r="F24" s="114"/>
      <c r="G24" s="392"/>
      <c r="H24" s="385">
        <f t="shared" si="13"/>
        <v>40685</v>
      </c>
      <c r="I24" s="385">
        <f t="shared" si="13"/>
        <v>40685</v>
      </c>
      <c r="J24" s="385"/>
      <c r="K24" s="385">
        <f t="shared" si="13"/>
        <v>2691</v>
      </c>
      <c r="L24" s="385">
        <f t="shared" si="13"/>
        <v>2691</v>
      </c>
    </row>
    <row r="25" spans="1:12" ht="78.75" x14ac:dyDescent="0.2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2"/>
      <c r="H25" s="385">
        <f t="shared" si="13"/>
        <v>40685</v>
      </c>
      <c r="I25" s="385">
        <f t="shared" si="13"/>
        <v>40685</v>
      </c>
      <c r="J25" s="385"/>
      <c r="K25" s="385">
        <f t="shared" si="13"/>
        <v>2691</v>
      </c>
      <c r="L25" s="385">
        <f t="shared" si="13"/>
        <v>2691</v>
      </c>
    </row>
    <row r="26" spans="1:12" ht="63" x14ac:dyDescent="0.2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IF(B26&gt;0,VLOOKUP(B26,КВСР!A20:B1185,2),IF(C26&gt;0,VLOOKUP(C26,КФСР!A20:B1532,2),IF(D26&gt;0,VLOOKUP(D26,Программа!A$1:B$5110,2),IF(F26&gt;0,VLOOKUP(F26,КВР!A$1:B$5001,2),IF(E26&gt;0,VLOOKUP(E26,Направление!A$1:B$4783,2))))))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2"/>
      <c r="H26" s="385">
        <v>40685</v>
      </c>
      <c r="I26" s="385">
        <f>G26+H26</f>
        <v>40685</v>
      </c>
      <c r="J26" s="385"/>
      <c r="K26" s="295">
        <v>2691</v>
      </c>
      <c r="L26" s="295">
        <f>J26+K26</f>
        <v>2691</v>
      </c>
    </row>
    <row r="27" spans="1:12" ht="15.75" x14ac:dyDescent="0.2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IF(B27&gt;0,VLOOKUP(B27,КВСР!A14:B1179,2),IF(C27&gt;0,VLOOKUP(C27,КФСР!A14:B1526,2),IF(D27&gt;0,VLOOKUP(D27,Программа!A$1:B$5110,2),IF(F27&gt;0,VLOOKUP(F27,КВР!A$1:B$5001,2),IF(E27&gt;0,VLOOKUP(E27,Направление!A$1:B$4783,2))))))</f>
        <v>Резервные фонды</v>
      </c>
      <c r="B27" s="117"/>
      <c r="C27" s="112">
        <v>111</v>
      </c>
      <c r="D27" s="113"/>
      <c r="E27" s="112"/>
      <c r="F27" s="114"/>
      <c r="G27" s="390"/>
      <c r="H27" s="385">
        <f t="shared" ref="H27:H29" si="14">H28</f>
        <v>3000000</v>
      </c>
      <c r="I27" s="385">
        <f t="shared" si="10"/>
        <v>3000000</v>
      </c>
      <c r="J27" s="385"/>
      <c r="K27" s="385">
        <f t="shared" ref="K27:L29" si="15">K28</f>
        <v>3000000</v>
      </c>
      <c r="L27" s="385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IF(B28&gt;0,VLOOKUP(B28,КВСР!A22:B1187,2),IF(C28&gt;0,VLOOKUP(C28,КФСР!A22:B1534,2),IF(D28&gt;0,VLOOKUP(D28,Программа!A$1:B$5110,2),IF(F28&gt;0,VLOOKUP(F28,КВР!A$1:B$5001,2),IF(E28&gt;0,VLOOKUP(E28,Направление!A$1:B$4783,2))))))</f>
        <v>Непрограммные расходы бюджета</v>
      </c>
      <c r="B28" s="117"/>
      <c r="C28" s="112"/>
      <c r="D28" s="113" t="s">
        <v>394</v>
      </c>
      <c r="E28" s="112"/>
      <c r="F28" s="114"/>
      <c r="G28" s="390"/>
      <c r="H28" s="385">
        <f t="shared" si="14"/>
        <v>3000000</v>
      </c>
      <c r="I28" s="385">
        <f t="shared" si="10"/>
        <v>3000000</v>
      </c>
      <c r="J28" s="385"/>
      <c r="K28" s="385">
        <f t="shared" si="15"/>
        <v>3000000</v>
      </c>
      <c r="L28" s="385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IF(B29&gt;0,VLOOKUP(B29,КВСР!A23:B1188,2),IF(C29&gt;0,VLOOKUP(C29,КФСР!A23:B1535,2),IF(D29&gt;0,VLOOKUP(D29,Программа!A$1:B$5110,2),IF(F29&gt;0,VLOOKUP(F29,КВР!A$1:B$5001,2),IF(E29&gt;0,VLOOKUP(E29,Направление!A$1:B$4783,2))))))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0"/>
      <c r="H29" s="385">
        <f t="shared" si="14"/>
        <v>3000000</v>
      </c>
      <c r="I29" s="385">
        <f t="shared" si="10"/>
        <v>3000000</v>
      </c>
      <c r="J29" s="385"/>
      <c r="K29" s="385">
        <f t="shared" si="15"/>
        <v>3000000</v>
      </c>
      <c r="L29" s="385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IF(B30&gt;0,VLOOKUP(B30,КВСР!A24:B1189,2),IF(C30&gt;0,VLOOKUP(C30,КФСР!A24:B1536,2),IF(D30&gt;0,VLOOKUP(D30,Программа!A$1:B$5110,2),IF(F30&gt;0,VLOOKUP(F30,КВР!A$1:B$5001,2),IF(E30&gt;0,VLOOKUP(E30,Направление!A$1:B$4783,2))))))</f>
        <v>Иные бюджетные ассигнования</v>
      </c>
      <c r="B30" s="117"/>
      <c r="C30" s="112"/>
      <c r="D30" s="113"/>
      <c r="E30" s="112"/>
      <c r="F30" s="114">
        <v>800</v>
      </c>
      <c r="G30" s="392"/>
      <c r="H30" s="385">
        <v>3000000</v>
      </c>
      <c r="I30" s="385">
        <f t="shared" si="10"/>
        <v>3000000</v>
      </c>
      <c r="J30" s="385"/>
      <c r="K30" s="295">
        <v>3000000</v>
      </c>
      <c r="L30" s="295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IF(B31&gt;0,VLOOKUP(B31,КВСР!A25:B1190,2),IF(C31&gt;0,VLOOKUP(C31,КФСР!A25:B1537,2),IF(D31&gt;0,VLOOKUP(D31,Программа!A$1:B$5110,2),IF(F31&gt;0,VLOOKUP(F31,КВР!A$1:B$5001,2),IF(E31&gt;0,VLOOKUP(E31,Направление!A$1:B$4783,2))))))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0"/>
      <c r="H31" s="385">
        <f t="shared" ref="H31:I31" si="16">H40+H36+H32</f>
        <v>35634391</v>
      </c>
      <c r="I31" s="385">
        <f t="shared" si="16"/>
        <v>35634391</v>
      </c>
      <c r="J31" s="385"/>
      <c r="K31" s="385">
        <f t="shared" ref="K31:L31" si="17">K40+K36+K32</f>
        <v>9101980</v>
      </c>
      <c r="L31" s="385">
        <f t="shared" si="17"/>
        <v>9101980</v>
      </c>
    </row>
    <row r="32" spans="1:12" ht="94.5" hidden="1" x14ac:dyDescent="0.2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413</v>
      </c>
      <c r="E32" s="112"/>
      <c r="F32" s="114"/>
      <c r="G32" s="390"/>
      <c r="H32" s="385">
        <f t="shared" ref="H32:L34" si="18">H33</f>
        <v>0</v>
      </c>
      <c r="I32" s="385">
        <f t="shared" si="18"/>
        <v>0</v>
      </c>
      <c r="J32" s="385"/>
      <c r="K32" s="385">
        <f t="shared" ref="K32:K33" si="19">K33</f>
        <v>0</v>
      </c>
      <c r="L32" s="385">
        <f t="shared" ref="L32:L33" si="20">L33</f>
        <v>0</v>
      </c>
    </row>
    <row r="33" spans="1:12" ht="78.75" hidden="1" x14ac:dyDescent="0.2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414</v>
      </c>
      <c r="E33" s="112"/>
      <c r="F33" s="114"/>
      <c r="G33" s="390"/>
      <c r="H33" s="385">
        <f t="shared" si="18"/>
        <v>0</v>
      </c>
      <c r="I33" s="385">
        <f t="shared" si="18"/>
        <v>0</v>
      </c>
      <c r="J33" s="385"/>
      <c r="K33" s="385">
        <f t="shared" si="19"/>
        <v>0</v>
      </c>
      <c r="L33" s="385">
        <f t="shared" si="20"/>
        <v>0</v>
      </c>
    </row>
    <row r="34" spans="1:12" ht="47.25" hidden="1" x14ac:dyDescent="0.2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IF(B34&gt;0,VLOOKUP(B34,КВСР!A28:B1193,2),IF(C34&gt;0,VLOOKUP(C34,КФСР!A28:B1540,2),IF(D34&gt;0,VLOOKUP(D34,Программа!A$1:B$5110,2),IF(F34&gt;0,VLOOKUP(F34,КВР!A$1:B$5001,2),IF(E34&gt;0,VLOOKUP(E34,Направление!A$1:B$4783,2))))))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0"/>
      <c r="H34" s="385">
        <f t="shared" si="18"/>
        <v>0</v>
      </c>
      <c r="I34" s="385">
        <f t="shared" si="18"/>
        <v>0</v>
      </c>
      <c r="J34" s="385"/>
      <c r="K34" s="385">
        <f t="shared" si="18"/>
        <v>0</v>
      </c>
      <c r="L34" s="385">
        <f t="shared" si="18"/>
        <v>0</v>
      </c>
    </row>
    <row r="35" spans="1:12" ht="47.25" hidden="1" x14ac:dyDescent="0.2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IF(B35&gt;0,VLOOKUP(B35,КВСР!A29:B1194,2),IF(C35&gt;0,VLOOKUP(C35,КФСР!A29:B1541,2),IF(D35&gt;0,VLOOKUP(D35,Программа!A$1:B$5110,2),IF(F35&gt;0,VLOOKUP(F35,КВР!A$1:B$5001,2),IF(E35&gt;0,VLOOKUP(E35,Направление!A$1:B$4783,2))))))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0"/>
      <c r="H35" s="385"/>
      <c r="I35" s="385">
        <f>G35+H35</f>
        <v>0</v>
      </c>
      <c r="J35" s="385"/>
      <c r="K35" s="295"/>
      <c r="L35" s="295">
        <f>J35+K35</f>
        <v>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1248</v>
      </c>
      <c r="E36" s="112"/>
      <c r="F36" s="114"/>
      <c r="G36" s="390"/>
      <c r="H36" s="385">
        <f t="shared" ref="H36:L38" si="21">H37</f>
        <v>0</v>
      </c>
      <c r="I36" s="385">
        <f t="shared" si="21"/>
        <v>0</v>
      </c>
      <c r="J36" s="385"/>
      <c r="K36" s="295">
        <f t="shared" si="21"/>
        <v>0</v>
      </c>
      <c r="L36" s="295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IF(B37&gt;0,VLOOKUP(B37,КВСР!A27:B1192,2),IF(C37&gt;0,VLOOKUP(C37,КФСР!A27:B1539,2),IF(D37&gt;0,VLOOKUP(D37,Программа!A$1:B$5110,2),IF(F37&gt;0,VLOOKUP(F37,КВР!A$1:B$5001,2),IF(E37&gt;0,VLOOKUP(E37,Направление!A$1:B$4783,2))))))</f>
        <v>Мероприятия по обеспечению безопасности жителей района</v>
      </c>
      <c r="B37" s="117"/>
      <c r="C37" s="112"/>
      <c r="D37" s="113" t="s">
        <v>1249</v>
      </c>
      <c r="E37" s="112"/>
      <c r="F37" s="114"/>
      <c r="G37" s="390"/>
      <c r="H37" s="385">
        <f t="shared" si="21"/>
        <v>0</v>
      </c>
      <c r="I37" s="385">
        <f t="shared" si="21"/>
        <v>0</v>
      </c>
      <c r="J37" s="385"/>
      <c r="K37" s="295">
        <f t="shared" si="21"/>
        <v>0</v>
      </c>
      <c r="L37" s="295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IF(B38&gt;0,VLOOKUP(B38,КВСР!A28:B1193,2),IF(C38&gt;0,VLOOKUP(C38,КФСР!A28:B1540,2),IF(D38&gt;0,VLOOKUP(D38,Программа!A$1:B$5110,2),IF(F38&gt;0,VLOOKUP(F38,КВР!A$1:B$5001,2),IF(E38&gt;0,VLOOKUP(E38,Направление!A$1:B$4783,2))))))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0"/>
      <c r="H38" s="385">
        <f t="shared" si="21"/>
        <v>0</v>
      </c>
      <c r="I38" s="385">
        <f t="shared" si="21"/>
        <v>0</v>
      </c>
      <c r="J38" s="385"/>
      <c r="K38" s="295">
        <f t="shared" si="21"/>
        <v>0</v>
      </c>
      <c r="L38" s="295">
        <f t="shared" si="21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IF(B39&gt;0,VLOOKUP(B39,КВСР!A29:B1194,2),IF(C39&gt;0,VLOOKUP(C39,КФСР!A29:B1541,2),IF(D39&gt;0,VLOOKUP(D39,Программа!A$1:B$5110,2),IF(F39&gt;0,VLOOKUP(F39,КВР!A$1:B$5001,2),IF(E39&gt;0,VLOOKUP(E39,Направление!A$1:B$4783,2))))))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0"/>
      <c r="H39" s="385"/>
      <c r="I39" s="385">
        <f>G39+H39</f>
        <v>0</v>
      </c>
      <c r="J39" s="385"/>
      <c r="K39" s="295"/>
      <c r="L39" s="295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IF(B40&gt;0,VLOOKUP(B40,КВСР!A38:B1203,2),IF(C40&gt;0,VLOOKUP(C40,КФСР!A38:B1550,2),IF(D40&gt;0,VLOOKUP(D40,Программа!A$1:B$5110,2),IF(F40&gt;0,VLOOKUP(F40,КВР!A$1:B$5001,2),IF(E40&gt;0,VLOOKUP(E40,Направление!A$1:B$4783,2))))))</f>
        <v>Непрограммные расходы бюджета</v>
      </c>
      <c r="B40" s="117"/>
      <c r="C40" s="112"/>
      <c r="D40" s="113" t="s">
        <v>394</v>
      </c>
      <c r="E40" s="112"/>
      <c r="F40" s="114"/>
      <c r="G40" s="390"/>
      <c r="H40" s="385">
        <f t="shared" ref="H40:L40" si="22">H53+H56+H43+H48+H50+H41</f>
        <v>35634391</v>
      </c>
      <c r="I40" s="385">
        <f t="shared" si="22"/>
        <v>35634391</v>
      </c>
      <c r="J40" s="385">
        <f t="shared" si="22"/>
        <v>0</v>
      </c>
      <c r="K40" s="385">
        <f t="shared" si="22"/>
        <v>9101980</v>
      </c>
      <c r="L40" s="385">
        <f t="shared" si="22"/>
        <v>9101980</v>
      </c>
    </row>
    <row r="41" spans="1:12" ht="31.5" x14ac:dyDescent="0.2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IF(B41&gt;0,VLOOKUP(B41,КВСР!A37:B1202,2),IF(C41&gt;0,VLOOKUP(C41,КФСР!A37:B1549,2),IF(D41&gt;0,VLOOKUP(D41,Программа!A$1:B$5110,2),IF(F41&gt;0,VLOOKUP(F41,КВР!A$1:B$5001,2),IF(E41&gt;0,VLOOKUP(E41,Направление!A$1:B$4783,2))))))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0"/>
      <c r="H41" s="385">
        <f t="shared" ref="H41:L41" si="23">H42</f>
        <v>8000000</v>
      </c>
      <c r="I41" s="385">
        <f t="shared" si="23"/>
        <v>8000000</v>
      </c>
      <c r="J41" s="385"/>
      <c r="K41" s="385">
        <f t="shared" si="23"/>
        <v>4500000</v>
      </c>
      <c r="L41" s="385">
        <f t="shared" si="23"/>
        <v>4500000</v>
      </c>
    </row>
    <row r="42" spans="1:12" ht="15.75" x14ac:dyDescent="0.2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IF(B42&gt;0,VLOOKUP(B42,КВСР!A38:B1203,2),IF(C42&gt;0,VLOOKUP(C42,КФСР!A38:B1550,2),IF(D42&gt;0,VLOOKUP(D42,Программа!A$1:B$5110,2),IF(F42&gt;0,VLOOKUP(F42,КВР!A$1:B$5001,2),IF(E42&gt;0,VLOOKUP(E42,Направление!A$1:B$4783,2))))))</f>
        <v>Иные бюджетные ассигнования</v>
      </c>
      <c r="B42" s="117"/>
      <c r="C42" s="112"/>
      <c r="D42" s="113"/>
      <c r="E42" s="112"/>
      <c r="F42" s="114">
        <v>800</v>
      </c>
      <c r="G42" s="390"/>
      <c r="H42" s="385">
        <v>8000000</v>
      </c>
      <c r="I42" s="385">
        <f>G42+H42</f>
        <v>8000000</v>
      </c>
      <c r="J42" s="385"/>
      <c r="K42" s="295">
        <v>4500000</v>
      </c>
      <c r="L42" s="295">
        <f>J42+K42</f>
        <v>4500000</v>
      </c>
    </row>
    <row r="43" spans="1:12" ht="47.25" x14ac:dyDescent="0.2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IF(B43&gt;0,VLOOKUP(B43,КВСР!A39:B1204,2),IF(C43&gt;0,VLOOKUP(C43,КФСР!A39:B1551,2),IF(D43&gt;0,VLOOKUP(D43,Программа!A$1:B$5110,2),IF(F43&gt;0,VLOOKUP(F43,КВР!A$1:B$5001,2),IF(E43&gt;0,VLOOKUP(E43,Направление!A$1:B$4783,2))))))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0"/>
      <c r="H43" s="385">
        <f t="shared" ref="H43:L43" si="24">H44+H45+H46+H47</f>
        <v>23000000</v>
      </c>
      <c r="I43" s="385">
        <f t="shared" si="24"/>
        <v>23000000</v>
      </c>
      <c r="J43" s="385"/>
      <c r="K43" s="295">
        <f t="shared" si="24"/>
        <v>0</v>
      </c>
      <c r="L43" s="295">
        <f t="shared" si="24"/>
        <v>0</v>
      </c>
    </row>
    <row r="44" spans="1:12" ht="110.25" x14ac:dyDescent="0.2">
      <c r="A44" s="116" t="str">
        <f>IF(B44&gt;0,VLOOKUP(B44,КВСР!A40:B1205,2),IF(C44&gt;0,VLOOKUP(C44,КФСР!A40:B1552,2),IF(D44&gt;0,VLOOKUP(D44,Программа!A$1:B$5110,2),IF(F44&gt;0,VLOOKUP(F44,КВР!A$1:B$5001,2),IF(E44&gt;0,VLOOKUP(E44,Направление!A$1:B$4783,2))))))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393"/>
      <c r="H44" s="385">
        <f>6500000+8000000</f>
        <v>14500000</v>
      </c>
      <c r="I44" s="385">
        <f t="shared" si="10"/>
        <v>14500000</v>
      </c>
      <c r="J44" s="385"/>
      <c r="K44" s="295">
        <v>0</v>
      </c>
      <c r="L44" s="295">
        <f t="shared" si="11"/>
        <v>0</v>
      </c>
    </row>
    <row r="45" spans="1:12" ht="63" x14ac:dyDescent="0.2">
      <c r="A45" s="116" t="str">
        <f>IF(B45&gt;0,VLOOKUP(B45,КВСР!A41:B1206,2),IF(C45&gt;0,VLOOKUP(C45,КФСР!A41:B1553,2),IF(D45&gt;0,VLOOKUP(D45,Программа!A$1:B$5110,2),IF(F45&gt;0,VLOOKUP(F45,КВР!A$1:B$5001,2),IF(E45&gt;0,VLOOKUP(E45,Направление!A$1:B$4783,2))))))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393"/>
      <c r="H45" s="385">
        <v>2500000</v>
      </c>
      <c r="I45" s="385">
        <f t="shared" si="10"/>
        <v>2500000</v>
      </c>
      <c r="J45" s="385"/>
      <c r="K45" s="295">
        <v>0</v>
      </c>
      <c r="L45" s="295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IF(B46&gt;0,VLOOKUP(B46,КВСР!A42:B1207,2),IF(C46&gt;0,VLOOKUP(C46,КФСР!A42:B1554,2),IF(D46&gt;0,VLOOKUP(D46,Программа!A$1:B$5110,2),IF(F46&gt;0,VLOOKUP(F46,КВР!A$1:B$5001,2),IF(E46&gt;0,VLOOKUP(E46,Направление!A$1:B$4783,2))))))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3"/>
      <c r="H46" s="385">
        <v>6000000</v>
      </c>
      <c r="I46" s="385">
        <f t="shared" si="10"/>
        <v>6000000</v>
      </c>
      <c r="J46" s="385"/>
      <c r="K46" s="295">
        <v>0</v>
      </c>
      <c r="L46" s="295">
        <f t="shared" si="11"/>
        <v>0</v>
      </c>
    </row>
    <row r="47" spans="1:12" ht="15.75" hidden="1" x14ac:dyDescent="0.2">
      <c r="A47" s="116" t="str">
        <f>IF(B47&gt;0,VLOOKUP(B47,КВСР!A43:B1208,2),IF(C47&gt;0,VLOOKUP(C47,КФСР!A43:B1555,2),IF(D47&gt;0,VLOOKUP(D47,Программа!A$1:B$5110,2),IF(F47&gt;0,VLOOKUP(F47,КВР!A$1:B$5001,2),IF(E47&gt;0,VLOOKUP(E47,Направление!A$1:B$4783,2))))))</f>
        <v>Иные бюджетные ассигнования</v>
      </c>
      <c r="B47" s="117"/>
      <c r="C47" s="112"/>
      <c r="D47" s="113"/>
      <c r="E47" s="112"/>
      <c r="F47" s="114">
        <v>800</v>
      </c>
      <c r="G47" s="393"/>
      <c r="H47" s="385"/>
      <c r="I47" s="385">
        <f t="shared" si="10"/>
        <v>0</v>
      </c>
      <c r="J47" s="385"/>
      <c r="K47" s="295"/>
      <c r="L47" s="295">
        <f t="shared" si="11"/>
        <v>0</v>
      </c>
    </row>
    <row r="48" spans="1:12" ht="31.5" hidden="1" x14ac:dyDescent="0.2">
      <c r="A48" s="116" t="str">
        <f>IF(B48&gt;0,VLOOKUP(B48,КВСР!A44:B1209,2),IF(C48&gt;0,VLOOKUP(C48,КФСР!A44:B1556,2),IF(D48&gt;0,VLOOKUP(D48,Программа!A$1:B$5110,2),IF(F48&gt;0,VLOOKUP(F48,КВР!A$1:B$5001,2),IF(E48&gt;0,VLOOKUP(E48,Направление!A$1:B$4783,2))))))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3"/>
      <c r="H48" s="385">
        <f t="shared" ref="H48:I48" si="25">H49</f>
        <v>0</v>
      </c>
      <c r="I48" s="385">
        <f t="shared" si="25"/>
        <v>0</v>
      </c>
      <c r="J48" s="385"/>
      <c r="K48" s="295"/>
      <c r="L48" s="295">
        <f t="shared" si="11"/>
        <v>0</v>
      </c>
    </row>
    <row r="49" spans="1:12" ht="63" hidden="1" x14ac:dyDescent="0.2">
      <c r="A49" s="116" t="str">
        <f>IF(B49&gt;0,VLOOKUP(B49,КВСР!A45:B1210,2),IF(C49&gt;0,VLOOKUP(C49,КФСР!A45:B1557,2),IF(D49&gt;0,VLOOKUP(D49,Программа!A$1:B$5110,2),IF(F49&gt;0,VLOOKUP(F49,КВР!A$1:B$5001,2),IF(E49&gt;0,VLOOKUP(E49,Направление!A$1:B$4783,2))))))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393"/>
      <c r="H49" s="385"/>
      <c r="I49" s="385">
        <f>G49+H49</f>
        <v>0</v>
      </c>
      <c r="J49" s="385"/>
      <c r="K49" s="295"/>
      <c r="L49" s="295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IF(B50&gt;0,VLOOKUP(B50,КВСР!A46:B1211,2),IF(C50&gt;0,VLOOKUP(C50,КФСР!A46:B1558,2),IF(D50&gt;0,VLOOKUP(D50,Программа!A$1:B$5110,2),IF(F50&gt;0,VLOOKUP(F50,КВР!A$1:B$5001,2),IF(E50&gt;0,VLOOKUP(E50,Направление!A$1:B$4783,2))))))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3"/>
      <c r="H50" s="385">
        <f t="shared" ref="H50:L50" si="26">H51+H52</f>
        <v>2367949</v>
      </c>
      <c r="I50" s="385">
        <f t="shared" si="26"/>
        <v>2367949</v>
      </c>
      <c r="J50" s="385"/>
      <c r="K50" s="295">
        <f t="shared" si="26"/>
        <v>2087536</v>
      </c>
      <c r="L50" s="295">
        <f t="shared" si="26"/>
        <v>2087536</v>
      </c>
    </row>
    <row r="51" spans="1:12" ht="110.25" x14ac:dyDescent="0.2">
      <c r="A51" s="116" t="str">
        <f>IF(B51&gt;0,VLOOKUP(B51,КВСР!A47:B1212,2),IF(C51&gt;0,VLOOKUP(C51,КФСР!A47:B1559,2),IF(D51&gt;0,VLOOKUP(D51,Программа!A$1:B$5110,2),IF(F51&gt;0,VLOOKUP(F51,КВР!A$1:B$5001,2),IF(E51&gt;0,VLOOKUP(E51,Направление!A$1:B$4783,2))))))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393"/>
      <c r="H51" s="385">
        <f>1800000+543600</f>
        <v>2343600</v>
      </c>
      <c r="I51" s="385">
        <f t="shared" ref="I51:I52" si="27">G51+H51</f>
        <v>2343600</v>
      </c>
      <c r="J51" s="385"/>
      <c r="K51" s="295">
        <v>2087536</v>
      </c>
      <c r="L51" s="295">
        <f t="shared" si="11"/>
        <v>2087536</v>
      </c>
    </row>
    <row r="52" spans="1:12" ht="63" x14ac:dyDescent="0.2">
      <c r="A52" s="116" t="str">
        <f>IF(B52&gt;0,VLOOKUP(B52,КВСР!A48:B1213,2),IF(C52&gt;0,VLOOKUP(C52,КФСР!A48:B1560,2),IF(D52&gt;0,VLOOKUP(D52,Программа!A$1:B$5110,2),IF(F52&gt;0,VLOOKUP(F52,КВР!A$1:B$5001,2),IF(E52&gt;0,VLOOKUP(E52,Направление!A$1:B$4783,2))))))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85"/>
      <c r="H52" s="385">
        <v>24349</v>
      </c>
      <c r="I52" s="385">
        <f t="shared" si="27"/>
        <v>24349</v>
      </c>
      <c r="J52" s="385"/>
      <c r="K52" s="295">
        <v>0</v>
      </c>
      <c r="L52" s="295">
        <f t="shared" si="11"/>
        <v>0</v>
      </c>
    </row>
    <row r="53" spans="1:12" ht="63" x14ac:dyDescent="0.2">
      <c r="A53" s="116" t="str">
        <f>IF(B53&gt;0,VLOOKUP(B53,КВСР!A39:B1204,2),IF(C53&gt;0,VLOOKUP(C53,КФСР!A39:B1551,2),IF(D53&gt;0,VLOOKUP(D53,Программа!A$1:B$5110,2),IF(F53&gt;0,VLOOKUP(F53,КВР!A$1:B$5001,2),IF(E53&gt;0,VLOOKUP(E53,Направление!A$1:B$4783,2))))))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85"/>
      <c r="H53" s="385">
        <f t="shared" ref="H53" si="28">H54+H55</f>
        <v>2059810</v>
      </c>
      <c r="I53" s="385">
        <f t="shared" si="10"/>
        <v>2059810</v>
      </c>
      <c r="J53" s="385"/>
      <c r="K53" s="295">
        <f t="shared" ref="K53" si="29">K54+K55</f>
        <v>2307812</v>
      </c>
      <c r="L53" s="295">
        <f t="shared" si="11"/>
        <v>2307812</v>
      </c>
    </row>
    <row r="54" spans="1:12" ht="110.25" x14ac:dyDescent="0.2">
      <c r="A54" s="116" t="str">
        <f>IF(B54&gt;0,VLOOKUP(B54,КВСР!A40:B1205,2),IF(C54&gt;0,VLOOKUP(C54,КФСР!A40:B1552,2),IF(D54&gt;0,VLOOKUP(D54,Программа!A$1:B$5110,2),IF(F54&gt;0,VLOOKUP(F54,КВР!A$1:B$5001,2),IF(E54&gt;0,VLOOKUP(E54,Направление!A$1:B$4783,2))))))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85"/>
      <c r="H54" s="385">
        <f>1550000+468100</f>
        <v>2018100</v>
      </c>
      <c r="I54" s="385">
        <f t="shared" si="10"/>
        <v>2018100</v>
      </c>
      <c r="J54" s="385"/>
      <c r="K54" s="295">
        <f>1750000+528500</f>
        <v>2278500</v>
      </c>
      <c r="L54" s="295">
        <f t="shared" si="11"/>
        <v>2278500</v>
      </c>
    </row>
    <row r="55" spans="1:12" ht="63" x14ac:dyDescent="0.2">
      <c r="A55" s="116" t="str">
        <f>IF(B55&gt;0,VLOOKUP(B55,КВСР!A41:B1206,2),IF(C55&gt;0,VLOOKUP(C55,КФСР!A41:B1553,2),IF(D55&gt;0,VLOOKUP(D55,Программа!A$1:B$5110,2),IF(F55&gt;0,VLOOKUP(F55,КВР!A$1:B$5001,2),IF(E55&gt;0,VLOOKUP(E55,Направление!A$1:B$4783,2))))))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85"/>
      <c r="H55" s="385">
        <f>41710</f>
        <v>41710</v>
      </c>
      <c r="I55" s="385">
        <f t="shared" si="10"/>
        <v>41710</v>
      </c>
      <c r="J55" s="385"/>
      <c r="K55" s="295">
        <v>29312</v>
      </c>
      <c r="L55" s="295">
        <f t="shared" si="11"/>
        <v>29312</v>
      </c>
    </row>
    <row r="56" spans="1:12" ht="63" x14ac:dyDescent="0.2">
      <c r="A56" s="116" t="str">
        <f>IF(B56&gt;0,VLOOKUP(B56,КВСР!A42:B1207,2),IF(C56&gt;0,VLOOKUP(C56,КФСР!A42:B1554,2),IF(D56&gt;0,VLOOKUP(D56,Программа!A$1:B$5110,2),IF(F56&gt;0,VLOOKUP(F56,КВР!A$1:B$5001,2),IF(E56&gt;0,VLOOKUP(E56,Направление!A$1:B$4783,2))))))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85"/>
      <c r="H56" s="385">
        <f t="shared" ref="H56" si="30">H57+H58</f>
        <v>206632</v>
      </c>
      <c r="I56" s="385">
        <f t="shared" si="10"/>
        <v>206632</v>
      </c>
      <c r="J56" s="385"/>
      <c r="K56" s="295">
        <f t="shared" ref="K56" si="31">K57+K58</f>
        <v>206632</v>
      </c>
      <c r="L56" s="295">
        <f t="shared" si="11"/>
        <v>206632</v>
      </c>
    </row>
    <row r="57" spans="1:12" ht="110.25" x14ac:dyDescent="0.2">
      <c r="A57" s="116" t="str">
        <f>IF(B57&gt;0,VLOOKUP(B57,КВСР!A43:B1208,2),IF(C57&gt;0,VLOOKUP(C57,КФСР!A43:B1555,2),IF(D57&gt;0,VLOOKUP(D57,Программа!A$1:B$5110,2),IF(F57&gt;0,VLOOKUP(F57,КВР!A$1:B$5001,2),IF(E57&gt;0,VLOOKUP(E57,Направление!A$1:B$4783,2))))))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85"/>
      <c r="H57" s="385">
        <f>150000+45300</f>
        <v>195300</v>
      </c>
      <c r="I57" s="385">
        <f t="shared" si="10"/>
        <v>195300</v>
      </c>
      <c r="J57" s="385"/>
      <c r="K57" s="295">
        <v>195300</v>
      </c>
      <c r="L57" s="295">
        <f t="shared" si="11"/>
        <v>195300</v>
      </c>
    </row>
    <row r="58" spans="1:12" ht="63" x14ac:dyDescent="0.2">
      <c r="A58" s="116" t="str">
        <f>IF(B58&gt;0,VLOOKUP(B58,КВСР!A44:B1209,2),IF(C58&gt;0,VLOOKUP(C58,КФСР!A44:B1556,2),IF(D58&gt;0,VLOOKUP(D58,Программа!A$1:B$5110,2),IF(F58&gt;0,VLOOKUP(F58,КВР!A$1:B$5001,2),IF(E58&gt;0,VLOOKUP(E58,Направление!A$1:B$4783,2))))))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85"/>
      <c r="H58" s="385">
        <f>7000+2332+2000</f>
        <v>11332</v>
      </c>
      <c r="I58" s="385">
        <f t="shared" si="10"/>
        <v>11332</v>
      </c>
      <c r="J58" s="385"/>
      <c r="K58" s="295">
        <v>11332</v>
      </c>
      <c r="L58" s="295">
        <f t="shared" si="11"/>
        <v>11332</v>
      </c>
    </row>
    <row r="59" spans="1:12" ht="63" hidden="1" x14ac:dyDescent="0.2">
      <c r="A59" s="116" t="str">
        <f>IF(B59&gt;0,VLOOKUP(B59,КВСР!A45:B1210,2),IF(C59&gt;0,VLOOKUP(C59,КФСР!A45:B1557,2),IF(D59&gt;0,VLOOKUP(D59,Программа!A$1:B$5110,2),IF(F59&gt;0,VLOOKUP(F59,КВР!A$1:B$5001,2),IF(E59&gt;0,VLOOKUP(E59,Направление!A$1:B$4783,2))))))</f>
        <v>Защита населения и территории от чрезвычайных ситуаций природного и техногенного характера, пожарная безопасность</v>
      </c>
      <c r="B59" s="117"/>
      <c r="C59" s="112">
        <v>310</v>
      </c>
      <c r="D59" s="113"/>
      <c r="E59" s="112"/>
      <c r="F59" s="114"/>
      <c r="G59" s="385"/>
      <c r="H59" s="385">
        <f t="shared" ref="H59:L60" si="32">H60</f>
        <v>0</v>
      </c>
      <c r="I59" s="385">
        <f t="shared" si="32"/>
        <v>0</v>
      </c>
      <c r="J59" s="385"/>
      <c r="K59" s="385">
        <f t="shared" si="32"/>
        <v>0</v>
      </c>
      <c r="L59" s="385">
        <f t="shared" si="32"/>
        <v>0</v>
      </c>
    </row>
    <row r="60" spans="1:12" ht="15.75" hidden="1" x14ac:dyDescent="0.2">
      <c r="A60" s="116" t="str">
        <f>IF(B60&gt;0,VLOOKUP(B60,КВСР!A46:B1211,2),IF(C60&gt;0,VLOOKUP(C60,КФСР!A46:B1558,2),IF(D60&gt;0,VLOOKUP(D60,Программа!A$1:B$5110,2),IF(F60&gt;0,VLOOKUP(F60,КВР!A$1:B$5001,2),IF(E60&gt;0,VLOOKUP(E60,Направление!A$1:B$4783,2))))))</f>
        <v>Непрограммные расходы бюджета</v>
      </c>
      <c r="B60" s="117"/>
      <c r="C60" s="112"/>
      <c r="D60" s="113" t="s">
        <v>394</v>
      </c>
      <c r="E60" s="112"/>
      <c r="F60" s="114"/>
      <c r="G60" s="385"/>
      <c r="H60" s="385">
        <f t="shared" si="32"/>
        <v>0</v>
      </c>
      <c r="I60" s="385">
        <f t="shared" si="32"/>
        <v>0</v>
      </c>
      <c r="J60" s="385"/>
      <c r="K60" s="385">
        <f t="shared" si="32"/>
        <v>0</v>
      </c>
      <c r="L60" s="385">
        <f t="shared" si="32"/>
        <v>0</v>
      </c>
    </row>
    <row r="61" spans="1:12" ht="31.5" hidden="1" x14ac:dyDescent="0.2">
      <c r="A61" s="116" t="str">
        <f>IF(B61&gt;0,VLOOKUP(B61,КВСР!A47:B1212,2),IF(C61&gt;0,VLOOKUP(C61,КФСР!A47:B1559,2),IF(D61&gt;0,VLOOKUP(D61,Программа!A$1:B$5110,2),IF(F61&gt;0,VLOOKUP(F61,КВР!A$1:B$5001,2),IF(E61&gt;0,VLOOKUP(E61,Направление!A$1:B$4783,2))))))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85"/>
      <c r="H61" s="385">
        <f t="shared" ref="H61:L61" si="33">H62+H63</f>
        <v>0</v>
      </c>
      <c r="I61" s="385">
        <f t="shared" si="33"/>
        <v>0</v>
      </c>
      <c r="J61" s="385"/>
      <c r="K61" s="385">
        <f t="shared" si="33"/>
        <v>0</v>
      </c>
      <c r="L61" s="385">
        <f t="shared" si="33"/>
        <v>0</v>
      </c>
    </row>
    <row r="62" spans="1:12" ht="110.25" hidden="1" x14ac:dyDescent="0.2">
      <c r="A62" s="116" t="str">
        <f>IF(B62&gt;0,VLOOKUP(B62,КВСР!A48:B1213,2),IF(C62&gt;0,VLOOKUP(C62,КФСР!A48:B1560,2),IF(D62&gt;0,VLOOKUP(D62,Программа!A$1:B$5110,2),IF(F62&gt;0,VLOOKUP(F62,КВР!A$1:B$5001,2),IF(E62&gt;0,VLOOKUP(E62,Направление!A$1:B$4783,2))))))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385"/>
      <c r="H62" s="385"/>
      <c r="I62" s="385">
        <f>G62+H62</f>
        <v>0</v>
      </c>
      <c r="J62" s="385"/>
      <c r="K62" s="295"/>
      <c r="L62" s="295">
        <f>J62+K62</f>
        <v>0</v>
      </c>
    </row>
    <row r="63" spans="1:12" ht="63" hidden="1" x14ac:dyDescent="0.2">
      <c r="A63" s="116" t="str">
        <f>IF(B63&gt;0,VLOOKUP(B63,КВСР!A49:B1214,2),IF(C63&gt;0,VLOOKUP(C63,КФСР!A49:B1561,2),IF(D63&gt;0,VLOOKUP(D63,Программа!A$1:B$5110,2),IF(F63&gt;0,VLOOKUP(F63,КВР!A$1:B$5001,2),IF(E63&gt;0,VLOOKUP(E63,Направление!A$1:B$4783,2))))))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385"/>
      <c r="H63" s="385"/>
      <c r="I63" s="385">
        <f>G63+H63</f>
        <v>0</v>
      </c>
      <c r="J63" s="385"/>
      <c r="K63" s="295"/>
      <c r="L63" s="295">
        <f>J63+K63</f>
        <v>0</v>
      </c>
    </row>
    <row r="64" spans="1:12" ht="15.75" x14ac:dyDescent="0.2">
      <c r="A64" s="116" t="str">
        <f>IF(B64&gt;0,VLOOKUP(B64,КВСР!A45:B1210,2),IF(C64&gt;0,VLOOKUP(C64,КФСР!A45:B1557,2),IF(D64&gt;0,VLOOKUP(D64,Программа!A$1:B$5110,2),IF(F64&gt;0,VLOOKUP(F64,КВР!A$1:B$5001,2),IF(E64&gt;0,VLOOKUP(E64,Направление!A$1:B$4783,2))))))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85"/>
      <c r="H64" s="385">
        <f t="shared" ref="H64" si="34">H65+H82</f>
        <v>956376</v>
      </c>
      <c r="I64" s="385">
        <f t="shared" ref="I64:L64" si="35">I65+I82</f>
        <v>956376</v>
      </c>
      <c r="J64" s="385">
        <f t="shared" si="35"/>
        <v>0</v>
      </c>
      <c r="K64" s="385">
        <f t="shared" si="35"/>
        <v>956376</v>
      </c>
      <c r="L64" s="385">
        <f t="shared" si="35"/>
        <v>956376</v>
      </c>
    </row>
    <row r="65" spans="1:12" ht="94.5" x14ac:dyDescent="0.2">
      <c r="A65" s="116" t="str">
        <f>IF(B65&gt;0,VLOOKUP(B65,КВСР!A46:B1211,2),IF(C65&gt;0,VLOOKUP(C65,КФСР!A46:B1558,2),IF(D65&gt;0,VLOOKUP(D65,Программа!A$1:B$5110,2),IF(F65&gt;0,VLOOKUP(F65,КВР!A$1:B$5001,2),IF(E65&gt;0,VLOOKUP(E65,Направление!A$1:B$4783,2))))))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422</v>
      </c>
      <c r="E65" s="112"/>
      <c r="F65" s="114"/>
      <c r="G65" s="385"/>
      <c r="H65" s="385">
        <f t="shared" ref="H65:L80" si="36">H66</f>
        <v>200000</v>
      </c>
      <c r="I65" s="385">
        <f t="shared" si="36"/>
        <v>200000</v>
      </c>
      <c r="J65" s="385">
        <f t="shared" si="36"/>
        <v>0</v>
      </c>
      <c r="K65" s="385">
        <f t="shared" si="36"/>
        <v>200000</v>
      </c>
      <c r="L65" s="385">
        <f t="shared" si="36"/>
        <v>200000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IF(B66&gt;0,VLOOKUP(B66,КВСР!A47:B1212,2),IF(C66&gt;0,VLOOKUP(C66,КФСР!A47:B1559,2),IF(D66&gt;0,VLOOKUP(D66,Программа!A$1:B$5110,2),IF(F66&gt;0,VLOOKUP(F66,КВР!A$1:B$5001,2),IF(E66&gt;0,VLOOKUP(E66,Направление!A$1:B$4783,2))))))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423</v>
      </c>
      <c r="E66" s="112"/>
      <c r="F66" s="114"/>
      <c r="G66" s="385"/>
      <c r="H66" s="385">
        <f t="shared" ref="H66" si="37">H67+H74+H77</f>
        <v>200000</v>
      </c>
      <c r="I66" s="385">
        <f t="shared" ref="I66:L66" si="38">I67+I74+I77</f>
        <v>200000</v>
      </c>
      <c r="J66" s="385">
        <f t="shared" si="38"/>
        <v>0</v>
      </c>
      <c r="K66" s="385">
        <f t="shared" si="38"/>
        <v>200000</v>
      </c>
      <c r="L66" s="385">
        <f t="shared" si="38"/>
        <v>200000</v>
      </c>
    </row>
    <row r="67" spans="1:12" ht="78.75" hidden="1" x14ac:dyDescent="0.2">
      <c r="A67" s="116" t="str">
        <f>IF(B67&gt;0,VLOOKUP(B67,КВСР!A48:B1213,2),IF(C67&gt;0,VLOOKUP(C67,КФСР!A48:B1560,2),IF(D67&gt;0,VLOOKUP(D67,Программа!A$1:B$5110,2),IF(F67&gt;0,VLOOKUP(F67,КВР!A$1:B$5001,2),IF(E67&gt;0,VLOOKUP(E67,Направление!A$1:B$4783,2))))))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425</v>
      </c>
      <c r="E67" s="112"/>
      <c r="F67" s="114"/>
      <c r="G67" s="385"/>
      <c r="H67" s="385">
        <f>H68+H70+H72</f>
        <v>0</v>
      </c>
      <c r="I67" s="385">
        <f t="shared" ref="I67:L67" si="39">I68+I70+I72</f>
        <v>0</v>
      </c>
      <c r="J67" s="385"/>
      <c r="K67" s="385">
        <f t="shared" si="39"/>
        <v>0</v>
      </c>
      <c r="L67" s="385">
        <f t="shared" si="39"/>
        <v>0</v>
      </c>
    </row>
    <row r="68" spans="1:12" ht="47.25" hidden="1" x14ac:dyDescent="0.2">
      <c r="A68" s="116" t="str">
        <f>IF(B68&gt;0,VLOOKUP(B68,КВСР!A49:B1214,2),IF(C68&gt;0,VLOOKUP(C68,КФСР!A49:B1561,2),IF(D68&gt;0,VLOOKUP(D68,Программа!A$1:B$5110,2),IF(F68&gt;0,VLOOKUP(F68,КВР!A$1:B$5001,2),IF(E68&gt;0,VLOOKUP(E68,Направление!A$1:B$4783,2))))))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85"/>
      <c r="H68" s="385">
        <f t="shared" ref="H68:L68" si="40">H69</f>
        <v>0</v>
      </c>
      <c r="I68" s="385">
        <f t="shared" si="40"/>
        <v>0</v>
      </c>
      <c r="J68" s="385"/>
      <c r="K68" s="385">
        <f t="shared" si="40"/>
        <v>0</v>
      </c>
      <c r="L68" s="385">
        <f t="shared" si="40"/>
        <v>0</v>
      </c>
    </row>
    <row r="69" spans="1:12" ht="15.75" hidden="1" x14ac:dyDescent="0.2">
      <c r="A69" s="116" t="str">
        <f>IF(B69&gt;0,VLOOKUP(B69,КВСР!A50:B1215,2),IF(C69&gt;0,VLOOKUP(C69,КФСР!A50:B1562,2),IF(D69&gt;0,VLOOKUP(D69,Программа!A$1:B$5110,2),IF(F69&gt;0,VLOOKUP(F69,КВР!A$1:B$5001,2),IF(E69&gt;0,VLOOKUP(E69,Направление!A$1:B$4783,2))))))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3"/>
      <c r="E69" s="112"/>
      <c r="F69" s="114">
        <v>800</v>
      </c>
      <c r="G69" s="385"/>
      <c r="H69" s="385"/>
      <c r="I69" s="385">
        <f>G69+H69</f>
        <v>0</v>
      </c>
      <c r="J69" s="385"/>
      <c r="K69" s="295"/>
      <c r="L69" s="295">
        <f>J69+K69</f>
        <v>0</v>
      </c>
    </row>
    <row r="70" spans="1:12" ht="63" hidden="1" x14ac:dyDescent="0.2">
      <c r="A70" s="116" t="str">
        <f>IF(B70&gt;0,VLOOKUP(B70,КВСР!A51:B1216,2),IF(C70&gt;0,VLOOKUP(C70,КФСР!A51:B1563,2),IF(D70&gt;0,VLOOKUP(D70,Программа!A$1:B$5110,2),IF(F70&gt;0,VLOOKUP(F70,КВР!A$1:B$5001,2),IF(E70&gt;0,VLOOKUP(E70,Направление!A$1:B$4783,2))))))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85"/>
      <c r="H70" s="385">
        <f t="shared" ref="H70:L70" si="41">H71</f>
        <v>0</v>
      </c>
      <c r="I70" s="385">
        <f t="shared" si="41"/>
        <v>0</v>
      </c>
      <c r="J70" s="385"/>
      <c r="K70" s="385">
        <f t="shared" si="41"/>
        <v>0</v>
      </c>
      <c r="L70" s="385">
        <f t="shared" si="41"/>
        <v>0</v>
      </c>
    </row>
    <row r="71" spans="1:12" ht="15.75" hidden="1" x14ac:dyDescent="0.2">
      <c r="A71" s="116" t="str">
        <f>IF(B71&gt;0,VLOOKUP(B71,КВСР!A52:B1217,2),IF(C71&gt;0,VLOOKUP(C71,КФСР!A52:B1564,2),IF(D71&gt;0,VLOOKUP(D71,Программа!A$1:B$5110,2),IF(F71&gt;0,VLOOKUP(F71,КВР!A$1:B$5001,2),IF(E71&gt;0,VLOOKUP(E71,Направление!A$1:B$4783,2))))))</f>
        <v>Иные бюджетные ассигнования</v>
      </c>
      <c r="B71" s="117"/>
      <c r="C71" s="112"/>
      <c r="D71" s="113"/>
      <c r="E71" s="112"/>
      <c r="F71" s="114">
        <v>800</v>
      </c>
      <c r="G71" s="385"/>
      <c r="H71" s="385"/>
      <c r="I71" s="385">
        <f>G71+H71</f>
        <v>0</v>
      </c>
      <c r="J71" s="385"/>
      <c r="K71" s="295"/>
      <c r="L71" s="295">
        <f>J71+K71</f>
        <v>0</v>
      </c>
    </row>
    <row r="72" spans="1:12" ht="78.75" hidden="1" x14ac:dyDescent="0.2">
      <c r="A72" s="116" t="str">
        <f>IF(B72&gt;0,VLOOKUP(B72,КВСР!A53:B1218,2),IF(C72&gt;0,VLOOKUP(C72,КФСР!A53:B1565,2),IF(D72&gt;0,VLOOKUP(D72,Программа!A$1:B$5110,2),IF(F72&gt;0,VLOOKUP(F72,КВР!A$1:B$5001,2),IF(E72&gt;0,VLOOKUP(E72,Направление!A$1:B$4783,2))))))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7"/>
      <c r="C72" s="112"/>
      <c r="D72" s="113"/>
      <c r="E72" s="112">
        <v>74450</v>
      </c>
      <c r="F72" s="114"/>
      <c r="G72" s="385"/>
      <c r="H72" s="385">
        <f t="shared" ref="H72:L72" si="42">H73</f>
        <v>0</v>
      </c>
      <c r="I72" s="385">
        <f t="shared" si="42"/>
        <v>0</v>
      </c>
      <c r="J72" s="385"/>
      <c r="K72" s="385">
        <f t="shared" si="42"/>
        <v>0</v>
      </c>
      <c r="L72" s="385">
        <f t="shared" si="42"/>
        <v>0</v>
      </c>
    </row>
    <row r="73" spans="1:12" ht="63" hidden="1" x14ac:dyDescent="0.2">
      <c r="A73" s="116" t="str">
        <f>IF(B73&gt;0,VLOOKUP(B73,КВСР!A54:B1219,2),IF(C73&gt;0,VLOOKUP(C73,КФСР!A54:B1566,2),IF(D73&gt;0,VLOOKUP(D73,Программа!A$1:B$5110,2),IF(F73&gt;0,VLOOKUP(F73,КВР!A$1:B$5001,2),IF(E73&gt;0,VLOOKUP(E73,Направление!A$1:B$4783,2))))))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3"/>
      <c r="E73" s="112"/>
      <c r="F73" s="114">
        <v>200</v>
      </c>
      <c r="G73" s="385"/>
      <c r="H73" s="385"/>
      <c r="I73" s="385">
        <f>G73+H73</f>
        <v>0</v>
      </c>
      <c r="J73" s="385"/>
      <c r="K73" s="295"/>
      <c r="L73" s="295">
        <f>J73+K73</f>
        <v>0</v>
      </c>
    </row>
    <row r="74" spans="1:12" ht="31.5" hidden="1" x14ac:dyDescent="0.2">
      <c r="A74" s="116" t="str">
        <f>IF(B74&gt;0,VLOOKUP(B74,КВСР!A53:B1218,2),IF(C74&gt;0,VLOOKUP(C74,КФСР!A53:B1565,2),IF(D74&gt;0,VLOOKUP(D74,Программа!A$1:B$5110,2),IF(F74&gt;0,VLOOKUP(F74,КВР!A$1:B$5001,2),IF(E74&gt;0,VLOOKUP(E74,Направление!A$1:B$4783,2))))))</f>
        <v xml:space="preserve">Кадровое обеспечение агропромышленного комплекса </v>
      </c>
      <c r="B74" s="117"/>
      <c r="C74" s="112"/>
      <c r="D74" s="113" t="s">
        <v>427</v>
      </c>
      <c r="E74" s="112"/>
      <c r="F74" s="114"/>
      <c r="G74" s="385"/>
      <c r="H74" s="385">
        <f t="shared" ref="H74:L75" si="43">H75</f>
        <v>0</v>
      </c>
      <c r="I74" s="385">
        <f t="shared" si="43"/>
        <v>0</v>
      </c>
      <c r="J74" s="385"/>
      <c r="K74" s="385">
        <f t="shared" si="43"/>
        <v>0</v>
      </c>
      <c r="L74" s="385">
        <f t="shared" si="43"/>
        <v>0</v>
      </c>
    </row>
    <row r="75" spans="1:12" ht="31.5" hidden="1" x14ac:dyDescent="0.2">
      <c r="A75" s="116" t="str">
        <f>IF(B75&gt;0,VLOOKUP(B75,КВСР!A54:B1219,2),IF(C75&gt;0,VLOOKUP(C75,КФСР!A54:B1566,2),IF(D75&gt;0,VLOOKUP(D75,Программа!A$1:B$5110,2),IF(F75&gt;0,VLOOKUP(F75,КВР!A$1:B$5001,2),IF(E75&gt;0,VLOOKUP(E75,Направление!A$1:B$4783,2))))))</f>
        <v>Мероприятия  направленные на развитие агропромышленного комплекса</v>
      </c>
      <c r="B75" s="117"/>
      <c r="C75" s="112"/>
      <c r="D75" s="113"/>
      <c r="E75" s="112">
        <v>10700</v>
      </c>
      <c r="F75" s="114"/>
      <c r="G75" s="385"/>
      <c r="H75" s="385">
        <f t="shared" si="43"/>
        <v>0</v>
      </c>
      <c r="I75" s="385">
        <f t="shared" si="43"/>
        <v>0</v>
      </c>
      <c r="J75" s="385"/>
      <c r="K75" s="385">
        <f t="shared" si="43"/>
        <v>0</v>
      </c>
      <c r="L75" s="385">
        <f t="shared" si="43"/>
        <v>0</v>
      </c>
    </row>
    <row r="76" spans="1:12" ht="31.5" hidden="1" x14ac:dyDescent="0.2">
      <c r="A76" s="116" t="str">
        <f>IF(B76&gt;0,VLOOKUP(B76,КВСР!A55:B1220,2),IF(C76&gt;0,VLOOKUP(C76,КФСР!A55:B1567,2),IF(D76&gt;0,VLOOKUP(D76,Программа!A$1:B$5110,2),IF(F76&gt;0,VLOOKUP(F76,КВР!A$1:B$5001,2),IF(E76&gt;0,VLOOKUP(E76,Направление!A$1:B$4783,2))))))</f>
        <v>Социальное обеспечение и иные выплаты населению</v>
      </c>
      <c r="B76" s="117"/>
      <c r="C76" s="112"/>
      <c r="D76" s="113"/>
      <c r="E76" s="112"/>
      <c r="F76" s="114">
        <v>300</v>
      </c>
      <c r="G76" s="385"/>
      <c r="H76" s="385"/>
      <c r="I76" s="385">
        <f>G76+H76</f>
        <v>0</v>
      </c>
      <c r="J76" s="385"/>
      <c r="K76" s="295"/>
      <c r="L76" s="295">
        <f>J76+K76</f>
        <v>0</v>
      </c>
    </row>
    <row r="77" spans="1:12" ht="94.5" x14ac:dyDescent="0.2">
      <c r="A77" s="116" t="str">
        <f>IF(B77&gt;0,VLOOKUP(B77,КВСР!A56:B1221,2),IF(C77&gt;0,VLOOKUP(C77,КФСР!A56:B1568,2),IF(D77&gt;0,VLOOKUP(D77,Программа!A$1:B$5110,2),IF(F77&gt;0,VLOOKUP(F77,КВР!A$1:B$5001,2),IF(E77&gt;0,VLOOKUP(E77,Направление!A$1:B$4783,2))))))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7"/>
      <c r="C77" s="112"/>
      <c r="D77" s="113" t="s">
        <v>430</v>
      </c>
      <c r="E77" s="112"/>
      <c r="F77" s="114"/>
      <c r="G77" s="385"/>
      <c r="H77" s="385">
        <f t="shared" ref="H77:L78" si="44">H78</f>
        <v>200000</v>
      </c>
      <c r="I77" s="385">
        <f t="shared" si="44"/>
        <v>200000</v>
      </c>
      <c r="J77" s="385"/>
      <c r="K77" s="385">
        <f t="shared" si="44"/>
        <v>200000</v>
      </c>
      <c r="L77" s="385">
        <f t="shared" si="44"/>
        <v>200000</v>
      </c>
    </row>
    <row r="78" spans="1:12" ht="63" x14ac:dyDescent="0.2">
      <c r="A78" s="116" t="str">
        <f>IF(B78&gt;0,VLOOKUP(B78,КВСР!A57:B1222,2),IF(C78&gt;0,VLOOKUP(C78,КФСР!A57:B1569,2),IF(D78&gt;0,VLOOKUP(D78,Программа!A$1:B$5110,2),IF(F78&gt;0,VLOOKUP(F78,КВР!A$1:B$5001,2),IF(E78&gt;0,VLOOKUP(E78,Направление!A$1:B$4783,2))))))</f>
        <v>Гранты, в форме субсидий, на выплату  вознаграждения сельхозтоваропроизхводителям - победителям конкурса</v>
      </c>
      <c r="B78" s="117"/>
      <c r="C78" s="112"/>
      <c r="D78" s="113"/>
      <c r="E78" s="364">
        <v>10703</v>
      </c>
      <c r="F78" s="365"/>
      <c r="G78" s="385"/>
      <c r="H78" s="385">
        <f t="shared" si="44"/>
        <v>200000</v>
      </c>
      <c r="I78" s="385">
        <f t="shared" si="44"/>
        <v>200000</v>
      </c>
      <c r="J78" s="385"/>
      <c r="K78" s="385">
        <f t="shared" si="44"/>
        <v>200000</v>
      </c>
      <c r="L78" s="385">
        <f t="shared" si="44"/>
        <v>200000</v>
      </c>
    </row>
    <row r="79" spans="1:12" ht="15.75" x14ac:dyDescent="0.2">
      <c r="A79" s="116" t="str">
        <f>IF(B79&gt;0,VLOOKUP(B79,КВСР!A58:B1223,2),IF(C79&gt;0,VLOOKUP(C79,КФСР!A58:B1570,2),IF(D79&gt;0,VLOOKUP(D79,Программа!A$1:B$5110,2),IF(F79&gt;0,VLOOKUP(F79,КВР!A$1:B$5001,2),IF(E79&gt;0,VLOOKUP(E79,Направление!A$1:B$4783,2))))))</f>
        <v>Иные бюджетные ассигнования</v>
      </c>
      <c r="B79" s="117"/>
      <c r="C79" s="112"/>
      <c r="D79" s="113"/>
      <c r="E79" s="112"/>
      <c r="F79" s="114">
        <v>800</v>
      </c>
      <c r="G79" s="385"/>
      <c r="H79" s="385">
        <v>200000</v>
      </c>
      <c r="I79" s="385">
        <f>G79+H79</f>
        <v>200000</v>
      </c>
      <c r="J79" s="385"/>
      <c r="K79" s="295">
        <v>200000</v>
      </c>
      <c r="L79" s="295">
        <f>J79+K79</f>
        <v>200000</v>
      </c>
    </row>
    <row r="80" spans="1:12" ht="78.75" hidden="1" x14ac:dyDescent="0.2">
      <c r="A80" s="116" t="str">
        <f>IF(B80&gt;0,VLOOKUP(B80,КВСР!A49:B1214,2),IF(C80&gt;0,VLOOKUP(C80,КФСР!A49:B1561,2),IF(D80&gt;0,VLOOKUP(D80,Программа!A$1:B$5110,2),IF(F80&gt;0,VLOOKUP(F80,КВР!A$1:B$5001,2),IF(E80&gt;0,VLOOKUP(E80,Направление!A$1:B$4783,2))))))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7"/>
      <c r="C80" s="112"/>
      <c r="D80" s="113"/>
      <c r="E80" s="112">
        <v>74450</v>
      </c>
      <c r="F80" s="114"/>
      <c r="G80" s="385"/>
      <c r="H80" s="385">
        <f t="shared" si="36"/>
        <v>0</v>
      </c>
      <c r="I80" s="385">
        <f>SUM(G80:H80)</f>
        <v>0</v>
      </c>
      <c r="J80" s="385"/>
      <c r="K80" s="295">
        <f t="shared" ref="K80" si="45">K81</f>
        <v>0</v>
      </c>
      <c r="L80" s="295">
        <f t="shared" si="11"/>
        <v>0</v>
      </c>
    </row>
    <row r="81" spans="1:12" ht="63" hidden="1" x14ac:dyDescent="0.2">
      <c r="A81" s="116" t="str">
        <f>IF(B81&gt;0,VLOOKUP(B81,КВСР!A50:B1215,2),IF(C81&gt;0,VLOOKUP(C81,КФСР!A50:B1562,2),IF(D81&gt;0,VLOOKUP(D81,Программа!A$1:B$5110,2),IF(F81&gt;0,VLOOKUP(F81,КВР!A$1:B$5001,2),IF(E81&gt;0,VLOOKUP(E81,Направление!A$1:B$4783,2))))))</f>
        <v xml:space="preserve">Закупка товаров, работ и услуг для обеспечения государственных (муниципальных) нужд
</v>
      </c>
      <c r="B81" s="117"/>
      <c r="C81" s="112"/>
      <c r="D81" s="113"/>
      <c r="E81" s="112"/>
      <c r="F81" s="114">
        <v>200</v>
      </c>
      <c r="G81" s="385"/>
      <c r="H81" s="385"/>
      <c r="I81" s="385">
        <f>SUM(G81:H81)</f>
        <v>0</v>
      </c>
      <c r="J81" s="385"/>
      <c r="K81" s="295"/>
      <c r="L81" s="295">
        <f>SUM(J81:K81)</f>
        <v>0</v>
      </c>
    </row>
    <row r="82" spans="1:12" ht="15.75" x14ac:dyDescent="0.2">
      <c r="A82" s="116" t="str">
        <f>IF(B82&gt;0,VLOOKUP(B82,КВСР!A51:B1216,2),IF(C82&gt;0,VLOOKUP(C82,КФСР!A51:B1563,2),IF(D82&gt;0,VLOOKUP(D82,Программа!A$1:B$5110,2),IF(F82&gt;0,VLOOKUP(F82,КВР!A$1:B$5001,2),IF(E82&gt;0,VLOOKUP(E82,Направление!A$1:B$4783,2))))))</f>
        <v>Непрограммные расходы бюджета</v>
      </c>
      <c r="B82" s="117"/>
      <c r="C82" s="112"/>
      <c r="D82" s="113" t="s">
        <v>394</v>
      </c>
      <c r="E82" s="112"/>
      <c r="F82" s="114"/>
      <c r="G82" s="385"/>
      <c r="H82" s="385">
        <f t="shared" ref="H82:L82" si="46">H83</f>
        <v>756376</v>
      </c>
      <c r="I82" s="385">
        <f t="shared" si="46"/>
        <v>756376</v>
      </c>
      <c r="J82" s="385"/>
      <c r="K82" s="385">
        <f t="shared" si="46"/>
        <v>756376</v>
      </c>
      <c r="L82" s="385">
        <f t="shared" si="46"/>
        <v>756376</v>
      </c>
    </row>
    <row r="83" spans="1:12" ht="47.25" x14ac:dyDescent="0.2">
      <c r="A83" s="116" t="str">
        <f>IF(B83&gt;0,VLOOKUP(B83,КВСР!A52:B1217,2),IF(C83&gt;0,VLOOKUP(C83,КФСР!A52:B1564,2),IF(D83&gt;0,VLOOKUP(D83,Программа!A$1:B$5110,2),IF(F83&gt;0,VLOOKUP(F83,КВР!A$1:B$5001,2),IF(E83&gt;0,VLOOKUP(E83,Направление!A$1:B$4783,2))))))</f>
        <v>Субвенция на отлов, содержание и возврат животных без владельцев на прежние места их обитания</v>
      </c>
      <c r="B83" s="117"/>
      <c r="C83" s="112"/>
      <c r="D83" s="113"/>
      <c r="E83" s="112">
        <v>74420</v>
      </c>
      <c r="F83" s="114"/>
      <c r="G83" s="385"/>
      <c r="H83" s="385">
        <f t="shared" ref="H83:L83" si="47">H84</f>
        <v>756376</v>
      </c>
      <c r="I83" s="385">
        <f t="shared" si="47"/>
        <v>756376</v>
      </c>
      <c r="J83" s="385"/>
      <c r="K83" s="385">
        <f t="shared" si="47"/>
        <v>756376</v>
      </c>
      <c r="L83" s="385">
        <f t="shared" si="47"/>
        <v>756376</v>
      </c>
    </row>
    <row r="84" spans="1:12" ht="47.25" x14ac:dyDescent="0.2">
      <c r="A84" s="116" t="str">
        <f>IF(B84&gt;0,VLOOKUP(B84,КВСР!A53:B1218,2),IF(C84&gt;0,VLOOKUP(C84,КФСР!A53:B1565,2),IF(D84&gt;0,VLOOKUP(D84,Программа!A$1:B$5110,2),IF(F84&gt;0,VLOOKUP(F84,КВР!A$1:B$5001,2),IF(E84&gt;0,VLOOKUP(E84,Направление!A$1:B$4783,2))))))</f>
        <v>Предоставление субсидий бюджетным, автономным учреждениям и иным некоммерческим организациям</v>
      </c>
      <c r="B84" s="117"/>
      <c r="C84" s="112"/>
      <c r="D84" s="113"/>
      <c r="E84" s="112"/>
      <c r="F84" s="114">
        <v>600</v>
      </c>
      <c r="G84" s="385"/>
      <c r="H84" s="385">
        <v>756376</v>
      </c>
      <c r="I84" s="385">
        <f>G84+H84</f>
        <v>756376</v>
      </c>
      <c r="J84" s="385"/>
      <c r="K84" s="295">
        <v>756376</v>
      </c>
      <c r="L84" s="295">
        <f t="shared" ref="L84:L89" si="48">SUM(J84:K84)</f>
        <v>756376</v>
      </c>
    </row>
    <row r="85" spans="1:12" ht="15.75" x14ac:dyDescent="0.2">
      <c r="A85" s="116" t="str">
        <f>IF(B85&gt;0,VLOOKUP(B85,КВСР!A54:B1219,2),IF(C85&gt;0,VLOOKUP(C85,КФСР!A54:B1566,2),IF(D85&gt;0,VLOOKUP(D85,Программа!A$1:B$5110,2),IF(F85&gt;0,VLOOKUP(F85,КВР!A$1:B$5001,2),IF(E85&gt;0,VLOOKUP(E85,Направление!A$1:B$4783,2))))))</f>
        <v>Транспорт</v>
      </c>
      <c r="B85" s="117"/>
      <c r="C85" s="112">
        <v>408</v>
      </c>
      <c r="D85" s="113"/>
      <c r="E85" s="112"/>
      <c r="F85" s="114"/>
      <c r="G85" s="385"/>
      <c r="H85" s="385">
        <f t="shared" ref="H85:L88" si="49">H86</f>
        <v>10000000</v>
      </c>
      <c r="I85" s="385">
        <f>G85+H85</f>
        <v>10000000</v>
      </c>
      <c r="J85" s="385"/>
      <c r="K85" s="385">
        <f t="shared" si="49"/>
        <v>9000000</v>
      </c>
      <c r="L85" s="385">
        <f t="shared" si="49"/>
        <v>9000000</v>
      </c>
    </row>
    <row r="86" spans="1:12" ht="63" x14ac:dyDescent="0.2">
      <c r="A86" s="116" t="str">
        <f>IF(B86&gt;0,VLOOKUP(B86,КВСР!A55:B1220,2),IF(C86&gt;0,VLOOKUP(C86,КФСР!A55:B1567,2),IF(D86&gt;0,VLOOKUP(D86,Программа!A$1:B$5110,2),IF(F86&gt;0,VLOOKUP(F86,КВР!A$1:B$5001,2),IF(E86&gt;0,VLOOKUP(E86,Направление!A$1:B$4783,2))))))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7"/>
      <c r="C86" s="112"/>
      <c r="D86" s="113" t="s">
        <v>623</v>
      </c>
      <c r="E86" s="112"/>
      <c r="F86" s="114"/>
      <c r="G86" s="385"/>
      <c r="H86" s="385">
        <f t="shared" ref="H86:I86" si="50">H87+H92</f>
        <v>10000000</v>
      </c>
      <c r="I86" s="385">
        <f t="shared" si="50"/>
        <v>10000000</v>
      </c>
      <c r="J86" s="385"/>
      <c r="K86" s="385">
        <f t="shared" ref="K86:L86" si="51">K87+K92</f>
        <v>9000000</v>
      </c>
      <c r="L86" s="385">
        <f t="shared" si="51"/>
        <v>9000000</v>
      </c>
    </row>
    <row r="87" spans="1:12" ht="78.75" x14ac:dyDescent="0.2">
      <c r="A87" s="116" t="str">
        <f>IF(B87&gt;0,VLOOKUP(B87,КВСР!A56:B1221,2),IF(C87&gt;0,VLOOKUP(C87,КФСР!A56:B1568,2),IF(D87&gt;0,VLOOKUP(D87,Программа!A$1:B$5110,2),IF(F87&gt;0,VLOOKUP(F87,КВР!A$1:B$5001,2),IF(E87&gt;0,VLOOKUP(E87,Направление!A$1:B$4783,2))))))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7"/>
      <c r="C87" s="112"/>
      <c r="D87" s="113" t="s">
        <v>629</v>
      </c>
      <c r="E87" s="112"/>
      <c r="F87" s="114"/>
      <c r="G87" s="385"/>
      <c r="H87" s="385">
        <f t="shared" ref="H87:I87" si="52">H88+H90</f>
        <v>10000000</v>
      </c>
      <c r="I87" s="385">
        <f t="shared" si="52"/>
        <v>10000000</v>
      </c>
      <c r="J87" s="385"/>
      <c r="K87" s="385">
        <f t="shared" ref="K87:L87" si="53">K88+K90</f>
        <v>9000000</v>
      </c>
      <c r="L87" s="385">
        <f t="shared" si="53"/>
        <v>9000000</v>
      </c>
    </row>
    <row r="88" spans="1:12" ht="63" x14ac:dyDescent="0.2">
      <c r="A88" s="116" t="str">
        <f>IF(B88&gt;0,VLOOKUP(B88,КВСР!A57:B1222,2),IF(C88&gt;0,VLOOKUP(C88,КФСР!A57:B1569,2),IF(D88&gt;0,VLOOKUP(D88,Программа!A$1:B$5110,2),IF(F88&gt;0,VLOOKUP(F88,КВР!A$1:B$5001,2),IF(E88&gt;0,VLOOKUP(E88,Направление!A$1:B$4783,2))))))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88" s="117"/>
      <c r="C88" s="112"/>
      <c r="D88" s="113"/>
      <c r="E88" s="112">
        <v>10100</v>
      </c>
      <c r="F88" s="114"/>
      <c r="G88" s="385"/>
      <c r="H88" s="385">
        <f t="shared" si="49"/>
        <v>10000000</v>
      </c>
      <c r="I88" s="385">
        <f t="shared" ref="I88:I89" si="54">G88+H88</f>
        <v>10000000</v>
      </c>
      <c r="J88" s="385"/>
      <c r="K88" s="385">
        <f t="shared" si="49"/>
        <v>9000000</v>
      </c>
      <c r="L88" s="385">
        <f t="shared" si="49"/>
        <v>9000000</v>
      </c>
    </row>
    <row r="89" spans="1:12" ht="47.25" x14ac:dyDescent="0.2">
      <c r="A89" s="116" t="str">
        <f>IF(B89&gt;0,VLOOKUP(B89,КВСР!A58:B1223,2),IF(C89&gt;0,VLOOKUP(C89,КФСР!A58:B1570,2),IF(D89&gt;0,VLOOKUP(D89,Программа!A$1:B$5110,2),IF(F89&gt;0,VLOOKUP(F89,КВР!A$1:B$5001,2),IF(E89&gt;0,VLOOKUP(E89,Направление!A$1:B$4783,2))))))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85"/>
      <c r="H89" s="385">
        <v>10000000</v>
      </c>
      <c r="I89" s="385">
        <f t="shared" si="54"/>
        <v>10000000</v>
      </c>
      <c r="J89" s="385"/>
      <c r="K89" s="295">
        <v>9000000</v>
      </c>
      <c r="L89" s="295">
        <f t="shared" si="48"/>
        <v>9000000</v>
      </c>
    </row>
    <row r="90" spans="1:12" ht="63" hidden="1" x14ac:dyDescent="0.2">
      <c r="A90" s="116" t="str">
        <f>IF(B90&gt;0,VLOOKUP(B90,КВСР!A59:B1224,2),IF(C90&gt;0,VLOOKUP(C90,КФСР!A59:B1571,2),IF(D90&gt;0,VLOOKUP(D90,Программа!A$1:B$5110,2),IF(F90&gt;0,VLOOKUP(F90,КВР!A$1:B$5001,2),IF(E90&gt;0,VLOOKUP(E90,Направление!A$1:B$4783,2))))))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90" s="117"/>
      <c r="C90" s="112"/>
      <c r="D90" s="113"/>
      <c r="E90" s="112">
        <v>29176</v>
      </c>
      <c r="F90" s="114"/>
      <c r="G90" s="385"/>
      <c r="H90" s="385">
        <f>H91</f>
        <v>0</v>
      </c>
      <c r="I90" s="385">
        <f>SUM(G90:H90)</f>
        <v>0</v>
      </c>
      <c r="J90" s="385"/>
      <c r="K90" s="295">
        <f>K91</f>
        <v>0</v>
      </c>
      <c r="L90" s="295">
        <f>SUM(J90:K90)</f>
        <v>0</v>
      </c>
    </row>
    <row r="91" spans="1:12" ht="47.25" hidden="1" x14ac:dyDescent="0.2">
      <c r="A91" s="116" t="str">
        <f>IF(B91&gt;0,VLOOKUP(B91,КВСР!A60:B1225,2),IF(C91&gt;0,VLOOKUP(C91,КФСР!A60:B1572,2),IF(D91&gt;0,VLOOKUP(D91,Программа!A$1:B$5110,2),IF(F91&gt;0,VLOOKUP(F91,КВР!A$1:B$5001,2),IF(E91&gt;0,VLOOKUP(E91,Направление!A$1:B$4783,2))))))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385"/>
      <c r="H91" s="385"/>
      <c r="I91" s="385">
        <f>SUM(G91:H91)</f>
        <v>0</v>
      </c>
      <c r="J91" s="385"/>
      <c r="K91" s="295"/>
      <c r="L91" s="295">
        <f>SUM(J91:K91)</f>
        <v>0</v>
      </c>
    </row>
    <row r="92" spans="1:12" ht="47.25" hidden="1" x14ac:dyDescent="0.2">
      <c r="A92" s="116" t="str">
        <f>IF(B92&gt;0,VLOOKUP(B92,КВСР!A61:B1226,2),IF(C92&gt;0,VLOOKUP(C92,КФСР!A61:B1573,2),IF(D92&gt;0,VLOOKUP(D92,Программа!A$1:B$5110,2),IF(F92&gt;0,VLOOKUP(F92,КВР!A$1:B$5001,2),IF(E92&gt;0,VLOOKUP(E92,Направление!A$1:B$4783,2))))))</f>
        <v>Организация предоставления транспортных услуг по перевозке пассажиров речным транспортом</v>
      </c>
      <c r="B92" s="117"/>
      <c r="C92" s="112"/>
      <c r="D92" s="113" t="s">
        <v>1374</v>
      </c>
      <c r="E92" s="112"/>
      <c r="F92" s="114"/>
      <c r="G92" s="390"/>
      <c r="H92" s="385">
        <f>H93</f>
        <v>0</v>
      </c>
      <c r="I92" s="385">
        <f t="shared" ref="I92:L93" si="55">I93</f>
        <v>0</v>
      </c>
      <c r="J92" s="385"/>
      <c r="K92" s="385">
        <f t="shared" si="55"/>
        <v>0</v>
      </c>
      <c r="L92" s="385">
        <f t="shared" si="55"/>
        <v>0</v>
      </c>
    </row>
    <row r="93" spans="1:12" ht="47.25" hidden="1" x14ac:dyDescent="0.2">
      <c r="A93" s="116" t="str">
        <f>IF(B93&gt;0,VLOOKUP(B93,КВСР!A62:B1227,2),IF(C93&gt;0,VLOOKUP(C93,КФСР!A62:B1574,2),IF(D93&gt;0,VLOOKUP(D93,Программа!A$1:B$5110,2),IF(F93&gt;0,VLOOKUP(F93,КВР!A$1:B$5001,2),IF(E93&gt;0,VLOOKUP(E93,Направление!A$1:B$4783,2))))))</f>
        <v>Обеспечение мероприятий по осуществлению грузопассажирских  перевозок на речном транспорте</v>
      </c>
      <c r="B93" s="117"/>
      <c r="C93" s="112"/>
      <c r="D93" s="113"/>
      <c r="E93" s="112">
        <v>29166</v>
      </c>
      <c r="F93" s="114"/>
      <c r="G93" s="390"/>
      <c r="H93" s="385">
        <f>H94</f>
        <v>0</v>
      </c>
      <c r="I93" s="385">
        <f t="shared" si="55"/>
        <v>0</v>
      </c>
      <c r="J93" s="385"/>
      <c r="K93" s="385">
        <f t="shared" si="55"/>
        <v>0</v>
      </c>
      <c r="L93" s="385">
        <f t="shared" si="55"/>
        <v>0</v>
      </c>
    </row>
    <row r="94" spans="1:12" ht="47.25" hidden="1" x14ac:dyDescent="0.2">
      <c r="A94" s="116" t="str">
        <f>IF(B94&gt;0,VLOOKUP(B94,КВСР!A63:B1228,2),IF(C94&gt;0,VLOOKUP(C94,КФСР!A63:B1575,2),IF(D94&gt;0,VLOOKUP(D94,Программа!A$1:B$5110,2),IF(F94&gt;0,VLOOKUP(F94,КВР!A$1:B$5001,2),IF(E94&gt;0,VLOOKUP(E94,Направление!A$1:B$4783,2))))))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85"/>
      <c r="H94" s="385"/>
      <c r="I94" s="385">
        <f t="shared" ref="I94" si="56">SUM(G94:H94)</f>
        <v>0</v>
      </c>
      <c r="J94" s="385"/>
      <c r="K94" s="295"/>
      <c r="L94" s="295">
        <f t="shared" ref="L94" si="57">SUM(J94:K94)</f>
        <v>0</v>
      </c>
    </row>
    <row r="95" spans="1:12" ht="15.75" x14ac:dyDescent="0.2">
      <c r="A95" s="116" t="str">
        <f>IF(B95&gt;0,VLOOKUP(B95,КВСР!A51:B1216,2),IF(C95&gt;0,VLOOKUP(C95,КФСР!A51:B1563,2),IF(D95&gt;0,VLOOKUP(D95,Программа!A$1:B$5110,2),IF(F95&gt;0,VLOOKUP(F95,КВР!A$1:B$5001,2),IF(E95&gt;0,VLOOKUP(E95,Направление!A$1:B$4783,2))))))</f>
        <v>Дорожное хозяйство</v>
      </c>
      <c r="B95" s="117"/>
      <c r="C95" s="112">
        <v>409</v>
      </c>
      <c r="D95" s="113"/>
      <c r="E95" s="112"/>
      <c r="F95" s="114"/>
      <c r="G95" s="385"/>
      <c r="H95" s="385">
        <f>H96+H100+H127+H130</f>
        <v>33767337</v>
      </c>
      <c r="I95" s="385">
        <f t="shared" ref="I95:L95" si="58">I96+I100+I127+I130</f>
        <v>33767337</v>
      </c>
      <c r="J95" s="385">
        <f t="shared" si="58"/>
        <v>0</v>
      </c>
      <c r="K95" s="385">
        <f t="shared" si="58"/>
        <v>34760847</v>
      </c>
      <c r="L95" s="385">
        <f t="shared" si="58"/>
        <v>34760847</v>
      </c>
    </row>
    <row r="96" spans="1:12" ht="63" hidden="1" x14ac:dyDescent="0.2">
      <c r="A96" s="116" t="str">
        <f>IF(B96&gt;0,VLOOKUP(B96,КВСР!A52:B1217,2),IF(C96&gt;0,VLOOKUP(C96,КФСР!A52:B1564,2),IF(D96&gt;0,VLOOKUP(D96,Программа!A$1:B$5110,2),IF(F96&gt;0,VLOOKUP(F96,КВР!A$1:B$5001,2),IF(E96&gt;0,VLOOKUP(E96,Направление!A$1:B$4783,2))))))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96" s="117"/>
      <c r="C96" s="112"/>
      <c r="D96" s="113" t="s">
        <v>1244</v>
      </c>
      <c r="E96" s="112"/>
      <c r="F96" s="114"/>
      <c r="G96" s="385"/>
      <c r="H96" s="385">
        <f t="shared" ref="H96:L98" si="59">H97</f>
        <v>0</v>
      </c>
      <c r="I96" s="385">
        <f t="shared" si="59"/>
        <v>0</v>
      </c>
      <c r="J96" s="385"/>
      <c r="K96" s="385">
        <f t="shared" ref="K96:K97" si="60">K97</f>
        <v>0</v>
      </c>
      <c r="L96" s="385">
        <f t="shared" ref="L96:L97" si="61">L97</f>
        <v>0</v>
      </c>
    </row>
    <row r="97" spans="1:13" ht="31.5" hidden="1" x14ac:dyDescent="0.2">
      <c r="A97" s="116" t="str">
        <f>IF(B97&gt;0,VLOOKUP(B97,КВСР!A53:B1218,2),IF(C97&gt;0,VLOOKUP(C97,КФСР!A53:B1565,2),IF(D97&gt;0,VLOOKUP(D97,Программа!A$1:B$5110,2),IF(F97&gt;0,VLOOKUP(F97,КВР!A$1:B$5001,2),IF(E97&gt;0,VLOOKUP(E97,Направление!A$1:B$4783,2))))))</f>
        <v>Повышение уровня благоустройства дворовых территорий</v>
      </c>
      <c r="B97" s="117"/>
      <c r="C97" s="112"/>
      <c r="D97" s="113" t="s">
        <v>1264</v>
      </c>
      <c r="E97" s="112"/>
      <c r="F97" s="114"/>
      <c r="G97" s="385"/>
      <c r="H97" s="385">
        <f t="shared" si="59"/>
        <v>0</v>
      </c>
      <c r="I97" s="385">
        <f t="shared" si="59"/>
        <v>0</v>
      </c>
      <c r="J97" s="385"/>
      <c r="K97" s="385">
        <f t="shared" si="60"/>
        <v>0</v>
      </c>
      <c r="L97" s="385">
        <f t="shared" si="61"/>
        <v>0</v>
      </c>
    </row>
    <row r="98" spans="1:13" ht="47.25" hidden="1" x14ac:dyDescent="0.2">
      <c r="A98" s="116" t="str">
        <f>IF(B98&gt;0,VLOOKUP(B98,КВСР!A54:B1219,2),IF(C98&gt;0,VLOOKUP(C98,КФСР!A54:B1566,2),IF(D98&gt;0,VLOOKUP(D98,Программа!A$1:B$5110,2),IF(F98&gt;0,VLOOKUP(F98,КВР!A$1:B$5001,2),IF(E98&gt;0,VLOOKUP(E98,Направление!A$1:B$4783,2))))))</f>
        <v>Обеспечение мероприятий по формированию современной городской среды</v>
      </c>
      <c r="B98" s="117"/>
      <c r="C98" s="112"/>
      <c r="D98" s="113"/>
      <c r="E98" s="112">
        <v>29456</v>
      </c>
      <c r="F98" s="114"/>
      <c r="G98" s="385"/>
      <c r="H98" s="385">
        <f t="shared" si="59"/>
        <v>0</v>
      </c>
      <c r="I98" s="385">
        <f t="shared" si="59"/>
        <v>0</v>
      </c>
      <c r="J98" s="385"/>
      <c r="K98" s="385">
        <f t="shared" si="59"/>
        <v>0</v>
      </c>
      <c r="L98" s="385">
        <f t="shared" si="59"/>
        <v>0</v>
      </c>
    </row>
    <row r="99" spans="1:13" ht="63" hidden="1" x14ac:dyDescent="0.2">
      <c r="A99" s="116" t="str">
        <f>IF(B99&gt;0,VLOOKUP(B99,КВСР!A55:B1220,2),IF(C99&gt;0,VLOOKUP(C99,КФСР!A55:B1567,2),IF(D99&gt;0,VLOOKUP(D99,Программа!A$1:B$5110,2),IF(F99&gt;0,VLOOKUP(F99,КВР!A$1:B$5001,2),IF(E99&gt;0,VLOOKUP(E99,Направление!A$1:B$4783,2))))))</f>
        <v xml:space="preserve">Закупка товаров, работ и услуг для обеспечения государственных (муниципальных) нужд
</v>
      </c>
      <c r="B99" s="117"/>
      <c r="C99" s="112"/>
      <c r="D99" s="113"/>
      <c r="E99" s="112"/>
      <c r="F99" s="114">
        <v>200</v>
      </c>
      <c r="G99" s="385"/>
      <c r="H99" s="385"/>
      <c r="I99" s="385">
        <f>G99+H99</f>
        <v>0</v>
      </c>
      <c r="J99" s="385"/>
      <c r="K99" s="295"/>
      <c r="L99" s="295">
        <f>J99+K99</f>
        <v>0</v>
      </c>
      <c r="M99" s="651"/>
    </row>
    <row r="100" spans="1:13" ht="47.25" x14ac:dyDescent="0.2">
      <c r="A100" s="116" t="str">
        <f>IF(B100&gt;0,VLOOKUP(B100,КВСР!A52:B1217,2),IF(C100&gt;0,VLOOKUP(C100,КФСР!A52:B1564,2),IF(D100&gt;0,VLOOKUP(D100,Программа!A$1:B$5110,2),IF(F100&gt;0,VLOOKUP(F100,КВР!A$1:B$5001,2),IF(E100&gt;0,VLOOKUP(E100,Направление!A$1:B$4783,2))))))</f>
        <v>Муниципальная программа "Развитие дорожного хозяйства в Тутаевском муниципальном районе"</v>
      </c>
      <c r="B100" s="117"/>
      <c r="C100" s="112"/>
      <c r="D100" s="113" t="s">
        <v>1682</v>
      </c>
      <c r="E100" s="112"/>
      <c r="F100" s="114"/>
      <c r="G100" s="385"/>
      <c r="H100" s="385">
        <f t="shared" ref="H100:L100" si="62">H101+H104+H122</f>
        <v>27567337</v>
      </c>
      <c r="I100" s="385">
        <f t="shared" si="62"/>
        <v>27567337</v>
      </c>
      <c r="J100" s="385"/>
      <c r="K100" s="385">
        <f t="shared" si="62"/>
        <v>28360847</v>
      </c>
      <c r="L100" s="385">
        <f t="shared" si="62"/>
        <v>28360847</v>
      </c>
    </row>
    <row r="101" spans="1:13" ht="47.25" hidden="1" x14ac:dyDescent="0.2">
      <c r="A101" s="116" t="str">
        <f>IF(B101&gt;0,VLOOKUP(B101,КВСР!A53:B1218,2),IF(C101&gt;0,VLOOKUP(C101,КФСР!A53:B1565,2),IF(D101&gt;0,VLOOKUP(D101,Программа!A$1:B$5110,2),IF(F101&gt;0,VLOOKUP(F101,КВР!A$1:B$5001,2),IF(E101&gt;0,VLOOKUP(E101,Направление!A$1:B$4783,2))))))</f>
        <v>Реализация мероприятий по повышению безопасности дорожного движения на автомобильных дорогах</v>
      </c>
      <c r="B101" s="117"/>
      <c r="C101" s="112"/>
      <c r="D101" s="113" t="s">
        <v>1683</v>
      </c>
      <c r="E101" s="112"/>
      <c r="F101" s="114"/>
      <c r="G101" s="385"/>
      <c r="H101" s="385">
        <f t="shared" ref="H101:I102" si="63">H102</f>
        <v>0</v>
      </c>
      <c r="I101" s="385">
        <f t="shared" si="63"/>
        <v>0</v>
      </c>
      <c r="J101" s="385"/>
      <c r="K101" s="385">
        <f t="shared" ref="K101:K102" si="64">K102</f>
        <v>0</v>
      </c>
      <c r="L101" s="385">
        <f t="shared" ref="L101:L102" si="65">L102</f>
        <v>0</v>
      </c>
    </row>
    <row r="102" spans="1:13" ht="47.25" hidden="1" x14ac:dyDescent="0.2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IF(B102&gt;0,VLOOKUP(B102,КВСР!A55:B1220,2),IF(C102&gt;0,VLOOKUP(C102,КФСР!A55:B1567,2),IF(D102&gt;0,VLOOKUP(D102,Программа!A$1:B$5110,2),IF(F102&gt;0,VLOOKUP(F102,КВР!A$1:B$5001,2),IF(E102&gt;0,VLOOKUP(E102,Направление!A$1:B$4783,2))))))</f>
        <v>Обеспечение   мероприятий в области  дорожного хозяйства  по повышению безопасности дорожного движения</v>
      </c>
      <c r="B102" s="117"/>
      <c r="C102" s="112"/>
      <c r="D102" s="113"/>
      <c r="E102" s="112">
        <v>29096</v>
      </c>
      <c r="F102" s="114"/>
      <c r="G102" s="385"/>
      <c r="H102" s="385">
        <f t="shared" si="63"/>
        <v>0</v>
      </c>
      <c r="I102" s="385">
        <f t="shared" si="63"/>
        <v>0</v>
      </c>
      <c r="J102" s="385"/>
      <c r="K102" s="385">
        <f t="shared" si="64"/>
        <v>0</v>
      </c>
      <c r="L102" s="385">
        <f t="shared" si="65"/>
        <v>0</v>
      </c>
    </row>
    <row r="103" spans="1:13" ht="47.25" hidden="1" x14ac:dyDescent="0.2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IF(B103&gt;0,VLOOKUP(B103,КВСР!A56:B1221,2),IF(C103&gt;0,VLOOKUP(C103,КФСР!A56:B1568,2),IF(D103&gt;0,VLOOKUP(D103,Программа!A$1:B$5110,2),IF(F103&gt;0,VLOOKUP(F103,КВР!A$1:B$5001,2),IF(E103&gt;0,VLOOKUP(E103,Направление!A$1:B$4783,2))))))</f>
        <v>Предоставление субсидий бюджетным, автономным учреждениям и иным некоммерческим организациям</v>
      </c>
      <c r="B103" s="117"/>
      <c r="C103" s="112"/>
      <c r="D103" s="113"/>
      <c r="E103" s="112"/>
      <c r="F103" s="114">
        <v>600</v>
      </c>
      <c r="G103" s="385"/>
      <c r="H103" s="385"/>
      <c r="I103" s="385">
        <f t="shared" si="10"/>
        <v>0</v>
      </c>
      <c r="J103" s="385"/>
      <c r="K103" s="295"/>
      <c r="L103" s="295">
        <f t="shared" ref="L103:L145" si="66">SUM(J103:K103)</f>
        <v>0</v>
      </c>
    </row>
    <row r="104" spans="1:13" ht="78.75" x14ac:dyDescent="0.2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7"/>
      <c r="C104" s="112"/>
      <c r="D104" s="113" t="s">
        <v>1684</v>
      </c>
      <c r="E104" s="112"/>
      <c r="F104" s="114"/>
      <c r="G104" s="385"/>
      <c r="H104" s="385">
        <f t="shared" ref="H104:L104" si="67">H105+H108+H110+H113+H116+H118+H120</f>
        <v>27567337</v>
      </c>
      <c r="I104" s="385">
        <f t="shared" si="67"/>
        <v>27567337</v>
      </c>
      <c r="J104" s="385"/>
      <c r="K104" s="385">
        <f t="shared" si="67"/>
        <v>28360847</v>
      </c>
      <c r="L104" s="385">
        <f t="shared" si="67"/>
        <v>28360847</v>
      </c>
    </row>
    <row r="105" spans="1:13" ht="31.5" x14ac:dyDescent="0.2">
      <c r="A105" s="116" t="str">
        <f>IF(B105&gt;0,VLOOKUP(B105,КВСР!A59:B1224,2),IF(C105&gt;0,VLOOKUP(C105,КФСР!A59:B1571,2),IF(D105&gt;0,VLOOKUP(D105,Программа!A$1:B$5110,2),IF(F105&gt;0,VLOOKUP(F105,КВР!A$1:B$5001,2),IF(E105&gt;0,VLOOKUP(E105,Направление!A$1:B$4783,2))))))</f>
        <v>Содержание и ремонт  автомобильных дорог общего пользования</v>
      </c>
      <c r="B105" s="117"/>
      <c r="C105" s="112"/>
      <c r="D105" s="113"/>
      <c r="E105" s="112">
        <v>10200</v>
      </c>
      <c r="F105" s="114"/>
      <c r="G105" s="385"/>
      <c r="H105" s="385">
        <f t="shared" ref="H105:I105" si="68">H107+H106</f>
        <v>16224850</v>
      </c>
      <c r="I105" s="385">
        <f t="shared" si="68"/>
        <v>16224850</v>
      </c>
      <c r="J105" s="385"/>
      <c r="K105" s="385">
        <f>K107+K106</f>
        <v>17018360</v>
      </c>
      <c r="L105" s="385">
        <f t="shared" ref="L105" si="69">L107+L106</f>
        <v>17018360</v>
      </c>
    </row>
    <row r="106" spans="1:13" ht="63" x14ac:dyDescent="0.2">
      <c r="A106" s="116" t="str">
        <f>IF(B106&gt;0,VLOOKUP(B106,КВСР!A60:B1225,2),IF(C106&gt;0,VLOOKUP(C106,КФСР!A60:B1572,2),IF(D106&gt;0,VLOOKUP(D106,Программа!A$1:B$5110,2),IF(F106&gt;0,VLOOKUP(F106,КВР!A$1:B$5001,2),IF(E106&gt;0,VLOOKUP(E106,Направление!A$1:B$4783,2))))))</f>
        <v xml:space="preserve">Закупка товаров, работ и услуг для обеспечения государственных (муниципальных) нужд
</v>
      </c>
      <c r="B106" s="117"/>
      <c r="C106" s="112"/>
      <c r="D106" s="113"/>
      <c r="E106" s="112"/>
      <c r="F106" s="114">
        <v>200</v>
      </c>
      <c r="G106" s="385"/>
      <c r="H106" s="385">
        <v>300000</v>
      </c>
      <c r="I106" s="385">
        <f>SUM(G106:H106)</f>
        <v>300000</v>
      </c>
      <c r="J106" s="385"/>
      <c r="K106" s="295">
        <v>300000</v>
      </c>
      <c r="L106" s="295">
        <f t="shared" si="66"/>
        <v>300000</v>
      </c>
    </row>
    <row r="107" spans="1:13" ht="47.25" x14ac:dyDescent="0.2">
      <c r="A107" s="116" t="str">
        <f>IF(B107&gt;0,VLOOKUP(B107,КВСР!A60:B1225,2),IF(C107&gt;0,VLOOKUP(C107,КФСР!A60:B1572,2),IF(D107&gt;0,VLOOKUP(D107,Программа!A$1:B$5110,2),IF(F107&gt;0,VLOOKUP(F107,КВР!A$1:B$5001,2),IF(E107&gt;0,VLOOKUP(E107,Направление!A$1:B$4783,2))))))</f>
        <v>Предоставление субсидий бюджетным, автономным учреждениям и иным некоммерческим организациям</v>
      </c>
      <c r="B107" s="117"/>
      <c r="C107" s="112"/>
      <c r="D107" s="113"/>
      <c r="E107" s="112"/>
      <c r="F107" s="114">
        <v>600</v>
      </c>
      <c r="G107" s="385"/>
      <c r="H107" s="385">
        <v>15924850</v>
      </c>
      <c r="I107" s="385">
        <f>SUM(G107:H107)</f>
        <v>15924850</v>
      </c>
      <c r="J107" s="385"/>
      <c r="K107" s="295">
        <v>16718360</v>
      </c>
      <c r="L107" s="295">
        <f t="shared" si="66"/>
        <v>16718360</v>
      </c>
    </row>
    <row r="108" spans="1:13" ht="63" x14ac:dyDescent="0.2">
      <c r="A108" s="116" t="str">
        <f>IF(B108&gt;0,VLOOKUP(B108,КВСР!A61:B1226,2),IF(C108&gt;0,VLOOKUP(C108,КФСР!A61:B1573,2),IF(D108&gt;0,VLOOKUP(D108,Программа!A$1:B$5110,2),IF(F108&gt;0,VLOOKUP(F108,КВР!A$1:B$5001,2),IF(E108&gt;0,VLOOKUP(E108,Направление!A$1:B$4783,2))))))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7"/>
      <c r="C108" s="112"/>
      <c r="D108" s="113"/>
      <c r="E108" s="112">
        <v>12440</v>
      </c>
      <c r="F108" s="114"/>
      <c r="G108" s="385"/>
      <c r="H108" s="385">
        <f>H109</f>
        <v>571000</v>
      </c>
      <c r="I108" s="385">
        <f t="shared" ref="I108:L108" si="70">I109</f>
        <v>571000</v>
      </c>
      <c r="J108" s="385"/>
      <c r="K108" s="385">
        <f t="shared" si="70"/>
        <v>571000</v>
      </c>
      <c r="L108" s="385">
        <f t="shared" si="70"/>
        <v>571000</v>
      </c>
    </row>
    <row r="109" spans="1:13" ht="63" x14ac:dyDescent="0.2">
      <c r="A109" s="116" t="str">
        <f>IF(B109&gt;0,VLOOKUP(B109,КВСР!A62:B1227,2),IF(C109&gt;0,VLOOKUP(C109,КФСР!A62:B1574,2),IF(D109&gt;0,VLOOKUP(D109,Программа!A$1:B$5110,2),IF(F109&gt;0,VLOOKUP(F109,КВР!A$1:B$5001,2),IF(E109&gt;0,VLOOKUP(E109,Направление!A$1:B$4783,2))))))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385"/>
      <c r="H109" s="385">
        <v>571000</v>
      </c>
      <c r="I109" s="385">
        <f t="shared" ref="I109:I117" si="71">SUM(G109:H109)</f>
        <v>571000</v>
      </c>
      <c r="J109" s="385"/>
      <c r="K109" s="295">
        <v>571000</v>
      </c>
      <c r="L109" s="295">
        <f t="shared" si="66"/>
        <v>571000</v>
      </c>
    </row>
    <row r="110" spans="1:13" ht="63" hidden="1" x14ac:dyDescent="0.2">
      <c r="A110" s="116" t="str">
        <f>IF(B110&gt;0,VLOOKUP(B110,КВСР!A63:B1228,2),IF(C110&gt;0,VLOOKUP(C110,КФСР!A63:B1575,2),IF(D110&gt;0,VLOOKUP(D110,Программа!A$1:B$5110,2),IF(F110&gt;0,VLOOKUP(F110,КВР!A$1:B$5001,2),IF(E110&gt;0,VLOOKUP(E110,Направление!A$1:B$4783,2))))))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7"/>
      <c r="C110" s="112"/>
      <c r="D110" s="113"/>
      <c r="E110" s="112">
        <v>22446</v>
      </c>
      <c r="F110" s="114"/>
      <c r="G110" s="385"/>
      <c r="H110" s="385">
        <f>H111+H112</f>
        <v>0</v>
      </c>
      <c r="I110" s="385">
        <f>SUM(G110:H110)</f>
        <v>0</v>
      </c>
      <c r="J110" s="385"/>
      <c r="K110" s="385">
        <f>K111+K112</f>
        <v>0</v>
      </c>
      <c r="L110" s="385">
        <f>SUM(J110:K110)</f>
        <v>0</v>
      </c>
    </row>
    <row r="111" spans="1:13" ht="63" hidden="1" x14ac:dyDescent="0.2">
      <c r="A111" s="116" t="str">
        <f>IF(B111&gt;0,VLOOKUP(B111,КВСР!A64:B1229,2),IF(C111&gt;0,VLOOKUP(C111,КФСР!A64:B1576,2),IF(D111&gt;0,VLOOKUP(D111,Программа!A$1:B$5110,2),IF(F111&gt;0,VLOOKUP(F111,КВР!A$1:B$5001,2),IF(E111&gt;0,VLOOKUP(E111,Направление!A$1:B$4783,2))))))</f>
        <v xml:space="preserve">Закупка товаров, работ и услуг для обеспечения государственных (муниципальных) нужд
</v>
      </c>
      <c r="B111" s="117"/>
      <c r="C111" s="112"/>
      <c r="D111" s="113"/>
      <c r="E111" s="112"/>
      <c r="F111" s="114">
        <v>200</v>
      </c>
      <c r="G111" s="385"/>
      <c r="H111" s="385"/>
      <c r="I111" s="385">
        <f>G111+H111</f>
        <v>0</v>
      </c>
      <c r="J111" s="385"/>
      <c r="K111" s="295"/>
      <c r="L111" s="295">
        <f>J111+K111</f>
        <v>0</v>
      </c>
    </row>
    <row r="112" spans="1:13" ht="47.25" hidden="1" x14ac:dyDescent="0.2">
      <c r="A112" s="116" t="str">
        <f>IF(B112&gt;0,VLOOKUP(B112,КВСР!A65:B1230,2),IF(C112&gt;0,VLOOKUP(C112,КФСР!A65:B1577,2),IF(D112&gt;0,VLOOKUP(D112,Программа!A$1:B$5110,2),IF(F112&gt;0,VLOOKUP(F112,КВР!A$1:B$5001,2),IF(E112&gt;0,VLOOKUP(E112,Направление!A$1:B$4783,2))))))</f>
        <v>Предоставление субсидий бюджетным, автономным учреждениям и иным некоммерческим организациям</v>
      </c>
      <c r="B112" s="117"/>
      <c r="C112" s="112"/>
      <c r="D112" s="113"/>
      <c r="E112" s="112"/>
      <c r="F112" s="114">
        <v>600</v>
      </c>
      <c r="G112" s="385"/>
      <c r="H112" s="385"/>
      <c r="I112" s="385">
        <f>SUM(G112:H112)</f>
        <v>0</v>
      </c>
      <c r="J112" s="385"/>
      <c r="K112" s="295"/>
      <c r="L112" s="295">
        <f>SUM(J112:K112)</f>
        <v>0</v>
      </c>
    </row>
    <row r="113" spans="1:12" ht="47.25" hidden="1" x14ac:dyDescent="0.2">
      <c r="A113" s="116" t="str">
        <f>IF(B113&gt;0,VLOOKUP(B113,КВСР!A63:B1228,2),IF(C113&gt;0,VLOOKUP(C113,КФСР!A63:B1575,2),IF(D113&gt;0,VLOOKUP(D113,Программа!A$1:B$5110,2),IF(F113&gt;0,VLOOKUP(F113,КВР!A$1:B$5001,2),IF(E113&gt;0,VLOOKUP(E113,Направление!A$1:B$4783,2))))))</f>
        <v>Обеспечение   мероприятий в области  дорожного хозяйства  на  ремонт и содержание автомобильных дорог</v>
      </c>
      <c r="B113" s="117"/>
      <c r="C113" s="112"/>
      <c r="D113" s="113"/>
      <c r="E113" s="112">
        <v>29086</v>
      </c>
      <c r="F113" s="114"/>
      <c r="G113" s="385"/>
      <c r="H113" s="385">
        <f>H115+H114</f>
        <v>0</v>
      </c>
      <c r="I113" s="385">
        <f>SUM(G113:H113)</f>
        <v>0</v>
      </c>
      <c r="J113" s="277"/>
      <c r="K113" s="277">
        <f>K115+K114</f>
        <v>0</v>
      </c>
      <c r="L113" s="295">
        <f>SUM(J113:K113)</f>
        <v>0</v>
      </c>
    </row>
    <row r="114" spans="1:12" ht="63" hidden="1" x14ac:dyDescent="0.2">
      <c r="A114" s="116" t="str">
        <f>IF(B114&gt;0,VLOOKUP(B114,КВСР!A64:B1229,2),IF(C114&gt;0,VLOOKUP(C114,КФСР!A64:B1576,2),IF(D114&gt;0,VLOOKUP(D114,Программа!A$1:B$5110,2),IF(F114&gt;0,VLOOKUP(F114,КВР!A$1:B$5001,2),IF(E114&gt;0,VLOOKUP(E114,Направление!A$1:B$4783,2))))))</f>
        <v xml:space="preserve">Закупка товаров, работ и услуг для обеспечения государственных (муниципальных) нужд
</v>
      </c>
      <c r="B114" s="117"/>
      <c r="C114" s="112"/>
      <c r="D114" s="113"/>
      <c r="E114" s="112"/>
      <c r="F114" s="114">
        <v>200</v>
      </c>
      <c r="G114" s="385"/>
      <c r="H114" s="385"/>
      <c r="I114" s="385">
        <f>SUM(G114:H114)</f>
        <v>0</v>
      </c>
      <c r="J114" s="277"/>
      <c r="K114" s="277"/>
      <c r="L114" s="295">
        <f>SUM(J114:K114)</f>
        <v>0</v>
      </c>
    </row>
    <row r="115" spans="1:12" ht="47.25" hidden="1" x14ac:dyDescent="0.2">
      <c r="A115" s="116" t="str">
        <f>IF(B115&gt;0,VLOOKUP(B115,КВСР!A64:B1229,2),IF(C115&gt;0,VLOOKUP(C115,КФСР!A64:B1576,2),IF(D115&gt;0,VLOOKUP(D115,Программа!A$1:B$5110,2),IF(F115&gt;0,VLOOKUP(F115,КВР!A$1:B$5001,2),IF(E115&gt;0,VLOOKUP(E115,Направление!A$1:B$4783,2))))))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85"/>
      <c r="H115" s="385"/>
      <c r="I115" s="385">
        <f t="shared" si="71"/>
        <v>0</v>
      </c>
      <c r="J115" s="385"/>
      <c r="K115" s="295"/>
      <c r="L115" s="295">
        <f t="shared" si="66"/>
        <v>0</v>
      </c>
    </row>
    <row r="116" spans="1:12" ht="31.5" hidden="1" x14ac:dyDescent="0.2">
      <c r="A116" s="116" t="str">
        <f>IF(B116&gt;0,VLOOKUP(B116,КВСР!A65:B1230,2),IF(C116&gt;0,VLOOKUP(C116,КФСР!A65:B1577,2),IF(D116&gt;0,VLOOKUP(D116,Программа!A$1:B$5110,2),IF(F116&gt;0,VLOOKUP(F116,КВР!A$1:B$5001,2),IF(E116&gt;0,VLOOKUP(E116,Направление!A$1:B$4783,2))))))</f>
        <v>Содержание и организация деятельности дорожного хозяйства</v>
      </c>
      <c r="B116" s="117"/>
      <c r="C116" s="112"/>
      <c r="D116" s="113"/>
      <c r="E116" s="112">
        <v>29696</v>
      </c>
      <c r="F116" s="114"/>
      <c r="G116" s="385"/>
      <c r="H116" s="385">
        <f>H117</f>
        <v>0</v>
      </c>
      <c r="I116" s="385">
        <f t="shared" ref="I116:L116" si="72">I117</f>
        <v>0</v>
      </c>
      <c r="J116" s="385"/>
      <c r="K116" s="385">
        <f t="shared" si="72"/>
        <v>0</v>
      </c>
      <c r="L116" s="385">
        <f t="shared" si="72"/>
        <v>0</v>
      </c>
    </row>
    <row r="117" spans="1:12" ht="47.25" hidden="1" x14ac:dyDescent="0.2">
      <c r="A117" s="116" t="str">
        <f>IF(B117&gt;0,VLOOKUP(B117,КВСР!A66:B1231,2),IF(C117&gt;0,VLOOKUP(C117,КФСР!A66:B1578,2),IF(D117&gt;0,VLOOKUP(D117,Программа!A$1:B$5110,2),IF(F117&gt;0,VLOOKUP(F117,КВР!A$1:B$5001,2),IF(E117&gt;0,VLOOKUP(E117,Направление!A$1:B$4783,2))))))</f>
        <v>Предоставление субсидий бюджетным, автономным учреждениям и иным некоммерческим организациям</v>
      </c>
      <c r="B117" s="117"/>
      <c r="C117" s="112"/>
      <c r="D117" s="113"/>
      <c r="E117" s="112"/>
      <c r="F117" s="114">
        <v>600</v>
      </c>
      <c r="G117" s="385"/>
      <c r="H117" s="385"/>
      <c r="I117" s="385">
        <f t="shared" si="71"/>
        <v>0</v>
      </c>
      <c r="J117" s="385"/>
      <c r="K117" s="295"/>
      <c r="L117" s="295">
        <f t="shared" si="66"/>
        <v>0</v>
      </c>
    </row>
    <row r="118" spans="1:12" ht="31.5" x14ac:dyDescent="0.2">
      <c r="A118" s="116" t="s">
        <v>1403</v>
      </c>
      <c r="B118" s="117"/>
      <c r="C118" s="112"/>
      <c r="D118" s="113"/>
      <c r="E118" s="112">
        <v>72440</v>
      </c>
      <c r="F118" s="114"/>
      <c r="G118" s="385"/>
      <c r="H118" s="385">
        <f t="shared" ref="H118:L118" si="73">H119</f>
        <v>10771487</v>
      </c>
      <c r="I118" s="385">
        <f t="shared" si="73"/>
        <v>10771487</v>
      </c>
      <c r="J118" s="385"/>
      <c r="K118" s="385">
        <f t="shared" si="73"/>
        <v>10771487</v>
      </c>
      <c r="L118" s="385">
        <f t="shared" si="73"/>
        <v>10771487</v>
      </c>
    </row>
    <row r="119" spans="1:12" ht="47.25" x14ac:dyDescent="0.2">
      <c r="A119" s="116" t="s">
        <v>457</v>
      </c>
      <c r="B119" s="117"/>
      <c r="C119" s="112"/>
      <c r="D119" s="113"/>
      <c r="E119" s="112"/>
      <c r="F119" s="114">
        <v>200</v>
      </c>
      <c r="G119" s="385"/>
      <c r="H119" s="385">
        <v>10771487</v>
      </c>
      <c r="I119" s="385">
        <f>G119+H119</f>
        <v>10771487</v>
      </c>
      <c r="J119" s="385"/>
      <c r="K119" s="295">
        <v>10771487</v>
      </c>
      <c r="L119" s="295">
        <f>J119+K119</f>
        <v>10771487</v>
      </c>
    </row>
    <row r="120" spans="1:12" ht="47.25" hidden="1" x14ac:dyDescent="0.2">
      <c r="A120" s="116" t="s">
        <v>457</v>
      </c>
      <c r="B120" s="117"/>
      <c r="C120" s="112"/>
      <c r="D120" s="113"/>
      <c r="E120" s="112">
        <v>72446</v>
      </c>
      <c r="F120" s="114"/>
      <c r="G120" s="385"/>
      <c r="H120" s="385">
        <f t="shared" ref="H120:L120" si="74">H121</f>
        <v>0</v>
      </c>
      <c r="I120" s="385">
        <f t="shared" si="74"/>
        <v>0</v>
      </c>
      <c r="J120" s="385"/>
      <c r="K120" s="385">
        <f t="shared" si="74"/>
        <v>0</v>
      </c>
      <c r="L120" s="385">
        <f t="shared" si="74"/>
        <v>0</v>
      </c>
    </row>
    <row r="121" spans="1:12" ht="47.25" hidden="1" x14ac:dyDescent="0.2">
      <c r="A121" s="116" t="s">
        <v>457</v>
      </c>
      <c r="B121" s="117"/>
      <c r="C121" s="112"/>
      <c r="D121" s="113"/>
      <c r="E121" s="112"/>
      <c r="F121" s="114">
        <v>600</v>
      </c>
      <c r="G121" s="385"/>
      <c r="H121" s="385"/>
      <c r="I121" s="385">
        <f>G121+H121</f>
        <v>0</v>
      </c>
      <c r="J121" s="385"/>
      <c r="K121" s="295"/>
      <c r="L121" s="295">
        <f>J121+K121</f>
        <v>0</v>
      </c>
    </row>
    <row r="122" spans="1:12" ht="31.5" hidden="1" x14ac:dyDescent="0.2">
      <c r="A122" s="116" t="str">
        <f>IF(B122&gt;0,VLOOKUP(B122,КВСР!A69:B1234,2),IF(C122&gt;0,VLOOKUP(C122,КФСР!A69:B1581,2),IF(D122&gt;0,VLOOKUP(D122,Программа!A$1:B$5110,2),IF(F122&gt;0,VLOOKUP(F122,КВР!A$1:B$5001,2),IF(E122&gt;0,VLOOKUP(E122,Направление!A$1:B$4783,2))))))</f>
        <v>Реализация федерального проекта "Дорожная сеть"</v>
      </c>
      <c r="B122" s="117"/>
      <c r="C122" s="112"/>
      <c r="D122" s="114" t="s">
        <v>1685</v>
      </c>
      <c r="E122" s="114"/>
      <c r="F122" s="114"/>
      <c r="G122" s="390"/>
      <c r="H122" s="385">
        <f t="shared" ref="H122:L122" si="75">H123+H125</f>
        <v>0</v>
      </c>
      <c r="I122" s="385">
        <f t="shared" si="75"/>
        <v>0</v>
      </c>
      <c r="J122" s="385"/>
      <c r="K122" s="385">
        <f t="shared" si="75"/>
        <v>0</v>
      </c>
      <c r="L122" s="385">
        <f t="shared" si="75"/>
        <v>0</v>
      </c>
    </row>
    <row r="123" spans="1:12" ht="94.5" hidden="1" x14ac:dyDescent="0.2">
      <c r="A123" s="116" t="str">
        <f>IF(B123&gt;0,VLOOKUP(B123,КВСР!A70:B1235,2),IF(C123&gt;0,VLOOKUP(C123,КФСР!A70:B1582,2),IF(D123&gt;0,VLOOKUP(D123,Программа!A$1:B$5110,2),IF(F123&gt;0,VLOOKUP(F123,КВР!A$1:B$5001,2),IF(E123&gt;0,VLOOKUP(E123,Направление!A$1:B$4783,2))))))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7"/>
      <c r="C123" s="112"/>
      <c r="D123" s="113"/>
      <c r="E123" s="112">
        <v>23936</v>
      </c>
      <c r="F123" s="114"/>
      <c r="G123" s="390"/>
      <c r="H123" s="385">
        <f t="shared" ref="H123:L123" si="76">H124</f>
        <v>0</v>
      </c>
      <c r="I123" s="385">
        <f t="shared" si="76"/>
        <v>0</v>
      </c>
      <c r="J123" s="385"/>
      <c r="K123" s="385">
        <f t="shared" si="76"/>
        <v>0</v>
      </c>
      <c r="L123" s="385">
        <f t="shared" si="76"/>
        <v>0</v>
      </c>
    </row>
    <row r="124" spans="1:12" ht="63" hidden="1" x14ac:dyDescent="0.2">
      <c r="A124" s="116" t="str">
        <f>IF(B124&gt;0,VLOOKUP(B124,КВСР!A71:B1236,2),IF(C124&gt;0,VLOOKUP(C124,КФСР!A71:B1583,2),IF(D124&gt;0,VLOOKUP(D124,Программа!A$1:B$5110,2),IF(F124&gt;0,VLOOKUP(F124,КВР!A$1:B$5001,2),IF(E124&gt;0,VLOOKUP(E124,Направление!A$1:B$4783,2))))))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385"/>
      <c r="H124" s="385"/>
      <c r="I124" s="385">
        <f>G124+H124</f>
        <v>0</v>
      </c>
      <c r="J124" s="385"/>
      <c r="K124" s="295"/>
      <c r="L124" s="295">
        <f t="shared" si="66"/>
        <v>0</v>
      </c>
    </row>
    <row r="125" spans="1:12" ht="94.5" hidden="1" x14ac:dyDescent="0.2">
      <c r="A125" s="116" t="str">
        <f>IF(B125&gt;0,VLOOKUP(B125,КВСР!A72:B1237,2),IF(C125&gt;0,VLOOKUP(C125,КФСР!A72:B1584,2),IF(D125&gt;0,VLOOKUP(D125,Программа!A$1:B$5110,2),IF(F125&gt;0,VLOOKUP(F125,КВР!A$1:B$5001,2),IF(E125&gt;0,VLOOKUP(E125,Направление!A$1:B$4783,2))))))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7"/>
      <c r="C125" s="112"/>
      <c r="D125" s="113"/>
      <c r="E125" s="112">
        <v>73936</v>
      </c>
      <c r="F125" s="114"/>
      <c r="G125" s="284"/>
      <c r="H125" s="295">
        <f t="shared" ref="H125:I125" si="77">H126</f>
        <v>0</v>
      </c>
      <c r="I125" s="295">
        <f t="shared" si="77"/>
        <v>0</v>
      </c>
      <c r="J125" s="295"/>
      <c r="K125" s="295">
        <f>K126</f>
        <v>0</v>
      </c>
      <c r="L125" s="295">
        <f t="shared" si="66"/>
        <v>0</v>
      </c>
    </row>
    <row r="126" spans="1:12" ht="63" hidden="1" x14ac:dyDescent="0.2">
      <c r="A126" s="116" t="str">
        <f>IF(B126&gt;0,VLOOKUP(B126,КВСР!A73:B1238,2),IF(C126&gt;0,VLOOKUP(C126,КФСР!A73:B1585,2),IF(D126&gt;0,VLOOKUP(D126,Программа!A$1:B$5110,2),IF(F126&gt;0,VLOOKUP(F126,КВР!A$1:B$5001,2),IF(E126&gt;0,VLOOKUP(E126,Направление!A$1:B$4783,2))))))</f>
        <v xml:space="preserve">Закупка товаров, работ и услуг для обеспечения государственных (муниципальных) нужд
</v>
      </c>
      <c r="B126" s="117"/>
      <c r="C126" s="112"/>
      <c r="D126" s="113"/>
      <c r="E126" s="112"/>
      <c r="F126" s="114">
        <v>200</v>
      </c>
      <c r="G126" s="385"/>
      <c r="H126" s="385"/>
      <c r="I126" s="385">
        <f>SUM(G126:H126)</f>
        <v>0</v>
      </c>
      <c r="J126" s="385"/>
      <c r="K126" s="295"/>
      <c r="L126" s="295">
        <f>SUM(J126:K126)</f>
        <v>0</v>
      </c>
    </row>
    <row r="127" spans="1:12" ht="15.75" hidden="1" x14ac:dyDescent="0.2">
      <c r="A127" s="116" t="str">
        <f>IF(B127&gt;0,VLOOKUP(B127,КВСР!A74:B1239,2),IF(C127&gt;0,VLOOKUP(C127,КФСР!A74:B1586,2),IF(D127&gt;0,VLOOKUP(D127,Программа!A$1:B$5110,2),IF(F127&gt;0,VLOOKUP(F127,КВР!A$1:B$5001,2),IF(E127&gt;0,VLOOKUP(E127,Направление!A$1:B$4783,2))))))</f>
        <v>Непрограммные расходы бюджета</v>
      </c>
      <c r="B127" s="117"/>
      <c r="C127" s="112"/>
      <c r="D127" s="113" t="s">
        <v>394</v>
      </c>
      <c r="E127" s="112"/>
      <c r="F127" s="114"/>
      <c r="G127" s="385"/>
      <c r="H127" s="385">
        <f t="shared" ref="H127:H128" si="78">H128</f>
        <v>0</v>
      </c>
      <c r="I127" s="385">
        <f t="shared" ref="I127:I128" si="79">I128</f>
        <v>0</v>
      </c>
      <c r="J127" s="385"/>
      <c r="K127" s="385">
        <f t="shared" ref="K127:K128" si="80">K128</f>
        <v>0</v>
      </c>
      <c r="L127" s="385">
        <f t="shared" ref="L127:L128" si="81">L128</f>
        <v>0</v>
      </c>
    </row>
    <row r="128" spans="1:12" ht="110.25" hidden="1" x14ac:dyDescent="0.2">
      <c r="A128" s="116" t="str">
        <f>IF(B128&gt;0,VLOOKUP(B128,КВСР!A75:B1240,2),IF(C128&gt;0,VLOOKUP(C128,КФСР!A75:B1587,2),IF(D128&gt;0,VLOOKUP(D128,Программа!A$1:B$5110,2),IF(F128&gt;0,VLOOKUP(F128,КВР!A$1:B$5001,2),IF(E128&gt;0,VLOOKUP(E128,Направление!A$1:B$4783,2))))))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7"/>
      <c r="C128" s="112"/>
      <c r="D128" s="113"/>
      <c r="E128" s="112">
        <v>26936</v>
      </c>
      <c r="F128" s="114"/>
      <c r="G128" s="385"/>
      <c r="H128" s="385">
        <f t="shared" si="78"/>
        <v>0</v>
      </c>
      <c r="I128" s="385">
        <f t="shared" si="79"/>
        <v>0</v>
      </c>
      <c r="J128" s="385"/>
      <c r="K128" s="385">
        <f t="shared" si="80"/>
        <v>0</v>
      </c>
      <c r="L128" s="385">
        <f t="shared" si="81"/>
        <v>0</v>
      </c>
    </row>
    <row r="129" spans="1:12" ht="63" hidden="1" x14ac:dyDescent="0.2">
      <c r="A129" s="116" t="str">
        <f>IF(B129&gt;0,VLOOKUP(B129,КВСР!A76:B1241,2),IF(C129&gt;0,VLOOKUP(C129,КФСР!A76:B1588,2),IF(D129&gt;0,VLOOKUP(D129,Программа!A$1:B$5110,2),IF(F129&gt;0,VLOOKUP(F129,КВР!A$1:B$5001,2),IF(E129&gt;0,VLOOKUP(E129,Направление!A$1:B$4783,2))))))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3"/>
      <c r="E129" s="112"/>
      <c r="F129" s="114">
        <v>200</v>
      </c>
      <c r="G129" s="385"/>
      <c r="H129" s="385"/>
      <c r="I129" s="385">
        <f>G129+H129</f>
        <v>0</v>
      </c>
      <c r="J129" s="385"/>
      <c r="K129" s="295"/>
      <c r="L129" s="295"/>
    </row>
    <row r="130" spans="1:12" ht="36.950000000000003" customHeight="1" x14ac:dyDescent="0.2">
      <c r="A130" s="116" t="str">
        <f>IF(B130&gt;0,VLOOKUP(B130,КВСР!A77:B1242,2),IF(C130&gt;0,VLOOKUP(C130,КФСР!A77:B1589,2),IF(D130&gt;0,VLOOKUP(D130,Программа!A$1:B$5110,2),IF(F130&gt;0,VLOOKUP(F130,КВР!A$1:B$5001,2),IF(E130&gt;0,VLOOKUP(E130,Направление!A$1:B$4783,2))))))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3" t="s">
        <v>565</v>
      </c>
      <c r="E130" s="112"/>
      <c r="F130" s="114"/>
      <c r="G130" s="385"/>
      <c r="H130" s="385">
        <f>H131</f>
        <v>6200000</v>
      </c>
      <c r="I130" s="385">
        <f t="shared" ref="I130:L131" si="82">I131</f>
        <v>6200000</v>
      </c>
      <c r="J130" s="385">
        <f t="shared" si="82"/>
        <v>0</v>
      </c>
      <c r="K130" s="385">
        <f t="shared" si="82"/>
        <v>6400000</v>
      </c>
      <c r="L130" s="385">
        <f t="shared" si="82"/>
        <v>6400000</v>
      </c>
    </row>
    <row r="131" spans="1:12" ht="126" x14ac:dyDescent="0.2">
      <c r="A131" s="116" t="str">
        <f>IF(B131&gt;0,VLOOKUP(B131,КВСР!A78:B1243,2),IF(C131&gt;0,VLOOKUP(C131,КФСР!A78:B1590,2),IF(D131&gt;0,VLOOKUP(D131,Программа!A$1:B$5110,2),IF(F131&gt;0,VLOOKUP(F131,КВР!A$1:B$5001,2),IF(E131&gt;0,VLOOKUP(E131,Направление!A$1:B$4783,2))))))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7"/>
      <c r="C131" s="112"/>
      <c r="D131" s="113"/>
      <c r="E131" s="112">
        <v>10052</v>
      </c>
      <c r="F131" s="114"/>
      <c r="G131" s="385"/>
      <c r="H131" s="385">
        <f>H132</f>
        <v>6200000</v>
      </c>
      <c r="I131" s="385">
        <f t="shared" si="82"/>
        <v>6200000</v>
      </c>
      <c r="J131" s="385">
        <f t="shared" si="82"/>
        <v>0</v>
      </c>
      <c r="K131" s="385">
        <f t="shared" si="82"/>
        <v>6400000</v>
      </c>
      <c r="L131" s="385">
        <f t="shared" si="82"/>
        <v>6400000</v>
      </c>
    </row>
    <row r="132" spans="1:12" ht="24.75" customHeight="1" x14ac:dyDescent="0.2">
      <c r="A132" s="116" t="str">
        <f>IF(B132&gt;0,VLOOKUP(B132,КВСР!A79:B1244,2),IF(C132&gt;0,VLOOKUP(C132,КФСР!A79:B1591,2),IF(D132&gt;0,VLOOKUP(D132,Программа!A$1:B$5110,2),IF(F132&gt;0,VLOOKUP(F132,КВР!A$1:B$5001,2),IF(E132&gt;0,VLOOKUP(E132,Направление!A$1:B$4783,2))))))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3"/>
      <c r="E132" s="112"/>
      <c r="F132" s="114">
        <v>500</v>
      </c>
      <c r="G132" s="385"/>
      <c r="H132" s="385">
        <v>6200000</v>
      </c>
      <c r="I132" s="385">
        <f>G132+H132</f>
        <v>6200000</v>
      </c>
      <c r="J132" s="385"/>
      <c r="K132" s="295">
        <v>6400000</v>
      </c>
      <c r="L132" s="295">
        <f>J132+K132</f>
        <v>6400000</v>
      </c>
    </row>
    <row r="133" spans="1:12" ht="31.5" hidden="1" x14ac:dyDescent="0.2">
      <c r="A133" s="116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IF(B133&gt;0,VLOOKUP(B133,КВСР!A74:B1239,2),IF(C133&gt;0,VLOOKUP(C133,КФСР!A74:B1586,2),IF(D133&gt;0,VLOOKUP(D133,Программа!A$1:B$5110,2),IF(F133&gt;0,VLOOKUP(F133,КВР!A$1:B$5001,2),IF(E133&gt;0,VLOOKUP(E133,Направление!A$1:B$4783,2))))))</f>
        <v>Другие вопросы в области национальной экономики</v>
      </c>
      <c r="B133" s="117"/>
      <c r="C133" s="112">
        <v>412</v>
      </c>
      <c r="D133" s="113"/>
      <c r="E133" s="112"/>
      <c r="F133" s="114"/>
      <c r="G133" s="385"/>
      <c r="H133" s="385">
        <f t="shared" ref="H133:H139" si="83">H134</f>
        <v>0</v>
      </c>
      <c r="I133" s="385">
        <f t="shared" ref="I133:I139" si="84">I134</f>
        <v>0</v>
      </c>
      <c r="J133" s="385"/>
      <c r="K133" s="385">
        <f t="shared" ref="K133:L135" si="85">K134</f>
        <v>0</v>
      </c>
      <c r="L133" s="385">
        <f t="shared" si="85"/>
        <v>0</v>
      </c>
    </row>
    <row r="134" spans="1:12" ht="94.5" hidden="1" x14ac:dyDescent="0.2">
      <c r="A134" s="116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422</v>
      </c>
      <c r="E134" s="112"/>
      <c r="F134" s="114"/>
      <c r="G134" s="385"/>
      <c r="H134" s="385">
        <f t="shared" si="83"/>
        <v>0</v>
      </c>
      <c r="I134" s="385">
        <f t="shared" si="84"/>
        <v>0</v>
      </c>
      <c r="J134" s="385"/>
      <c r="K134" s="385">
        <f t="shared" si="85"/>
        <v>0</v>
      </c>
      <c r="L134" s="385">
        <f t="shared" si="85"/>
        <v>0</v>
      </c>
    </row>
    <row r="135" spans="1:12" ht="47.25" hidden="1" x14ac:dyDescent="0.2">
      <c r="A135" s="116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IF(B135&gt;0,VLOOKUP(B135,КВСР!A76:B1241,2),IF(C135&gt;0,VLOOKUP(C135,КФСР!A76:B1588,2),IF(D135&gt;0,VLOOKUP(D135,Программа!A$1:B$5110,2),IF(F135&gt;0,VLOOKUP(F135,КВР!A$1:B$5001,2),IF(E135&gt;0,VLOOKUP(E135,Направление!A$1:B$4783,2))))))</f>
        <v>Муниципальная целевая программа "Развитие потребительского рынка Тутаевского муниципального района "</v>
      </c>
      <c r="B135" s="117"/>
      <c r="C135" s="112"/>
      <c r="D135" s="113" t="s">
        <v>438</v>
      </c>
      <c r="E135" s="112"/>
      <c r="F135" s="114"/>
      <c r="G135" s="385"/>
      <c r="H135" s="385">
        <f t="shared" si="83"/>
        <v>0</v>
      </c>
      <c r="I135" s="385">
        <f t="shared" si="84"/>
        <v>0</v>
      </c>
      <c r="J135" s="385"/>
      <c r="K135" s="385">
        <f t="shared" si="85"/>
        <v>0</v>
      </c>
      <c r="L135" s="385">
        <f t="shared" si="85"/>
        <v>0</v>
      </c>
    </row>
    <row r="136" spans="1:12" ht="47.25" hidden="1" x14ac:dyDescent="0.2">
      <c r="A136" s="116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IF(B136&gt;0,VLOOKUP(B136,КВСР!A77:B1242,2),IF(C136&gt;0,VLOOKUP(C136,КФСР!A77:B1589,2),IF(D136&gt;0,VLOOKUP(D136,Программа!A$1:B$5110,2),IF(F136&gt;0,VLOOKUP(F136,КВР!A$1:B$5001,2),IF(E136&gt;0,VLOOKUP(E136,Направление!A$1:B$4783,2))))))</f>
        <v>Обеспечение доступности товаров для сельского населения путем оказания государственной поддержки</v>
      </c>
      <c r="B136" s="117"/>
      <c r="C136" s="112"/>
      <c r="D136" s="113" t="s">
        <v>440</v>
      </c>
      <c r="E136" s="112"/>
      <c r="F136" s="114"/>
      <c r="G136" s="385"/>
      <c r="H136" s="385">
        <f t="shared" ref="H136:I136" si="86">H139+H137</f>
        <v>0</v>
      </c>
      <c r="I136" s="385">
        <f t="shared" si="86"/>
        <v>0</v>
      </c>
      <c r="J136" s="385"/>
      <c r="K136" s="385">
        <f t="shared" ref="K136" si="87">K139+K137</f>
        <v>0</v>
      </c>
      <c r="L136" s="385">
        <f t="shared" ref="L136" si="88">L139+L137</f>
        <v>0</v>
      </c>
    </row>
    <row r="137" spans="1:12" ht="94.5" hidden="1" x14ac:dyDescent="0.2">
      <c r="A137" s="116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7"/>
      <c r="C137" s="112"/>
      <c r="D137" s="113"/>
      <c r="E137" s="112">
        <v>12880</v>
      </c>
      <c r="F137" s="114"/>
      <c r="G137" s="385"/>
      <c r="H137" s="385">
        <f t="shared" ref="H137:L137" si="89">H138</f>
        <v>0</v>
      </c>
      <c r="I137" s="385">
        <f t="shared" si="89"/>
        <v>0</v>
      </c>
      <c r="J137" s="385"/>
      <c r="K137" s="385">
        <f t="shared" si="89"/>
        <v>0</v>
      </c>
      <c r="L137" s="385">
        <f t="shared" si="89"/>
        <v>0</v>
      </c>
    </row>
    <row r="138" spans="1:12" ht="15.75" hidden="1" x14ac:dyDescent="0.2">
      <c r="A138" s="116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85"/>
      <c r="H138" s="385"/>
      <c r="I138" s="385">
        <f>G138+H138</f>
        <v>0</v>
      </c>
      <c r="J138" s="385"/>
      <c r="K138" s="385"/>
      <c r="L138" s="385">
        <f>J138+K138</f>
        <v>0</v>
      </c>
    </row>
    <row r="139" spans="1:12" ht="110.25" hidden="1" x14ac:dyDescent="0.2">
      <c r="A139" s="116" t="str">
        <f>IF(B139&gt;0,VLOOKUP(B139,КВСР!A78:B1243,2),IF(C139&gt;0,VLOOKUP(C139,КФСР!A78:B1590,2),IF(D139&gt;0,VLOOKUP(D139,Программа!A$1:B$5110,2),IF(F139&gt;0,VLOOKUP(F139,КВР!A$1:B$5001,2),IF(E139&gt;0,VLOOKUP(E139,Направление!A$1:B$4783,2))))))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9" s="117"/>
      <c r="C139" s="112"/>
      <c r="D139" s="113"/>
      <c r="E139" s="112">
        <v>72880</v>
      </c>
      <c r="F139" s="114"/>
      <c r="G139" s="385"/>
      <c r="H139" s="385">
        <f t="shared" si="83"/>
        <v>0</v>
      </c>
      <c r="I139" s="385">
        <f t="shared" si="84"/>
        <v>0</v>
      </c>
      <c r="J139" s="385"/>
      <c r="K139" s="385">
        <f t="shared" ref="K139" si="90">K140</f>
        <v>0</v>
      </c>
      <c r="L139" s="385">
        <f t="shared" ref="L139" si="91">L140</f>
        <v>0</v>
      </c>
    </row>
    <row r="140" spans="1:12" ht="15.75" hidden="1" x14ac:dyDescent="0.2">
      <c r="A140" s="116" t="str">
        <f>IF(B140&gt;0,VLOOKUP(B140,КВСР!A79:B1244,2),IF(C140&gt;0,VLOOKUP(C140,КФСР!A79:B1591,2),IF(D140&gt;0,VLOOKUP(D140,Программа!A$1:B$5110,2),IF(F140&gt;0,VLOOKUP(F140,КВР!A$1:B$5001,2),IF(E140&gt;0,VLOOKUP(E140,Направление!A$1:B$4783,2))))))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3"/>
      <c r="E140" s="112"/>
      <c r="F140" s="114">
        <v>800</v>
      </c>
      <c r="G140" s="385"/>
      <c r="H140" s="385"/>
      <c r="I140" s="385">
        <f>SUM(G140:H140)</f>
        <v>0</v>
      </c>
      <c r="J140" s="385"/>
      <c r="K140" s="295"/>
      <c r="L140" s="295">
        <f>SUM(J140:K140)</f>
        <v>0</v>
      </c>
    </row>
    <row r="141" spans="1:12" ht="15.75" hidden="1" x14ac:dyDescent="0.2">
      <c r="A141" s="116" t="str">
        <f>IF(B141&gt;0,VLOOKUP(B141,КВСР!A61:B1226,2),IF(C141&gt;0,VLOOKUP(C141,КФСР!A61:B1573,2),IF(D141&gt;0,VLOOKUP(D141,Программа!A$1:B$5110,2),IF(F141&gt;0,VLOOKUP(F141,КВР!A$1:B$5001,2),IF(E141&gt;0,VLOOKUP(E141,Направление!A$1:B$4783,2))))))</f>
        <v>Жилищное хозяйство</v>
      </c>
      <c r="B141" s="117"/>
      <c r="C141" s="112">
        <v>501</v>
      </c>
      <c r="D141" s="113"/>
      <c r="E141" s="112"/>
      <c r="F141" s="114"/>
      <c r="G141" s="385"/>
      <c r="H141" s="385">
        <f t="shared" ref="H141:I144" si="92">H142</f>
        <v>0</v>
      </c>
      <c r="I141" s="385">
        <f>SUM(G141:H141)</f>
        <v>0</v>
      </c>
      <c r="J141" s="295"/>
      <c r="K141" s="295">
        <f t="shared" ref="K141:L144" si="93">K142</f>
        <v>0</v>
      </c>
      <c r="L141" s="295">
        <f t="shared" si="93"/>
        <v>0</v>
      </c>
    </row>
    <row r="142" spans="1:12" ht="63" hidden="1" x14ac:dyDescent="0.2">
      <c r="A142" s="116" t="str">
        <f>IF(B142&gt;0,VLOOKUP(B142,КВСР!A62:B1227,2),IF(C142&gt;0,VLOOKUP(C142,КФСР!A62:B1574,2),IF(D142&gt;0,VLOOKUP(D142,Программа!A$1:B$5110,2),IF(F142&gt;0,VLOOKUP(F142,КВР!A$1:B$5001,2),IF(E142&gt;0,VLOOKUP(E142,Направление!A$1:B$4783,2))))))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7"/>
      <c r="C142" s="112"/>
      <c r="D142" s="113" t="s">
        <v>1687</v>
      </c>
      <c r="E142" s="112"/>
      <c r="F142" s="114"/>
      <c r="G142" s="385"/>
      <c r="H142" s="385">
        <f t="shared" si="92"/>
        <v>0</v>
      </c>
      <c r="I142" s="385">
        <f t="shared" si="92"/>
        <v>0</v>
      </c>
      <c r="J142" s="385"/>
      <c r="K142" s="385">
        <f t="shared" si="93"/>
        <v>0</v>
      </c>
      <c r="L142" s="385">
        <f t="shared" si="93"/>
        <v>0</v>
      </c>
    </row>
    <row r="143" spans="1:12" ht="47.25" hidden="1" x14ac:dyDescent="0.2">
      <c r="A143" s="116" t="str">
        <f>IF(B143&gt;0,VLOOKUP(B143,КВСР!A64:B1229,2),IF(C143&gt;0,VLOOKUP(C143,КФСР!A64:B1576,2),IF(D143&gt;0,VLOOKUP(D143,Программа!A$1:B$5110,2),IF(F143&gt;0,VLOOKUP(F143,КВР!A$1:B$5001,2),IF(E143&gt;0,VLOOKUP(E143,Направление!A$1:B$4783,2))))))</f>
        <v xml:space="preserve">Реализация  мероприятий  по  развитию, ремонту и содержанию муниципального жилищного фонда   </v>
      </c>
      <c r="B143" s="117"/>
      <c r="C143" s="112"/>
      <c r="D143" s="113" t="s">
        <v>1689</v>
      </c>
      <c r="E143" s="112"/>
      <c r="F143" s="114"/>
      <c r="G143" s="385"/>
      <c r="H143" s="385">
        <f t="shared" si="92"/>
        <v>0</v>
      </c>
      <c r="I143" s="385">
        <f t="shared" ref="I143:I144" si="94">SUM(G143:H143)</f>
        <v>0</v>
      </c>
      <c r="J143" s="385"/>
      <c r="K143" s="385">
        <f t="shared" si="93"/>
        <v>0</v>
      </c>
      <c r="L143" s="385">
        <f t="shared" si="93"/>
        <v>0</v>
      </c>
    </row>
    <row r="144" spans="1:12" ht="63" hidden="1" x14ac:dyDescent="0.2">
      <c r="A144" s="116" t="str">
        <f>IF(B144&gt;0,VLOOKUP(B144,КВСР!A65:B1230,2),IF(C144&gt;0,VLOOKUP(C144,КФСР!A65:B1577,2),IF(D144&gt;0,VLOOKUP(D144,Программа!A$1:B$5110,2),IF(F144&gt;0,VLOOKUP(F144,КВР!A$1:B$5001,2),IF(E144&gt;0,VLOOKUP(E144,Направление!A$1:B$4783,2))))))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144" s="117"/>
      <c r="C144" s="112"/>
      <c r="D144" s="113"/>
      <c r="E144" s="112">
        <v>29376</v>
      </c>
      <c r="F144" s="114"/>
      <c r="G144" s="385"/>
      <c r="H144" s="385">
        <f t="shared" si="92"/>
        <v>0</v>
      </c>
      <c r="I144" s="385">
        <f t="shared" si="94"/>
        <v>0</v>
      </c>
      <c r="J144" s="385"/>
      <c r="K144" s="385">
        <f t="shared" si="93"/>
        <v>0</v>
      </c>
      <c r="L144" s="385">
        <f t="shared" si="93"/>
        <v>0</v>
      </c>
    </row>
    <row r="145" spans="1:12" ht="47.25" hidden="1" x14ac:dyDescent="0.2">
      <c r="A145" s="116" t="str">
        <f>IF(B145&gt;0,VLOOKUP(B145,КВСР!A66:B1231,2),IF(C145&gt;0,VLOOKUP(C145,КФСР!A66:B1578,2),IF(D145&gt;0,VLOOKUP(D145,Программа!A$1:B$5110,2),IF(F145&gt;0,VLOOKUP(F145,КВР!A$1:B$5001,2),IF(E145&gt;0,VLOOKUP(E145,Направление!A$1:B$4783,2))))))</f>
        <v>Предоставление субсидий бюджетным, автономным учреждениям и иным некоммерческим организациям</v>
      </c>
      <c r="B145" s="117"/>
      <c r="C145" s="112"/>
      <c r="D145" s="113"/>
      <c r="E145" s="112"/>
      <c r="F145" s="114">
        <v>600</v>
      </c>
      <c r="G145" s="385"/>
      <c r="H145" s="385"/>
      <c r="I145" s="385">
        <f>SUM(G145:H145)</f>
        <v>0</v>
      </c>
      <c r="J145" s="385"/>
      <c r="K145" s="295"/>
      <c r="L145" s="295">
        <f t="shared" si="66"/>
        <v>0</v>
      </c>
    </row>
    <row r="146" spans="1:12" ht="15.75" x14ac:dyDescent="0.2">
      <c r="A146" s="116" t="str">
        <f>IF(B146&gt;0,VLOOKUP(B146,КВСР!A61:B1226,2),IF(C146&gt;0,VLOOKUP(C146,КФСР!A61:B1573,2),IF(D146&gt;0,VLOOKUP(D146,Программа!A$1:B$5110,2),IF(F146&gt;0,VLOOKUP(F146,КВР!A$1:B$5001,2),IF(E146&gt;0,VLOOKUP(E146,Направление!A$1:B$4783,2))))))</f>
        <v>Коммунальное хозяйство</v>
      </c>
      <c r="B146" s="117"/>
      <c r="C146" s="112">
        <v>502</v>
      </c>
      <c r="D146" s="113"/>
      <c r="E146" s="112"/>
      <c r="F146" s="114"/>
      <c r="G146" s="385"/>
      <c r="H146" s="385">
        <f t="shared" ref="H146:L146" si="95">H147+H156</f>
        <v>100000</v>
      </c>
      <c r="I146" s="385">
        <f t="shared" si="95"/>
        <v>100000</v>
      </c>
      <c r="J146" s="385">
        <f t="shared" si="95"/>
        <v>0</v>
      </c>
      <c r="K146" s="385">
        <f t="shared" si="95"/>
        <v>15263000</v>
      </c>
      <c r="L146" s="385">
        <f t="shared" si="95"/>
        <v>15263000</v>
      </c>
    </row>
    <row r="147" spans="1:12" ht="63" x14ac:dyDescent="0.2">
      <c r="A147" s="116" t="str">
        <f>IF(B147&gt;0,VLOOKUP(B147,КВСР!A62:B1227,2),IF(C147&gt;0,VLOOKUP(C147,КФСР!A62:B1574,2),IF(D147&gt;0,VLOOKUP(D147,Программа!A$1:B$5110,2),IF(F147&gt;0,VLOOKUP(F147,КВР!A$1:B$5001,2),IF(E147&gt;0,VLOOKUP(E147,Направление!A$1:B$4783,2))))))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7"/>
      <c r="C147" s="112"/>
      <c r="D147" s="113" t="s">
        <v>613</v>
      </c>
      <c r="E147" s="112"/>
      <c r="F147" s="114"/>
      <c r="G147" s="385"/>
      <c r="H147" s="385">
        <f t="shared" ref="H147:L147" si="96">H148</f>
        <v>0</v>
      </c>
      <c r="I147" s="385">
        <f t="shared" si="96"/>
        <v>0</v>
      </c>
      <c r="J147" s="385"/>
      <c r="K147" s="385">
        <f t="shared" si="96"/>
        <v>15163000</v>
      </c>
      <c r="L147" s="385">
        <f t="shared" si="96"/>
        <v>15163000</v>
      </c>
    </row>
    <row r="148" spans="1:12" ht="78.75" x14ac:dyDescent="0.2">
      <c r="A148" s="116" t="str">
        <f>IF(B148&gt;0,VLOOKUP(B148,КВСР!A63:B1228,2),IF(C148&gt;0,VLOOKUP(C148,КФСР!A63:B1575,2),IF(D148&gt;0,VLOOKUP(D148,Программа!A$1:B$5110,2),IF(F148&gt;0,VLOOKUP(F148,КВР!A$1:B$5001,2),IF(E148&gt;0,VLOOKUP(E148,Направление!A$1:B$4783,2))))))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7"/>
      <c r="C148" s="112"/>
      <c r="D148" s="113" t="s">
        <v>644</v>
      </c>
      <c r="E148" s="112"/>
      <c r="F148" s="114"/>
      <c r="G148" s="385"/>
      <c r="H148" s="385">
        <f t="shared" ref="H148:L154" si="97">H149</f>
        <v>0</v>
      </c>
      <c r="I148" s="385">
        <f t="shared" ref="I148:I162" si="98">G148+H148</f>
        <v>0</v>
      </c>
      <c r="J148" s="385"/>
      <c r="K148" s="385">
        <f t="shared" si="97"/>
        <v>15163000</v>
      </c>
      <c r="L148" s="385">
        <f t="shared" si="97"/>
        <v>15163000</v>
      </c>
    </row>
    <row r="149" spans="1:12" ht="78.75" x14ac:dyDescent="0.2">
      <c r="A149" s="11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7"/>
      <c r="C149" s="112"/>
      <c r="D149" s="113" t="s">
        <v>686</v>
      </c>
      <c r="E149" s="112"/>
      <c r="F149" s="114"/>
      <c r="G149" s="385"/>
      <c r="H149" s="385">
        <f>H150+H152+H154</f>
        <v>0</v>
      </c>
      <c r="I149" s="385">
        <f t="shared" ref="I149:K149" si="99">I150+I152+I154</f>
        <v>0</v>
      </c>
      <c r="J149" s="385">
        <f t="shared" si="99"/>
        <v>0</v>
      </c>
      <c r="K149" s="385">
        <f t="shared" si="99"/>
        <v>15163000</v>
      </c>
      <c r="L149" s="385">
        <f t="shared" ref="L149" si="100">L154+L150+L152</f>
        <v>15163000</v>
      </c>
    </row>
    <row r="150" spans="1:12" ht="47.25" hidden="1" x14ac:dyDescent="0.2">
      <c r="A150" s="11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Бюджетные инвестиции в объекты капитального строительства муниципальной собственности</v>
      </c>
      <c r="B150" s="117"/>
      <c r="C150" s="112"/>
      <c r="D150" s="113"/>
      <c r="E150" s="112">
        <v>10010</v>
      </c>
      <c r="F150" s="114"/>
      <c r="G150" s="385"/>
      <c r="H150" s="385">
        <f t="shared" ref="H150:L150" si="101">H151</f>
        <v>0</v>
      </c>
      <c r="I150" s="385">
        <f t="shared" si="98"/>
        <v>0</v>
      </c>
      <c r="J150" s="385"/>
      <c r="K150" s="385">
        <f t="shared" si="101"/>
        <v>0</v>
      </c>
      <c r="L150" s="385">
        <f t="shared" si="101"/>
        <v>0</v>
      </c>
    </row>
    <row r="151" spans="1:12" ht="47.25" hidden="1" x14ac:dyDescent="0.2">
      <c r="A151" s="11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Капитальные вложения в объекты государственной (муниципальной) собственности</v>
      </c>
      <c r="B151" s="117"/>
      <c r="C151" s="112"/>
      <c r="D151" s="113"/>
      <c r="E151" s="112"/>
      <c r="F151" s="114">
        <v>400</v>
      </c>
      <c r="G151" s="385"/>
      <c r="H151" s="385"/>
      <c r="I151" s="385">
        <f t="shared" si="98"/>
        <v>0</v>
      </c>
      <c r="J151" s="385"/>
      <c r="K151" s="295"/>
      <c r="L151" s="295">
        <f t="shared" ref="L151:L162" si="102">J151+K151</f>
        <v>0</v>
      </c>
    </row>
    <row r="152" spans="1:12" ht="47.25" x14ac:dyDescent="0.2">
      <c r="A152" s="116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Бюджетные инвестиции на строительство межпоселенческих газопроводов</v>
      </c>
      <c r="B152" s="117"/>
      <c r="C152" s="112"/>
      <c r="D152" s="113"/>
      <c r="E152" s="112">
        <v>15260</v>
      </c>
      <c r="F152" s="114"/>
      <c r="G152" s="385"/>
      <c r="H152" s="385">
        <f t="shared" ref="H152" si="103">H153</f>
        <v>0</v>
      </c>
      <c r="I152" s="385">
        <f t="shared" si="98"/>
        <v>0</v>
      </c>
      <c r="J152" s="385"/>
      <c r="K152" s="295">
        <v>2000000</v>
      </c>
      <c r="L152" s="295">
        <f t="shared" si="102"/>
        <v>2000000</v>
      </c>
    </row>
    <row r="153" spans="1:12" ht="47.25" x14ac:dyDescent="0.2">
      <c r="A153" s="116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Капитальные вложения в объекты государственной (муниципальной) собственности</v>
      </c>
      <c r="B153" s="117"/>
      <c r="C153" s="112"/>
      <c r="D153" s="113"/>
      <c r="E153" s="112"/>
      <c r="F153" s="114">
        <v>400</v>
      </c>
      <c r="G153" s="385"/>
      <c r="H153" s="385"/>
      <c r="I153" s="385">
        <f t="shared" si="98"/>
        <v>0</v>
      </c>
      <c r="J153" s="385"/>
      <c r="K153" s="295">
        <v>2000000</v>
      </c>
      <c r="L153" s="295">
        <f t="shared" si="102"/>
        <v>2000000</v>
      </c>
    </row>
    <row r="154" spans="1:12" ht="47.25" x14ac:dyDescent="0.2">
      <c r="A154" s="116" t="str">
        <f>IF(B154&gt;0,VLOOKUP(B154,КВСР!A65:B1230,2),IF(C154&gt;0,VLOOKUP(C154,КФСР!A65:B1577,2),IF(D154&gt;0,VLOOKUP(D154,Программа!A$1:B$5110,2),IF(F154&gt;0,VLOOKUP(F154,КВР!A$1:B$5001,2),IF(E154&gt;0,VLOOKUP(E154,Направление!A$1:B$4783,2))))))</f>
        <v>Субсидия на мероприятия по строительству межпоселеченских газопроводов</v>
      </c>
      <c r="B154" s="117"/>
      <c r="C154" s="112"/>
      <c r="D154" s="113"/>
      <c r="E154" s="112">
        <v>75260</v>
      </c>
      <c r="F154" s="114"/>
      <c r="G154" s="385"/>
      <c r="H154" s="385">
        <f t="shared" si="97"/>
        <v>0</v>
      </c>
      <c r="I154" s="385">
        <f t="shared" si="98"/>
        <v>0</v>
      </c>
      <c r="J154" s="385"/>
      <c r="K154" s="295">
        <f>K155</f>
        <v>13163000</v>
      </c>
      <c r="L154" s="295">
        <f t="shared" si="102"/>
        <v>13163000</v>
      </c>
    </row>
    <row r="155" spans="1:12" ht="47.25" x14ac:dyDescent="0.2">
      <c r="A155" s="116" t="str">
        <f>IF(B155&gt;0,VLOOKUP(B155,КВСР!A66:B1231,2),IF(C155&gt;0,VLOOKUP(C155,КФСР!A66:B1578,2),IF(D155&gt;0,VLOOKUP(D155,Программа!A$1:B$5110,2),IF(F155&gt;0,VLOOKUP(F155,КВР!A$1:B$5001,2),IF(E155&gt;0,VLOOKUP(E155,Направление!A$1:B$4783,2))))))</f>
        <v>Капитальные вложения в объекты государственной (муниципальной) собственности</v>
      </c>
      <c r="B155" s="117"/>
      <c r="C155" s="112"/>
      <c r="D155" s="113"/>
      <c r="E155" s="112"/>
      <c r="F155" s="114">
        <v>400</v>
      </c>
      <c r="G155" s="385"/>
      <c r="H155" s="385"/>
      <c r="I155" s="385">
        <f t="shared" si="98"/>
        <v>0</v>
      </c>
      <c r="J155" s="385"/>
      <c r="K155" s="295">
        <v>13163000</v>
      </c>
      <c r="L155" s="295">
        <f t="shared" si="102"/>
        <v>13163000</v>
      </c>
    </row>
    <row r="156" spans="1:12" ht="15.75" x14ac:dyDescent="0.2">
      <c r="A156" s="116" t="str">
        <f>IF(B156&gt;0,VLOOKUP(B156,КВСР!A67:B1232,2),IF(C156&gt;0,VLOOKUP(C156,КФСР!A67:B1579,2),IF(D156&gt;0,VLOOKUP(D156,Программа!A$1:B$5110,2),IF(F156&gt;0,VLOOKUP(F156,КВР!A$1:B$5001,2),IF(E156&gt;0,VLOOKUP(E156,Направление!A$1:B$4783,2))))))</f>
        <v>Непрограммные расходы бюджета</v>
      </c>
      <c r="B156" s="117"/>
      <c r="C156" s="112"/>
      <c r="D156" s="113" t="s">
        <v>394</v>
      </c>
      <c r="E156" s="112"/>
      <c r="F156" s="114"/>
      <c r="G156" s="385"/>
      <c r="H156" s="385">
        <f>H159+H161+H157</f>
        <v>100000</v>
      </c>
      <c r="I156" s="385">
        <f t="shared" ref="I156:L156" si="104">I159+I161+I157</f>
        <v>100000</v>
      </c>
      <c r="J156" s="385">
        <f t="shared" si="104"/>
        <v>0</v>
      </c>
      <c r="K156" s="385">
        <f t="shared" si="104"/>
        <v>100000</v>
      </c>
      <c r="L156" s="385">
        <f t="shared" si="104"/>
        <v>100000</v>
      </c>
    </row>
    <row r="157" spans="1:12" ht="36" customHeight="1" x14ac:dyDescent="0.2">
      <c r="A157" s="116" t="str">
        <f>IF(B157&gt;0,VLOOKUP(B157,КВСР!A68:B1233,2),IF(C157&gt;0,VLOOKUP(C157,КФСР!A68:B1580,2),IF(D157&gt;0,VLOOKUP(D157,Программа!A$1:B$5110,2),IF(F157&gt;0,VLOOKUP(F157,КВР!A$1:B$5001,2),IF(E157&gt;0,VLOOKUP(E157,Направление!A$1:B$4783,2))))))</f>
        <v>Мероприятия по актуализации схем коммунальной инфраструктуры</v>
      </c>
      <c r="B157" s="117"/>
      <c r="C157" s="112"/>
      <c r="D157" s="113"/>
      <c r="E157" s="112">
        <v>10410</v>
      </c>
      <c r="F157" s="114"/>
      <c r="G157" s="385"/>
      <c r="H157" s="385">
        <f>H158</f>
        <v>100000</v>
      </c>
      <c r="I157" s="385">
        <f>I158</f>
        <v>100000</v>
      </c>
      <c r="J157" s="385"/>
      <c r="K157" s="385">
        <f>K158</f>
        <v>100000</v>
      </c>
      <c r="L157" s="385">
        <f>L158</f>
        <v>100000</v>
      </c>
    </row>
    <row r="158" spans="1:12" ht="38.25" customHeight="1" x14ac:dyDescent="0.2">
      <c r="A158" s="116" t="str">
        <f>IF(B158&gt;0,VLOOKUP(B158,КВСР!A69:B1234,2),IF(C158&gt;0,VLOOKUP(C158,КФСР!A69:B1581,2),IF(D158&gt;0,VLOOKUP(D158,Программа!A$1:B$5110,2),IF(F158&gt;0,VLOOKUP(F158,КВР!A$1:B$5001,2),IF(E158&gt;0,VLOOKUP(E158,Направление!A$1:B$4783,2))))))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85"/>
      <c r="H158" s="385">
        <v>100000</v>
      </c>
      <c r="I158" s="385">
        <f>G158+H158</f>
        <v>100000</v>
      </c>
      <c r="J158" s="385"/>
      <c r="K158" s="385">
        <v>100000</v>
      </c>
      <c r="L158" s="385">
        <f>J158+K158</f>
        <v>100000</v>
      </c>
    </row>
    <row r="159" spans="1:12" ht="47.25" hidden="1" x14ac:dyDescent="0.2">
      <c r="A159" s="116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IF(B159&gt;0,VLOOKUP(B159,КВСР!A68:B1233,2),IF(C159&gt;0,VLOOKUP(C159,КФСР!A68:B1580,2),IF(D159&gt;0,VLOOKUP(D159,Программа!A$1:B$5110,2),IF(F159&gt;0,VLOOKUP(F159,КВР!A$1:B$5001,2),IF(E159&gt;0,VLOOKUP(E159,Направление!A$1:B$4783,2))))))</f>
        <v>Обеспечение мероприятий по актуализации схем коммунальной инфраструктуры</v>
      </c>
      <c r="B159" s="117"/>
      <c r="C159" s="112"/>
      <c r="D159" s="113"/>
      <c r="E159" s="112">
        <v>29536</v>
      </c>
      <c r="F159" s="114"/>
      <c r="G159" s="385"/>
      <c r="H159" s="385">
        <f t="shared" ref="H159:I159" si="105">H160</f>
        <v>0</v>
      </c>
      <c r="I159" s="385">
        <f t="shared" si="105"/>
        <v>0</v>
      </c>
      <c r="J159" s="385"/>
      <c r="K159" s="385">
        <f t="shared" ref="K159" si="106">K160</f>
        <v>0</v>
      </c>
      <c r="L159" s="385">
        <f t="shared" ref="L159" si="107">L160</f>
        <v>0</v>
      </c>
    </row>
    <row r="160" spans="1:12" ht="47.25" hidden="1" x14ac:dyDescent="0.2">
      <c r="A160" s="116" t="str">
        <f>IF(B160&gt;0,VLOOKUP(B160,КВСР!A68:B1233,2),IF(C160&gt;0,VLOOKUP(C160,КФСР!A68:B1580,2),IF(D160&gt;0,VLOOKUP(D160,Программа!A$1:B$5110,2),IF(F160&gt;0,VLOOKUP(F160,КВР!A$1:B$5001,2),IF(E160&gt;0,VLOOKUP(E160,Направление!A$1:B$4783,2))))))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385"/>
      <c r="H160" s="385">
        <f t="shared" ref="H160:L161" si="108">H161</f>
        <v>0</v>
      </c>
      <c r="I160" s="385">
        <f t="shared" si="98"/>
        <v>0</v>
      </c>
      <c r="J160" s="385"/>
      <c r="K160" s="295"/>
      <c r="L160" s="295">
        <f t="shared" si="102"/>
        <v>0</v>
      </c>
    </row>
    <row r="161" spans="1:12" ht="47.25" hidden="1" x14ac:dyDescent="0.2">
      <c r="A161" s="116" t="str">
        <f>IF(B161&gt;0,VLOOKUP(B161,КВСР!A69:B1234,2),IF(C161&gt;0,VLOOKUP(C161,КФСР!A69:B1581,2),IF(D161&gt;0,VLOOKUP(D161,Программа!A$1:B$5110,2),IF(F161&gt;0,VLOOKUP(F161,КВР!A$1:B$5001,2),IF(E161&gt;0,VLOOKUP(E161,Направление!A$1:B$4783,2))))))</f>
        <v>Обеспечение мероприятий  по переработке и утилизации ливневых стоков</v>
      </c>
      <c r="B161" s="117"/>
      <c r="C161" s="112"/>
      <c r="D161" s="113"/>
      <c r="E161" s="112">
        <v>29616</v>
      </c>
      <c r="F161" s="114"/>
      <c r="G161" s="385"/>
      <c r="H161" s="385">
        <f t="shared" si="108"/>
        <v>0</v>
      </c>
      <c r="I161" s="385">
        <f t="shared" si="98"/>
        <v>0</v>
      </c>
      <c r="J161" s="385"/>
      <c r="K161" s="385">
        <f t="shared" si="108"/>
        <v>0</v>
      </c>
      <c r="L161" s="385">
        <f t="shared" si="108"/>
        <v>0</v>
      </c>
    </row>
    <row r="162" spans="1:12" ht="47.25" hidden="1" x14ac:dyDescent="0.2">
      <c r="A162" s="116" t="str">
        <f>IF(B162&gt;0,VLOOKUP(B162,КВСР!A70:B1235,2),IF(C162&gt;0,VLOOKUP(C162,КФСР!A70:B1582,2),IF(D162&gt;0,VLOOKUP(D162,Программа!A$1:B$5110,2),IF(F162&gt;0,VLOOKUP(F162,КВР!A$1:B$5001,2),IF(E162&gt;0,VLOOKUP(E162,Направление!A$1:B$4783,2))))))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85"/>
      <c r="H162" s="385"/>
      <c r="I162" s="385">
        <f t="shared" si="98"/>
        <v>0</v>
      </c>
      <c r="J162" s="385"/>
      <c r="K162" s="295"/>
      <c r="L162" s="295">
        <f t="shared" si="102"/>
        <v>0</v>
      </c>
    </row>
    <row r="163" spans="1:12" ht="15.75" hidden="1" x14ac:dyDescent="0.2">
      <c r="A163" s="116" t="str">
        <f>IF(B163&gt;0,VLOOKUP(B163,КВСР!A71:B1236,2),IF(C163&gt;0,VLOOKUP(C163,КФСР!A71:B1583,2),IF(D163&gt;0,VLOOKUP(D163,Программа!A$1:B$5110,2),IF(F163&gt;0,VLOOKUP(F163,КВР!A$1:B$5001,2),IF(E163&gt;0,VLOOKUP(E163,Направление!A$1:B$4783,2))))))</f>
        <v>Благоустройство</v>
      </c>
      <c r="B163" s="117"/>
      <c r="C163" s="112">
        <v>503</v>
      </c>
      <c r="D163" s="113"/>
      <c r="E163" s="112"/>
      <c r="F163" s="114"/>
      <c r="G163" s="385"/>
      <c r="H163" s="385">
        <f t="shared" ref="H163:I163" si="109">H164+H183</f>
        <v>0</v>
      </c>
      <c r="I163" s="385">
        <f t="shared" si="109"/>
        <v>0</v>
      </c>
      <c r="J163" s="385"/>
      <c r="K163" s="385">
        <f t="shared" ref="K163" si="110">K164+K183</f>
        <v>0</v>
      </c>
      <c r="L163" s="385">
        <f t="shared" ref="L163" si="111">L164+L183</f>
        <v>0</v>
      </c>
    </row>
    <row r="164" spans="1:12" ht="63" hidden="1" x14ac:dyDescent="0.2">
      <c r="A164" s="116" t="str">
        <f>IF(B164&gt;0,VLOOKUP(B164,КВСР!A72:B1237,2),IF(C164&gt;0,VLOOKUP(C164,КФСР!A72:B1584,2),IF(D164&gt;0,VLOOKUP(D164,Программа!A$1:B$5110,2),IF(F164&gt;0,VLOOKUP(F164,КВР!A$1:B$5001,2),IF(E164&gt;0,VLOOKUP(E164,Направление!A$1:B$4783,2))))))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7"/>
      <c r="C164" s="112"/>
      <c r="D164" s="113" t="s">
        <v>731</v>
      </c>
      <c r="E164" s="112"/>
      <c r="F164" s="114"/>
      <c r="G164" s="385"/>
      <c r="H164" s="385">
        <f t="shared" ref="H164:I164" si="112">H165+H169+H175+H179</f>
        <v>0</v>
      </c>
      <c r="I164" s="385">
        <f t="shared" si="112"/>
        <v>0</v>
      </c>
      <c r="J164" s="385"/>
      <c r="K164" s="385">
        <f t="shared" ref="K164" si="113">K165+K169+K175+K179</f>
        <v>0</v>
      </c>
      <c r="L164" s="385">
        <f t="shared" ref="L164" si="114">L165+L169+L175+L179</f>
        <v>0</v>
      </c>
    </row>
    <row r="165" spans="1:12" ht="63" hidden="1" x14ac:dyDescent="0.2">
      <c r="A165" s="116" t="str">
        <f>IF(B165&gt;0,VLOOKUP(B165,КВСР!A73:B1238,2),IF(C165&gt;0,VLOOKUP(C165,КФСР!A73:B1585,2),IF(D165&gt;0,VLOOKUP(D165,Программа!A$1:B$5110,2),IF(F165&gt;0,VLOOKUP(F165,КВР!A$1:B$5001,2),IF(E165&gt;0,VLOOKUP(E165,Направление!A$1:B$4783,2))))))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7"/>
      <c r="C165" s="112"/>
      <c r="D165" s="113" t="s">
        <v>733</v>
      </c>
      <c r="E165" s="112"/>
      <c r="F165" s="114"/>
      <c r="G165" s="385"/>
      <c r="H165" s="385">
        <f t="shared" ref="H165:L167" si="115">H166</f>
        <v>0</v>
      </c>
      <c r="I165" s="385">
        <f t="shared" si="115"/>
        <v>0</v>
      </c>
      <c r="J165" s="385"/>
      <c r="K165" s="385">
        <f t="shared" si="115"/>
        <v>0</v>
      </c>
      <c r="L165" s="385">
        <f t="shared" si="115"/>
        <v>0</v>
      </c>
    </row>
    <row r="166" spans="1:12" ht="47.25" hidden="1" x14ac:dyDescent="0.2">
      <c r="A166" s="116" t="str">
        <f>IF(B166&gt;0,VLOOKUP(B166,КВСР!A74:B1239,2),IF(C166&gt;0,VLOOKUP(C166,КФСР!A74:B1586,2),IF(D166&gt;0,VLOOKUP(D166,Программа!A$1:B$5110,2),IF(F166&gt;0,VLOOKUP(F166,КВР!A$1:B$5001,2),IF(E166&gt;0,VLOOKUP(E166,Направление!A$1:B$4783,2))))))</f>
        <v>Обеспечение комплекса работ по повышению уровня благоустройства мест погребений</v>
      </c>
      <c r="B166" s="117"/>
      <c r="C166" s="112"/>
      <c r="D166" s="113" t="s">
        <v>735</v>
      </c>
      <c r="E166" s="112"/>
      <c r="F166" s="114"/>
      <c r="G166" s="385"/>
      <c r="H166" s="385">
        <f t="shared" si="115"/>
        <v>0</v>
      </c>
      <c r="I166" s="385">
        <f t="shared" si="115"/>
        <v>0</v>
      </c>
      <c r="J166" s="385"/>
      <c r="K166" s="385">
        <f t="shared" si="115"/>
        <v>0</v>
      </c>
      <c r="L166" s="385">
        <f t="shared" si="115"/>
        <v>0</v>
      </c>
    </row>
    <row r="167" spans="1:12" ht="31.5" hidden="1" x14ac:dyDescent="0.2">
      <c r="A167" s="116" t="str">
        <f>IF(B167&gt;0,VLOOKUP(B167,КВСР!A75:B1240,2),IF(C167&gt;0,VLOOKUP(C167,КФСР!A75:B1587,2),IF(D167&gt;0,VLOOKUP(D167,Программа!A$1:B$5110,2),IF(F167&gt;0,VLOOKUP(F167,КВР!A$1:B$5001,2),IF(E167&gt;0,VLOOKUP(E167,Направление!A$1:B$4783,2))))))</f>
        <v>Обеспечение мероприятий по  содержанию мест захоронения</v>
      </c>
      <c r="B167" s="117"/>
      <c r="C167" s="112"/>
      <c r="D167" s="113"/>
      <c r="E167" s="112">
        <v>29316</v>
      </c>
      <c r="F167" s="114"/>
      <c r="G167" s="385"/>
      <c r="H167" s="385">
        <f t="shared" si="115"/>
        <v>0</v>
      </c>
      <c r="I167" s="385">
        <f t="shared" si="115"/>
        <v>0</v>
      </c>
      <c r="J167" s="385"/>
      <c r="K167" s="385">
        <f t="shared" si="115"/>
        <v>0</v>
      </c>
      <c r="L167" s="385">
        <f t="shared" si="115"/>
        <v>0</v>
      </c>
    </row>
    <row r="168" spans="1:12" ht="47.25" hidden="1" x14ac:dyDescent="0.2">
      <c r="A168" s="116" t="str">
        <f>IF(B168&gt;0,VLOOKUP(B168,КВСР!A76:B1241,2),IF(C168&gt;0,VLOOKUP(C168,КФСР!A76:B1588,2),IF(D168&gt;0,VLOOKUP(D168,Программа!A$1:B$5110,2),IF(F168&gt;0,VLOOKUP(F168,КВР!A$1:B$5001,2),IF(E168&gt;0,VLOOKUP(E168,Направление!A$1:B$4783,2))))))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85"/>
      <c r="H168" s="385"/>
      <c r="I168" s="385"/>
      <c r="J168" s="385"/>
      <c r="K168" s="385"/>
      <c r="L168" s="385"/>
    </row>
    <row r="169" spans="1:12" ht="63" hidden="1" x14ac:dyDescent="0.2">
      <c r="A169" s="116" t="str">
        <f>IF(B169&gt;0,VLOOKUP(B169,КВСР!A77:B1242,2),IF(C169&gt;0,VLOOKUP(C169,КФСР!A77:B1589,2),IF(D169&gt;0,VLOOKUP(D169,Программа!A$1:B$5110,2),IF(F169&gt;0,VLOOKUP(F169,КВР!A$1:B$5001,2),IF(E169&gt;0,VLOOKUP(E169,Направление!A$1:B$4783,2))))))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169" s="117"/>
      <c r="C169" s="112"/>
      <c r="D169" s="113" t="s">
        <v>736</v>
      </c>
      <c r="E169" s="112"/>
      <c r="F169" s="114"/>
      <c r="G169" s="385"/>
      <c r="H169" s="385">
        <f t="shared" ref="H169:I169" si="116">H170</f>
        <v>0</v>
      </c>
      <c r="I169" s="385">
        <f t="shared" si="116"/>
        <v>0</v>
      </c>
      <c r="J169" s="385"/>
      <c r="K169" s="385">
        <f t="shared" ref="K169" si="117">K170</f>
        <v>0</v>
      </c>
      <c r="L169" s="385">
        <f t="shared" ref="L169" si="118">L170</f>
        <v>0</v>
      </c>
    </row>
    <row r="170" spans="1:12" ht="63" hidden="1" x14ac:dyDescent="0.2">
      <c r="A170" s="116" t="str">
        <f>IF(B170&gt;0,VLOOKUP(B170,КВСР!A78:B1243,2),IF(C170&gt;0,VLOOKUP(C170,КФСР!A78:B1590,2),IF(D170&gt;0,VLOOKUP(D170,Программа!A$1:B$5110,2),IF(F170&gt;0,VLOOKUP(F170,КВР!A$1:B$5001,2),IF(E170&gt;0,VLOOKUP(E170,Направление!A$1:B$4783,2))))))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170" s="117"/>
      <c r="C170" s="112"/>
      <c r="D170" s="113" t="s">
        <v>738</v>
      </c>
      <c r="E170" s="112"/>
      <c r="F170" s="114"/>
      <c r="G170" s="385"/>
      <c r="H170" s="385">
        <f t="shared" ref="H170:I170" si="119">H171+H173</f>
        <v>0</v>
      </c>
      <c r="I170" s="385">
        <f t="shared" si="119"/>
        <v>0</v>
      </c>
      <c r="J170" s="385"/>
      <c r="K170" s="385">
        <f t="shared" ref="K170" si="120">K171+K173</f>
        <v>0</v>
      </c>
      <c r="L170" s="385">
        <f t="shared" ref="L170" si="121">L171+L173</f>
        <v>0</v>
      </c>
    </row>
    <row r="171" spans="1:12" ht="47.25" hidden="1" x14ac:dyDescent="0.2">
      <c r="A171" s="116" t="str">
        <f>IF(B171&gt;0,VLOOKUP(B171,КВСР!A85:B1250,2),IF(C171&gt;0,VLOOKUP(C171,КФСР!A85:B1597,2),IF(D171&gt;0,VLOOKUP(D171,Программа!A$1:B$5110,2),IF(F171&gt;0,VLOOKUP(F171,КВР!A$1:B$5001,2),IF(E171&gt;0,VLOOKUP(E171,Направление!A$1:B$4783,2))))))</f>
        <v>Содержание и организация деятельности по благоустройству на территории поселения</v>
      </c>
      <c r="B171" s="117"/>
      <c r="C171" s="112"/>
      <c r="D171" s="113"/>
      <c r="E171" s="112">
        <v>29256</v>
      </c>
      <c r="F171" s="114"/>
      <c r="G171" s="385"/>
      <c r="H171" s="385">
        <f>H172</f>
        <v>0</v>
      </c>
      <c r="I171" s="385">
        <f t="shared" ref="I171:L171" si="122">I172</f>
        <v>0</v>
      </c>
      <c r="J171" s="385"/>
      <c r="K171" s="385">
        <f t="shared" si="122"/>
        <v>0</v>
      </c>
      <c r="L171" s="385">
        <f t="shared" si="122"/>
        <v>0</v>
      </c>
    </row>
    <row r="172" spans="1:12" ht="47.25" hidden="1" x14ac:dyDescent="0.2">
      <c r="A172" s="116" t="str">
        <f>IF(B172&gt;0,VLOOKUP(B172,КВСР!A86:B1251,2),IF(C172&gt;0,VLOOKUP(C172,КФСР!A86:B1598,2),IF(D172&gt;0,VLOOKUP(D172,Программа!A$1:B$5110,2),IF(F172&gt;0,VLOOKUP(F172,КВР!A$1:B$5001,2),IF(E172&gt;0,VLOOKUP(E172,Направление!A$1:B$4783,2))))))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85"/>
      <c r="H172" s="385"/>
      <c r="I172" s="385">
        <f t="shared" ref="I172:I186" si="123">SUM(G172:H172)</f>
        <v>0</v>
      </c>
      <c r="J172" s="385"/>
      <c r="K172" s="295"/>
      <c r="L172" s="295">
        <f t="shared" ref="L172:L186" si="124">SUM(J172:K172)</f>
        <v>0</v>
      </c>
    </row>
    <row r="173" spans="1:12" ht="31.5" hidden="1" x14ac:dyDescent="0.2">
      <c r="A173" s="116" t="str">
        <f>IF(B173&gt;0,VLOOKUP(B173,КВСР!A87:B1252,2),IF(C173&gt;0,VLOOKUP(C173,КФСР!A87:B1599,2),IF(D173&gt;0,VLOOKUP(D173,Программа!A$1:B$5110,2),IF(F173&gt;0,VLOOKUP(F173,КВР!A$1:B$5001,2),IF(E173&gt;0,VLOOKUP(E173,Направление!A$1:B$4783,2))))))</f>
        <v>Обеспечение мероприятий в области благоустройства и озеленения</v>
      </c>
      <c r="B173" s="117"/>
      <c r="C173" s="112"/>
      <c r="D173" s="113"/>
      <c r="E173" s="112">
        <v>29266</v>
      </c>
      <c r="F173" s="114"/>
      <c r="G173" s="385"/>
      <c r="H173" s="385">
        <f>H174</f>
        <v>0</v>
      </c>
      <c r="I173" s="385">
        <f t="shared" si="123"/>
        <v>0</v>
      </c>
      <c r="J173" s="295"/>
      <c r="K173" s="295">
        <f>K174</f>
        <v>0</v>
      </c>
      <c r="L173" s="295">
        <f t="shared" si="124"/>
        <v>0</v>
      </c>
    </row>
    <row r="174" spans="1:12" ht="47.25" hidden="1" x14ac:dyDescent="0.2">
      <c r="A174" s="116" t="str">
        <f>IF(B174&gt;0,VLOOKUP(B174,КВСР!A88:B1253,2),IF(C174&gt;0,VLOOKUP(C174,КФСР!A88:B1600,2),IF(D174&gt;0,VLOOKUP(D174,Программа!A$1:B$5110,2),IF(F174&gt;0,VLOOKUP(F174,КВР!A$1:B$5001,2),IF(E174&gt;0,VLOOKUP(E174,Направление!A$1:B$4783,2))))))</f>
        <v>Предоставление субсидий бюджетным, автономным учреждениям и иным некоммерческим организациям</v>
      </c>
      <c r="B174" s="117"/>
      <c r="C174" s="112"/>
      <c r="D174" s="113"/>
      <c r="E174" s="112"/>
      <c r="F174" s="114">
        <v>600</v>
      </c>
      <c r="G174" s="385"/>
      <c r="H174" s="385"/>
      <c r="I174" s="385">
        <f t="shared" si="123"/>
        <v>0</v>
      </c>
      <c r="J174" s="385"/>
      <c r="K174" s="295"/>
      <c r="L174" s="295">
        <f t="shared" si="124"/>
        <v>0</v>
      </c>
    </row>
    <row r="175" spans="1:12" ht="110.25" hidden="1" x14ac:dyDescent="0.2">
      <c r="A175" s="116" t="str">
        <f>IF(B175&gt;0,VLOOKUP(B175,КВСР!A89:B1254,2),IF(C175&gt;0,VLOOKUP(C175,КФСР!A89:B1601,2),IF(D175&gt;0,VLOOKUP(D175,Программа!A$1:B$5110,2),IF(F175&gt;0,VLOOKUP(F175,КВР!A$1:B$5001,2),IF(E175&gt;0,VLOOKUP(E175,Направление!A$1:B$4783,2))))))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7"/>
      <c r="C175" s="112"/>
      <c r="D175" s="113" t="s">
        <v>1645</v>
      </c>
      <c r="E175" s="112"/>
      <c r="F175" s="114"/>
      <c r="G175" s="385"/>
      <c r="H175" s="385">
        <f t="shared" ref="H175:I177" si="125">H176</f>
        <v>0</v>
      </c>
      <c r="I175" s="385">
        <f t="shared" si="125"/>
        <v>0</v>
      </c>
      <c r="J175" s="385"/>
      <c r="K175" s="385">
        <f t="shared" ref="K175:K177" si="126">K176</f>
        <v>0</v>
      </c>
      <c r="L175" s="385">
        <f t="shared" ref="L175:L177" si="127">L176</f>
        <v>0</v>
      </c>
    </row>
    <row r="176" spans="1:12" ht="47.25" hidden="1" x14ac:dyDescent="0.2">
      <c r="A176" s="116" t="str">
        <f>IF(B176&gt;0,VLOOKUP(B176,КВСР!A90:B1255,2),IF(C176&gt;0,VLOOKUP(C176,КФСР!A90:B1602,2),IF(D176&gt;0,VLOOKUP(D176,Программа!A$1:B$5110,2),IF(F176&gt;0,VLOOKUP(F176,КВР!A$1:B$5001,2),IF(E176&gt;0,VLOOKUP(E176,Направление!A$1:B$4783,2))))))</f>
        <v>Создание механизма управления потреблением энергетических ресурсов и сокращение бюджетных затрат</v>
      </c>
      <c r="B176" s="117"/>
      <c r="C176" s="112"/>
      <c r="D176" s="113" t="s">
        <v>1646</v>
      </c>
      <c r="E176" s="112"/>
      <c r="F176" s="114"/>
      <c r="G176" s="385"/>
      <c r="H176" s="385">
        <f t="shared" si="125"/>
        <v>0</v>
      </c>
      <c r="I176" s="385">
        <f t="shared" si="125"/>
        <v>0</v>
      </c>
      <c r="J176" s="385"/>
      <c r="K176" s="385">
        <f t="shared" si="126"/>
        <v>0</v>
      </c>
      <c r="L176" s="385">
        <f t="shared" si="127"/>
        <v>0</v>
      </c>
    </row>
    <row r="177" spans="1:12" ht="31.5" hidden="1" x14ac:dyDescent="0.2">
      <c r="A177" s="116" t="str">
        <f>IF(B177&gt;0,VLOOKUP(B177,КВСР!A91:B1256,2),IF(C177&gt;0,VLOOKUP(C177,КФСР!A91:B1603,2),IF(D177&gt;0,VLOOKUP(D177,Программа!A$1:B$5110,2),IF(F177&gt;0,VLOOKUP(F177,КВР!A$1:B$5001,2),IF(E177&gt;0,VLOOKUP(E177,Направление!A$1:B$4783,2))))))</f>
        <v>Обеспечение мероприятий по уличному освещению</v>
      </c>
      <c r="B177" s="117"/>
      <c r="C177" s="112"/>
      <c r="D177" s="113"/>
      <c r="E177" s="112">
        <v>29236</v>
      </c>
      <c r="F177" s="114"/>
      <c r="G177" s="385"/>
      <c r="H177" s="385">
        <f t="shared" si="125"/>
        <v>0</v>
      </c>
      <c r="I177" s="385">
        <f t="shared" si="125"/>
        <v>0</v>
      </c>
      <c r="J177" s="385"/>
      <c r="K177" s="385">
        <f t="shared" si="126"/>
        <v>0</v>
      </c>
      <c r="L177" s="385">
        <f t="shared" si="127"/>
        <v>0</v>
      </c>
    </row>
    <row r="178" spans="1:12" ht="47.25" hidden="1" x14ac:dyDescent="0.2">
      <c r="A178" s="116" t="str">
        <f>IF(B178&gt;0,VLOOKUP(B178,КВСР!A92:B1257,2),IF(C178&gt;0,VLOOKUP(C178,КФСР!A92:B1604,2),IF(D178&gt;0,VLOOKUP(D178,Программа!A$1:B$5110,2),IF(F178&gt;0,VLOOKUP(F178,КВР!A$1:B$5001,2),IF(E178&gt;0,VLOOKUP(E178,Направление!A$1:B$4783,2))))))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7"/>
      <c r="C178" s="112"/>
      <c r="D178" s="113"/>
      <c r="E178" s="112"/>
      <c r="F178" s="114">
        <v>600</v>
      </c>
      <c r="G178" s="385"/>
      <c r="H178" s="385"/>
      <c r="I178" s="385">
        <f>G178+H178</f>
        <v>0</v>
      </c>
      <c r="J178" s="385"/>
      <c r="K178" s="295"/>
      <c r="L178" s="295">
        <f>J178+K178</f>
        <v>0</v>
      </c>
    </row>
    <row r="179" spans="1:12" ht="63" hidden="1" x14ac:dyDescent="0.2">
      <c r="A179" s="116" t="str">
        <f>IF(B179&gt;0,VLOOKUP(B179,КВСР!A93:B1258,2),IF(C179&gt;0,VLOOKUP(C179,КФСР!A93:B1605,2),IF(D179&gt;0,VLOOKUP(D179,Программа!A$1:B$5110,2),IF(F179&gt;0,VLOOKUP(F179,КВР!A$1:B$5001,2),IF(E179&gt;0,VLOOKUP(E179,Направление!A$1:B$4783,2))))))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7"/>
      <c r="C179" s="112"/>
      <c r="D179" s="113" t="s">
        <v>1647</v>
      </c>
      <c r="E179" s="112"/>
      <c r="F179" s="114"/>
      <c r="G179" s="385"/>
      <c r="H179" s="385">
        <f t="shared" ref="H179:I181" si="128">H180</f>
        <v>0</v>
      </c>
      <c r="I179" s="385">
        <f t="shared" si="128"/>
        <v>0</v>
      </c>
      <c r="J179" s="385"/>
      <c r="K179" s="385">
        <f t="shared" ref="K179:K181" si="129">K180</f>
        <v>0</v>
      </c>
      <c r="L179" s="385">
        <f t="shared" ref="L179:L181" si="130">L180</f>
        <v>0</v>
      </c>
    </row>
    <row r="180" spans="1:12" ht="31.5" hidden="1" x14ac:dyDescent="0.2">
      <c r="A180" s="116" t="str">
        <f>IF(B180&gt;0,VLOOKUP(B180,КВСР!A94:B1259,2),IF(C180&gt;0,VLOOKUP(C180,КФСР!A94:B1606,2),IF(D180&gt;0,VLOOKUP(D180,Программа!A$1:B$5110,2),IF(F180&gt;0,VLOOKUP(F180,КВР!A$1:B$5001,2),IF(E180&gt;0,VLOOKUP(E180,Направление!A$1:B$4783,2))))))</f>
        <v xml:space="preserve">Реконструкция, ремонт и строительство новых сетей уличного освещения </v>
      </c>
      <c r="B180" s="117"/>
      <c r="C180" s="112"/>
      <c r="D180" s="113" t="s">
        <v>1648</v>
      </c>
      <c r="E180" s="112"/>
      <c r="F180" s="114"/>
      <c r="G180" s="385"/>
      <c r="H180" s="385">
        <f t="shared" si="128"/>
        <v>0</v>
      </c>
      <c r="I180" s="385">
        <f t="shared" si="128"/>
        <v>0</v>
      </c>
      <c r="J180" s="385"/>
      <c r="K180" s="385">
        <f t="shared" si="129"/>
        <v>0</v>
      </c>
      <c r="L180" s="385">
        <f t="shared" si="130"/>
        <v>0</v>
      </c>
    </row>
    <row r="181" spans="1:12" ht="63" hidden="1" x14ac:dyDescent="0.2">
      <c r="A181" s="116" t="str">
        <f>IF(B181&gt;0,VLOOKUP(B181,КВСР!A95:B1260,2),IF(C181&gt;0,VLOOKUP(C181,КФСР!A95:B1607,2),IF(D181&gt;0,VLOOKUP(D181,Программа!A$1:B$5110,2),IF(F181&gt;0,VLOOKUP(F181,КВР!A$1:B$5001,2),IF(E181&gt;0,VLOOKUP(E181,Направление!A$1:B$4783,2))))))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181" s="117"/>
      <c r="C181" s="112"/>
      <c r="D181" s="113"/>
      <c r="E181" s="112">
        <v>29246</v>
      </c>
      <c r="F181" s="114"/>
      <c r="G181" s="385"/>
      <c r="H181" s="385">
        <f t="shared" si="128"/>
        <v>0</v>
      </c>
      <c r="I181" s="385">
        <f t="shared" si="128"/>
        <v>0</v>
      </c>
      <c r="J181" s="385"/>
      <c r="K181" s="385">
        <f t="shared" si="129"/>
        <v>0</v>
      </c>
      <c r="L181" s="385">
        <f t="shared" si="130"/>
        <v>0</v>
      </c>
    </row>
    <row r="182" spans="1:12" ht="47.25" hidden="1" x14ac:dyDescent="0.2">
      <c r="A182" s="116" t="str">
        <f>IF(B182&gt;0,VLOOKUP(B182,КВСР!A96:B1261,2),IF(C182&gt;0,VLOOKUP(C182,КФСР!A96:B1608,2),IF(D182&gt;0,VLOOKUP(D182,Программа!A$1:B$5110,2),IF(F182&gt;0,VLOOKUP(F182,КВР!A$1:B$5001,2),IF(E182&gt;0,VLOOKUP(E182,Направление!A$1:B$4783,2))))))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85"/>
      <c r="H182" s="385"/>
      <c r="I182" s="385">
        <f>G182+H182</f>
        <v>0</v>
      </c>
      <c r="J182" s="385"/>
      <c r="K182" s="295"/>
      <c r="L182" s="295">
        <f>J182+K182</f>
        <v>0</v>
      </c>
    </row>
    <row r="183" spans="1:12" ht="63" hidden="1" x14ac:dyDescent="0.2">
      <c r="A183" s="116" t="str">
        <f>IF(B183&gt;0,VLOOKUP(B183,КВСР!A89:B1254,2),IF(C183&gt;0,VLOOKUP(C183,КФСР!A89:B1601,2),IF(D183&gt;0,VLOOKUP(D183,Программа!A$1:B$5110,2),IF(F183&gt;0,VLOOKUP(F183,КВР!A$1:B$5001,2),IF(E183&gt;0,VLOOKUP(E183,Направление!A$1:B$4783,2))))))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83" s="117"/>
      <c r="C183" s="112"/>
      <c r="D183" s="113" t="s">
        <v>1244</v>
      </c>
      <c r="E183" s="112"/>
      <c r="F183" s="114"/>
      <c r="G183" s="390"/>
      <c r="H183" s="385">
        <f t="shared" ref="H183:H185" si="131">H184</f>
        <v>0</v>
      </c>
      <c r="I183" s="385">
        <f t="shared" si="123"/>
        <v>0</v>
      </c>
      <c r="J183" s="295"/>
      <c r="K183" s="295">
        <f t="shared" ref="K183:L185" si="132">K184</f>
        <v>0</v>
      </c>
      <c r="L183" s="295">
        <f t="shared" si="132"/>
        <v>0</v>
      </c>
    </row>
    <row r="184" spans="1:12" ht="31.5" hidden="1" x14ac:dyDescent="0.2">
      <c r="A184" s="116" t="str">
        <f>IF(B184&gt;0,VLOOKUP(B184,КВСР!A90:B1255,2),IF(C184&gt;0,VLOOKUP(C184,КФСР!A90:B1602,2),IF(D184&gt;0,VLOOKUP(D184,Программа!A$1:B$5110,2),IF(F184&gt;0,VLOOKUP(F184,КВР!A$1:B$5001,2),IF(E184&gt;0,VLOOKUP(E184,Направление!A$1:B$4783,2))))))</f>
        <v>Повышение уровня благоустройства дворовых территорий</v>
      </c>
      <c r="B184" s="117"/>
      <c r="C184" s="112"/>
      <c r="D184" s="113" t="s">
        <v>1264</v>
      </c>
      <c r="E184" s="112"/>
      <c r="F184" s="114"/>
      <c r="G184" s="390"/>
      <c r="H184" s="385">
        <f t="shared" si="131"/>
        <v>0</v>
      </c>
      <c r="I184" s="385">
        <f t="shared" si="123"/>
        <v>0</v>
      </c>
      <c r="J184" s="295"/>
      <c r="K184" s="295">
        <f t="shared" si="132"/>
        <v>0</v>
      </c>
      <c r="L184" s="295">
        <f t="shared" si="132"/>
        <v>0</v>
      </c>
    </row>
    <row r="185" spans="1:12" ht="47.25" hidden="1" x14ac:dyDescent="0.2">
      <c r="A185" s="116" t="str">
        <f>IF(B185&gt;0,VLOOKUP(B185,КВСР!A91:B1256,2),IF(C185&gt;0,VLOOKUP(C185,КФСР!A91:B1603,2),IF(D185&gt;0,VLOOKUP(D185,Программа!A$1:B$5110,2),IF(F185&gt;0,VLOOKUP(F185,КВР!A$1:B$5001,2),IF(E185&gt;0,VLOOKUP(E185,Направление!A$1:B$4783,2))))))</f>
        <v>Обеспечение мероприятий по формированию современной городской среды</v>
      </c>
      <c r="B185" s="117"/>
      <c r="C185" s="112"/>
      <c r="D185" s="113"/>
      <c r="E185" s="112">
        <v>29456</v>
      </c>
      <c r="F185" s="114"/>
      <c r="G185" s="390"/>
      <c r="H185" s="385">
        <f t="shared" si="131"/>
        <v>0</v>
      </c>
      <c r="I185" s="385">
        <f t="shared" si="123"/>
        <v>0</v>
      </c>
      <c r="J185" s="295"/>
      <c r="K185" s="295">
        <f t="shared" si="132"/>
        <v>0</v>
      </c>
      <c r="L185" s="295">
        <f t="shared" si="132"/>
        <v>0</v>
      </c>
    </row>
    <row r="186" spans="1:12" ht="47.25" hidden="1" x14ac:dyDescent="0.2">
      <c r="A186" s="116" t="str">
        <f>IF(B186&gt;0,VLOOKUP(B186,КВСР!A92:B1257,2),IF(C186&gt;0,VLOOKUP(C186,КФСР!A92:B1604,2),IF(D186&gt;0,VLOOKUP(D186,Программа!A$1:B$5110,2),IF(F186&gt;0,VLOOKUP(F186,КВР!A$1:B$5001,2),IF(E186&gt;0,VLOOKUP(E186,Направление!A$1:B$4783,2))))))</f>
        <v>Предоставление субсидий бюджетным, автономным учреждениям и иным некоммерческим организациям</v>
      </c>
      <c r="B186" s="117"/>
      <c r="C186" s="112"/>
      <c r="D186" s="113"/>
      <c r="E186" s="112"/>
      <c r="F186" s="114">
        <v>600</v>
      </c>
      <c r="G186" s="385"/>
      <c r="H186" s="385"/>
      <c r="I186" s="385">
        <f t="shared" si="123"/>
        <v>0</v>
      </c>
      <c r="J186" s="385"/>
      <c r="K186" s="295"/>
      <c r="L186" s="295">
        <f t="shared" si="124"/>
        <v>0</v>
      </c>
    </row>
    <row r="187" spans="1:12" ht="15.75" hidden="1" x14ac:dyDescent="0.2">
      <c r="A187" s="116" t="str">
        <f>IF(B187&gt;0,VLOOKUP(B187,КВСР!A71:B1236,2),IF(C187&gt;0,VLOOKUP(C187,КФСР!A71:B1583,2),IF(D187&gt;0,VLOOKUP(D187,Программа!A$1:B$5110,2),IF(F187&gt;0,VLOOKUP(F187,КВР!A$1:B$5001,2),IF(E187&gt;0,VLOOKUP(E187,Направление!A$1:B$4783,2))))))</f>
        <v>Дошкольное образование</v>
      </c>
      <c r="B187" s="117"/>
      <c r="C187" s="112">
        <v>701</v>
      </c>
      <c r="D187" s="113"/>
      <c r="E187" s="112"/>
      <c r="F187" s="114"/>
      <c r="G187" s="385"/>
      <c r="H187" s="385">
        <f t="shared" ref="H187:I191" si="133">H188</f>
        <v>0</v>
      </c>
      <c r="I187" s="385">
        <f t="shared" si="133"/>
        <v>0</v>
      </c>
      <c r="J187" s="385"/>
      <c r="K187" s="295"/>
      <c r="L187" s="295">
        <f>L188</f>
        <v>0</v>
      </c>
    </row>
    <row r="188" spans="1:12" ht="63" hidden="1" x14ac:dyDescent="0.2">
      <c r="A188" s="116" t="str">
        <f>IF(B188&gt;0,VLOOKUP(B188,КВСР!A72:B1237,2),IF(C188&gt;0,VLOOKUP(C188,КФСР!A72:B1584,2),IF(D188&gt;0,VLOOKUP(D188,Программа!A$1:B$5110,2),IF(F188&gt;0,VLOOKUP(F188,КВР!A$1:B$5001,2),IF(E188&gt;0,VLOOKUP(E188,Направление!A$1:B$4783,2))))))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7"/>
      <c r="C188" s="112"/>
      <c r="D188" s="113" t="s">
        <v>613</v>
      </c>
      <c r="E188" s="112"/>
      <c r="F188" s="114"/>
      <c r="G188" s="385"/>
      <c r="H188" s="385">
        <f t="shared" si="133"/>
        <v>0</v>
      </c>
      <c r="I188" s="385">
        <f t="shared" si="133"/>
        <v>0</v>
      </c>
      <c r="J188" s="385"/>
      <c r="K188" s="295"/>
      <c r="L188" s="295">
        <f>L189</f>
        <v>0</v>
      </c>
    </row>
    <row r="189" spans="1:12" ht="78.75" hidden="1" x14ac:dyDescent="0.2">
      <c r="A189" s="116" t="str">
        <f>IF(B189&gt;0,VLOOKUP(B189,КВСР!A73:B1238,2),IF(C189&gt;0,VLOOKUP(C189,КФСР!A73:B1585,2),IF(D189&gt;0,VLOOKUP(D189,Программа!A$1:B$5110,2),IF(F189&gt;0,VLOOKUP(F189,КВР!A$1:B$5001,2),IF(E189&gt;0,VLOOKUP(E189,Направление!A$1:B$4783,2))))))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7"/>
      <c r="C189" s="112"/>
      <c r="D189" s="113" t="s">
        <v>644</v>
      </c>
      <c r="E189" s="112"/>
      <c r="F189" s="114"/>
      <c r="G189" s="385"/>
      <c r="H189" s="385">
        <f t="shared" si="133"/>
        <v>0</v>
      </c>
      <c r="I189" s="385">
        <f t="shared" si="133"/>
        <v>0</v>
      </c>
      <c r="J189" s="385"/>
      <c r="K189" s="295"/>
      <c r="L189" s="295">
        <f>L190</f>
        <v>0</v>
      </c>
    </row>
    <row r="190" spans="1:12" ht="47.25" hidden="1" x14ac:dyDescent="0.2">
      <c r="A190" s="116" t="str">
        <f>IF(B190&gt;0,VLOOKUP(B190,КВСР!A74:B1239,2),IF(C190&gt;0,VLOOKUP(C190,КФСР!A74:B1586,2),IF(D190&gt;0,VLOOKUP(D190,Программа!A$1:B$5110,2),IF(F190&gt;0,VLOOKUP(F190,КВР!A$1:B$5001,2),IF(E190&gt;0,VLOOKUP(E190,Направление!A$1:B$4783,2))))))</f>
        <v>Повышение уровня газификации и модернизации объектов социальной сферы</v>
      </c>
      <c r="B190" s="117"/>
      <c r="C190" s="112"/>
      <c r="D190" s="113" t="s">
        <v>645</v>
      </c>
      <c r="E190" s="112"/>
      <c r="F190" s="114"/>
      <c r="G190" s="385"/>
      <c r="H190" s="385">
        <f t="shared" si="133"/>
        <v>0</v>
      </c>
      <c r="I190" s="385">
        <f t="shared" si="133"/>
        <v>0</v>
      </c>
      <c r="J190" s="385"/>
      <c r="K190" s="295"/>
      <c r="L190" s="295">
        <f>L191</f>
        <v>0</v>
      </c>
    </row>
    <row r="191" spans="1:12" ht="31.5" hidden="1" x14ac:dyDescent="0.2">
      <c r="A191" s="116" t="str">
        <f>IF(B191&gt;0,VLOOKUP(B191,КВСР!A75:B1240,2),IF(C191&gt;0,VLOOKUP(C191,КФСР!A75:B1587,2),IF(D191&gt;0,VLOOKUP(D191,Программа!A$1:B$5110,2),IF(F191&gt;0,VLOOKUP(F191,КВР!A$1:B$5001,2),IF(E191&gt;0,VLOOKUP(E191,Направление!A$1:B$4783,2))))))</f>
        <v>Обеспечение деятельности дошкольных учреждений</v>
      </c>
      <c r="B191" s="117"/>
      <c r="C191" s="112"/>
      <c r="D191" s="113"/>
      <c r="E191" s="112">
        <v>13010</v>
      </c>
      <c r="F191" s="114"/>
      <c r="G191" s="385"/>
      <c r="H191" s="385">
        <f t="shared" si="133"/>
        <v>0</v>
      </c>
      <c r="I191" s="385">
        <f t="shared" si="133"/>
        <v>0</v>
      </c>
      <c r="J191" s="385"/>
      <c r="K191" s="295"/>
      <c r="L191" s="295">
        <f>L192</f>
        <v>0</v>
      </c>
    </row>
    <row r="192" spans="1:12" ht="47.25" hidden="1" x14ac:dyDescent="0.2">
      <c r="A192" s="116" t="str">
        <f>IF(B192&gt;0,VLOOKUP(B192,КВСР!A76:B1241,2),IF(C192&gt;0,VLOOKUP(C192,КФСР!A76:B1588,2),IF(D192&gt;0,VLOOKUP(D192,Программа!A$1:B$5110,2),IF(F192&gt;0,VLOOKUP(F192,КВР!A$1:B$5001,2),IF(E192&gt;0,VLOOKUP(E192,Направление!A$1:B$4783,2))))))</f>
        <v>Предоставление субсидий бюджетным, автономным учреждениям и иным некоммерческим организациям</v>
      </c>
      <c r="B192" s="117"/>
      <c r="C192" s="112"/>
      <c r="D192" s="113"/>
      <c r="E192" s="112"/>
      <c r="F192" s="114">
        <v>600</v>
      </c>
      <c r="G192" s="385"/>
      <c r="H192" s="385"/>
      <c r="I192" s="385">
        <f>G192+H192</f>
        <v>0</v>
      </c>
      <c r="J192" s="385"/>
      <c r="K192" s="295"/>
      <c r="L192" s="295">
        <v>0</v>
      </c>
    </row>
    <row r="193" spans="1:12" ht="15.75" hidden="1" x14ac:dyDescent="0.2">
      <c r="A193" s="116" t="str">
        <f>IF(B193&gt;0,VLOOKUP(B193,КВСР!A77:B1242,2),IF(C193&gt;0,VLOOKUP(C193,КФСР!A77:B1589,2),IF(D193&gt;0,VLOOKUP(D193,Программа!A$1:B$5110,2),IF(F193&gt;0,VLOOKUP(F193,КВР!A$1:B$5001,2),IF(E193&gt;0,VLOOKUP(E193,Направление!A$1:B$4783,2))))))</f>
        <v>Общее образование</v>
      </c>
      <c r="B193" s="117"/>
      <c r="C193" s="112">
        <v>702</v>
      </c>
      <c r="D193" s="113"/>
      <c r="E193" s="112"/>
      <c r="F193" s="114"/>
      <c r="G193" s="385"/>
      <c r="H193" s="385">
        <f t="shared" ref="H193:L197" si="134">H194</f>
        <v>0</v>
      </c>
      <c r="I193" s="385">
        <f t="shared" si="134"/>
        <v>0</v>
      </c>
      <c r="J193" s="385"/>
      <c r="K193" s="295">
        <f t="shared" si="134"/>
        <v>0</v>
      </c>
      <c r="L193" s="295">
        <f t="shared" si="134"/>
        <v>0</v>
      </c>
    </row>
    <row r="194" spans="1:12" ht="63" hidden="1" x14ac:dyDescent="0.2">
      <c r="A194" s="116" t="str">
        <f>IF(B194&gt;0,VLOOKUP(B194,КВСР!A78:B1243,2),IF(C194&gt;0,VLOOKUP(C194,КФСР!A78:B1590,2),IF(D194&gt;0,VLOOKUP(D194,Программа!A$1:B$5110,2),IF(F194&gt;0,VLOOKUP(F194,КВР!A$1:B$5001,2),IF(E194&gt;0,VLOOKUP(E194,Направление!A$1:B$4783,2))))))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7"/>
      <c r="C194" s="112"/>
      <c r="D194" s="113" t="s">
        <v>613</v>
      </c>
      <c r="E194" s="112"/>
      <c r="F194" s="114"/>
      <c r="G194" s="385"/>
      <c r="H194" s="385">
        <f t="shared" si="134"/>
        <v>0</v>
      </c>
      <c r="I194" s="385">
        <f t="shared" si="134"/>
        <v>0</v>
      </c>
      <c r="J194" s="385"/>
      <c r="K194" s="295">
        <f t="shared" si="134"/>
        <v>0</v>
      </c>
      <c r="L194" s="295">
        <f t="shared" si="134"/>
        <v>0</v>
      </c>
    </row>
    <row r="195" spans="1:12" ht="78.75" hidden="1" x14ac:dyDescent="0.2">
      <c r="A195" s="116" t="str">
        <f>IF(B195&gt;0,VLOOKUP(B195,КВСР!A79:B1244,2),IF(C195&gt;0,VLOOKUP(C195,КФСР!A79:B1591,2),IF(D195&gt;0,VLOOKUP(D195,Программа!A$1:B$5110,2),IF(F195&gt;0,VLOOKUP(F195,КВР!A$1:B$5001,2),IF(E195&gt;0,VLOOKUP(E195,Направление!A$1:B$4783,2))))))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7"/>
      <c r="C195" s="112"/>
      <c r="D195" s="113" t="s">
        <v>644</v>
      </c>
      <c r="E195" s="112"/>
      <c r="F195" s="114"/>
      <c r="G195" s="385"/>
      <c r="H195" s="385">
        <f t="shared" si="134"/>
        <v>0</v>
      </c>
      <c r="I195" s="385">
        <f t="shared" si="134"/>
        <v>0</v>
      </c>
      <c r="J195" s="385"/>
      <c r="K195" s="295">
        <f t="shared" si="134"/>
        <v>0</v>
      </c>
      <c r="L195" s="295">
        <f t="shared" si="134"/>
        <v>0</v>
      </c>
    </row>
    <row r="196" spans="1:12" ht="47.25" hidden="1" x14ac:dyDescent="0.2">
      <c r="A196" s="116" t="str">
        <f>IF(B196&gt;0,VLOOKUP(B196,КВСР!A80:B1245,2),IF(C196&gt;0,VLOOKUP(C196,КФСР!A80:B1592,2),IF(D196&gt;0,VLOOKUP(D196,Программа!A$1:B$5110,2),IF(F196&gt;0,VLOOKUP(F196,КВР!A$1:B$5001,2),IF(E196&gt;0,VLOOKUP(E196,Направление!A$1:B$4783,2))))))</f>
        <v>Повышение уровня газификации и модернизации объектов социальной сферы</v>
      </c>
      <c r="B196" s="117"/>
      <c r="C196" s="112"/>
      <c r="D196" s="113" t="s">
        <v>645</v>
      </c>
      <c r="E196" s="112"/>
      <c r="F196" s="114"/>
      <c r="G196" s="385"/>
      <c r="H196" s="385">
        <f t="shared" si="134"/>
        <v>0</v>
      </c>
      <c r="I196" s="385">
        <f t="shared" si="134"/>
        <v>0</v>
      </c>
      <c r="J196" s="385"/>
      <c r="K196" s="295">
        <f t="shared" si="134"/>
        <v>0</v>
      </c>
      <c r="L196" s="295">
        <f t="shared" si="134"/>
        <v>0</v>
      </c>
    </row>
    <row r="197" spans="1:12" ht="31.5" hidden="1" x14ac:dyDescent="0.2">
      <c r="A197" s="116" t="str">
        <f>IF(B197&gt;0,VLOOKUP(B197,КВСР!A81:B1246,2),IF(C197&gt;0,VLOOKUP(C197,КФСР!A81:B1593,2),IF(D197&gt;0,VLOOKUP(D197,Программа!A$1:B$5110,2),IF(F197&gt;0,VLOOKUP(F197,КВР!A$1:B$5001,2),IF(E197&gt;0,VLOOKUP(E197,Направление!A$1:B$4783,2))))))</f>
        <v>Обеспечение деятельности общеобразовательных учреждений</v>
      </c>
      <c r="B197" s="117"/>
      <c r="C197" s="112"/>
      <c r="D197" s="113"/>
      <c r="E197" s="112">
        <v>13110</v>
      </c>
      <c r="F197" s="114"/>
      <c r="G197" s="385"/>
      <c r="H197" s="385">
        <f t="shared" si="134"/>
        <v>0</v>
      </c>
      <c r="I197" s="385">
        <f t="shared" si="134"/>
        <v>0</v>
      </c>
      <c r="J197" s="385"/>
      <c r="K197" s="295">
        <f t="shared" si="134"/>
        <v>0</v>
      </c>
      <c r="L197" s="295">
        <f t="shared" si="134"/>
        <v>0</v>
      </c>
    </row>
    <row r="198" spans="1:12" ht="47.25" hidden="1" x14ac:dyDescent="0.2">
      <c r="A198" s="116" t="str">
        <f>IF(B198&gt;0,VLOOKUP(B198,КВСР!A82:B1247,2),IF(C198&gt;0,VLOOKUP(C198,КФСР!A82:B1594,2),IF(D198&gt;0,VLOOKUP(D198,Программа!A$1:B$5110,2),IF(F198&gt;0,VLOOKUP(F198,КВР!A$1:B$5001,2),IF(E198&gt;0,VLOOKUP(E198,Направление!A$1:B$4783,2))))))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85"/>
      <c r="H198" s="385"/>
      <c r="I198" s="385">
        <f>G198+H198</f>
        <v>0</v>
      </c>
      <c r="J198" s="385"/>
      <c r="K198" s="295"/>
      <c r="L198" s="295">
        <f>J198+K198</f>
        <v>0</v>
      </c>
    </row>
    <row r="199" spans="1:12" ht="15.75" x14ac:dyDescent="0.2">
      <c r="A199" s="116" t="str">
        <f>IF(B199&gt;0,VLOOKUP(B199,КВСР!A83:B1248,2),IF(C199&gt;0,VLOOKUP(C199,КФСР!A83:B1595,2),IF(D199&gt;0,VLOOKUP(D199,Программа!A$1:B$5110,2),IF(F199&gt;0,VLOOKUP(F199,КВР!A$1:B$5001,2),IF(E199&gt;0,VLOOKUP(E199,Направление!A$1:B$4783,2))))))</f>
        <v>Культура</v>
      </c>
      <c r="B199" s="117"/>
      <c r="C199" s="112">
        <v>801</v>
      </c>
      <c r="D199" s="113"/>
      <c r="E199" s="112"/>
      <c r="F199" s="114"/>
      <c r="G199" s="385"/>
      <c r="H199" s="385">
        <f t="shared" ref="H199:I203" si="135">H200</f>
        <v>17786253</v>
      </c>
      <c r="I199" s="385">
        <f t="shared" si="135"/>
        <v>17786253</v>
      </c>
      <c r="J199" s="385"/>
      <c r="K199" s="385">
        <f t="shared" ref="K199:K203" si="136">K200</f>
        <v>8488955</v>
      </c>
      <c r="L199" s="385">
        <f t="shared" ref="L199:L203" si="137">L200</f>
        <v>8488955</v>
      </c>
    </row>
    <row r="200" spans="1:12" ht="63" x14ac:dyDescent="0.2">
      <c r="A200" s="116" t="str">
        <f>IF(B200&gt;0,VLOOKUP(B200,КВСР!A84:B1249,2),IF(C200&gt;0,VLOOKUP(C200,КФСР!A84:B1596,2),IF(D200&gt;0,VLOOKUP(D200,Программа!A$1:B$5110,2),IF(F200&gt;0,VLOOKUP(F200,КВР!A$1:B$5001,2),IF(E200&gt;0,VLOOKUP(E200,Направление!A$1:B$4783,2))))))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200" s="117"/>
      <c r="C200" s="112"/>
      <c r="D200" s="113" t="s">
        <v>482</v>
      </c>
      <c r="E200" s="112"/>
      <c r="F200" s="114"/>
      <c r="G200" s="385"/>
      <c r="H200" s="385">
        <f t="shared" si="135"/>
        <v>17786253</v>
      </c>
      <c r="I200" s="385">
        <f t="shared" si="135"/>
        <v>17786253</v>
      </c>
      <c r="J200" s="385"/>
      <c r="K200" s="385">
        <f t="shared" si="136"/>
        <v>8488955</v>
      </c>
      <c r="L200" s="385">
        <f t="shared" si="137"/>
        <v>8488955</v>
      </c>
    </row>
    <row r="201" spans="1:12" ht="47.25" x14ac:dyDescent="0.2">
      <c r="A201" s="116" t="str">
        <f>IF(B201&gt;0,VLOOKUP(B201,КВСР!A85:B1250,2),IF(C201&gt;0,VLOOKUP(C201,КФСР!A85:B1597,2),IF(D201&gt;0,VLOOKUP(D201,Программа!A$1:B$5110,2),IF(F201&gt;0,VLOOKUP(F201,КВР!A$1:B$5001,2),IF(E201&gt;0,VLOOKUP(E201,Направление!A$1:B$4783,2))))))</f>
        <v>Ведомственная целевая программа «Сохранение и развитие культуры Тутаевского муниципального района»</v>
      </c>
      <c r="B201" s="117"/>
      <c r="C201" s="112"/>
      <c r="D201" s="113" t="s">
        <v>581</v>
      </c>
      <c r="E201" s="112"/>
      <c r="F201" s="114"/>
      <c r="G201" s="385"/>
      <c r="H201" s="385">
        <f t="shared" si="135"/>
        <v>17786253</v>
      </c>
      <c r="I201" s="385">
        <f t="shared" si="135"/>
        <v>17786253</v>
      </c>
      <c r="J201" s="385"/>
      <c r="K201" s="385">
        <f t="shared" si="136"/>
        <v>8488955</v>
      </c>
      <c r="L201" s="385">
        <f t="shared" si="137"/>
        <v>8488955</v>
      </c>
    </row>
    <row r="202" spans="1:12" ht="15.75" x14ac:dyDescent="0.2">
      <c r="A202" s="116" t="str">
        <f>IF(B202&gt;0,VLOOKUP(B202,КВСР!A86:B1251,2),IF(C202&gt;0,VLOOKUP(C202,КФСР!A86:B1598,2),IF(D202&gt;0,VLOOKUP(D202,Программа!A$1:B$5110,2),IF(F202&gt;0,VLOOKUP(F202,КВР!A$1:B$5001,2),IF(E202&gt;0,VLOOKUP(E202,Направление!A$1:B$4783,2))))))</f>
        <v>Федеральный проект "Культурная среда"</v>
      </c>
      <c r="B202" s="117"/>
      <c r="C202" s="112"/>
      <c r="D202" s="113" t="s">
        <v>1695</v>
      </c>
      <c r="E202" s="112"/>
      <c r="F202" s="114"/>
      <c r="G202" s="385"/>
      <c r="H202" s="385">
        <f t="shared" si="135"/>
        <v>17786253</v>
      </c>
      <c r="I202" s="385">
        <f t="shared" si="135"/>
        <v>17786253</v>
      </c>
      <c r="J202" s="385"/>
      <c r="K202" s="385">
        <f t="shared" si="136"/>
        <v>8488955</v>
      </c>
      <c r="L202" s="385">
        <f t="shared" si="137"/>
        <v>8488955</v>
      </c>
    </row>
    <row r="203" spans="1:12" ht="47.25" x14ac:dyDescent="0.2">
      <c r="A203" s="116" t="str">
        <f>IF(B203&gt;0,VLOOKUP(B203,КВСР!A87:B1252,2),IF(C203&gt;0,VLOOKUP(C203,КФСР!A87:B1599,2),IF(D203&gt;0,VLOOKUP(D203,Программа!A$1:B$5110,2),IF(F203&gt;0,VLOOKUP(F203,КВР!A$1:B$5001,2),IF(E203&gt;0,VLOOKUP(E203,Направление!A$1:B$4783,2))))))</f>
        <v>Расходы на капитальный ремонт учреждений культурно-досугового типа в сельской местности</v>
      </c>
      <c r="B203" s="117"/>
      <c r="C203" s="112"/>
      <c r="D203" s="113"/>
      <c r="E203" s="112">
        <v>55196</v>
      </c>
      <c r="F203" s="114"/>
      <c r="G203" s="385"/>
      <c r="H203" s="385">
        <f t="shared" si="135"/>
        <v>17786253</v>
      </c>
      <c r="I203" s="385">
        <f t="shared" si="135"/>
        <v>17786253</v>
      </c>
      <c r="J203" s="385"/>
      <c r="K203" s="385">
        <f t="shared" si="136"/>
        <v>8488955</v>
      </c>
      <c r="L203" s="385">
        <f t="shared" si="137"/>
        <v>8488955</v>
      </c>
    </row>
    <row r="204" spans="1:12" ht="63" x14ac:dyDescent="0.2">
      <c r="A204" s="116" t="str">
        <f>IF(B204&gt;0,VLOOKUP(B204,КВСР!A88:B1253,2),IF(C204&gt;0,VLOOKUP(C204,КФСР!A88:B1600,2),IF(D204&gt;0,VLOOKUP(D204,Программа!A$1:B$5110,2),IF(F204&gt;0,VLOOKUP(F204,КВР!A$1:B$5001,2),IF(E204&gt;0,VLOOKUP(E204,Направление!A$1:B$4783,2))))))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385"/>
      <c r="H204" s="385">
        <f>16896940+889313</f>
        <v>17786253</v>
      </c>
      <c r="I204" s="385">
        <f>G204+H204</f>
        <v>17786253</v>
      </c>
      <c r="J204" s="385"/>
      <c r="K204" s="295">
        <f>8064507+424448</f>
        <v>8488955</v>
      </c>
      <c r="L204" s="295">
        <f>J204+K204</f>
        <v>8488955</v>
      </c>
    </row>
    <row r="205" spans="1:12" ht="15.75" x14ac:dyDescent="0.2">
      <c r="A205" s="116" t="str">
        <f>IF(B205&gt;0,VLOOKUP(B205,КВСР!A89:B1254,2),IF(C205&gt;0,VLOOKUP(C205,КФСР!A89:B1601,2),IF(D205&gt;0,VLOOKUP(D205,Программа!A$1:B$5110,2),IF(F205&gt;0,VLOOKUP(F205,КВР!A$1:B$5001,2),IF(E205&gt;0,VLOOKUP(E205,Направление!A$1:B$4783,2))))))</f>
        <v>Периодическая печать и издательства</v>
      </c>
      <c r="B205" s="117"/>
      <c r="C205" s="112">
        <v>1202</v>
      </c>
      <c r="D205" s="113"/>
      <c r="E205" s="112"/>
      <c r="F205" s="114"/>
      <c r="G205" s="385"/>
      <c r="H205" s="385">
        <f t="shared" ref="H205:I207" si="138">H206</f>
        <v>3000000</v>
      </c>
      <c r="I205" s="385">
        <f t="shared" si="138"/>
        <v>3000000</v>
      </c>
      <c r="J205" s="385"/>
      <c r="K205" s="385">
        <f t="shared" ref="K205:K207" si="139">K206</f>
        <v>0</v>
      </c>
      <c r="L205" s="385">
        <f t="shared" ref="L205:L207" si="140">L206</f>
        <v>0</v>
      </c>
    </row>
    <row r="206" spans="1:12" ht="15.75" x14ac:dyDescent="0.2">
      <c r="A206" s="116" t="str">
        <f>IF(B206&gt;0,VLOOKUP(B206,КВСР!A90:B1255,2),IF(C206&gt;0,VLOOKUP(C206,КФСР!A90:B1602,2),IF(D206&gt;0,VLOOKUP(D206,Программа!A$1:B$5110,2),IF(F206&gt;0,VLOOKUP(F206,КВР!A$1:B$5001,2),IF(E206&gt;0,VLOOKUP(E206,Направление!A$1:B$4783,2))))))</f>
        <v>Непрограммные расходы бюджета</v>
      </c>
      <c r="B206" s="117"/>
      <c r="C206" s="112"/>
      <c r="D206" s="113" t="s">
        <v>394</v>
      </c>
      <c r="E206" s="112"/>
      <c r="F206" s="114"/>
      <c r="G206" s="385"/>
      <c r="H206" s="385">
        <f t="shared" si="138"/>
        <v>3000000</v>
      </c>
      <c r="I206" s="385">
        <f t="shared" si="138"/>
        <v>3000000</v>
      </c>
      <c r="J206" s="385"/>
      <c r="K206" s="385">
        <f t="shared" si="139"/>
        <v>0</v>
      </c>
      <c r="L206" s="385">
        <f t="shared" si="140"/>
        <v>0</v>
      </c>
    </row>
    <row r="207" spans="1:12" ht="15.75" x14ac:dyDescent="0.2">
      <c r="A207" s="116" t="str">
        <f>IF(B207&gt;0,VLOOKUP(B207,КВСР!A91:B1256,2),IF(C207&gt;0,VLOOKUP(C207,КФСР!A91:B1603,2),IF(D207&gt;0,VLOOKUP(D207,Программа!A$1:B$5110,2),IF(F207&gt;0,VLOOKUP(F207,КВР!A$1:B$5001,2),IF(E207&gt;0,VLOOKUP(E207,Направление!A$1:B$4783,2))))))</f>
        <v xml:space="preserve">Поддержка периодических изданий </v>
      </c>
      <c r="B207" s="117"/>
      <c r="C207" s="112"/>
      <c r="D207" s="113"/>
      <c r="E207" s="112">
        <v>12750</v>
      </c>
      <c r="F207" s="114"/>
      <c r="G207" s="385"/>
      <c r="H207" s="385">
        <f t="shared" si="138"/>
        <v>3000000</v>
      </c>
      <c r="I207" s="385">
        <f t="shared" si="138"/>
        <v>3000000</v>
      </c>
      <c r="J207" s="385"/>
      <c r="K207" s="385">
        <f t="shared" si="139"/>
        <v>0</v>
      </c>
      <c r="L207" s="385">
        <f t="shared" si="140"/>
        <v>0</v>
      </c>
    </row>
    <row r="208" spans="1:12" ht="47.25" x14ac:dyDescent="0.2">
      <c r="A208" s="116" t="str">
        <f>IF(B208&gt;0,VLOOKUP(B208,КВСР!A92:B1257,2),IF(C208&gt;0,VLOOKUP(C208,КФСР!A92:B1604,2),IF(D208&gt;0,VLOOKUP(D208,Программа!A$1:B$5110,2),IF(F208&gt;0,VLOOKUP(F208,КВР!A$1:B$5001,2),IF(E208&gt;0,VLOOKUP(E208,Направление!A$1:B$4783,2))))))</f>
        <v>Предоставление субсидий бюджетным, автономным учреждениям и иным некоммерческим организациям</v>
      </c>
      <c r="B208" s="117"/>
      <c r="C208" s="112"/>
      <c r="D208" s="113"/>
      <c r="E208" s="112"/>
      <c r="F208" s="114">
        <v>600</v>
      </c>
      <c r="G208" s="385"/>
      <c r="H208" s="385">
        <v>3000000</v>
      </c>
      <c r="I208" s="385">
        <f>G208+H208</f>
        <v>3000000</v>
      </c>
      <c r="J208" s="385"/>
      <c r="K208" s="295">
        <v>0</v>
      </c>
      <c r="L208" s="295">
        <f>J208+K208</f>
        <v>0</v>
      </c>
    </row>
    <row r="209" spans="1:12" ht="31.5" x14ac:dyDescent="0.2">
      <c r="A209" s="110" t="str">
        <f>IF(B209&gt;0,VLOOKUP(B209,КВСР!A51:B1216,2),IF(C209&gt;0,VLOOKUP(C209,КФСР!A51:B1563,2),IF(D209&gt;0,VLOOKUP(D209,Программа!A$1:B$5110,2),IF(F209&gt;0,VLOOKUP(F209,КВР!A$1:B$5001,2),IF(E209&gt;0,VLOOKUP(E209,Направление!A$1:B$4783,2))))))</f>
        <v>Департамент муниципального имущества Администрации ТМР</v>
      </c>
      <c r="B209" s="111">
        <v>952</v>
      </c>
      <c r="C209" s="112"/>
      <c r="D209" s="113"/>
      <c r="E209" s="112"/>
      <c r="F209" s="114"/>
      <c r="G209" s="388"/>
      <c r="H209" s="388">
        <f t="shared" ref="H209:L209" si="141">H210+H229+H235</f>
        <v>8550000</v>
      </c>
      <c r="I209" s="388">
        <f t="shared" si="141"/>
        <v>8550000</v>
      </c>
      <c r="J209" s="388"/>
      <c r="K209" s="384">
        <f t="shared" si="141"/>
        <v>0</v>
      </c>
      <c r="L209" s="384">
        <f t="shared" si="141"/>
        <v>0</v>
      </c>
    </row>
    <row r="210" spans="1:12" ht="15.75" x14ac:dyDescent="0.2">
      <c r="A210" s="116" t="str">
        <f>IF(B210&gt;0,VLOOKUP(B210,КВСР!A52:B1217,2),IF(C210&gt;0,VLOOKUP(C210,КФСР!A52:B1564,2),IF(D210&gt;0,VLOOKUP(D210,Программа!A$1:B$5110,2),IF(F210&gt;0,VLOOKUP(F210,КВР!A$1:B$5001,2),IF(E210&gt;0,VLOOKUP(E210,Направление!A$1:B$4783,2))))))</f>
        <v>Другие общегосударственные вопросы</v>
      </c>
      <c r="B210" s="117"/>
      <c r="C210" s="112">
        <v>113</v>
      </c>
      <c r="D210" s="113"/>
      <c r="E210" s="112"/>
      <c r="F210" s="114"/>
      <c r="G210" s="385"/>
      <c r="H210" s="385">
        <f t="shared" ref="H210:K210" si="142">H215+H211</f>
        <v>8250000</v>
      </c>
      <c r="I210" s="385">
        <f t="shared" si="142"/>
        <v>8250000</v>
      </c>
      <c r="J210" s="385"/>
      <c r="K210" s="295">
        <f t="shared" si="142"/>
        <v>0</v>
      </c>
      <c r="L210" s="295">
        <f>L215+L211</f>
        <v>0</v>
      </c>
    </row>
    <row r="211" spans="1:12" ht="63" x14ac:dyDescent="0.2">
      <c r="A211" s="116" t="str">
        <f>IF(B211&gt;0,VLOOKUP(B211,КВСР!A53:B1218,2),IF(C211&gt;0,VLOOKUP(C211,КФСР!A53:B1565,2),IF(D211&gt;0,VLOOKUP(D211,Программа!A$1:B$5110,2),IF(F211&gt;0,VLOOKUP(F211,КВР!A$1:B$5001,2),IF(E211&gt;0,VLOOKUP(E211,Направление!A$1:B$4783,2))))))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7"/>
      <c r="C211" s="112"/>
      <c r="D211" s="113" t="s">
        <v>409</v>
      </c>
      <c r="E211" s="112"/>
      <c r="F211" s="114"/>
      <c r="G211" s="385"/>
      <c r="H211" s="385">
        <f t="shared" ref="H211:L212" si="143">H212</f>
        <v>150000</v>
      </c>
      <c r="I211" s="385">
        <f t="shared" si="143"/>
        <v>150000</v>
      </c>
      <c r="J211" s="385"/>
      <c r="K211" s="295">
        <f t="shared" si="143"/>
        <v>0</v>
      </c>
      <c r="L211" s="295">
        <f>L212</f>
        <v>0</v>
      </c>
    </row>
    <row r="212" spans="1:12" ht="31.5" x14ac:dyDescent="0.2">
      <c r="A212" s="116" t="str">
        <f>IF(B212&gt;0,VLOOKUP(B212,КВСР!A54:B1219,2),IF(C212&gt;0,VLOOKUP(C212,КФСР!A54:B1566,2),IF(D212&gt;0,VLOOKUP(D212,Программа!A$1:B$5110,2),IF(F212&gt;0,VLOOKUP(F212,КВР!A$1:B$5001,2),IF(E212&gt;0,VLOOKUP(E212,Направление!A$1:B$4783,2))))))</f>
        <v>Бесперебойное функционирование информационных систем</v>
      </c>
      <c r="B212" s="117"/>
      <c r="C212" s="112"/>
      <c r="D212" s="113" t="s">
        <v>445</v>
      </c>
      <c r="E212" s="112"/>
      <c r="F212" s="114"/>
      <c r="G212" s="385"/>
      <c r="H212" s="385">
        <f t="shared" si="143"/>
        <v>150000</v>
      </c>
      <c r="I212" s="385">
        <f t="shared" si="143"/>
        <v>150000</v>
      </c>
      <c r="J212" s="385"/>
      <c r="K212" s="295">
        <f t="shared" si="143"/>
        <v>0</v>
      </c>
      <c r="L212" s="295">
        <f t="shared" si="143"/>
        <v>0</v>
      </c>
    </row>
    <row r="213" spans="1:12" ht="31.5" x14ac:dyDescent="0.2">
      <c r="A213" s="116" t="str">
        <f>IF(B213&gt;0,VLOOKUP(B213,КВСР!A55:B1220,2),IF(C213&gt;0,VLOOKUP(C213,КФСР!A55:B1567,2),IF(D213&gt;0,VLOOKUP(D213,Программа!A$1:B$5110,2),IF(F213&gt;0,VLOOKUP(F213,КВР!A$1:B$5001,2),IF(E213&gt;0,VLOOKUP(E213,Направление!A$1:B$4783,2))))))</f>
        <v>Расходы на проведение мероприятий по информатизации</v>
      </c>
      <c r="B213" s="117"/>
      <c r="C213" s="112"/>
      <c r="D213" s="113"/>
      <c r="E213" s="112">
        <v>12210</v>
      </c>
      <c r="F213" s="114"/>
      <c r="G213" s="385"/>
      <c r="H213" s="385">
        <f t="shared" ref="H213:L213" si="144">H214</f>
        <v>150000</v>
      </c>
      <c r="I213" s="385">
        <f t="shared" si="144"/>
        <v>150000</v>
      </c>
      <c r="J213" s="385"/>
      <c r="K213" s="295">
        <f t="shared" si="144"/>
        <v>0</v>
      </c>
      <c r="L213" s="295">
        <f t="shared" si="144"/>
        <v>0</v>
      </c>
    </row>
    <row r="214" spans="1:12" ht="63" x14ac:dyDescent="0.2">
      <c r="A214" s="116" t="str">
        <f>IF(B214&gt;0,VLOOKUP(B214,КВСР!A56:B1221,2),IF(C214&gt;0,VLOOKUP(C214,КФСР!A56:B1568,2),IF(D214&gt;0,VLOOKUP(D214,Программа!A$1:B$5110,2),IF(F214&gt;0,VLOOKUP(F214,КВР!A$1:B$5001,2),IF(E214&gt;0,VLOOKUP(E214,Направление!A$1:B$4783,2))))))</f>
        <v xml:space="preserve">Закупка товаров, работ и услуг для обеспечения государственных (муниципальных) нужд
</v>
      </c>
      <c r="B214" s="117"/>
      <c r="C214" s="112"/>
      <c r="D214" s="113"/>
      <c r="E214" s="112"/>
      <c r="F214" s="114">
        <v>200</v>
      </c>
      <c r="G214" s="385"/>
      <c r="H214" s="385">
        <v>150000</v>
      </c>
      <c r="I214" s="385">
        <f>G214+H214</f>
        <v>150000</v>
      </c>
      <c r="J214" s="385"/>
      <c r="K214" s="295">
        <v>0</v>
      </c>
      <c r="L214" s="295">
        <f>J214+K214</f>
        <v>0</v>
      </c>
    </row>
    <row r="215" spans="1:12" ht="15.75" x14ac:dyDescent="0.2">
      <c r="A215" s="116" t="str">
        <f>IF(B215&gt;0,VLOOKUP(B215,КВСР!A53:B1218,2),IF(C215&gt;0,VLOOKUP(C215,КФСР!A53:B1565,2),IF(D215&gt;0,VLOOKUP(D215,Программа!A$1:B$5110,2),IF(F215&gt;0,VLOOKUP(F215,КВР!A$1:B$5001,2),IF(E215&gt;0,VLOOKUP(E215,Направление!A$1:B$4783,2))))))</f>
        <v>Непрограммные расходы бюджета</v>
      </c>
      <c r="B215" s="117"/>
      <c r="C215" s="112"/>
      <c r="D215" s="113" t="s">
        <v>394</v>
      </c>
      <c r="E215" s="112"/>
      <c r="F215" s="114"/>
      <c r="G215" s="385"/>
      <c r="H215" s="385">
        <f t="shared" ref="H215:L215" si="145">H216+H224+H220+H222+H227</f>
        <v>8100000</v>
      </c>
      <c r="I215" s="385">
        <f t="shared" si="145"/>
        <v>8100000</v>
      </c>
      <c r="J215" s="385"/>
      <c r="K215" s="385">
        <f t="shared" si="145"/>
        <v>0</v>
      </c>
      <c r="L215" s="385">
        <f t="shared" si="145"/>
        <v>0</v>
      </c>
    </row>
    <row r="216" spans="1:12" ht="15.75" x14ac:dyDescent="0.2">
      <c r="A216" s="116" t="str">
        <f>IF(B216&gt;0,VLOOKUP(B216,КВСР!A54:B1219,2),IF(C216&gt;0,VLOOKUP(C216,КФСР!A54:B1566,2),IF(D216&gt;0,VLOOKUP(D216,Программа!A$1:B$5110,2),IF(F216&gt;0,VLOOKUP(F216,КВР!A$1:B$5001,2),IF(E216&gt;0,VLOOKUP(E216,Направление!A$1:B$4783,2))))))</f>
        <v>Содержание центрального аппарата</v>
      </c>
      <c r="B216" s="117"/>
      <c r="C216" s="112"/>
      <c r="D216" s="113"/>
      <c r="E216" s="112">
        <v>12010</v>
      </c>
      <c r="F216" s="114"/>
      <c r="G216" s="385"/>
      <c r="H216" s="385">
        <f t="shared" ref="H216:L216" si="146">H217+H218+H219</f>
        <v>7000000</v>
      </c>
      <c r="I216" s="385">
        <f t="shared" si="146"/>
        <v>7000000</v>
      </c>
      <c r="J216" s="385"/>
      <c r="K216" s="295">
        <f t="shared" si="146"/>
        <v>0</v>
      </c>
      <c r="L216" s="295">
        <f t="shared" si="146"/>
        <v>0</v>
      </c>
    </row>
    <row r="217" spans="1:12" ht="110.25" x14ac:dyDescent="0.2">
      <c r="A217" s="116" t="str">
        <f>IF(B217&gt;0,VLOOKUP(B217,КВСР!A55:B1220,2),IF(C217&gt;0,VLOOKUP(C217,КФСР!A55:B1567,2),IF(D217&gt;0,VLOOKUP(D217,Программа!A$1:B$5110,2),IF(F217&gt;0,VLOOKUP(F217,КВР!A$1:B$5001,2),IF(E217&gt;0,VLOOKUP(E217,Направление!A$1:B$4783,2))))))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7"/>
      <c r="C217" s="112"/>
      <c r="D217" s="113"/>
      <c r="E217" s="112"/>
      <c r="F217" s="114">
        <v>100</v>
      </c>
      <c r="G217" s="385"/>
      <c r="H217" s="385">
        <v>6700000</v>
      </c>
      <c r="I217" s="385">
        <f>SUM(G217:H217)</f>
        <v>6700000</v>
      </c>
      <c r="J217" s="385"/>
      <c r="K217" s="295">
        <v>0</v>
      </c>
      <c r="L217" s="295">
        <f t="shared" si="11"/>
        <v>0</v>
      </c>
    </row>
    <row r="218" spans="1:12" ht="63" x14ac:dyDescent="0.2">
      <c r="A218" s="116" t="str">
        <f>IF(B218&gt;0,VLOOKUP(B218,КВСР!A56:B1221,2),IF(C218&gt;0,VLOOKUP(C218,КФСР!A56:B1568,2),IF(D218&gt;0,VLOOKUP(D218,Программа!A$1:B$5110,2),IF(F218&gt;0,VLOOKUP(F218,КВР!A$1:B$5001,2),IF(E218&gt;0,VLOOKUP(E218,Направление!A$1:B$4783,2))))))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385"/>
      <c r="H218" s="385">
        <v>300000</v>
      </c>
      <c r="I218" s="385">
        <f t="shared" ref="I218:I219" si="147">SUM(G218:H218)</f>
        <v>300000</v>
      </c>
      <c r="J218" s="385"/>
      <c r="K218" s="295">
        <v>0</v>
      </c>
      <c r="L218" s="295">
        <f t="shared" si="11"/>
        <v>0</v>
      </c>
    </row>
    <row r="219" spans="1:12" ht="15.75" hidden="1" x14ac:dyDescent="0.2">
      <c r="A219" s="116" t="str">
        <f>IF(B219&gt;0,VLOOKUP(B219,КВСР!A57:B1222,2),IF(C219&gt;0,VLOOKUP(C219,КФСР!A57:B1569,2),IF(D219&gt;0,VLOOKUP(D219,Программа!A$1:B$5110,2),IF(F219&gt;0,VLOOKUP(F219,КВР!A$1:B$5001,2),IF(E219&gt;0,VLOOKUP(E219,Направление!A$1:B$4783,2))))))</f>
        <v>Иные бюджетные ассигнования</v>
      </c>
      <c r="B219" s="117"/>
      <c r="C219" s="112"/>
      <c r="D219" s="113"/>
      <c r="E219" s="112"/>
      <c r="F219" s="114">
        <v>800</v>
      </c>
      <c r="G219" s="385"/>
      <c r="H219" s="385"/>
      <c r="I219" s="385">
        <f t="shared" si="147"/>
        <v>0</v>
      </c>
      <c r="J219" s="385"/>
      <c r="K219" s="295"/>
      <c r="L219" s="295">
        <f t="shared" si="11"/>
        <v>0</v>
      </c>
    </row>
    <row r="220" spans="1:12" ht="31.5" x14ac:dyDescent="0.2">
      <c r="A220" s="116" t="str">
        <f>IF(B220&gt;0,VLOOKUP(B220,КВСР!A57:B1222,2),IF(C220&gt;0,VLOOKUP(C220,КФСР!A57:B1569,2),IF(D220&gt;0,VLOOKUP(D220,Программа!A$1:B$5110,2),IF(F220&gt;0,VLOOKUP(F220,КВР!A$1:B$5001,2),IF(E220&gt;0,VLOOKUP(E220,Направление!A$1:B$4783,2))))))</f>
        <v>Выполнение других обязательств органов местного самоуправления</v>
      </c>
      <c r="B220" s="117"/>
      <c r="C220" s="112"/>
      <c r="D220" s="113"/>
      <c r="E220" s="112">
        <v>12080</v>
      </c>
      <c r="F220" s="114"/>
      <c r="G220" s="385"/>
      <c r="H220" s="385">
        <f t="shared" ref="H220:K220" si="148">H221</f>
        <v>1000000</v>
      </c>
      <c r="I220" s="385">
        <f t="shared" si="148"/>
        <v>1000000</v>
      </c>
      <c r="J220" s="385"/>
      <c r="K220" s="295">
        <f t="shared" si="148"/>
        <v>0</v>
      </c>
      <c r="L220" s="295">
        <f t="shared" si="11"/>
        <v>0</v>
      </c>
    </row>
    <row r="221" spans="1:12" ht="63" x14ac:dyDescent="0.2">
      <c r="A221" s="116" t="str">
        <f>IF(B221&gt;0,VLOOKUP(B221,КВСР!A58:B1223,2),IF(C221&gt;0,VLOOKUP(C221,КФСР!A58:B1570,2),IF(D221&gt;0,VLOOKUP(D221,Программа!A$1:B$5110,2),IF(F221&gt;0,VLOOKUP(F221,КВР!A$1:B$5001,2),IF(E221&gt;0,VLOOKUP(E221,Направление!A$1:B$4783,2))))))</f>
        <v xml:space="preserve">Закупка товаров, работ и услуг для обеспечения государственных (муниципальных) нужд
</v>
      </c>
      <c r="B221" s="117"/>
      <c r="C221" s="112"/>
      <c r="D221" s="113"/>
      <c r="E221" s="112"/>
      <c r="F221" s="114">
        <v>200</v>
      </c>
      <c r="G221" s="385"/>
      <c r="H221" s="385">
        <v>1000000</v>
      </c>
      <c r="I221" s="385">
        <f>G221+H221</f>
        <v>1000000</v>
      </c>
      <c r="J221" s="385"/>
      <c r="K221" s="295">
        <v>0</v>
      </c>
      <c r="L221" s="295">
        <f t="shared" si="11"/>
        <v>0</v>
      </c>
    </row>
    <row r="222" spans="1:12" ht="47.25" x14ac:dyDescent="0.2">
      <c r="A222" s="116" t="str">
        <f>IF(B222&gt;0,VLOOKUP(B222,КВСР!A59:B1224,2),IF(C222&gt;0,VLOOKUP(C222,КФСР!A59:B1571,2),IF(D222&gt;0,VLOOKUP(D222,Программа!A$1:B$5110,2),IF(F222&gt;0,VLOOKUP(F222,КВР!A$1:B$5001,2),IF(E222&gt;0,VLOOKUP(E222,Направление!A$1:B$4783,2))))))</f>
        <v>Оценка недвижимости, признание прав и регулирование отношений по муниципальной собственности</v>
      </c>
      <c r="B222" s="117"/>
      <c r="C222" s="112"/>
      <c r="D222" s="113"/>
      <c r="E222" s="112">
        <v>12090</v>
      </c>
      <c r="F222" s="114"/>
      <c r="G222" s="385"/>
      <c r="H222" s="385">
        <f t="shared" ref="H222:K222" si="149">H223</f>
        <v>100000</v>
      </c>
      <c r="I222" s="385">
        <f t="shared" si="149"/>
        <v>100000</v>
      </c>
      <c r="J222" s="385"/>
      <c r="K222" s="295">
        <f t="shared" si="149"/>
        <v>0</v>
      </c>
      <c r="L222" s="295">
        <f t="shared" si="11"/>
        <v>0</v>
      </c>
    </row>
    <row r="223" spans="1:12" ht="63" x14ac:dyDescent="0.2">
      <c r="A223" s="116" t="str">
        <f>IF(B223&gt;0,VLOOKUP(B223,КВСР!A60:B1225,2),IF(C223&gt;0,VLOOKUP(C223,КФСР!A60:B1572,2),IF(D223&gt;0,VLOOKUP(D223,Программа!A$1:B$5110,2),IF(F223&gt;0,VLOOKUP(F223,КВР!A$1:B$5001,2),IF(E223&gt;0,VLOOKUP(E223,Направление!A$1:B$4783,2))))))</f>
        <v xml:space="preserve">Закупка товаров, работ и услуг для обеспечения государственных (муниципальных) нужд
</v>
      </c>
      <c r="B223" s="117"/>
      <c r="C223" s="112"/>
      <c r="D223" s="113"/>
      <c r="E223" s="112"/>
      <c r="F223" s="114">
        <v>200</v>
      </c>
      <c r="G223" s="385"/>
      <c r="H223" s="385">
        <v>100000</v>
      </c>
      <c r="I223" s="385">
        <f t="shared" ref="I223" si="150">G223+H223</f>
        <v>100000</v>
      </c>
      <c r="J223" s="385"/>
      <c r="K223" s="295">
        <v>0</v>
      </c>
      <c r="L223" s="295">
        <f t="shared" si="11"/>
        <v>0</v>
      </c>
    </row>
    <row r="224" spans="1:12" ht="94.5" hidden="1" x14ac:dyDescent="0.2">
      <c r="A224" s="116" t="str">
        <f>IF(B224&gt;0,VLOOKUP(B224,КВСР!A56:B1221,2),IF(C224&gt;0,VLOOKUP(C224,КФСР!A56:B1568,2),IF(D224&gt;0,VLOOKUP(D224,Программа!A$1:B$5110,2),IF(F224&gt;0,VLOOKUP(F224,КВР!A$1:B$5001,2),IF(E224&gt;0,VLOOKUP(E224,Направление!A$1:B$4783,2))))))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7"/>
      <c r="C224" s="112"/>
      <c r="D224" s="113"/>
      <c r="E224" s="112">
        <v>29026</v>
      </c>
      <c r="F224" s="114"/>
      <c r="G224" s="385"/>
      <c r="H224" s="385">
        <f t="shared" ref="H224" si="151">H225+H226</f>
        <v>0</v>
      </c>
      <c r="I224" s="385">
        <f t="shared" si="10"/>
        <v>0</v>
      </c>
      <c r="J224" s="385"/>
      <c r="K224" s="295">
        <f t="shared" ref="K224" si="152">K225+K226</f>
        <v>0</v>
      </c>
      <c r="L224" s="295">
        <f t="shared" si="11"/>
        <v>0</v>
      </c>
    </row>
    <row r="225" spans="1:12" ht="110.25" hidden="1" x14ac:dyDescent="0.2">
      <c r="A225" s="116" t="str">
        <f>IF(B225&gt;0,VLOOKUP(B225,КВСР!A57:B1222,2),IF(C225&gt;0,VLOOKUP(C225,КФСР!A57:B1569,2),IF(D225&gt;0,VLOOKUP(D225,Программа!A$1:B$5110,2),IF(F225&gt;0,VLOOKUP(F225,КВР!A$1:B$5001,2),IF(E225&gt;0,VLOOKUP(E225,Направление!A$1:B$4783,2))))))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7"/>
      <c r="C225" s="112"/>
      <c r="D225" s="113"/>
      <c r="E225" s="112"/>
      <c r="F225" s="114">
        <v>100</v>
      </c>
      <c r="G225" s="385"/>
      <c r="H225" s="385"/>
      <c r="I225" s="385">
        <f t="shared" si="10"/>
        <v>0</v>
      </c>
      <c r="J225" s="385"/>
      <c r="K225" s="295"/>
      <c r="L225" s="295">
        <f t="shared" si="11"/>
        <v>0</v>
      </c>
    </row>
    <row r="226" spans="1:12" ht="63" hidden="1" x14ac:dyDescent="0.2">
      <c r="A226" s="116" t="str">
        <f>IF(B226&gt;0,VLOOKUP(B226,КВСР!A58:B1223,2),IF(C226&gt;0,VLOOKUP(C226,КФСР!A58:B1570,2),IF(D226&gt;0,VLOOKUP(D226,Программа!A$1:B$5110,2),IF(F226&gt;0,VLOOKUP(F226,КВР!A$1:B$5001,2),IF(E226&gt;0,VLOOKUP(E226,Направление!A$1:B$4783,2))))))</f>
        <v xml:space="preserve">Закупка товаров, работ и услуг для обеспечения государственных (муниципальных) нужд
</v>
      </c>
      <c r="B226" s="117"/>
      <c r="C226" s="112"/>
      <c r="D226" s="113"/>
      <c r="E226" s="112"/>
      <c r="F226" s="114">
        <v>200</v>
      </c>
      <c r="G226" s="385"/>
      <c r="H226" s="385"/>
      <c r="I226" s="385">
        <f t="shared" si="10"/>
        <v>0</v>
      </c>
      <c r="J226" s="385"/>
      <c r="K226" s="295"/>
      <c r="L226" s="295">
        <f t="shared" si="11"/>
        <v>0</v>
      </c>
    </row>
    <row r="227" spans="1:12" ht="63" hidden="1" x14ac:dyDescent="0.2">
      <c r="A227" s="116" t="str">
        <f>IF(B227&gt;0,VLOOKUP(B227,КВСР!A59:B1224,2),IF(C227&gt;0,VLOOKUP(C227,КФСР!A59:B1571,2),IF(D227&gt;0,VLOOKUP(D227,Программа!A$1:B$5110,2),IF(F227&gt;0,VLOOKUP(F227,КВР!A$1:B$5001,2),IF(E227&gt;0,VLOOKUP(E227,Направление!A$1:B$4783,2))))))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7"/>
      <c r="C227" s="112"/>
      <c r="D227" s="113"/>
      <c r="E227" s="112">
        <v>29556</v>
      </c>
      <c r="F227" s="114"/>
      <c r="G227" s="385"/>
      <c r="H227" s="385">
        <f t="shared" ref="H227:L227" si="153">H228</f>
        <v>0</v>
      </c>
      <c r="I227" s="385">
        <f t="shared" si="153"/>
        <v>0</v>
      </c>
      <c r="J227" s="385"/>
      <c r="K227" s="385">
        <f t="shared" si="153"/>
        <v>0</v>
      </c>
      <c r="L227" s="385">
        <f t="shared" si="153"/>
        <v>0</v>
      </c>
    </row>
    <row r="228" spans="1:12" ht="63" hidden="1" x14ac:dyDescent="0.2">
      <c r="A228" s="116" t="str">
        <f>IF(B228&gt;0,VLOOKUP(B228,КВСР!A60:B1225,2),IF(C228&gt;0,VLOOKUP(C228,КФСР!A60:B1572,2),IF(D228&gt;0,VLOOKUP(D228,Программа!A$1:B$5110,2),IF(F228&gt;0,VLOOKUP(F228,КВР!A$1:B$5001,2),IF(E228&gt;0,VLOOKUP(E228,Направление!A$1:B$4783,2))))))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85"/>
      <c r="H228" s="385"/>
      <c r="I228" s="385">
        <f>G228+H228</f>
        <v>0</v>
      </c>
      <c r="J228" s="385"/>
      <c r="K228" s="295"/>
      <c r="L228" s="295">
        <f>J228+K228</f>
        <v>0</v>
      </c>
    </row>
    <row r="229" spans="1:12" ht="31.5" x14ac:dyDescent="0.2">
      <c r="A229" s="11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>Другие вопросы в области национальной экономики</v>
      </c>
      <c r="B229" s="117"/>
      <c r="C229" s="112">
        <v>412</v>
      </c>
      <c r="D229" s="113"/>
      <c r="E229" s="112"/>
      <c r="F229" s="114"/>
      <c r="G229" s="385"/>
      <c r="H229" s="385">
        <f t="shared" ref="H229:L229" si="154">H230</f>
        <v>150000</v>
      </c>
      <c r="I229" s="385">
        <f t="shared" si="154"/>
        <v>150000</v>
      </c>
      <c r="J229" s="385"/>
      <c r="K229" s="385">
        <f t="shared" si="154"/>
        <v>0</v>
      </c>
      <c r="L229" s="385">
        <f t="shared" si="154"/>
        <v>0</v>
      </c>
    </row>
    <row r="230" spans="1:12" ht="15.75" x14ac:dyDescent="0.2">
      <c r="A230" s="11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Непрограммные расходы бюджета</v>
      </c>
      <c r="B230" s="117"/>
      <c r="C230" s="112"/>
      <c r="D230" s="113" t="s">
        <v>394</v>
      </c>
      <c r="E230" s="112"/>
      <c r="F230" s="114"/>
      <c r="G230" s="385"/>
      <c r="H230" s="385">
        <f t="shared" ref="H230:I230" si="155">H231+H233</f>
        <v>150000</v>
      </c>
      <c r="I230" s="385">
        <f t="shared" si="155"/>
        <v>150000</v>
      </c>
      <c r="J230" s="385"/>
      <c r="K230" s="385">
        <f t="shared" ref="K230" si="156">K231+K233</f>
        <v>0</v>
      </c>
      <c r="L230" s="385">
        <f t="shared" ref="L230" si="157">L231+L233</f>
        <v>0</v>
      </c>
    </row>
    <row r="231" spans="1:12" ht="31.5" x14ac:dyDescent="0.2">
      <c r="A231" s="116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>Мероприятия по землеустройству и землепользованию</v>
      </c>
      <c r="B231" s="117"/>
      <c r="C231" s="112"/>
      <c r="D231" s="113"/>
      <c r="E231" s="112">
        <v>10510</v>
      </c>
      <c r="F231" s="114"/>
      <c r="G231" s="385"/>
      <c r="H231" s="385">
        <f t="shared" ref="H231:I231" si="158">H232</f>
        <v>150000</v>
      </c>
      <c r="I231" s="385">
        <f t="shared" si="158"/>
        <v>150000</v>
      </c>
      <c r="J231" s="385"/>
      <c r="K231" s="295">
        <v>0</v>
      </c>
      <c r="L231" s="295">
        <f t="shared" si="11"/>
        <v>0</v>
      </c>
    </row>
    <row r="232" spans="1:12" ht="63" x14ac:dyDescent="0.2">
      <c r="A232" s="116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385"/>
      <c r="H232" s="385">
        <v>150000</v>
      </c>
      <c r="I232" s="385">
        <f>G232+H232</f>
        <v>150000</v>
      </c>
      <c r="J232" s="385"/>
      <c r="K232" s="295">
        <v>0</v>
      </c>
      <c r="L232" s="295">
        <f t="shared" si="11"/>
        <v>0</v>
      </c>
    </row>
    <row r="233" spans="1:12" ht="63" hidden="1" x14ac:dyDescent="0.2">
      <c r="A233" s="116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7"/>
      <c r="C233" s="112"/>
      <c r="D233" s="113"/>
      <c r="E233" s="112">
        <v>29276</v>
      </c>
      <c r="F233" s="114"/>
      <c r="G233" s="385"/>
      <c r="H233" s="385">
        <f>H234</f>
        <v>0</v>
      </c>
      <c r="I233" s="385">
        <f t="shared" ref="I233:L233" si="159">I234</f>
        <v>0</v>
      </c>
      <c r="J233" s="385"/>
      <c r="K233" s="385">
        <f t="shared" si="159"/>
        <v>0</v>
      </c>
      <c r="L233" s="385">
        <f t="shared" si="159"/>
        <v>0</v>
      </c>
    </row>
    <row r="234" spans="1:12" ht="63" hidden="1" x14ac:dyDescent="0.2">
      <c r="A234" s="116" t="str">
        <f>IF(B234&gt;0,VLOOKUP(B234,КВСР!A64:B1229,2),IF(C234&gt;0,VLOOKUP(C234,КФСР!A64:B1576,2),IF(D234&gt;0,VLOOKUP(D234,Программа!A$1:B$5110,2),IF(F234&gt;0,VLOOKUP(F234,КВР!A$1:B$5001,2),IF(E234&gt;0,VLOOKUP(E234,Направление!A$1:B$4783,2))))))</f>
        <v xml:space="preserve">Закупка товаров, работ и услуг для обеспечения государственных (муниципальных) нужд
</v>
      </c>
      <c r="B234" s="117"/>
      <c r="C234" s="112"/>
      <c r="D234" s="113"/>
      <c r="E234" s="112"/>
      <c r="F234" s="114">
        <v>200</v>
      </c>
      <c r="G234" s="385"/>
      <c r="H234" s="385"/>
      <c r="I234" s="385">
        <f t="shared" ref="I234" si="160">SUM(G234:H234)</f>
        <v>0</v>
      </c>
      <c r="J234" s="385"/>
      <c r="K234" s="295"/>
      <c r="L234" s="295">
        <f t="shared" si="11"/>
        <v>0</v>
      </c>
    </row>
    <row r="235" spans="1:12" ht="15.75" x14ac:dyDescent="0.2">
      <c r="A235" s="116" t="str">
        <f>IF(B235&gt;0,VLOOKUP(B235,КВСР!A63:B1228,2),IF(C235&gt;0,VLOOKUP(C235,КФСР!A63:B1575,2),IF(D235&gt;0,VLOOKUP(D235,Программа!A$1:B$5110,2),IF(F235&gt;0,VLOOKUP(F235,КВР!A$1:B$5001,2),IF(E235&gt;0,VLOOKUP(E235,Направление!A$1:B$4783,2))))))</f>
        <v>Жилищное хозяйство</v>
      </c>
      <c r="B235" s="117"/>
      <c r="C235" s="112">
        <v>501</v>
      </c>
      <c r="D235" s="113"/>
      <c r="E235" s="112"/>
      <c r="F235" s="114"/>
      <c r="G235" s="385"/>
      <c r="H235" s="385">
        <f t="shared" ref="H235:I235" si="161">H236</f>
        <v>150000</v>
      </c>
      <c r="I235" s="385">
        <f t="shared" si="161"/>
        <v>150000</v>
      </c>
      <c r="J235" s="385"/>
      <c r="K235" s="295">
        <v>0</v>
      </c>
      <c r="L235" s="295">
        <f t="shared" si="11"/>
        <v>0</v>
      </c>
    </row>
    <row r="236" spans="1:12" ht="15.75" x14ac:dyDescent="0.2">
      <c r="A236" s="116" t="str">
        <f>IF(B236&gt;0,VLOOKUP(B236,КВСР!A64:B1229,2),IF(C236&gt;0,VLOOKUP(C236,КФСР!A64:B1576,2),IF(D236&gt;0,VLOOKUP(D236,Программа!A$1:B$5110,2),IF(F236&gt;0,VLOOKUP(F236,КВР!A$1:B$5001,2),IF(E236&gt;0,VLOOKUP(E236,Направление!A$1:B$4783,2))))))</f>
        <v>Непрограммные расходы бюджета</v>
      </c>
      <c r="B236" s="117"/>
      <c r="C236" s="112"/>
      <c r="D236" s="113" t="s">
        <v>394</v>
      </c>
      <c r="E236" s="112"/>
      <c r="F236" s="114"/>
      <c r="G236" s="385"/>
      <c r="H236" s="385">
        <f t="shared" ref="H236:I236" si="162">H237+H239+H241</f>
        <v>150000</v>
      </c>
      <c r="I236" s="385">
        <f t="shared" si="162"/>
        <v>150000</v>
      </c>
      <c r="J236" s="385"/>
      <c r="K236" s="295">
        <v>0</v>
      </c>
      <c r="L236" s="295">
        <f t="shared" si="11"/>
        <v>0</v>
      </c>
    </row>
    <row r="237" spans="1:12" ht="47.25" x14ac:dyDescent="0.2">
      <c r="A237" s="116" t="str">
        <f>IF(B237&gt;0,VLOOKUP(B237,КВСР!A65:B1230,2),IF(C237&gt;0,VLOOKUP(C237,КФСР!A65:B1577,2),IF(D237&gt;0,VLOOKUP(D237,Программа!A$1:B$5110,2),IF(F237&gt;0,VLOOKUP(F237,КВР!A$1:B$5001,2),IF(E237&gt;0,VLOOKUP(E237,Направление!A$1:B$4783,2))))))</f>
        <v>Взносы на  капитальный ремонт  жилых помещений муниципального жилищного фонда</v>
      </c>
      <c r="B237" s="117"/>
      <c r="C237" s="112"/>
      <c r="D237" s="113"/>
      <c r="E237" s="112">
        <v>10370</v>
      </c>
      <c r="F237" s="114"/>
      <c r="G237" s="385"/>
      <c r="H237" s="385">
        <f t="shared" ref="H237:I237" si="163">H238</f>
        <v>150000</v>
      </c>
      <c r="I237" s="385">
        <f t="shared" si="163"/>
        <v>150000</v>
      </c>
      <c r="J237" s="385"/>
      <c r="K237" s="295">
        <v>0</v>
      </c>
      <c r="L237" s="295">
        <f t="shared" si="11"/>
        <v>0</v>
      </c>
    </row>
    <row r="238" spans="1:12" ht="63" x14ac:dyDescent="0.2">
      <c r="A238" s="116" t="str">
        <f>IF(B238&gt;0,VLOOKUP(B238,КВСР!A66:B1231,2),IF(C238&gt;0,VLOOKUP(C238,КФСР!A66:B1578,2),IF(D238&gt;0,VLOOKUP(D238,Программа!A$1:B$5110,2),IF(F238&gt;0,VLOOKUP(F238,КВР!A$1:B$5001,2),IF(E238&gt;0,VLOOKUP(E238,Направление!A$1:B$4783,2))))))</f>
        <v xml:space="preserve">Закупка товаров, работ и услуг для обеспечения государственных (муниципальных) нужд
</v>
      </c>
      <c r="B238" s="117"/>
      <c r="C238" s="112"/>
      <c r="D238" s="113"/>
      <c r="E238" s="112"/>
      <c r="F238" s="114">
        <v>200</v>
      </c>
      <c r="G238" s="385"/>
      <c r="H238" s="385">
        <v>150000</v>
      </c>
      <c r="I238" s="385">
        <f>G238+H238</f>
        <v>150000</v>
      </c>
      <c r="J238" s="385"/>
      <c r="K238" s="295">
        <v>0</v>
      </c>
      <c r="L238" s="295">
        <f t="shared" si="11"/>
        <v>0</v>
      </c>
    </row>
    <row r="239" spans="1:12" ht="47.25" hidden="1" x14ac:dyDescent="0.2">
      <c r="A239" s="116" t="str">
        <f>IF(B239&gt;0,VLOOKUP(B239,КВСР!A67:B1232,2),IF(C239&gt;0,VLOOKUP(C239,КФСР!A67:B1579,2),IF(D239&gt;0,VLOOKUP(D239,Программа!A$1:B$5110,2),IF(F239&gt;0,VLOOKUP(F239,КВР!A$1:B$5001,2),IF(E239&gt;0,VLOOKUP(E239,Направление!A$1:B$4783,2))))))</f>
        <v xml:space="preserve">Обеспечение мероприятий по начислению и сбору платы за найм муниципального жилищного фонда </v>
      </c>
      <c r="B239" s="117"/>
      <c r="C239" s="112"/>
      <c r="D239" s="113"/>
      <c r="E239" s="112">
        <v>29436</v>
      </c>
      <c r="F239" s="114"/>
      <c r="G239" s="385"/>
      <c r="H239" s="869">
        <f t="shared" ref="H239:L239" si="164">H240</f>
        <v>0</v>
      </c>
      <c r="I239" s="385">
        <f t="shared" si="164"/>
        <v>0</v>
      </c>
      <c r="J239" s="385"/>
      <c r="K239" s="869">
        <f t="shared" si="164"/>
        <v>0</v>
      </c>
      <c r="L239" s="385">
        <f t="shared" si="164"/>
        <v>0</v>
      </c>
    </row>
    <row r="240" spans="1:12" ht="63" hidden="1" x14ac:dyDescent="0.2">
      <c r="A240" s="116" t="str">
        <f>IF(B240&gt;0,VLOOKUP(B240,КВСР!A68:B1233,2),IF(C240&gt;0,VLOOKUP(C240,КФСР!A68:B1580,2),IF(D240&gt;0,VLOOKUP(D240,Программа!A$1:B$5110,2),IF(F240&gt;0,VLOOKUP(F240,КВР!A$1:B$5001,2),IF(E240&gt;0,VLOOKUP(E240,Направление!A$1:B$4783,2))))))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385"/>
      <c r="H240" s="869"/>
      <c r="I240" s="385">
        <f>G240+H240</f>
        <v>0</v>
      </c>
      <c r="J240" s="385"/>
      <c r="K240" s="867"/>
      <c r="L240" s="295">
        <f>J240+K240</f>
        <v>0</v>
      </c>
    </row>
    <row r="241" spans="1:12" ht="63" hidden="1" x14ac:dyDescent="0.2">
      <c r="A241" s="116" t="str">
        <f>IF(B241&gt;0,VLOOKUP(B241,КВСР!A69:B1234,2),IF(C241&gt;0,VLOOKUP(C241,КФСР!A69:B1581,2),IF(D241&gt;0,VLOOKUP(D241,Программа!A$1:B$5110,2),IF(F241&gt;0,VLOOKUP(F241,КВР!A$1:B$5001,2),IF(E241&gt;0,VLOOKUP(E241,Направление!A$1:B$4783,2))))))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7"/>
      <c r="C241" s="112"/>
      <c r="D241" s="113"/>
      <c r="E241" s="112">
        <v>29446</v>
      </c>
      <c r="F241" s="114"/>
      <c r="G241" s="385"/>
      <c r="H241" s="869">
        <f t="shared" ref="H241:L241" si="165">H242</f>
        <v>0</v>
      </c>
      <c r="I241" s="385">
        <f t="shared" si="165"/>
        <v>0</v>
      </c>
      <c r="J241" s="385"/>
      <c r="K241" s="869">
        <f t="shared" si="165"/>
        <v>0</v>
      </c>
      <c r="L241" s="385">
        <f t="shared" si="165"/>
        <v>0</v>
      </c>
    </row>
    <row r="242" spans="1:12" ht="63" hidden="1" x14ac:dyDescent="0.2">
      <c r="A242" s="116" t="str">
        <f>IF(B242&gt;0,VLOOKUP(B242,КВСР!A70:B1235,2),IF(C242&gt;0,VLOOKUP(C242,КФСР!A70:B1582,2),IF(D242&gt;0,VLOOKUP(D242,Программа!A$1:B$5110,2),IF(F242&gt;0,VLOOKUP(F242,КВР!A$1:B$5001,2),IF(E242&gt;0,VLOOKUP(E242,Направление!A$1:B$4783,2))))))</f>
        <v xml:space="preserve">Закупка товаров, работ и услуг для обеспечения государственных (муниципальных) нужд
</v>
      </c>
      <c r="B242" s="117"/>
      <c r="C242" s="112"/>
      <c r="D242" s="113"/>
      <c r="E242" s="112"/>
      <c r="F242" s="114">
        <v>200</v>
      </c>
      <c r="G242" s="385"/>
      <c r="H242" s="869"/>
      <c r="I242" s="385">
        <f>G242+H242</f>
        <v>0</v>
      </c>
      <c r="J242" s="385"/>
      <c r="K242" s="867"/>
      <c r="L242" s="295">
        <f>J242+K242</f>
        <v>0</v>
      </c>
    </row>
    <row r="243" spans="1:12" s="142" customFormat="1" ht="31.5" x14ac:dyDescent="0.2">
      <c r="A243" s="110" t="str">
        <f>IF(B243&gt;0,VLOOKUP(B243,КВСР!A76:B1241,2),IF(C243&gt;0,VLOOKUP(C243,КФСР!A76:B1588,2),IF(D243&gt;0,VLOOKUP(D243,Программа!A$1:B$5110,2),IF(F243&gt;0,VLOOKUP(F243,КВР!A$1:B$5001,2),IF(E243&gt;0,VLOOKUP(E243,Направление!A$1:B$4783,2))))))</f>
        <v>Департамент образования Администрации ТМР</v>
      </c>
      <c r="B243" s="111">
        <v>953</v>
      </c>
      <c r="C243" s="136"/>
      <c r="D243" s="137"/>
      <c r="E243" s="136"/>
      <c r="F243" s="138"/>
      <c r="G243" s="388"/>
      <c r="H243" s="388">
        <f>H244+H259+H276+H295+H311+H345+H368+H339+H289</f>
        <v>835424167</v>
      </c>
      <c r="I243" s="388">
        <f>I244+I259+I276+I295+I311+I345+I368+I339+I289</f>
        <v>835424167</v>
      </c>
      <c r="J243" s="388">
        <f>J244+J259+J276+J295+J311+J345+J368+J339+J289</f>
        <v>0</v>
      </c>
      <c r="K243" s="388">
        <f>K244+K259+K276+K295+K311+K345+K368+K339+K289</f>
        <v>851199999</v>
      </c>
      <c r="L243" s="388">
        <f>L244+L259+L276+L295+L311+L345+L368+L339+L289</f>
        <v>851199999</v>
      </c>
    </row>
    <row r="244" spans="1:12" ht="15.75" x14ac:dyDescent="0.2">
      <c r="A244" s="116" t="str">
        <f>IF(B244&gt;0,VLOOKUP(B244,КВСР!A81:B1246,2),IF(C244&gt;0,VLOOKUP(C244,КФСР!A81:B1593,2),IF(D244&gt;0,VLOOKUP(D244,Программа!A$1:B$5110,2),IF(F244&gt;0,VLOOKUP(F244,КВР!A$1:B$5001,2),IF(E244&gt;0,VLOOKUP(E244,Направление!A$1:B$4783,2))))))</f>
        <v>Дошкольное образование</v>
      </c>
      <c r="B244" s="117"/>
      <c r="C244" s="112">
        <v>701</v>
      </c>
      <c r="D244" s="113"/>
      <c r="E244" s="112"/>
      <c r="F244" s="114"/>
      <c r="G244" s="385"/>
      <c r="H244" s="385">
        <f t="shared" ref="H244:L246" si="166">H245</f>
        <v>311389618</v>
      </c>
      <c r="I244" s="385">
        <f t="shared" si="166"/>
        <v>311389618</v>
      </c>
      <c r="J244" s="385">
        <f t="shared" si="166"/>
        <v>0</v>
      </c>
      <c r="K244" s="385">
        <f t="shared" si="166"/>
        <v>308803107</v>
      </c>
      <c r="L244" s="385">
        <f t="shared" si="166"/>
        <v>308803107</v>
      </c>
    </row>
    <row r="245" spans="1:12" ht="63" x14ac:dyDescent="0.2">
      <c r="A245" s="116" t="str">
        <f>IF(B245&gt;0,VLOOKUP(B245,КВСР!A82:B1247,2),IF(C245&gt;0,VLOOKUP(C245,КФСР!A82:B1594,2),IF(D245&gt;0,VLOOKUP(D245,Программа!A$1:B$5110,2),IF(F245&gt;0,VLOOKUP(F245,КВР!A$1:B$5001,2),IF(E245&gt;0,VLOOKUP(E245,Направление!A$1:B$4783,2))))))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45" s="117"/>
      <c r="C245" s="112"/>
      <c r="D245" s="113" t="s">
        <v>452</v>
      </c>
      <c r="E245" s="112"/>
      <c r="F245" s="114"/>
      <c r="G245" s="385"/>
      <c r="H245" s="385">
        <f t="shared" si="166"/>
        <v>311389618</v>
      </c>
      <c r="I245" s="385">
        <f t="shared" si="166"/>
        <v>311389618</v>
      </c>
      <c r="J245" s="385">
        <f t="shared" si="166"/>
        <v>0</v>
      </c>
      <c r="K245" s="385">
        <f t="shared" si="166"/>
        <v>308803107</v>
      </c>
      <c r="L245" s="385">
        <f t="shared" si="166"/>
        <v>308803107</v>
      </c>
    </row>
    <row r="246" spans="1:12" ht="63" x14ac:dyDescent="0.2">
      <c r="A246" s="116" t="str">
        <f>IF(B246&gt;0,VLOOKUP(B246,КВСР!A83:B1248,2),IF(C246&gt;0,VLOOKUP(C246,КФСР!A83:B1595,2),IF(D246&gt;0,VLOOKUP(D246,Программа!A$1:B$5110,2),IF(F246&gt;0,VLOOKUP(F246,КВР!A$1:B$5001,2),IF(E246&gt;0,VLOOKUP(E246,Направление!A$1:B$4783,2))))))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7"/>
      <c r="C246" s="112"/>
      <c r="D246" s="113" t="s">
        <v>454</v>
      </c>
      <c r="E246" s="112"/>
      <c r="F246" s="114"/>
      <c r="G246" s="385"/>
      <c r="H246" s="385">
        <f t="shared" si="166"/>
        <v>311389618</v>
      </c>
      <c r="I246" s="385">
        <f t="shared" si="166"/>
        <v>311389618</v>
      </c>
      <c r="J246" s="385">
        <f t="shared" si="166"/>
        <v>0</v>
      </c>
      <c r="K246" s="385">
        <f t="shared" si="166"/>
        <v>308803107</v>
      </c>
      <c r="L246" s="385">
        <f t="shared" si="166"/>
        <v>308803107</v>
      </c>
    </row>
    <row r="247" spans="1:12" ht="47.25" x14ac:dyDescent="0.2">
      <c r="A247" s="116" t="str">
        <f>IF(B247&gt;0,VLOOKUP(B247,КВСР!A83:B1248,2),IF(C247&gt;0,VLOOKUP(C247,КФСР!A83:B1595,2),IF(D247&gt;0,VLOOKUP(D247,Программа!A$1:B$5110,2),IF(F247&gt;0,VLOOKUP(F247,КВР!A$1:B$5001,2),IF(E247&gt;0,VLOOKUP(E247,Направление!A$1:B$4783,2))))))</f>
        <v>Обеспечение качества и доступности образовательных услуг в сфере дошкольного образования</v>
      </c>
      <c r="B247" s="117"/>
      <c r="C247" s="112"/>
      <c r="D247" s="113" t="s">
        <v>455</v>
      </c>
      <c r="E247" s="112"/>
      <c r="F247" s="114"/>
      <c r="G247" s="385"/>
      <c r="H247" s="385">
        <f t="shared" ref="H247" si="167">H248+H252+H256+H254</f>
        <v>311389618</v>
      </c>
      <c r="I247" s="385">
        <f t="shared" ref="I247:L247" si="168">I248+I252+I256+I254</f>
        <v>311389618</v>
      </c>
      <c r="J247" s="385">
        <f t="shared" si="168"/>
        <v>0</v>
      </c>
      <c r="K247" s="385">
        <f t="shared" si="168"/>
        <v>308803107</v>
      </c>
      <c r="L247" s="385">
        <f t="shared" si="168"/>
        <v>308803107</v>
      </c>
    </row>
    <row r="248" spans="1:12" ht="31.5" x14ac:dyDescent="0.2">
      <c r="A248" s="116" t="str">
        <f>IF(B248&gt;0,VLOOKUP(B248,КВСР!A84:B1249,2),IF(C248&gt;0,VLOOKUP(C248,КФСР!A84:B1596,2),IF(D248&gt;0,VLOOKUP(D248,Программа!A$1:B$5110,2),IF(F248&gt;0,VLOOKUP(F248,КВР!A$1:B$5001,2),IF(E248&gt;0,VLOOKUP(E248,Направление!A$1:B$4783,2))))))</f>
        <v>Обеспечение деятельности дошкольных учреждений</v>
      </c>
      <c r="B248" s="117"/>
      <c r="C248" s="112"/>
      <c r="D248" s="113"/>
      <c r="E248" s="112">
        <v>13010</v>
      </c>
      <c r="F248" s="114"/>
      <c r="G248" s="385"/>
      <c r="H248" s="385">
        <f t="shared" ref="H248:I248" si="169">H249+H250+H251</f>
        <v>115673000</v>
      </c>
      <c r="I248" s="385">
        <f t="shared" si="169"/>
        <v>115673000</v>
      </c>
      <c r="J248" s="385"/>
      <c r="K248" s="295">
        <f t="shared" ref="K248:L248" si="170">K249+K250</f>
        <v>90673000</v>
      </c>
      <c r="L248" s="295">
        <f t="shared" si="170"/>
        <v>90673000</v>
      </c>
    </row>
    <row r="249" spans="1:12" ht="110.25" x14ac:dyDescent="0.2">
      <c r="A249" s="116" t="str">
        <f>IF(B249&gt;0,VLOOKUP(B249,КВСР!A85:B1250,2),IF(C249&gt;0,VLOOKUP(C249,КФСР!A85:B1597,2),IF(D249&gt;0,VLOOKUP(D249,Программа!A$1:B$5110,2),IF(F249&gt;0,VLOOKUP(F249,КВР!A$1:B$5001,2),IF(E249&gt;0,VLOOKUP(E249,Направление!A$1:B$4783,2))))))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7"/>
      <c r="C249" s="112"/>
      <c r="D249" s="113"/>
      <c r="E249" s="112"/>
      <c r="F249" s="114">
        <v>100</v>
      </c>
      <c r="G249" s="385"/>
      <c r="H249" s="385">
        <f>1223000+40000000</f>
        <v>41223000</v>
      </c>
      <c r="I249" s="385">
        <f t="shared" si="10"/>
        <v>41223000</v>
      </c>
      <c r="J249" s="385"/>
      <c r="K249" s="295">
        <f>1223000+30000000</f>
        <v>31223000</v>
      </c>
      <c r="L249" s="295">
        <f t="shared" si="11"/>
        <v>31223000</v>
      </c>
    </row>
    <row r="250" spans="1:12" ht="63" x14ac:dyDescent="0.2">
      <c r="A250" s="116" t="str">
        <f>IF(B250&gt;0,VLOOKUP(B250,КВСР!A86:B1251,2),IF(C250&gt;0,VLOOKUP(C250,КФСР!A86:B1598,2),IF(D250&gt;0,VLOOKUP(D250,Программа!A$1:B$5110,2),IF(F250&gt;0,VLOOKUP(F250,КВР!A$1:B$5001,2),IF(E250&gt;0,VLOOKUP(E250,Направление!A$1:B$4783,2))))))</f>
        <v xml:space="preserve">Закупка товаров, работ и услуг для обеспечения государственных (муниципальных) нужд
</v>
      </c>
      <c r="B250" s="117"/>
      <c r="C250" s="112"/>
      <c r="D250" s="113"/>
      <c r="E250" s="112"/>
      <c r="F250" s="114">
        <v>200</v>
      </c>
      <c r="G250" s="385"/>
      <c r="H250" s="385">
        <f>20000000+54450000</f>
        <v>74450000</v>
      </c>
      <c r="I250" s="385">
        <f t="shared" si="10"/>
        <v>74450000</v>
      </c>
      <c r="J250" s="385"/>
      <c r="K250" s="295">
        <f>5000000+54450000</f>
        <v>59450000</v>
      </c>
      <c r="L250" s="295">
        <f t="shared" si="11"/>
        <v>59450000</v>
      </c>
    </row>
    <row r="251" spans="1:12" ht="15.75" x14ac:dyDescent="0.2">
      <c r="A251" s="116" t="str">
        <f>IF(B251&gt;0,VLOOKUP(B251,КВСР!A87:B1252,2),IF(C251&gt;0,VLOOKUP(C251,КФСР!A87:B1599,2),IF(D251&gt;0,VLOOKUP(D251,Программа!A$1:B$5110,2),IF(F251&gt;0,VLOOKUP(F251,КВР!A$1:B$5001,2),IF(E251&gt;0,VLOOKUP(E251,Направление!A$1:B$4783,2))))))</f>
        <v>Иные бюджетные ассигнования</v>
      </c>
      <c r="B251" s="117"/>
      <c r="C251" s="112"/>
      <c r="D251" s="113"/>
      <c r="E251" s="112"/>
      <c r="F251" s="114">
        <v>800</v>
      </c>
      <c r="G251" s="385"/>
      <c r="H251" s="385"/>
      <c r="I251" s="385">
        <f t="shared" si="10"/>
        <v>0</v>
      </c>
      <c r="J251" s="385"/>
      <c r="K251" s="295"/>
      <c r="L251" s="295">
        <f t="shared" si="11"/>
        <v>0</v>
      </c>
    </row>
    <row r="252" spans="1:12" ht="31.5" x14ac:dyDescent="0.2">
      <c r="A252" s="116" t="str">
        <f>IF(B252&gt;0,VLOOKUP(B252,КВСР!A89:B1254,2),IF(C252&gt;0,VLOOKUP(C252,КФСР!A89:B1601,2),IF(D252&gt;0,VLOOKUP(D252,Программа!A$1:B$5110,2),IF(F252&gt;0,VLOOKUP(F252,КВР!A$1:B$5001,2),IF(E252&gt;0,VLOOKUP(E252,Направление!A$1:B$4783,2))))))</f>
        <v>Обеспечение деятельности общеобразовательных учреждений</v>
      </c>
      <c r="B252" s="117"/>
      <c r="C252" s="112"/>
      <c r="D252" s="113"/>
      <c r="E252" s="112">
        <v>13110</v>
      </c>
      <c r="F252" s="114"/>
      <c r="G252" s="385"/>
      <c r="H252" s="385">
        <f t="shared" ref="H252" si="171">H253</f>
        <v>6300000</v>
      </c>
      <c r="I252" s="385">
        <f t="shared" si="10"/>
        <v>6300000</v>
      </c>
      <c r="J252" s="385"/>
      <c r="K252" s="295">
        <f t="shared" ref="K252" si="172">K253</f>
        <v>4000000</v>
      </c>
      <c r="L252" s="295">
        <f t="shared" si="11"/>
        <v>4000000</v>
      </c>
    </row>
    <row r="253" spans="1:12" ht="47.25" x14ac:dyDescent="0.2">
      <c r="A253" s="116" t="str">
        <f>IF(B253&gt;0,VLOOKUP(B253,КВСР!A90:B1255,2),IF(C253&gt;0,VLOOKUP(C253,КФСР!A90:B1602,2),IF(D253&gt;0,VLOOKUP(D253,Программа!A$1:B$5110,2),IF(F253&gt;0,VLOOKUP(F253,КВР!A$1:B$5001,2),IF(E253&gt;0,VLOOKUP(E253,Направление!A$1:B$4783,2))))))</f>
        <v>Предоставление субсидий бюджетным, автономным учреждениям и иным некоммерческим организациям</v>
      </c>
      <c r="B253" s="117"/>
      <c r="C253" s="112"/>
      <c r="D253" s="113"/>
      <c r="E253" s="112"/>
      <c r="F253" s="114">
        <v>600</v>
      </c>
      <c r="G253" s="385"/>
      <c r="H253" s="385">
        <v>6300000</v>
      </c>
      <c r="I253" s="385">
        <f t="shared" si="10"/>
        <v>6300000</v>
      </c>
      <c r="J253" s="385"/>
      <c r="K253" s="295">
        <v>4000000</v>
      </c>
      <c r="L253" s="295">
        <f t="shared" si="11"/>
        <v>4000000</v>
      </c>
    </row>
    <row r="254" spans="1:12" ht="47.25" x14ac:dyDescent="0.2">
      <c r="A254" s="116" t="str">
        <f>IF(B254&gt;0,VLOOKUP(B254,КВСР!A91:B1256,2),IF(C254&gt;0,VLOOKUP(C254,КФСР!A91:B1603,2),IF(D254&gt;0,VLOOKUP(D254,Программа!A$1:B$5110,2),IF(F254&gt;0,VLOOKUP(F254,КВР!A$1:B$5001,2),IF(E254&gt;0,VLOOKUP(E254,Направление!A$1:B$4783,2))))))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54" s="117"/>
      <c r="C254" s="112"/>
      <c r="D254" s="113"/>
      <c r="E254" s="112">
        <v>70520</v>
      </c>
      <c r="F254" s="114"/>
      <c r="G254" s="385"/>
      <c r="H254" s="385">
        <f t="shared" ref="H254:K254" si="173">H255</f>
        <v>18278000</v>
      </c>
      <c r="I254" s="385">
        <f t="shared" si="10"/>
        <v>18278000</v>
      </c>
      <c r="J254" s="385"/>
      <c r="K254" s="295">
        <f t="shared" si="173"/>
        <v>20662267</v>
      </c>
      <c r="L254" s="295">
        <f t="shared" si="11"/>
        <v>20662267</v>
      </c>
    </row>
    <row r="255" spans="1:12" ht="47.25" x14ac:dyDescent="0.2">
      <c r="A255" s="116" t="str">
        <f>IF(B255&gt;0,VLOOKUP(B255,КВСР!A92:B1257,2),IF(C255&gt;0,VLOOKUP(C255,КФСР!A92:B1604,2),IF(D255&gt;0,VLOOKUP(D255,Программа!A$1:B$5110,2),IF(F255&gt;0,VLOOKUP(F255,КВР!A$1:B$5001,2),IF(E255&gt;0,VLOOKUP(E255,Направление!A$1:B$4783,2))))))</f>
        <v>Предоставление субсидий бюджетным, автономным учреждениям и иным некоммерческим организациям</v>
      </c>
      <c r="B255" s="117"/>
      <c r="C255" s="112"/>
      <c r="D255" s="113"/>
      <c r="E255" s="112"/>
      <c r="F255" s="114">
        <v>600</v>
      </c>
      <c r="G255" s="385"/>
      <c r="H255" s="385">
        <v>18278000</v>
      </c>
      <c r="I255" s="385">
        <f t="shared" si="10"/>
        <v>18278000</v>
      </c>
      <c r="J255" s="385"/>
      <c r="K255" s="295">
        <v>20662267</v>
      </c>
      <c r="L255" s="295">
        <f t="shared" si="11"/>
        <v>20662267</v>
      </c>
    </row>
    <row r="256" spans="1:12" ht="63" x14ac:dyDescent="0.2">
      <c r="A256" s="116" t="str">
        <f>IF(B256&gt;0,VLOOKUP(B256,КВСР!A91:B1256,2),IF(C256&gt;0,VLOOKUP(C256,КФСР!A91:B1603,2),IF(D256&gt;0,VLOOKUP(D256,Программа!A$1:B$5110,2),IF(F256&gt;0,VLOOKUP(F256,КВР!A$1:B$5001,2),IF(E256&gt;0,VLOOKUP(E256,Направление!A$1:B$4783,2))))))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7"/>
      <c r="C256" s="112"/>
      <c r="D256" s="113"/>
      <c r="E256" s="112">
        <v>73110</v>
      </c>
      <c r="F256" s="114"/>
      <c r="G256" s="385"/>
      <c r="H256" s="385">
        <f t="shared" ref="H256:L256" si="174">H257+H258</f>
        <v>171138618</v>
      </c>
      <c r="I256" s="385">
        <f t="shared" si="174"/>
        <v>171138618</v>
      </c>
      <c r="J256" s="385"/>
      <c r="K256" s="295">
        <f t="shared" si="174"/>
        <v>193467840</v>
      </c>
      <c r="L256" s="295">
        <f t="shared" si="174"/>
        <v>193467840</v>
      </c>
    </row>
    <row r="257" spans="1:12" ht="110.25" x14ac:dyDescent="0.2">
      <c r="A257" s="116" t="str">
        <f>IF(B257&gt;0,VLOOKUP(B257,КВСР!A92:B1257,2),IF(C257&gt;0,VLOOKUP(C257,КФСР!A92:B1604,2),IF(D257&gt;0,VLOOKUP(D257,Программа!A$1:B$5110,2),IF(F257&gt;0,VLOOKUP(F257,КВР!A$1:B$5001,2),IF(E257&gt;0,VLOOKUP(E257,Направление!A$1:B$4783,2))))))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7"/>
      <c r="C257" s="112"/>
      <c r="D257" s="113"/>
      <c r="E257" s="112"/>
      <c r="F257" s="114">
        <v>100</v>
      </c>
      <c r="G257" s="385"/>
      <c r="H257" s="385">
        <v>166440559</v>
      </c>
      <c r="I257" s="385">
        <f t="shared" si="10"/>
        <v>166440559</v>
      </c>
      <c r="J257" s="385"/>
      <c r="K257" s="295">
        <v>188156912</v>
      </c>
      <c r="L257" s="295">
        <f t="shared" si="11"/>
        <v>188156912</v>
      </c>
    </row>
    <row r="258" spans="1:12" ht="63" x14ac:dyDescent="0.2">
      <c r="A258" s="116" t="str">
        <f>IF(B258&gt;0,VLOOKUP(B258,КВСР!A93:B1258,2),IF(C258&gt;0,VLOOKUP(C258,КФСР!A93:B1605,2),IF(D258&gt;0,VLOOKUP(D258,Программа!A$1:B$5110,2),IF(F258&gt;0,VLOOKUP(F258,КВР!A$1:B$5001,2),IF(E258&gt;0,VLOOKUP(E258,Направление!A$1:B$4783,2))))))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385"/>
      <c r="H258" s="385">
        <v>4698059</v>
      </c>
      <c r="I258" s="385">
        <f t="shared" si="10"/>
        <v>4698059</v>
      </c>
      <c r="J258" s="385"/>
      <c r="K258" s="295">
        <v>5310928</v>
      </c>
      <c r="L258" s="295">
        <f t="shared" si="11"/>
        <v>5310928</v>
      </c>
    </row>
    <row r="259" spans="1:12" ht="15.75" x14ac:dyDescent="0.2">
      <c r="A259" s="116" t="str">
        <f>IF(B259&gt;0,VLOOKUP(B259,КВСР!A90:B1255,2),IF(C259&gt;0,VLOOKUP(C259,КФСР!A90:B1602,2),IF(D259&gt;0,VLOOKUP(D259,Программа!A$1:B$5110,2),IF(F259&gt;0,VLOOKUP(F259,КВР!A$1:B$5001,2),IF(E259&gt;0,VLOOKUP(E259,Направление!A$1:B$4783,2))))))</f>
        <v>Общее образование</v>
      </c>
      <c r="B259" s="117"/>
      <c r="C259" s="112">
        <v>702</v>
      </c>
      <c r="D259" s="113"/>
      <c r="E259" s="112"/>
      <c r="F259" s="114"/>
      <c r="G259" s="385"/>
      <c r="H259" s="385">
        <f t="shared" ref="H259" si="175">H260</f>
        <v>374080578</v>
      </c>
      <c r="I259" s="385">
        <f t="shared" si="10"/>
        <v>374080578</v>
      </c>
      <c r="J259" s="385"/>
      <c r="K259" s="295">
        <f t="shared" ref="K259:L260" si="176">K260</f>
        <v>404516717</v>
      </c>
      <c r="L259" s="295">
        <f t="shared" si="11"/>
        <v>404516717</v>
      </c>
    </row>
    <row r="260" spans="1:12" ht="63" x14ac:dyDescent="0.2">
      <c r="A260" s="116" t="str">
        <f>IF(B260&gt;0,VLOOKUP(B260,КВСР!A91:B1256,2),IF(C260&gt;0,VLOOKUP(C260,КФСР!A91:B1603,2),IF(D260&gt;0,VLOOKUP(D260,Программа!A$1:B$5110,2),IF(F260&gt;0,VLOOKUP(F260,КВР!A$1:B$5001,2),IF(E260&gt;0,VLOOKUP(E260,Направление!A$1:B$4783,2))))))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60" s="117"/>
      <c r="C260" s="112"/>
      <c r="D260" s="113" t="s">
        <v>452</v>
      </c>
      <c r="E260" s="112"/>
      <c r="F260" s="114"/>
      <c r="G260" s="385"/>
      <c r="H260" s="385">
        <f>H261</f>
        <v>374080578</v>
      </c>
      <c r="I260" s="385">
        <f t="shared" ref="I260:J260" si="177">I261</f>
        <v>374080578</v>
      </c>
      <c r="J260" s="385">
        <f t="shared" si="177"/>
        <v>0</v>
      </c>
      <c r="K260" s="385">
        <f t="shared" si="176"/>
        <v>404516717</v>
      </c>
      <c r="L260" s="385">
        <f t="shared" si="176"/>
        <v>404516717</v>
      </c>
    </row>
    <row r="261" spans="1:12" ht="63" x14ac:dyDescent="0.2">
      <c r="A261" s="116" t="str">
        <f>IF(B261&gt;0,VLOOKUP(B261,КВСР!A92:B1257,2),IF(C261&gt;0,VLOOKUP(C261,КФСР!A92:B1604,2),IF(D261&gt;0,VLOOKUP(D261,Программа!A$1:B$5110,2),IF(F261&gt;0,VLOOKUP(F261,КВР!A$1:B$5001,2),IF(E261&gt;0,VLOOKUP(E261,Направление!A$1:B$4783,2))))))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7"/>
      <c r="C261" s="112"/>
      <c r="D261" s="113" t="s">
        <v>454</v>
      </c>
      <c r="E261" s="112"/>
      <c r="F261" s="114"/>
      <c r="G261" s="385"/>
      <c r="H261" s="385">
        <f>H262+H273</f>
        <v>374080578</v>
      </c>
      <c r="I261" s="385">
        <f t="shared" ref="I261:L261" si="178">I262+I273</f>
        <v>374080578</v>
      </c>
      <c r="J261" s="385">
        <f t="shared" si="178"/>
        <v>0</v>
      </c>
      <c r="K261" s="385">
        <f t="shared" si="178"/>
        <v>404516717</v>
      </c>
      <c r="L261" s="385">
        <f t="shared" si="178"/>
        <v>404516717</v>
      </c>
    </row>
    <row r="262" spans="1:12" ht="47.25" x14ac:dyDescent="0.2">
      <c r="A262" s="116" t="str">
        <f>IF(B262&gt;0,VLOOKUP(B262,КВСР!A93:B1258,2),IF(C262&gt;0,VLOOKUP(C262,КФСР!A93:B1605,2),IF(D262&gt;0,VLOOKUP(D262,Программа!A$1:B$5110,2),IF(F262&gt;0,VLOOKUP(F262,КВР!A$1:B$5001,2),IF(E262&gt;0,VLOOKUP(E262,Направление!A$1:B$4783,2))))))</f>
        <v>Обеспечение качества и доступности образовательных услуг в сфере общего образования</v>
      </c>
      <c r="B262" s="117"/>
      <c r="C262" s="112"/>
      <c r="D262" s="113" t="s">
        <v>495</v>
      </c>
      <c r="E262" s="112"/>
      <c r="F262" s="114"/>
      <c r="G262" s="385"/>
      <c r="H262" s="385">
        <f>H263+H265+H267+H269+H271</f>
        <v>374080578</v>
      </c>
      <c r="I262" s="385">
        <f t="shared" ref="I262:L262" si="179">I263+I265+I267+I269+I271</f>
        <v>374080578</v>
      </c>
      <c r="J262" s="385"/>
      <c r="K262" s="385">
        <f t="shared" si="179"/>
        <v>402907834</v>
      </c>
      <c r="L262" s="385">
        <f t="shared" si="179"/>
        <v>402907834</v>
      </c>
    </row>
    <row r="263" spans="1:12" ht="31.5" x14ac:dyDescent="0.2">
      <c r="A263" s="116" t="str">
        <f>IF(B263&gt;0,VLOOKUP(B263,КВСР!A94:B1259,2),IF(C263&gt;0,VLOOKUP(C263,КФСР!A94:B1606,2),IF(D263&gt;0,VLOOKUP(D263,Программа!A$1:B$5110,2),IF(F263&gt;0,VLOOKUP(F263,КВР!A$1:B$5001,2),IF(E263&gt;0,VLOOKUP(E263,Направление!A$1:B$4783,2))))))</f>
        <v>Обеспечение деятельности общеобразовательных учреждений</v>
      </c>
      <c r="B263" s="117"/>
      <c r="C263" s="112"/>
      <c r="D263" s="113"/>
      <c r="E263" s="112">
        <v>13110</v>
      </c>
      <c r="F263" s="114"/>
      <c r="G263" s="385"/>
      <c r="H263" s="385">
        <f t="shared" ref="H263" si="180">H264</f>
        <v>45251410</v>
      </c>
      <c r="I263" s="385">
        <f t="shared" si="10"/>
        <v>45251410</v>
      </c>
      <c r="J263" s="385"/>
      <c r="K263" s="295">
        <f t="shared" ref="K263" si="181">K264</f>
        <v>34651410</v>
      </c>
      <c r="L263" s="295">
        <f t="shared" si="11"/>
        <v>34651410</v>
      </c>
    </row>
    <row r="264" spans="1:12" ht="47.25" x14ac:dyDescent="0.2">
      <c r="A264" s="116" t="str">
        <f>IF(B264&gt;0,VLOOKUP(B264,КВСР!A96:B1261,2),IF(C264&gt;0,VLOOKUP(C264,КФСР!A96:B1608,2),IF(D264&gt;0,VLOOKUP(D264,Программа!A$1:B$5110,2),IF(F264&gt;0,VLOOKUP(F264,КВР!A$1:B$5001,2),IF(E264&gt;0,VLOOKUP(E264,Направление!A$1:B$4783,2))))))</f>
        <v>Предоставление субсидий бюджетным, автономным учреждениям и иным некоммерческим организациям</v>
      </c>
      <c r="B264" s="123"/>
      <c r="C264" s="124"/>
      <c r="D264" s="126"/>
      <c r="E264" s="124"/>
      <c r="F264" s="125">
        <v>600</v>
      </c>
      <c r="G264" s="385"/>
      <c r="H264" s="385">
        <f>100000+39189410+132000+30000+300000+500000+5000000</f>
        <v>45251410</v>
      </c>
      <c r="I264" s="385">
        <f t="shared" si="10"/>
        <v>45251410</v>
      </c>
      <c r="J264" s="385"/>
      <c r="K264" s="295">
        <f>132000+34489410+30000</f>
        <v>34651410</v>
      </c>
      <c r="L264" s="295">
        <f t="shared" si="11"/>
        <v>34651410</v>
      </c>
    </row>
    <row r="265" spans="1:12" ht="78.75" hidden="1" x14ac:dyDescent="0.2">
      <c r="A265" s="116" t="str">
        <f>IF(B265&gt;0,VLOOKUP(B265,КВСР!A100:B1265,2),IF(C265&gt;0,VLOOKUP(C265,КФСР!A100:B1612,2),IF(D265&gt;0,VLOOKUP(D265,Программа!A$1:B$5110,2),IF(F265&gt;0,VLOOKUP(F265,КВР!A$1:B$5001,2),IF(E265&gt;0,VLOOKUP(E265,Направление!A$1:B$4783,2))))))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3"/>
      <c r="C265" s="124"/>
      <c r="D265" s="113"/>
      <c r="E265" s="112">
        <v>53031</v>
      </c>
      <c r="F265" s="125"/>
      <c r="G265" s="385"/>
      <c r="H265" s="385">
        <f t="shared" ref="H265" si="182">H266</f>
        <v>0</v>
      </c>
      <c r="I265" s="385">
        <f t="shared" si="10"/>
        <v>0</v>
      </c>
      <c r="J265" s="385"/>
      <c r="K265" s="295">
        <f t="shared" ref="K265" si="183">K266</f>
        <v>0</v>
      </c>
      <c r="L265" s="295">
        <f t="shared" si="11"/>
        <v>0</v>
      </c>
    </row>
    <row r="266" spans="1:12" ht="47.25" hidden="1" x14ac:dyDescent="0.2">
      <c r="A266" s="116" t="str">
        <f>IF(B266&gt;0,VLOOKUP(B266,КВСР!A101:B1266,2),IF(C266&gt;0,VLOOKUP(C266,КФСР!A101:B1613,2),IF(D266&gt;0,VLOOKUP(D266,Программа!A$1:B$5110,2),IF(F266&gt;0,VLOOKUP(F266,КВР!A$1:B$5001,2),IF(E266&gt;0,VLOOKUP(E266,Направление!A$1:B$4783,2))))))</f>
        <v>Предоставление субсидий бюджетным, автономным учреждениям и иным некоммерческим организациям</v>
      </c>
      <c r="B266" s="123"/>
      <c r="C266" s="124"/>
      <c r="D266" s="126"/>
      <c r="E266" s="124"/>
      <c r="F266" s="125">
        <v>600</v>
      </c>
      <c r="G266" s="385"/>
      <c r="H266" s="385"/>
      <c r="I266" s="385">
        <f t="shared" si="10"/>
        <v>0</v>
      </c>
      <c r="J266" s="385"/>
      <c r="K266" s="295"/>
      <c r="L266" s="295">
        <f t="shared" si="11"/>
        <v>0</v>
      </c>
    </row>
    <row r="267" spans="1:12" ht="47.25" x14ac:dyDescent="0.2">
      <c r="A267" s="116" t="str">
        <f>IF(B267&gt;0,VLOOKUP(B267,КВСР!A102:B1267,2),IF(C267&gt;0,VLOOKUP(C267,КФСР!A102:B1614,2),IF(D267&gt;0,VLOOKUP(D267,Программа!A$1:B$5110,2),IF(F267&gt;0,VLOOKUP(F267,КВР!A$1:B$5001,2),IF(E267&gt;0,VLOOKUP(E267,Направление!A$1:B$4783,2))))))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67" s="123"/>
      <c r="C267" s="124"/>
      <c r="D267" s="126"/>
      <c r="E267" s="124">
        <v>70520</v>
      </c>
      <c r="F267" s="125"/>
      <c r="G267" s="385"/>
      <c r="H267" s="385">
        <f t="shared" ref="H267" si="184">H268</f>
        <v>302235655</v>
      </c>
      <c r="I267" s="385">
        <f t="shared" si="10"/>
        <v>302235655</v>
      </c>
      <c r="J267" s="385"/>
      <c r="K267" s="295">
        <f t="shared" ref="K267" si="185">K268</f>
        <v>341662911</v>
      </c>
      <c r="L267" s="295">
        <f t="shared" si="11"/>
        <v>341662911</v>
      </c>
    </row>
    <row r="268" spans="1:12" ht="47.25" x14ac:dyDescent="0.2">
      <c r="A268" s="116" t="str">
        <f>IF(B268&gt;0,VLOOKUP(B268,КВСР!A103:B1268,2),IF(C268&gt;0,VLOOKUP(C268,КФСР!A103:B1615,2),IF(D268&gt;0,VLOOKUP(D268,Программа!A$1:B$5110,2),IF(F268&gt;0,VLOOKUP(F268,КВР!A$1:B$5001,2),IF(E268&gt;0,VLOOKUP(E268,Направление!A$1:B$4783,2))))))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6"/>
      <c r="E268" s="124"/>
      <c r="F268" s="125">
        <v>600</v>
      </c>
      <c r="G268" s="385"/>
      <c r="H268" s="385">
        <v>302235655</v>
      </c>
      <c r="I268" s="385">
        <f t="shared" si="10"/>
        <v>302235655</v>
      </c>
      <c r="J268" s="385"/>
      <c r="K268" s="295">
        <v>341662911</v>
      </c>
      <c r="L268" s="295">
        <f t="shared" si="11"/>
        <v>341662911</v>
      </c>
    </row>
    <row r="269" spans="1:12" ht="63" x14ac:dyDescent="0.2">
      <c r="A269" s="116" t="str">
        <f>IF(B269&gt;0,VLOOKUP(B269,КВСР!A109:B1274,2),IF(C269&gt;0,VLOOKUP(C269,КФСР!A109:B1621,2),IF(D269&gt;0,VLOOKUP(D269,Программа!A$1:B$5110,2),IF(F269&gt;0,VLOOKUP(F269,КВР!A$1:B$5001,2),IF(E269&gt;0,VLOOKUP(E269,Направление!A$1:B$4783,2))))))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3"/>
      <c r="C269" s="124"/>
      <c r="D269" s="126"/>
      <c r="E269" s="124">
        <v>70530</v>
      </c>
      <c r="F269" s="125"/>
      <c r="G269" s="385"/>
      <c r="H269" s="385">
        <f t="shared" ref="H269" si="186">H270</f>
        <v>18445281</v>
      </c>
      <c r="I269" s="385">
        <f t="shared" si="10"/>
        <v>18445281</v>
      </c>
      <c r="J269" s="385"/>
      <c r="K269" s="295">
        <f t="shared" ref="K269" si="187">K270</f>
        <v>18445281</v>
      </c>
      <c r="L269" s="295">
        <f t="shared" si="11"/>
        <v>18445281</v>
      </c>
    </row>
    <row r="270" spans="1:12" ht="47.25" x14ac:dyDescent="0.2">
      <c r="A270" s="116" t="str">
        <f>IF(B270&gt;0,VLOOKUP(B270,КВСР!A110:B1275,2),IF(C270&gt;0,VLOOKUP(C270,КФСР!A110:B1622,2),IF(D270&gt;0,VLOOKUP(D270,Программа!A$1:B$5110,2),IF(F270&gt;0,VLOOKUP(F270,КВР!A$1:B$5001,2),IF(E270&gt;0,VLOOKUP(E270,Направление!A$1:B$4783,2))))))</f>
        <v>Предоставление субсидий бюджетным, автономным учреждениям и иным некоммерческим организациям</v>
      </c>
      <c r="B270" s="123"/>
      <c r="C270" s="124"/>
      <c r="D270" s="126"/>
      <c r="E270" s="124"/>
      <c r="F270" s="125">
        <v>600</v>
      </c>
      <c r="G270" s="385"/>
      <c r="H270" s="385">
        <v>18445281</v>
      </c>
      <c r="I270" s="385">
        <f t="shared" si="10"/>
        <v>18445281</v>
      </c>
      <c r="J270" s="385"/>
      <c r="K270" s="295">
        <v>18445281</v>
      </c>
      <c r="L270" s="295">
        <f t="shared" si="11"/>
        <v>18445281</v>
      </c>
    </row>
    <row r="271" spans="1:12" ht="78.75" x14ac:dyDescent="0.2">
      <c r="A271" s="116" t="str">
        <f>IF(B271&gt;0,VLOOKUP(B271,КВСР!A111:B1276,2),IF(C271&gt;0,VLOOKUP(C271,КФСР!A111:B1623,2),IF(D271&gt;0,VLOOKUP(D271,Программа!A$1:B$5110,2),IF(F271&gt;0,VLOOKUP(F271,КВР!A$1:B$5001,2),IF(E271&gt;0,VLOOKUP(E271,Направление!A$1:B$4783,2))))))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3"/>
      <c r="C271" s="124"/>
      <c r="D271" s="126"/>
      <c r="E271" s="124" t="s">
        <v>1822</v>
      </c>
      <c r="F271" s="125"/>
      <c r="G271" s="385"/>
      <c r="H271" s="385">
        <f t="shared" ref="H271:L271" si="188">H272</f>
        <v>8148232</v>
      </c>
      <c r="I271" s="385">
        <f t="shared" si="188"/>
        <v>8148232</v>
      </c>
      <c r="J271" s="385"/>
      <c r="K271" s="385">
        <f t="shared" si="188"/>
        <v>8148232</v>
      </c>
      <c r="L271" s="385">
        <f t="shared" si="188"/>
        <v>8148232</v>
      </c>
    </row>
    <row r="272" spans="1:12" ht="47.25" x14ac:dyDescent="0.2">
      <c r="A272" s="116" t="str">
        <f>IF(B272&gt;0,VLOOKUP(B272,КВСР!A112:B1277,2),IF(C272&gt;0,VLOOKUP(C272,КФСР!A112:B1624,2),IF(D272&gt;0,VLOOKUP(D272,Программа!A$1:B$5110,2),IF(F272&gt;0,VLOOKUP(F272,КВР!A$1:B$5001,2),IF(E272&gt;0,VLOOKUP(E272,Направление!A$1:B$4783,2))))))</f>
        <v>Предоставление субсидий бюджетным, автономным учреждениям и иным некоммерческим организациям</v>
      </c>
      <c r="B272" s="123"/>
      <c r="C272" s="124"/>
      <c r="D272" s="126"/>
      <c r="E272" s="124"/>
      <c r="F272" s="125">
        <v>600</v>
      </c>
      <c r="G272" s="385"/>
      <c r="H272" s="385">
        <v>8148232</v>
      </c>
      <c r="I272" s="385">
        <f t="shared" si="10"/>
        <v>8148232</v>
      </c>
      <c r="J272" s="385"/>
      <c r="K272" s="295">
        <v>8148232</v>
      </c>
      <c r="L272" s="295">
        <f t="shared" si="11"/>
        <v>8148232</v>
      </c>
    </row>
    <row r="273" spans="1:12" ht="31.5" x14ac:dyDescent="0.2">
      <c r="A273" s="116" t="str">
        <f>IF(B273&gt;0,VLOOKUP(B273,КВСР!A113:B1278,2),IF(C273&gt;0,VLOOKUP(C273,КФСР!A113:B1625,2),IF(D273&gt;0,VLOOKUP(D273,Программа!A$1:B$5110,2),IF(F273&gt;0,VLOOKUP(F273,КВР!A$1:B$5001,2),IF(E273&gt;0,VLOOKUP(E273,Направление!A$1:B$4783,2))))))</f>
        <v>Федеральный проект "Успех каждого ребенка"</v>
      </c>
      <c r="B273" s="123"/>
      <c r="C273" s="124"/>
      <c r="D273" s="126" t="s">
        <v>1700</v>
      </c>
      <c r="E273" s="124"/>
      <c r="F273" s="125"/>
      <c r="G273" s="385"/>
      <c r="H273" s="385">
        <f>H274</f>
        <v>0</v>
      </c>
      <c r="I273" s="385">
        <f t="shared" ref="I273:L274" si="189">I274</f>
        <v>0</v>
      </c>
      <c r="J273" s="385">
        <f t="shared" si="189"/>
        <v>0</v>
      </c>
      <c r="K273" s="385">
        <f t="shared" si="189"/>
        <v>1608883</v>
      </c>
      <c r="L273" s="385">
        <f t="shared" si="189"/>
        <v>1608883</v>
      </c>
    </row>
    <row r="274" spans="1:12" ht="78.75" x14ac:dyDescent="0.2">
      <c r="A274" s="116" t="str">
        <f>IF(B274&gt;0,VLOOKUP(B274,КВСР!A114:B1279,2),IF(C274&gt;0,VLOOKUP(C274,КФСР!A114:B1626,2),IF(D274&gt;0,VLOOKUP(D274,Программа!A$1:B$5110,2),IF(F274&gt;0,VLOOKUP(F274,КВР!A$1:B$5001,2),IF(E274&gt;0,VLOOKUP(E274,Направление!A$1:B$4783,2))))))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3"/>
      <c r="C274" s="124"/>
      <c r="D274" s="126"/>
      <c r="E274" s="124">
        <v>50970</v>
      </c>
      <c r="F274" s="125"/>
      <c r="G274" s="385"/>
      <c r="H274" s="385">
        <f>H275</f>
        <v>0</v>
      </c>
      <c r="I274" s="385">
        <f t="shared" si="189"/>
        <v>0</v>
      </c>
      <c r="J274" s="385">
        <f t="shared" si="189"/>
        <v>0</v>
      </c>
      <c r="K274" s="385">
        <f t="shared" si="189"/>
        <v>1608883</v>
      </c>
      <c r="L274" s="385">
        <f t="shared" si="189"/>
        <v>1608883</v>
      </c>
    </row>
    <row r="275" spans="1:12" ht="47.25" x14ac:dyDescent="0.2">
      <c r="A275" s="116" t="str">
        <f>IF(B275&gt;0,VLOOKUP(B275,КВСР!A115:B1280,2),IF(C275&gt;0,VLOOKUP(C275,КФСР!A115:B1627,2),IF(D275&gt;0,VLOOKUP(D275,Программа!A$1:B$5110,2),IF(F275&gt;0,VLOOKUP(F275,КВР!A$1:B$5001,2),IF(E275&gt;0,VLOOKUP(E275,Направление!A$1:B$4783,2))))))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6"/>
      <c r="E275" s="124"/>
      <c r="F275" s="125">
        <v>600</v>
      </c>
      <c r="G275" s="385"/>
      <c r="H275" s="385">
        <v>0</v>
      </c>
      <c r="I275" s="385">
        <f>G275+H275</f>
        <v>0</v>
      </c>
      <c r="J275" s="385"/>
      <c r="K275" s="295">
        <v>1608883</v>
      </c>
      <c r="L275" s="295">
        <f>J275+K275</f>
        <v>1608883</v>
      </c>
    </row>
    <row r="276" spans="1:12" ht="15.75" x14ac:dyDescent="0.2">
      <c r="A276" s="116" t="str">
        <f>IF(B276&gt;0,VLOOKUP(B276,КВСР!A111:B1276,2),IF(C276&gt;0,VLOOKUP(C276,КФСР!A111:B1623,2),IF(D276&gt;0,VLOOKUP(D276,Программа!A$1:B$5110,2),IF(F276&gt;0,VLOOKUP(F276,КВР!A$1:B$5001,2),IF(E276&gt;0,VLOOKUP(E276,Направление!A$1:B$4783,2))))))</f>
        <v>Дополнительное образование детей</v>
      </c>
      <c r="B276" s="123"/>
      <c r="C276" s="124">
        <v>703</v>
      </c>
      <c r="D276" s="125"/>
      <c r="E276" s="124"/>
      <c r="F276" s="125"/>
      <c r="G276" s="385"/>
      <c r="H276" s="385">
        <f t="shared" ref="H276:H278" si="190">H277</f>
        <v>35798429</v>
      </c>
      <c r="I276" s="385">
        <f t="shared" si="10"/>
        <v>35798429</v>
      </c>
      <c r="J276" s="385"/>
      <c r="K276" s="295">
        <f t="shared" ref="K276:K278" si="191">K277</f>
        <v>30698429</v>
      </c>
      <c r="L276" s="295">
        <f t="shared" si="11"/>
        <v>30698429</v>
      </c>
    </row>
    <row r="277" spans="1:12" ht="63" x14ac:dyDescent="0.2">
      <c r="A277" s="116" t="str">
        <f>IF(B277&gt;0,VLOOKUP(B277,КВСР!A112:B1277,2),IF(C277&gt;0,VLOOKUP(C277,КФСР!A112:B1624,2),IF(D277&gt;0,VLOOKUP(D277,Программа!A$1:B$5110,2),IF(F277&gt;0,VLOOKUP(F277,КВР!A$1:B$5001,2),IF(E277&gt;0,VLOOKUP(E277,Направление!A$1:B$4783,2))))))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77" s="123"/>
      <c r="C277" s="124"/>
      <c r="D277" s="113" t="s">
        <v>452</v>
      </c>
      <c r="E277" s="124"/>
      <c r="F277" s="125"/>
      <c r="G277" s="385"/>
      <c r="H277" s="385">
        <f t="shared" si="190"/>
        <v>35798429</v>
      </c>
      <c r="I277" s="385">
        <f t="shared" si="10"/>
        <v>35798429</v>
      </c>
      <c r="J277" s="385"/>
      <c r="K277" s="295">
        <f t="shared" si="191"/>
        <v>30698429</v>
      </c>
      <c r="L277" s="295">
        <f t="shared" si="11"/>
        <v>30698429</v>
      </c>
    </row>
    <row r="278" spans="1:12" ht="63" x14ac:dyDescent="0.2">
      <c r="A278" s="116" t="str">
        <f>IF(B278&gt;0,VLOOKUP(B278,КВСР!A113:B1278,2),IF(C278&gt;0,VLOOKUP(C278,КФСР!A113:B1625,2),IF(D278&gt;0,VLOOKUP(D278,Программа!A$1:B$5110,2),IF(F278&gt;0,VLOOKUP(F278,КВР!A$1:B$5001,2),IF(E278&gt;0,VLOOKUP(E278,Направление!A$1:B$4783,2))))))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3"/>
      <c r="C278" s="124"/>
      <c r="D278" s="113" t="s">
        <v>454</v>
      </c>
      <c r="E278" s="124"/>
      <c r="F278" s="125"/>
      <c r="G278" s="385"/>
      <c r="H278" s="385">
        <f t="shared" si="190"/>
        <v>35798429</v>
      </c>
      <c r="I278" s="385">
        <f t="shared" si="10"/>
        <v>35798429</v>
      </c>
      <c r="J278" s="385"/>
      <c r="K278" s="295">
        <f t="shared" si="191"/>
        <v>30698429</v>
      </c>
      <c r="L278" s="295">
        <f t="shared" si="11"/>
        <v>30698429</v>
      </c>
    </row>
    <row r="279" spans="1:12" ht="47.25" x14ac:dyDescent="0.2">
      <c r="A279" s="116" t="str">
        <f>IF(B279&gt;0,VLOOKUP(B279,КВСР!A114:B1279,2),IF(C279&gt;0,VLOOKUP(C279,КФСР!A114:B1626,2),IF(D279&gt;0,VLOOKUP(D279,Программа!A$1:B$5110,2),IF(F279&gt;0,VLOOKUP(F279,КВР!A$1:B$5001,2),IF(E279&gt;0,VLOOKUP(E279,Направление!A$1:B$4783,2))))))</f>
        <v>Обеспечение качества и доступности образовательных услуг в сфере дополнительного образования</v>
      </c>
      <c r="B279" s="123"/>
      <c r="C279" s="124"/>
      <c r="D279" s="126" t="s">
        <v>518</v>
      </c>
      <c r="E279" s="124"/>
      <c r="F279" s="125"/>
      <c r="G279" s="385"/>
      <c r="H279" s="385">
        <f>H283+H280+H287</f>
        <v>35798429</v>
      </c>
      <c r="I279" s="385">
        <f t="shared" ref="I279:L279" si="192">I283+I280+I287</f>
        <v>35798429</v>
      </c>
      <c r="J279" s="385">
        <f t="shared" si="192"/>
        <v>0</v>
      </c>
      <c r="K279" s="385">
        <f t="shared" si="192"/>
        <v>30698429</v>
      </c>
      <c r="L279" s="385">
        <f t="shared" si="192"/>
        <v>30698429</v>
      </c>
    </row>
    <row r="280" spans="1:12" ht="31.5" x14ac:dyDescent="0.2">
      <c r="A280" s="116" t="str">
        <f>IF(B280&gt;0,VLOOKUP(B280,КВСР!A115:B1280,2),IF(C280&gt;0,VLOOKUP(C280,КФСР!A115:B1627,2),IF(D280&gt;0,VLOOKUP(D280,Программа!A$1:B$5110,2),IF(F280&gt;0,VLOOKUP(F280,КВР!A$1:B$5001,2),IF(E280&gt;0,VLOOKUP(E280,Направление!A$1:B$4783,2))))))</f>
        <v>Обеспечение деятельности дошкольных учреждений</v>
      </c>
      <c r="B280" s="123"/>
      <c r="C280" s="124"/>
      <c r="D280" s="126"/>
      <c r="E280" s="124">
        <v>13010</v>
      </c>
      <c r="F280" s="125"/>
      <c r="G280" s="385"/>
      <c r="H280" s="385">
        <f>H281+H282</f>
        <v>1700000</v>
      </c>
      <c r="I280" s="385">
        <f t="shared" ref="I280:L280" si="193">I281+I282</f>
        <v>1700000</v>
      </c>
      <c r="J280" s="385">
        <f t="shared" si="193"/>
        <v>0</v>
      </c>
      <c r="K280" s="385">
        <f t="shared" si="193"/>
        <v>1700000</v>
      </c>
      <c r="L280" s="385">
        <f t="shared" si="193"/>
        <v>1700000</v>
      </c>
    </row>
    <row r="281" spans="1:12" ht="110.25" x14ac:dyDescent="0.2">
      <c r="A281" s="116" t="str">
        <f>IF(B281&gt;0,VLOOKUP(B281,КВСР!A116:B1281,2),IF(C281&gt;0,VLOOKUP(C281,КФСР!A116:B1628,2),IF(D281&gt;0,VLOOKUP(D281,Программа!A$1:B$5110,2),IF(F281&gt;0,VLOOKUP(F281,КВР!A$1:B$5001,2),IF(E281&gt;0,VLOOKUP(E281,Направление!A$1:B$4783,2))))))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3"/>
      <c r="C281" s="124"/>
      <c r="D281" s="126"/>
      <c r="E281" s="124"/>
      <c r="F281" s="125">
        <v>100</v>
      </c>
      <c r="G281" s="385"/>
      <c r="H281" s="385">
        <v>94760</v>
      </c>
      <c r="I281" s="385">
        <f>H281+G281</f>
        <v>94760</v>
      </c>
      <c r="J281" s="385"/>
      <c r="K281" s="295">
        <v>94760</v>
      </c>
      <c r="L281" s="385">
        <f>K281+J281</f>
        <v>94760</v>
      </c>
    </row>
    <row r="282" spans="1:12" ht="63" x14ac:dyDescent="0.2">
      <c r="A282" s="116" t="str">
        <f>IF(B282&gt;0,VLOOKUP(B282,КВСР!A117:B1282,2),IF(C282&gt;0,VLOOKUP(C282,КФСР!A117:B1629,2),IF(D282&gt;0,VLOOKUP(D282,Программа!A$1:B$5110,2),IF(F282&gt;0,VLOOKUP(F282,КВР!A$1:B$5001,2),IF(E282&gt;0,VLOOKUP(E282,Направление!A$1:B$4783,2))))))</f>
        <v xml:space="preserve">Закупка товаров, работ и услуг для обеспечения государственных (муниципальных) нужд
</v>
      </c>
      <c r="B282" s="123"/>
      <c r="C282" s="124"/>
      <c r="D282" s="126"/>
      <c r="E282" s="124"/>
      <c r="F282" s="125">
        <v>200</v>
      </c>
      <c r="G282" s="385"/>
      <c r="H282" s="385">
        <v>1605240</v>
      </c>
      <c r="I282" s="385">
        <f>H282+G282</f>
        <v>1605240</v>
      </c>
      <c r="J282" s="385"/>
      <c r="K282" s="295">
        <v>1605240</v>
      </c>
      <c r="L282" s="385">
        <f>K282+J282</f>
        <v>1605240</v>
      </c>
    </row>
    <row r="283" spans="1:12" ht="31.5" x14ac:dyDescent="0.2">
      <c r="A283" s="116" t="str">
        <f>IF(B283&gt;0,VLOOKUP(B283,КВСР!A115:B1280,2),IF(C283&gt;0,VLOOKUP(C283,КФСР!A115:B1627,2),IF(D283&gt;0,VLOOKUP(D283,Программа!A$1:B$5110,2),IF(F283&gt;0,VLOOKUP(F283,КВР!A$1:B$5001,2),IF(E283&gt;0,VLOOKUP(E283,Направление!A$1:B$4783,2))))))</f>
        <v>Обеспечение деятельности учреждений дополнительного образования</v>
      </c>
      <c r="B283" s="123"/>
      <c r="C283" s="124"/>
      <c r="D283" s="125"/>
      <c r="E283" s="124">
        <v>13210</v>
      </c>
      <c r="F283" s="125"/>
      <c r="G283" s="385"/>
      <c r="H283" s="385">
        <f>H286+H284+H285</f>
        <v>33698429</v>
      </c>
      <c r="I283" s="385">
        <f t="shared" ref="I283:L283" si="194">I286+I284+I285</f>
        <v>33698429</v>
      </c>
      <c r="J283" s="385"/>
      <c r="K283" s="385">
        <f t="shared" si="194"/>
        <v>28698429</v>
      </c>
      <c r="L283" s="385">
        <f t="shared" si="194"/>
        <v>28698429</v>
      </c>
    </row>
    <row r="284" spans="1:12" ht="110.25" hidden="1" x14ac:dyDescent="0.2">
      <c r="A284" s="116" t="str">
        <f>IF(B284&gt;0,VLOOKUP(B284,КВСР!A116:B1281,2),IF(C284&gt;0,VLOOKUP(C284,КФСР!A116:B1628,2),IF(D284&gt;0,VLOOKUP(D284,Программа!A$1:B$5110,2),IF(F284&gt;0,VLOOKUP(F284,КВР!A$1:B$5001,2),IF(E284&gt;0,VLOOKUP(E284,Направление!A$1:B$4783,2))))))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3"/>
      <c r="C284" s="124"/>
      <c r="D284" s="125"/>
      <c r="E284" s="124"/>
      <c r="F284" s="125">
        <v>100</v>
      </c>
      <c r="G284" s="385"/>
      <c r="H284" s="385"/>
      <c r="I284" s="385">
        <f>G284+H284</f>
        <v>0</v>
      </c>
      <c r="J284" s="385"/>
      <c r="K284" s="295"/>
      <c r="L284" s="295">
        <f t="shared" ref="L284:L366" si="195">SUM(J284:K284)</f>
        <v>0</v>
      </c>
    </row>
    <row r="285" spans="1:12" ht="63" hidden="1" x14ac:dyDescent="0.2">
      <c r="A285" s="116" t="str">
        <f>IF(B285&gt;0,VLOOKUP(B285,КВСР!A117:B1282,2),IF(C285&gt;0,VLOOKUP(C285,КФСР!A117:B1629,2),IF(D285&gt;0,VLOOKUP(D285,Программа!A$1:B$5110,2),IF(F285&gt;0,VLOOKUP(F285,КВР!A$1:B$5001,2),IF(E285&gt;0,VLOOKUP(E285,Направление!A$1:B$4783,2))))))</f>
        <v xml:space="preserve">Закупка товаров, работ и услуг для обеспечения государственных (муниципальных) нужд
</v>
      </c>
      <c r="B285" s="123"/>
      <c r="C285" s="124"/>
      <c r="D285" s="125"/>
      <c r="E285" s="124"/>
      <c r="F285" s="125">
        <v>200</v>
      </c>
      <c r="G285" s="385"/>
      <c r="H285" s="385"/>
      <c r="I285" s="385">
        <f>G285+H285</f>
        <v>0</v>
      </c>
      <c r="J285" s="385"/>
      <c r="K285" s="295"/>
      <c r="L285" s="295">
        <f t="shared" si="195"/>
        <v>0</v>
      </c>
    </row>
    <row r="286" spans="1:12" ht="47.25" x14ac:dyDescent="0.2">
      <c r="A286" s="116" t="str">
        <f>IF(B286&gt;0,VLOOKUP(B286,КВСР!A116:B1281,2),IF(C286&gt;0,VLOOKUP(C286,КФСР!A116:B1628,2),IF(D286&gt;0,VLOOKUP(D286,Программа!A$1:B$5110,2),IF(F286&gt;0,VLOOKUP(F286,КВР!A$1:B$5001,2),IF(E286&gt;0,VLOOKUP(E286,Направление!A$1:B$4783,2))))))</f>
        <v>Предоставление субсидий бюджетным, автономным учреждениям и иным некоммерческим организациям</v>
      </c>
      <c r="B286" s="123"/>
      <c r="C286" s="124"/>
      <c r="D286" s="125"/>
      <c r="E286" s="124"/>
      <c r="F286" s="125">
        <v>600</v>
      </c>
      <c r="G286" s="385"/>
      <c r="H286" s="385">
        <f>8698429+25000000</f>
        <v>33698429</v>
      </c>
      <c r="I286" s="385">
        <f t="shared" ref="I286:I366" si="196">SUM(G286:H286)</f>
        <v>33698429</v>
      </c>
      <c r="J286" s="385"/>
      <c r="K286" s="295">
        <f>28698429</f>
        <v>28698429</v>
      </c>
      <c r="L286" s="295">
        <f t="shared" si="195"/>
        <v>28698429</v>
      </c>
    </row>
    <row r="287" spans="1:12" ht="31.5" x14ac:dyDescent="0.2">
      <c r="A287" s="116" t="str">
        <f>IF(B287&gt;0,VLOOKUP(B287,КВСР!A117:B1282,2),IF(C287&gt;0,VLOOKUP(C287,КФСР!A117:B1629,2),IF(D287&gt;0,VLOOKUP(D287,Программа!A$1:B$5110,2),IF(F287&gt;0,VLOOKUP(F287,КВР!A$1:B$5001,2),IF(E287&gt;0,VLOOKUP(E287,Направление!A$1:B$4783,2))))))</f>
        <v>Обеспечение деятельности прочих учреждений в сфере образования</v>
      </c>
      <c r="B287" s="123"/>
      <c r="C287" s="124"/>
      <c r="D287" s="125"/>
      <c r="E287" s="124">
        <v>13310</v>
      </c>
      <c r="F287" s="125"/>
      <c r="G287" s="385">
        <f>G288</f>
        <v>0</v>
      </c>
      <c r="H287" s="385">
        <f t="shared" ref="H287:L287" si="197">H288</f>
        <v>400000</v>
      </c>
      <c r="I287" s="385">
        <f t="shared" si="197"/>
        <v>400000</v>
      </c>
      <c r="J287" s="385">
        <f t="shared" si="197"/>
        <v>0</v>
      </c>
      <c r="K287" s="385">
        <f t="shared" si="197"/>
        <v>300000</v>
      </c>
      <c r="L287" s="385">
        <f t="shared" si="197"/>
        <v>300000</v>
      </c>
    </row>
    <row r="288" spans="1:12" ht="47.25" x14ac:dyDescent="0.2">
      <c r="A288" s="116" t="str">
        <f>IF(B288&gt;0,VLOOKUP(B288,КВСР!A118:B1283,2),IF(C288&gt;0,VLOOKUP(C288,КФСР!A118:B1630,2),IF(D288&gt;0,VLOOKUP(D288,Программа!A$1:B$5110,2),IF(F288&gt;0,VLOOKUP(F288,КВР!A$1:B$5001,2),IF(E288&gt;0,VLOOKUP(E288,Направление!A$1:B$4783,2))))))</f>
        <v>Предоставление субсидий бюджетным, автономным учреждениям и иным некоммерческим организациям</v>
      </c>
      <c r="B288" s="123"/>
      <c r="C288" s="124"/>
      <c r="D288" s="125"/>
      <c r="E288" s="124"/>
      <c r="F288" s="125">
        <v>600</v>
      </c>
      <c r="G288" s="385"/>
      <c r="H288" s="385">
        <v>400000</v>
      </c>
      <c r="I288" s="385">
        <f>G288+H288</f>
        <v>400000</v>
      </c>
      <c r="J288" s="385"/>
      <c r="K288" s="295">
        <v>300000</v>
      </c>
      <c r="L288" s="295">
        <f>J288+K288</f>
        <v>300000</v>
      </c>
    </row>
    <row r="289" spans="1:12" ht="47.25" hidden="1" x14ac:dyDescent="0.2">
      <c r="A289" s="116" t="str">
        <f>IF(B289&gt;0,VLOOKUP(B289,КВСР!A117:B1282,2),IF(C289&gt;0,VLOOKUP(C289,КФСР!A117:B1629,2),IF(D289&gt;0,VLOOKUP(D289,Программа!A$1:B$5110,2),IF(F289&gt;0,VLOOKUP(F289,КВР!A$1:B$5001,2),IF(E289&gt;0,VLOOKUP(E289,Направление!A$1:B$4783,2))))))</f>
        <v>Профессиональная подготовка, переподготовка и повышение квалификации</v>
      </c>
      <c r="B289" s="123"/>
      <c r="C289" s="124">
        <v>705</v>
      </c>
      <c r="D289" s="125"/>
      <c r="E289" s="124"/>
      <c r="F289" s="125"/>
      <c r="G289" s="385"/>
      <c r="H289" s="385">
        <f t="shared" ref="H289:L293" si="198">H290</f>
        <v>0</v>
      </c>
      <c r="I289" s="385">
        <f t="shared" si="198"/>
        <v>0</v>
      </c>
      <c r="J289" s="385"/>
      <c r="K289" s="295">
        <f t="shared" si="198"/>
        <v>0</v>
      </c>
      <c r="L289" s="295">
        <f t="shared" si="198"/>
        <v>0</v>
      </c>
    </row>
    <row r="290" spans="1:12" ht="63" hidden="1" x14ac:dyDescent="0.2">
      <c r="A290" s="116" t="str">
        <f>IF(B290&gt;0,VLOOKUP(B290,КВСР!A118:B1283,2),IF(C290&gt;0,VLOOKUP(C290,КФСР!A118:B1630,2),IF(D290&gt;0,VLOOKUP(D290,Программа!A$1:B$5110,2),IF(F290&gt;0,VLOOKUP(F290,КВР!A$1:B$5001,2),IF(E290&gt;0,VLOOKUP(E290,Направление!A$1:B$4783,2))))))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0" s="123"/>
      <c r="C290" s="124"/>
      <c r="D290" s="126" t="s">
        <v>452</v>
      </c>
      <c r="E290" s="126"/>
      <c r="F290" s="126"/>
      <c r="G290" s="385"/>
      <c r="H290" s="385">
        <f t="shared" si="198"/>
        <v>0</v>
      </c>
      <c r="I290" s="385">
        <f t="shared" si="198"/>
        <v>0</v>
      </c>
      <c r="J290" s="385"/>
      <c r="K290" s="295">
        <f t="shared" si="198"/>
        <v>0</v>
      </c>
      <c r="L290" s="295">
        <f t="shared" si="198"/>
        <v>0</v>
      </c>
    </row>
    <row r="291" spans="1:12" ht="63" hidden="1" x14ac:dyDescent="0.2">
      <c r="A291" s="116" t="str">
        <f>IF(B291&gt;0,VLOOKUP(B291,КВСР!A119:B1284,2),IF(C291&gt;0,VLOOKUP(C291,КФСР!A119:B1631,2),IF(D291&gt;0,VLOOKUP(D291,Программа!A$1:B$5110,2),IF(F291&gt;0,VLOOKUP(F291,КВР!A$1:B$5001,2),IF(E291&gt;0,VLOOKUP(E291,Направление!A$1:B$4783,2))))))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3"/>
      <c r="C291" s="124"/>
      <c r="D291" s="126" t="s">
        <v>454</v>
      </c>
      <c r="E291" s="126"/>
      <c r="F291" s="126"/>
      <c r="G291" s="385"/>
      <c r="H291" s="385">
        <f t="shared" si="198"/>
        <v>0</v>
      </c>
      <c r="I291" s="385">
        <f t="shared" si="198"/>
        <v>0</v>
      </c>
      <c r="J291" s="385"/>
      <c r="K291" s="295">
        <f t="shared" si="198"/>
        <v>0</v>
      </c>
      <c r="L291" s="295">
        <f t="shared" si="198"/>
        <v>0</v>
      </c>
    </row>
    <row r="292" spans="1:12" ht="78.75" hidden="1" x14ac:dyDescent="0.2">
      <c r="A292" s="116" t="str">
        <f>IF(B292&gt;0,VLOOKUP(B292,КВСР!A120:B1285,2),IF(C292&gt;0,VLOOKUP(C292,КФСР!A120:B1632,2),IF(D292&gt;0,VLOOKUP(D292,Программа!A$1:B$5110,2),IF(F292&gt;0,VLOOKUP(F292,КВР!A$1:B$5001,2),IF(E292&gt;0,VLOOKUP(E292,Направление!A$1:B$4783,2))))))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3"/>
      <c r="C292" s="124"/>
      <c r="D292" s="126" t="s">
        <v>474</v>
      </c>
      <c r="E292" s="126"/>
      <c r="F292" s="126"/>
      <c r="G292" s="385"/>
      <c r="H292" s="385">
        <f t="shared" si="198"/>
        <v>0</v>
      </c>
      <c r="I292" s="385">
        <f t="shared" si="198"/>
        <v>0</v>
      </c>
      <c r="J292" s="385"/>
      <c r="K292" s="295">
        <f t="shared" si="198"/>
        <v>0</v>
      </c>
      <c r="L292" s="295">
        <f t="shared" si="198"/>
        <v>0</v>
      </c>
    </row>
    <row r="293" spans="1:12" ht="63" hidden="1" x14ac:dyDescent="0.2">
      <c r="A293" s="116" t="str">
        <f>IF(B293&gt;0,VLOOKUP(B293,КВСР!A121:B1286,2),IF(C293&gt;0,VLOOKUP(C293,КФСР!A121:B1633,2),IF(D293&gt;0,VLOOKUP(D293,Программа!A$1:B$5110,2),IF(F293&gt;0,VLOOKUP(F293,КВР!A$1:B$5001,2),IF(E293&gt;0,VLOOKUP(E293,Направление!A$1:B$4783,2))))))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3"/>
      <c r="C293" s="124"/>
      <c r="D293" s="126"/>
      <c r="E293" s="126" t="s">
        <v>1281</v>
      </c>
      <c r="F293" s="126"/>
      <c r="G293" s="385"/>
      <c r="H293" s="385">
        <f t="shared" si="198"/>
        <v>0</v>
      </c>
      <c r="I293" s="385">
        <f t="shared" si="198"/>
        <v>0</v>
      </c>
      <c r="J293" s="385"/>
      <c r="K293" s="295">
        <f t="shared" si="198"/>
        <v>0</v>
      </c>
      <c r="L293" s="295">
        <f t="shared" si="198"/>
        <v>0</v>
      </c>
    </row>
    <row r="294" spans="1:12" ht="47.25" hidden="1" x14ac:dyDescent="0.2">
      <c r="A294" s="116" t="str">
        <f>IF(B294&gt;0,VLOOKUP(B294,КВСР!A122:B1287,2),IF(C294&gt;0,VLOOKUP(C294,КФСР!A122:B1634,2),IF(D294&gt;0,VLOOKUP(D294,Программа!A$1:B$5110,2),IF(F294&gt;0,VLOOKUP(F294,КВР!A$1:B$5001,2),IF(E294&gt;0,VLOOKUP(E294,Направление!A$1:B$4783,2))))))</f>
        <v>Предоставление субсидий бюджетным, автономным учреждениям и иным некоммерческим организациям</v>
      </c>
      <c r="B294" s="123"/>
      <c r="C294" s="124"/>
      <c r="D294" s="126"/>
      <c r="E294" s="126"/>
      <c r="F294" s="125">
        <v>600</v>
      </c>
      <c r="G294" s="385"/>
      <c r="H294" s="385"/>
      <c r="I294" s="385">
        <f>G294+H294</f>
        <v>0</v>
      </c>
      <c r="J294" s="385"/>
      <c r="K294" s="295"/>
      <c r="L294" s="295">
        <f>J294+K294</f>
        <v>0</v>
      </c>
    </row>
    <row r="295" spans="1:12" ht="15.75" x14ac:dyDescent="0.2">
      <c r="A295" s="116" t="str">
        <f>IF(B295&gt;0,VLOOKUP(B295,КВСР!A109:B1274,2),IF(C295&gt;0,VLOOKUP(C295,КФСР!A109:B1621,2),IF(D295&gt;0,VLOOKUP(D295,Программа!A$1:B$5110,2),IF(F295&gt;0,VLOOKUP(F295,КВР!A$1:B$5001,2),IF(E295&gt;0,VLOOKUP(E295,Направление!A$1:B$4783,2))))))</f>
        <v>Молодежная политика</v>
      </c>
      <c r="B295" s="123"/>
      <c r="C295" s="124">
        <v>707</v>
      </c>
      <c r="D295" s="126"/>
      <c r="E295" s="124"/>
      <c r="F295" s="125"/>
      <c r="G295" s="385"/>
      <c r="H295" s="385">
        <f t="shared" ref="H295:H296" si="199">H296</f>
        <v>5447338</v>
      </c>
      <c r="I295" s="385">
        <f t="shared" si="196"/>
        <v>5447338</v>
      </c>
      <c r="J295" s="385"/>
      <c r="K295" s="295">
        <f t="shared" ref="K295:K296" si="200">K296</f>
        <v>5447338</v>
      </c>
      <c r="L295" s="295">
        <f t="shared" si="195"/>
        <v>5447338</v>
      </c>
    </row>
    <row r="296" spans="1:12" ht="63" x14ac:dyDescent="0.2">
      <c r="A296" s="116" t="str">
        <f>IF(B296&gt;0,VLOOKUP(B296,КВСР!A110:B1275,2),IF(C296&gt;0,VLOOKUP(C296,КФСР!A110:B1622,2),IF(D296&gt;0,VLOOKUP(D296,Программа!A$1:B$5110,2),IF(F296&gt;0,VLOOKUP(F296,КВР!A$1:B$5001,2),IF(E296&gt;0,VLOOKUP(E296,Направление!A$1:B$4783,2))))))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6" s="123"/>
      <c r="C296" s="124"/>
      <c r="D296" s="126" t="s">
        <v>452</v>
      </c>
      <c r="E296" s="124"/>
      <c r="F296" s="125"/>
      <c r="G296" s="385"/>
      <c r="H296" s="385">
        <f t="shared" si="199"/>
        <v>5447338</v>
      </c>
      <c r="I296" s="385">
        <f t="shared" si="196"/>
        <v>5447338</v>
      </c>
      <c r="J296" s="385"/>
      <c r="K296" s="295">
        <f t="shared" si="200"/>
        <v>5447338</v>
      </c>
      <c r="L296" s="295">
        <f t="shared" si="195"/>
        <v>5447338</v>
      </c>
    </row>
    <row r="297" spans="1:12" ht="63" x14ac:dyDescent="0.2">
      <c r="A297" s="116" t="str">
        <f>IF(B297&gt;0,VLOOKUP(B297,КВСР!A111:B1276,2),IF(C297&gt;0,VLOOKUP(C297,КФСР!A111:B1623,2),IF(D297&gt;0,VLOOKUP(D297,Программа!A$1:B$5110,2),IF(F297&gt;0,VLOOKUP(F297,КВР!A$1:B$5001,2),IF(E297&gt;0,VLOOKUP(E297,Направление!A$1:B$4783,2))))))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3"/>
      <c r="C297" s="124"/>
      <c r="D297" s="126" t="s">
        <v>454</v>
      </c>
      <c r="E297" s="124"/>
      <c r="F297" s="125"/>
      <c r="G297" s="385"/>
      <c r="H297" s="385">
        <f t="shared" ref="H297" si="201">H298+H308</f>
        <v>5447338</v>
      </c>
      <c r="I297" s="385">
        <f t="shared" si="196"/>
        <v>5447338</v>
      </c>
      <c r="J297" s="385"/>
      <c r="K297" s="295">
        <f t="shared" ref="K297" si="202">K298+K308</f>
        <v>5447338</v>
      </c>
      <c r="L297" s="295">
        <f t="shared" si="195"/>
        <v>5447338</v>
      </c>
    </row>
    <row r="298" spans="1:12" ht="31.5" x14ac:dyDescent="0.2">
      <c r="A298" s="116" t="str">
        <f>IF(B298&gt;0,VLOOKUP(B298,КВСР!A112:B1277,2),IF(C298&gt;0,VLOOKUP(C298,КФСР!A112:B1624,2),IF(D298&gt;0,VLOOKUP(D298,Программа!A$1:B$5110,2),IF(F298&gt;0,VLOOKUP(F298,КВР!A$1:B$5001,2),IF(E298&gt;0,VLOOKUP(E298,Направление!A$1:B$4783,2))))))</f>
        <v>Обеспечение детей организованными формами отдыха и оздоровления</v>
      </c>
      <c r="B298" s="123"/>
      <c r="C298" s="124"/>
      <c r="D298" s="126" t="s">
        <v>1151</v>
      </c>
      <c r="E298" s="124"/>
      <c r="F298" s="125"/>
      <c r="G298" s="385"/>
      <c r="H298" s="385">
        <f t="shared" ref="H298:L298" si="203">H301+H303+H306+H299</f>
        <v>5447338</v>
      </c>
      <c r="I298" s="385">
        <f t="shared" si="203"/>
        <v>5447338</v>
      </c>
      <c r="J298" s="385">
        <f t="shared" si="203"/>
        <v>0</v>
      </c>
      <c r="K298" s="385">
        <f t="shared" si="203"/>
        <v>5447338</v>
      </c>
      <c r="L298" s="385">
        <f t="shared" si="203"/>
        <v>5447338</v>
      </c>
    </row>
    <row r="299" spans="1:12" ht="47.25" x14ac:dyDescent="0.2">
      <c r="A299" s="116" t="str">
        <f>IF(B299&gt;0,VLOOKUP(B299,КВСР!A113:B1278,2),IF(C299&gt;0,VLOOKUP(C299,КФСР!A113:B1625,2),IF(D299&gt;0,VLOOKUP(D299,Программа!A$1:B$5110,2),IF(F299&gt;0,VLOOKUP(F299,КВР!A$1:B$5001,2),IF(E299&gt;0,VLOOKUP(E299,Направление!A$1:B$4783,2))))))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299" s="123"/>
      <c r="C299" s="124"/>
      <c r="D299" s="126"/>
      <c r="E299" s="124">
        <v>11000</v>
      </c>
      <c r="F299" s="125"/>
      <c r="G299" s="385"/>
      <c r="H299" s="385">
        <f t="shared" ref="H299:L299" si="204">H300</f>
        <v>82188</v>
      </c>
      <c r="I299" s="385">
        <f t="shared" si="204"/>
        <v>82188</v>
      </c>
      <c r="J299" s="385"/>
      <c r="K299" s="385">
        <f t="shared" si="204"/>
        <v>82188</v>
      </c>
      <c r="L299" s="385">
        <f t="shared" si="204"/>
        <v>82188</v>
      </c>
    </row>
    <row r="300" spans="1:12" ht="47.25" x14ac:dyDescent="0.2">
      <c r="A300" s="116" t="str">
        <f>IF(B300&gt;0,VLOOKUP(B300,КВСР!A114:B1279,2),IF(C300&gt;0,VLOOKUP(C300,КФСР!A114:B1626,2),IF(D300&gt;0,VLOOKUP(D300,Программа!A$1:B$5110,2),IF(F300&gt;0,VLOOKUP(F300,КВР!A$1:B$5001,2),IF(E300&gt;0,VLOOKUP(E300,Направление!A$1:B$4783,2))))))</f>
        <v>Предоставление субсидий бюджетным, автономным учреждениям и иным некоммерческим организациям</v>
      </c>
      <c r="B300" s="123"/>
      <c r="C300" s="124"/>
      <c r="D300" s="126"/>
      <c r="E300" s="124"/>
      <c r="F300" s="125">
        <v>600</v>
      </c>
      <c r="G300" s="385"/>
      <c r="H300" s="385">
        <v>82188</v>
      </c>
      <c r="I300" s="385">
        <f>G300+H300</f>
        <v>82188</v>
      </c>
      <c r="J300" s="385"/>
      <c r="K300" s="295">
        <v>82188</v>
      </c>
      <c r="L300" s="295">
        <f>J300+K300</f>
        <v>82188</v>
      </c>
    </row>
    <row r="301" spans="1:12" ht="94.5" x14ac:dyDescent="0.2">
      <c r="A301" s="116" t="str">
        <f>IF(B301&gt;0,VLOOKUP(B301,КВСР!A112:B1277,2),IF(C301&gt;0,VLOOKUP(C301,КФСР!A112:B1624,2),IF(D301&gt;0,VLOOKUP(D301,Программа!A$1:B$5110,2),IF(F301&gt;0,VLOOKUP(F301,КВР!A$1:B$5001,2),IF(E301&gt;0,VLOOKUP(E301,Направление!A$1:B$4783,2))))))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3"/>
      <c r="C301" s="124"/>
      <c r="D301" s="126"/>
      <c r="E301" s="124">
        <v>71000</v>
      </c>
      <c r="F301" s="125"/>
      <c r="G301" s="385"/>
      <c r="H301" s="385">
        <f t="shared" ref="H301" si="205">H302</f>
        <v>739692</v>
      </c>
      <c r="I301" s="385">
        <f t="shared" si="196"/>
        <v>739692</v>
      </c>
      <c r="J301" s="385"/>
      <c r="K301" s="295">
        <f t="shared" ref="K301" si="206">K302</f>
        <v>739692</v>
      </c>
      <c r="L301" s="295">
        <f t="shared" si="195"/>
        <v>739692</v>
      </c>
    </row>
    <row r="302" spans="1:12" ht="47.25" x14ac:dyDescent="0.2">
      <c r="A302" s="116" t="str">
        <f>IF(B302&gt;0,VLOOKUP(B302,КВСР!A114:B1279,2),IF(C302&gt;0,VLOOKUP(C302,КФСР!A114:B1626,2),IF(D302&gt;0,VLOOKUP(D302,Программа!A$1:B$5110,2),IF(F302&gt;0,VLOOKUP(F302,КВР!A$1:B$5001,2),IF(E302&gt;0,VLOOKUP(E302,Направление!A$1:B$4783,2))))))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85"/>
      <c r="H302" s="385">
        <v>739692</v>
      </c>
      <c r="I302" s="385">
        <f t="shared" si="196"/>
        <v>739692</v>
      </c>
      <c r="J302" s="385"/>
      <c r="K302" s="295">
        <v>739692</v>
      </c>
      <c r="L302" s="295">
        <f t="shared" si="195"/>
        <v>739692</v>
      </c>
    </row>
    <row r="303" spans="1:12" ht="110.25" x14ac:dyDescent="0.2">
      <c r="A303" s="116" t="str">
        <f>IF(B303&gt;0,VLOOKUP(B303,КВСР!A115:B1280,2),IF(C303&gt;0,VLOOKUP(C303,КФСР!A115:B1627,2),IF(D303&gt;0,VLOOKUP(D303,Программа!A$1:B$5110,2),IF(F303&gt;0,VLOOKUP(F303,КВР!A$1:B$5001,2),IF(E303&gt;0,VLOOKUP(E303,Направление!A$1:B$4783,2))))))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3"/>
      <c r="C303" s="124"/>
      <c r="D303" s="126"/>
      <c r="E303" s="124">
        <v>71060</v>
      </c>
      <c r="F303" s="125"/>
      <c r="G303" s="385"/>
      <c r="H303" s="385">
        <f t="shared" ref="H303" si="207">H305+H304</f>
        <v>4588650</v>
      </c>
      <c r="I303" s="385">
        <f t="shared" si="196"/>
        <v>4588650</v>
      </c>
      <c r="J303" s="385"/>
      <c r="K303" s="295">
        <f t="shared" ref="K303" si="208">K305+K304</f>
        <v>4588650</v>
      </c>
      <c r="L303" s="295">
        <f t="shared" si="195"/>
        <v>4588650</v>
      </c>
    </row>
    <row r="304" spans="1:12" ht="31.5" x14ac:dyDescent="0.2">
      <c r="A304" s="116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IF(B304&gt;0,VLOOKUP(B304,КВСР!A116:B1281,2),IF(C304&gt;0,VLOOKUP(C304,КФСР!A116:B1628,2),IF(D304&gt;0,VLOOKUP(D304,Программа!A$1:B$5110,2),IF(F304&gt;0,VLOOKUP(F304,КВР!A$1:B$5001,2),IF(E304&gt;0,VLOOKUP(E304,Направление!A$1:B$4783,2))))))</f>
        <v>Социальное обеспечение и иные выплаты населению</v>
      </c>
      <c r="B304" s="123"/>
      <c r="C304" s="124"/>
      <c r="D304" s="126"/>
      <c r="E304" s="124"/>
      <c r="F304" s="125">
        <v>300</v>
      </c>
      <c r="G304" s="385"/>
      <c r="H304" s="385">
        <v>3032314</v>
      </c>
      <c r="I304" s="385">
        <f t="shared" si="196"/>
        <v>3032314</v>
      </c>
      <c r="J304" s="385"/>
      <c r="K304" s="295">
        <v>3032314</v>
      </c>
      <c r="L304" s="295">
        <f t="shared" si="195"/>
        <v>3032314</v>
      </c>
    </row>
    <row r="305" spans="1:12" ht="47.25" x14ac:dyDescent="0.2">
      <c r="A305" s="116" t="str">
        <f>IF(B305&gt;0,VLOOKUP(B305,КВСР!A116:B1281,2),IF(C305&gt;0,VLOOKUP(C305,КФСР!A116:B1628,2),IF(D305&gt;0,VLOOKUP(D305,Программа!A$1:B$5110,2),IF(F305&gt;0,VLOOKUP(F305,КВР!A$1:B$5001,2),IF(E305&gt;0,VLOOKUP(E305,Направление!A$1:B$4783,2))))))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85"/>
      <c r="H305" s="385">
        <v>1556336</v>
      </c>
      <c r="I305" s="385">
        <f t="shared" si="196"/>
        <v>1556336</v>
      </c>
      <c r="J305" s="385"/>
      <c r="K305" s="295">
        <v>1556336</v>
      </c>
      <c r="L305" s="295">
        <f t="shared" si="195"/>
        <v>1556336</v>
      </c>
    </row>
    <row r="306" spans="1:12" ht="47.25" x14ac:dyDescent="0.2">
      <c r="A306" s="116" t="str">
        <f>IF(B306&gt;0,VLOOKUP(B306,КВСР!A117:B1282,2),IF(C306&gt;0,VLOOKUP(C306,КФСР!A117:B1629,2),IF(D306&gt;0,VLOOKUP(D306,Программа!A$1:B$5110,2),IF(F306&gt;0,VLOOKUP(F306,КВР!A$1:B$5001,2),IF(E306&gt;0,VLOOKUP(E306,Направление!A$1:B$4783,2))))))</f>
        <v>Субвенция на частичную оплату стоимости путевки в организации отдыха детей и их оздоровления</v>
      </c>
      <c r="B306" s="123"/>
      <c r="C306" s="124"/>
      <c r="D306" s="126"/>
      <c r="E306" s="124">
        <v>75160</v>
      </c>
      <c r="F306" s="125"/>
      <c r="G306" s="394"/>
      <c r="H306" s="394">
        <f t="shared" ref="H306" si="209">H307</f>
        <v>36808</v>
      </c>
      <c r="I306" s="385">
        <f t="shared" si="196"/>
        <v>36808</v>
      </c>
      <c r="J306" s="394"/>
      <c r="K306" s="386">
        <f t="shared" ref="K306" si="210">K307</f>
        <v>36808</v>
      </c>
      <c r="L306" s="295">
        <f t="shared" si="195"/>
        <v>36808</v>
      </c>
    </row>
    <row r="307" spans="1:12" ht="31.5" x14ac:dyDescent="0.2">
      <c r="A307" s="116" t="str">
        <f>IF(B307&gt;0,VLOOKUP(B307,КВСР!A118:B1283,2),IF(C307&gt;0,VLOOKUP(C307,КФСР!A118:B1630,2),IF(D307&gt;0,VLOOKUP(D307,Программа!A$1:B$5110,2),IF(F307&gt;0,VLOOKUP(F307,КВР!A$1:B$5001,2),IF(E307&gt;0,VLOOKUP(E307,Направление!A$1:B$4783,2))))))</f>
        <v>Социальное обеспечение и иные выплаты населению</v>
      </c>
      <c r="B307" s="123"/>
      <c r="C307" s="124"/>
      <c r="D307" s="126"/>
      <c r="E307" s="124"/>
      <c r="F307" s="125">
        <v>300</v>
      </c>
      <c r="G307" s="385"/>
      <c r="H307" s="385">
        <v>36808</v>
      </c>
      <c r="I307" s="385">
        <f t="shared" si="196"/>
        <v>36808</v>
      </c>
      <c r="J307" s="385"/>
      <c r="K307" s="295">
        <v>36808</v>
      </c>
      <c r="L307" s="295">
        <f t="shared" si="195"/>
        <v>36808</v>
      </c>
    </row>
    <row r="308" spans="1:12" ht="15.75" hidden="1" x14ac:dyDescent="0.2">
      <c r="A308" s="116" t="str">
        <f>IF(B308&gt;0,VLOOKUP(B308,КВСР!A117:B1282,2),IF(C308&gt;0,VLOOKUP(C308,КФСР!A117:B1629,2),IF(D308&gt;0,VLOOKUP(D308,Программа!A$1:B$5110,2),IF(F308&gt;0,VLOOKUP(F308,КВР!A$1:B$5001,2),IF(E308&gt;0,VLOOKUP(E308,Направление!A$1:B$4783,2))))))</f>
        <v>Обеспечение компенсационных выплат</v>
      </c>
      <c r="B308" s="123"/>
      <c r="C308" s="124"/>
      <c r="D308" s="126" t="s">
        <v>1156</v>
      </c>
      <c r="E308" s="124"/>
      <c r="F308" s="125"/>
      <c r="G308" s="385"/>
      <c r="H308" s="385">
        <f t="shared" ref="H308:H309" si="211">H309</f>
        <v>0</v>
      </c>
      <c r="I308" s="385">
        <f t="shared" si="196"/>
        <v>0</v>
      </c>
      <c r="J308" s="385"/>
      <c r="K308" s="295">
        <f t="shared" ref="K308:K309" si="212">K309</f>
        <v>0</v>
      </c>
      <c r="L308" s="295">
        <f t="shared" si="195"/>
        <v>0</v>
      </c>
    </row>
    <row r="309" spans="1:12" ht="47.25" hidden="1" x14ac:dyDescent="0.2">
      <c r="A309" s="116" t="str">
        <f>IF(B309&gt;0,VLOOKUP(B309,КВСР!A114:B1279,2),IF(C309&gt;0,VLOOKUP(C309,КФСР!A114:B1626,2),IF(D309&gt;0,VLOOKUP(D309,Программа!A$1:B$5110,2),IF(F309&gt;0,VLOOKUP(F309,КВР!A$1:B$5001,2),IF(E309&gt;0,VLOOKUP(E309,Направление!A$1:B$4783,2))))))</f>
        <v>Компенсация части расходов на приобретение путевки в организации отдыха детей и их оздоровления</v>
      </c>
      <c r="B309" s="123"/>
      <c r="C309" s="124"/>
      <c r="D309" s="126"/>
      <c r="E309" s="124">
        <v>74390</v>
      </c>
      <c r="F309" s="125"/>
      <c r="G309" s="385"/>
      <c r="H309" s="385">
        <f t="shared" si="211"/>
        <v>0</v>
      </c>
      <c r="I309" s="385">
        <f t="shared" si="196"/>
        <v>0</v>
      </c>
      <c r="J309" s="385"/>
      <c r="K309" s="295">
        <f t="shared" si="212"/>
        <v>0</v>
      </c>
      <c r="L309" s="295">
        <f t="shared" si="195"/>
        <v>0</v>
      </c>
    </row>
    <row r="310" spans="1:12" ht="31.5" hidden="1" x14ac:dyDescent="0.2">
      <c r="A310" s="116" t="str">
        <f>IF(B310&gt;0,VLOOKUP(B310,КВСР!A116:B1281,2),IF(C310&gt;0,VLOOKUP(C310,КФСР!A116:B1628,2),IF(D310&gt;0,VLOOKUP(D310,Программа!A$1:B$5110,2),IF(F310&gt;0,VLOOKUP(F310,КВР!A$1:B$5001,2),IF(E310&gt;0,VLOOKUP(E310,Направление!A$1:B$4783,2))))))</f>
        <v>Социальное обеспечение и иные выплаты населению</v>
      </c>
      <c r="B310" s="123"/>
      <c r="C310" s="124"/>
      <c r="D310" s="126"/>
      <c r="E310" s="124"/>
      <c r="F310" s="114">
        <v>300</v>
      </c>
      <c r="G310" s="385"/>
      <c r="H310" s="385">
        <v>0</v>
      </c>
      <c r="I310" s="385">
        <f t="shared" si="196"/>
        <v>0</v>
      </c>
      <c r="J310" s="385"/>
      <c r="K310" s="295">
        <v>0</v>
      </c>
      <c r="L310" s="295">
        <f t="shared" si="195"/>
        <v>0</v>
      </c>
    </row>
    <row r="311" spans="1:12" ht="15.75" x14ac:dyDescent="0.2">
      <c r="A311" s="116" t="str">
        <f>IF(B311&gt;0,VLOOKUP(B311,КВСР!A122:B1287,2),IF(C311&gt;0,VLOOKUP(C311,КФСР!A122:B1634,2),IF(D311&gt;0,VLOOKUP(D311,Программа!A$1:B$5110,2),IF(F311&gt;0,VLOOKUP(F311,КВР!A$1:B$5001,2),IF(E311&gt;0,VLOOKUP(E311,Направление!A$1:B$4783,2))))))</f>
        <v>Другие вопросы в области образования</v>
      </c>
      <c r="B311" s="123"/>
      <c r="C311" s="124">
        <v>709</v>
      </c>
      <c r="D311" s="126"/>
      <c r="E311" s="124"/>
      <c r="F311" s="125"/>
      <c r="G311" s="385"/>
      <c r="H311" s="385">
        <f t="shared" ref="H311" si="213">H317+H312</f>
        <v>36027694</v>
      </c>
      <c r="I311" s="385">
        <f t="shared" si="196"/>
        <v>36027694</v>
      </c>
      <c r="J311" s="385"/>
      <c r="K311" s="295">
        <f t="shared" ref="K311" si="214">K317+K312</f>
        <v>34027694</v>
      </c>
      <c r="L311" s="295">
        <f t="shared" si="195"/>
        <v>34027694</v>
      </c>
    </row>
    <row r="312" spans="1:12" ht="63" hidden="1" x14ac:dyDescent="0.2">
      <c r="A312" s="116" t="str">
        <f>IF(B312&gt;0,VLOOKUP(B312,КВСР!A123:B1288,2),IF(C312&gt;0,VLOOKUP(C312,КФСР!A123:B1635,2),IF(D312&gt;0,VLOOKUP(D312,Программа!A$1:B$5110,2),IF(F312&gt;0,VLOOKUP(F312,КВР!A$1:B$5001,2),IF(E312&gt;0,VLOOKUP(E312,Направление!A$1:B$4783,2))))))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12" s="123"/>
      <c r="C312" s="124"/>
      <c r="D312" s="126" t="s">
        <v>482</v>
      </c>
      <c r="E312" s="124"/>
      <c r="F312" s="125"/>
      <c r="G312" s="385"/>
      <c r="H312" s="385">
        <f t="shared" ref="H312:H315" si="215">H313</f>
        <v>0</v>
      </c>
      <c r="I312" s="385">
        <f t="shared" si="196"/>
        <v>0</v>
      </c>
      <c r="J312" s="385"/>
      <c r="K312" s="295">
        <f t="shared" ref="K312:K315" si="216">K313</f>
        <v>0</v>
      </c>
      <c r="L312" s="295">
        <f t="shared" si="195"/>
        <v>0</v>
      </c>
    </row>
    <row r="313" spans="1:12" ht="63" hidden="1" x14ac:dyDescent="0.2">
      <c r="A313" s="116" t="str">
        <f>IF(B313&gt;0,VLOOKUP(B313,КВСР!A124:B1289,2),IF(C313&gt;0,VLOOKUP(C313,КФСР!A124:B1636,2),IF(D313&gt;0,VLOOKUP(D313,Программа!A$1:B$5110,2),IF(F313&gt;0,VLOOKUP(F313,КВР!A$1:B$5001,2),IF(E313&gt;0,VLOOKUP(E313,Направление!A$1:B$4783,2))))))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3"/>
      <c r="C313" s="124"/>
      <c r="D313" s="126" t="s">
        <v>489</v>
      </c>
      <c r="E313" s="124"/>
      <c r="F313" s="125"/>
      <c r="G313" s="385"/>
      <c r="H313" s="385">
        <f t="shared" si="215"/>
        <v>0</v>
      </c>
      <c r="I313" s="385">
        <f t="shared" si="196"/>
        <v>0</v>
      </c>
      <c r="J313" s="385"/>
      <c r="K313" s="295">
        <f t="shared" si="216"/>
        <v>0</v>
      </c>
      <c r="L313" s="295">
        <f t="shared" si="195"/>
        <v>0</v>
      </c>
    </row>
    <row r="314" spans="1:12" ht="31.5" hidden="1" x14ac:dyDescent="0.2">
      <c r="A314" s="116" t="str">
        <f>IF(B314&gt;0,VLOOKUP(B314,КВСР!A125:B1290,2),IF(C314&gt;0,VLOOKUP(C314,КФСР!A125:B1637,2),IF(D314&gt;0,VLOOKUP(D314,Программа!A$1:B$5110,2),IF(F314&gt;0,VLOOKUP(F314,КВР!A$1:B$5001,2),IF(E314&gt;0,VLOOKUP(E314,Направление!A$1:B$4783,2))))))</f>
        <v>Развитие системы профилактики немедицинского потребления наркотиков</v>
      </c>
      <c r="B314" s="123"/>
      <c r="C314" s="124"/>
      <c r="D314" s="126" t="s">
        <v>491</v>
      </c>
      <c r="E314" s="124"/>
      <c r="F314" s="125"/>
      <c r="G314" s="385"/>
      <c r="H314" s="385">
        <f t="shared" si="215"/>
        <v>0</v>
      </c>
      <c r="I314" s="385">
        <f t="shared" si="196"/>
        <v>0</v>
      </c>
      <c r="J314" s="385"/>
      <c r="K314" s="295">
        <f t="shared" si="216"/>
        <v>0</v>
      </c>
      <c r="L314" s="295">
        <f t="shared" si="195"/>
        <v>0</v>
      </c>
    </row>
    <row r="315" spans="1:12" ht="63" hidden="1" x14ac:dyDescent="0.2">
      <c r="A315" s="116" t="str">
        <f>IF(B315&gt;0,VLOOKUP(B315,КВСР!A126:B1291,2),IF(C315&gt;0,VLOOKUP(C315,КФСР!A126:B1638,2),IF(D315&gt;0,VLOOKUP(D315,Программа!A$1:B$5110,2),IF(F315&gt;0,VLOOKUP(F315,КВР!A$1:B$5001,2),IF(E315&gt;0,VLOOKUP(E315,Направление!A$1:B$4783,2))))))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3"/>
      <c r="C315" s="124"/>
      <c r="D315" s="126"/>
      <c r="E315" s="124" t="s">
        <v>493</v>
      </c>
      <c r="F315" s="125"/>
      <c r="G315" s="385"/>
      <c r="H315" s="385">
        <f t="shared" si="215"/>
        <v>0</v>
      </c>
      <c r="I315" s="385">
        <f t="shared" si="196"/>
        <v>0</v>
      </c>
      <c r="J315" s="385"/>
      <c r="K315" s="295">
        <f t="shared" si="216"/>
        <v>0</v>
      </c>
      <c r="L315" s="295">
        <f t="shared" si="195"/>
        <v>0</v>
      </c>
    </row>
    <row r="316" spans="1:12" ht="47.25" hidden="1" x14ac:dyDescent="0.2">
      <c r="A316" s="116" t="str">
        <f>IF(B316&gt;0,VLOOKUP(B316,КВСР!A127:B1292,2),IF(C316&gt;0,VLOOKUP(C316,КФСР!A127:B1639,2),IF(D316&gt;0,VLOOKUP(D316,Программа!A$1:B$5110,2),IF(F316&gt;0,VLOOKUP(F316,КВР!A$1:B$5001,2),IF(E316&gt;0,VLOOKUP(E316,Направление!A$1:B$4783,2))))))</f>
        <v>Предоставление субсидий бюджетным, автономным учреждениям и иным некоммерческим организациям</v>
      </c>
      <c r="B316" s="123"/>
      <c r="C316" s="124"/>
      <c r="D316" s="126"/>
      <c r="E316" s="124"/>
      <c r="F316" s="125">
        <v>600</v>
      </c>
      <c r="G316" s="385"/>
      <c r="H316" s="385"/>
      <c r="I316" s="385">
        <f t="shared" si="196"/>
        <v>0</v>
      </c>
      <c r="J316" s="385"/>
      <c r="K316" s="295"/>
      <c r="L316" s="295">
        <f t="shared" si="195"/>
        <v>0</v>
      </c>
    </row>
    <row r="317" spans="1:12" ht="63" x14ac:dyDescent="0.2">
      <c r="A317" s="116" t="str">
        <f>IF(B317&gt;0,VLOOKUP(B317,КВСР!A123:B1288,2),IF(C317&gt;0,VLOOKUP(C317,КФСР!A123:B1635,2),IF(D317&gt;0,VLOOKUP(D317,Программа!A$1:B$5110,2),IF(F317&gt;0,VLOOKUP(F317,КВР!A$1:B$5001,2),IF(E317&gt;0,VLOOKUP(E317,Направление!A$1:B$4783,2))))))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17" s="123"/>
      <c r="C317" s="124"/>
      <c r="D317" s="126" t="s">
        <v>452</v>
      </c>
      <c r="E317" s="124"/>
      <c r="F317" s="125"/>
      <c r="G317" s="385"/>
      <c r="H317" s="385">
        <f t="shared" ref="H317" si="217">H318</f>
        <v>36027694</v>
      </c>
      <c r="I317" s="385">
        <f t="shared" si="196"/>
        <v>36027694</v>
      </c>
      <c r="J317" s="385"/>
      <c r="K317" s="295">
        <f t="shared" ref="K317" si="218">K318</f>
        <v>34027694</v>
      </c>
      <c r="L317" s="295">
        <f t="shared" si="195"/>
        <v>34027694</v>
      </c>
    </row>
    <row r="318" spans="1:12" ht="63" x14ac:dyDescent="0.2">
      <c r="A318" s="116" t="str">
        <f>IF(B318&gt;0,VLOOKUP(B318,КВСР!A124:B1289,2),IF(C318&gt;0,VLOOKUP(C318,КФСР!A124:B1636,2),IF(D318&gt;0,VLOOKUP(D318,Программа!A$1:B$5110,2),IF(F318&gt;0,VLOOKUP(F318,КВР!A$1:B$5001,2),IF(E318&gt;0,VLOOKUP(E318,Направление!A$1:B$4783,2))))))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3"/>
      <c r="C318" s="124"/>
      <c r="D318" s="126" t="s">
        <v>454</v>
      </c>
      <c r="E318" s="124"/>
      <c r="F318" s="125"/>
      <c r="G318" s="385"/>
      <c r="H318" s="385">
        <f t="shared" ref="H318:L318" si="219">H326+H319+H323</f>
        <v>36027694</v>
      </c>
      <c r="I318" s="385">
        <f t="shared" si="219"/>
        <v>36027694</v>
      </c>
      <c r="J318" s="385"/>
      <c r="K318" s="295">
        <f t="shared" si="219"/>
        <v>34027694</v>
      </c>
      <c r="L318" s="295">
        <f t="shared" si="219"/>
        <v>34027694</v>
      </c>
    </row>
    <row r="319" spans="1:12" ht="47.25" hidden="1" x14ac:dyDescent="0.2">
      <c r="A319" s="116" t="str">
        <f>IF(B319&gt;0,VLOOKUP(B319,КВСР!A125:B1290,2),IF(C319&gt;0,VLOOKUP(C319,КФСР!A125:B1637,2),IF(D319&gt;0,VLOOKUP(D319,Программа!A$1:B$5110,2),IF(F319&gt;0,VLOOKUP(F319,КВР!A$1:B$5001,2),IF(E319&gt;0,VLOOKUP(E319,Направление!A$1:B$4783,2))))))</f>
        <v>Обеспечение качества и доступности образовательных услуг в сфере дополнительного образования</v>
      </c>
      <c r="B319" s="123"/>
      <c r="C319" s="124"/>
      <c r="D319" s="126" t="s">
        <v>518</v>
      </c>
      <c r="E319" s="124"/>
      <c r="F319" s="125"/>
      <c r="G319" s="385"/>
      <c r="H319" s="385">
        <f t="shared" ref="H319" si="220">H320</f>
        <v>0</v>
      </c>
      <c r="I319" s="385">
        <f t="shared" si="196"/>
        <v>0</v>
      </c>
      <c r="J319" s="385"/>
      <c r="K319" s="295">
        <f t="shared" ref="K319" si="221">K320</f>
        <v>0</v>
      </c>
      <c r="L319" s="295">
        <f t="shared" si="195"/>
        <v>0</v>
      </c>
    </row>
    <row r="320" spans="1:12" ht="15.75" hidden="1" x14ac:dyDescent="0.2">
      <c r="A320" s="116" t="str">
        <f>IF(B320&gt;0,VLOOKUP(B320,КВСР!A126:B1291,2),IF(C320&gt;0,VLOOKUP(C320,КФСР!A126:B1638,2),IF(D320&gt;0,VLOOKUP(D320,Программа!A$1:B$5110,2),IF(F320&gt;0,VLOOKUP(F320,КВР!A$1:B$5001,2),IF(E320&gt;0,VLOOKUP(E320,Направление!A$1:B$4783,2))))))</f>
        <v>Мероприятия в сфере образования</v>
      </c>
      <c r="B320" s="123"/>
      <c r="C320" s="124"/>
      <c r="D320" s="126"/>
      <c r="E320" s="124">
        <v>13320</v>
      </c>
      <c r="F320" s="125"/>
      <c r="G320" s="385"/>
      <c r="H320" s="385">
        <f t="shared" ref="H320" si="222">H321+H322</f>
        <v>0</v>
      </c>
      <c r="I320" s="385">
        <f t="shared" si="196"/>
        <v>0</v>
      </c>
      <c r="J320" s="385"/>
      <c r="K320" s="295">
        <f t="shared" ref="K320" si="223">K321+K322</f>
        <v>0</v>
      </c>
      <c r="L320" s="295">
        <f t="shared" si="195"/>
        <v>0</v>
      </c>
    </row>
    <row r="321" spans="1:12" ht="110.25" hidden="1" x14ac:dyDescent="0.2">
      <c r="A321" s="116" t="str">
        <f>IF(B321&gt;0,VLOOKUP(B321,КВСР!A127:B1292,2),IF(C321&gt;0,VLOOKUP(C321,КФСР!A127:B1639,2),IF(D321&gt;0,VLOOKUP(D321,Программа!A$1:B$5110,2),IF(F321&gt;0,VLOOKUP(F321,КВР!A$1:B$5001,2),IF(E321&gt;0,VLOOKUP(E321,Направление!A$1:B$4783,2))))))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3"/>
      <c r="C321" s="124"/>
      <c r="D321" s="126"/>
      <c r="E321" s="124"/>
      <c r="F321" s="125">
        <v>100</v>
      </c>
      <c r="G321" s="385"/>
      <c r="H321" s="385"/>
      <c r="I321" s="385">
        <f t="shared" si="196"/>
        <v>0</v>
      </c>
      <c r="J321" s="385"/>
      <c r="K321" s="295"/>
      <c r="L321" s="295">
        <f t="shared" si="195"/>
        <v>0</v>
      </c>
    </row>
    <row r="322" spans="1:12" ht="47.25" hidden="1" x14ac:dyDescent="0.2">
      <c r="A322" s="116" t="str">
        <f>IF(B322&gt;0,VLOOKUP(B322,КВСР!A128:B1293,2),IF(C322&gt;0,VLOOKUP(C322,КФСР!A128:B1640,2),IF(D322&gt;0,VLOOKUP(D322,Программа!A$1:B$5110,2),IF(F322&gt;0,VLOOKUP(F322,КВР!A$1:B$5001,2),IF(E322&gt;0,VLOOKUP(E322,Направление!A$1:B$4783,2))))))</f>
        <v>Предоставление субсидий бюджетным, автономным учреждениям и иным некоммерческим организациям</v>
      </c>
      <c r="B322" s="123"/>
      <c r="C322" s="124"/>
      <c r="D322" s="126"/>
      <c r="E322" s="124"/>
      <c r="F322" s="125">
        <v>600</v>
      </c>
      <c r="G322" s="385"/>
      <c r="H322" s="385"/>
      <c r="I322" s="385">
        <f t="shared" si="196"/>
        <v>0</v>
      </c>
      <c r="J322" s="385"/>
      <c r="K322" s="295"/>
      <c r="L322" s="295">
        <f t="shared" si="195"/>
        <v>0</v>
      </c>
    </row>
    <row r="323" spans="1:12" ht="78.75" x14ac:dyDescent="0.2">
      <c r="A323" s="116" t="str">
        <f>IF(B323&gt;0,VLOOKUP(B323,КВСР!A129:B1294,2),IF(C323&gt;0,VLOOKUP(C323,КФСР!A129:B1641,2),IF(D323&gt;0,VLOOKUP(D323,Программа!A$1:B$5110,2),IF(F323&gt;0,VLOOKUP(F323,КВР!A$1:B$5001,2),IF(E323&gt;0,VLOOKUP(E323,Направление!A$1:B$4783,2))))))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3"/>
      <c r="C323" s="124"/>
      <c r="D323" s="126" t="s">
        <v>474</v>
      </c>
      <c r="E323" s="124"/>
      <c r="F323" s="125"/>
      <c r="G323" s="385"/>
      <c r="H323" s="385">
        <f t="shared" ref="H323:L324" si="224">H324</f>
        <v>5084600</v>
      </c>
      <c r="I323" s="385">
        <f t="shared" si="224"/>
        <v>5084600</v>
      </c>
      <c r="J323" s="385"/>
      <c r="K323" s="295">
        <f t="shared" si="224"/>
        <v>3084600</v>
      </c>
      <c r="L323" s="295">
        <f t="shared" si="224"/>
        <v>3084600</v>
      </c>
    </row>
    <row r="324" spans="1:12" ht="31.5" x14ac:dyDescent="0.2">
      <c r="A324" s="116" t="str">
        <f>IF(B324&gt;0,VLOOKUP(B324,КВСР!A130:B1295,2),IF(C324&gt;0,VLOOKUP(C324,КФСР!A130:B1642,2),IF(D324&gt;0,VLOOKUP(D324,Программа!A$1:B$5110,2),IF(F324&gt;0,VLOOKUP(F324,КВР!A$1:B$5001,2),IF(E324&gt;0,VLOOKUP(E324,Направление!A$1:B$4783,2))))))</f>
        <v>Обеспечение деятельности прочих учреждений в сфере образования</v>
      </c>
      <c r="B324" s="123"/>
      <c r="C324" s="124"/>
      <c r="D324" s="126"/>
      <c r="E324" s="124">
        <v>13310</v>
      </c>
      <c r="F324" s="125"/>
      <c r="G324" s="385"/>
      <c r="H324" s="385">
        <f t="shared" si="224"/>
        <v>5084600</v>
      </c>
      <c r="I324" s="385">
        <f t="shared" si="224"/>
        <v>5084600</v>
      </c>
      <c r="J324" s="385"/>
      <c r="K324" s="295">
        <f t="shared" si="224"/>
        <v>3084600</v>
      </c>
      <c r="L324" s="295">
        <f t="shared" si="224"/>
        <v>3084600</v>
      </c>
    </row>
    <row r="325" spans="1:12" ht="47.25" x14ac:dyDescent="0.2">
      <c r="A325" s="116" t="str">
        <f>IF(B325&gt;0,VLOOKUP(B325,КВСР!A131:B1296,2),IF(C325&gt;0,VLOOKUP(C325,КФСР!A131:B1643,2),IF(D325&gt;0,VLOOKUP(D325,Программа!A$1:B$5110,2),IF(F325&gt;0,VLOOKUP(F325,КВР!A$1:B$5001,2),IF(E325&gt;0,VLOOKUP(E325,Направление!A$1:B$4783,2))))))</f>
        <v>Предоставление субсидий бюджетным, автономным учреждениям и иным некоммерческим организациям</v>
      </c>
      <c r="B325" s="123"/>
      <c r="C325" s="124"/>
      <c r="D325" s="126"/>
      <c r="E325" s="124"/>
      <c r="F325" s="125">
        <v>600</v>
      </c>
      <c r="G325" s="385"/>
      <c r="H325" s="385">
        <f>5000000+84600</f>
        <v>5084600</v>
      </c>
      <c r="I325" s="385">
        <f t="shared" si="196"/>
        <v>5084600</v>
      </c>
      <c r="J325" s="385"/>
      <c r="K325" s="295">
        <f>3084600</f>
        <v>3084600</v>
      </c>
      <c r="L325" s="295">
        <f t="shared" si="195"/>
        <v>3084600</v>
      </c>
    </row>
    <row r="326" spans="1:12" ht="31.5" x14ac:dyDescent="0.2">
      <c r="A326" s="116" t="str">
        <f>IF(B326&gt;0,VLOOKUP(B326,КВСР!A124:B1289,2),IF(C326&gt;0,VLOOKUP(C326,КФСР!A124:B1636,2),IF(D326&gt;0,VLOOKUP(D326,Программа!A$1:B$5110,2),IF(F326&gt;0,VLOOKUP(F326,КВР!A$1:B$5001,2),IF(E326&gt;0,VLOOKUP(E326,Направление!A$1:B$4783,2))))))</f>
        <v>Обеспечение эффективности управления системой образования</v>
      </c>
      <c r="B326" s="123"/>
      <c r="C326" s="124"/>
      <c r="D326" s="126" t="s">
        <v>1153</v>
      </c>
      <c r="E326" s="124"/>
      <c r="F326" s="125"/>
      <c r="G326" s="385"/>
      <c r="H326" s="385">
        <f t="shared" ref="H326:L326" si="225">H327+H331+H335</f>
        <v>30943094</v>
      </c>
      <c r="I326" s="385">
        <f t="shared" si="225"/>
        <v>30943094</v>
      </c>
      <c r="J326" s="385"/>
      <c r="K326" s="295">
        <f t="shared" si="225"/>
        <v>30943094</v>
      </c>
      <c r="L326" s="295">
        <f t="shared" si="225"/>
        <v>30943094</v>
      </c>
    </row>
    <row r="327" spans="1:12" ht="15.75" x14ac:dyDescent="0.2">
      <c r="A327" s="116" t="str">
        <f>IF(B327&gt;0,VLOOKUP(B327,КВСР!A125:B1290,2),IF(C327&gt;0,VLOOKUP(C327,КФСР!A125:B1637,2),IF(D327&gt;0,VLOOKUP(D327,Программа!A$1:B$5110,2),IF(F327&gt;0,VLOOKUP(F327,КВР!A$1:B$5001,2),IF(E327&gt;0,VLOOKUP(E327,Направление!A$1:B$4783,2))))))</f>
        <v>Содержание центрального аппарата</v>
      </c>
      <c r="B327" s="123"/>
      <c r="C327" s="124"/>
      <c r="D327" s="126"/>
      <c r="E327" s="124">
        <v>12010</v>
      </c>
      <c r="F327" s="114"/>
      <c r="G327" s="385"/>
      <c r="H327" s="385">
        <f t="shared" ref="H327:L327" si="226">H328+H329+H330</f>
        <v>6366839</v>
      </c>
      <c r="I327" s="385">
        <f t="shared" si="226"/>
        <v>6366839</v>
      </c>
      <c r="J327" s="385"/>
      <c r="K327" s="295">
        <f t="shared" si="226"/>
        <v>6366839</v>
      </c>
      <c r="L327" s="295">
        <f t="shared" si="226"/>
        <v>6366839</v>
      </c>
    </row>
    <row r="328" spans="1:12" ht="110.25" x14ac:dyDescent="0.2">
      <c r="A328" s="116" t="str">
        <f>IF(B328&gt;0,VLOOKUP(B328,КВСР!A126:B1291,2),IF(C328&gt;0,VLOOKUP(C328,КФСР!A126:B1638,2),IF(D328&gt;0,VLOOKUP(D328,Программа!A$1:B$5110,2),IF(F328&gt;0,VLOOKUP(F328,КВР!A$1:B$5001,2),IF(E328&gt;0,VLOOKUP(E328,Направление!A$1:B$4783,2))))))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3"/>
      <c r="C328" s="124"/>
      <c r="D328" s="126"/>
      <c r="E328" s="124"/>
      <c r="F328" s="114">
        <v>100</v>
      </c>
      <c r="G328" s="385"/>
      <c r="H328" s="385">
        <v>5468615</v>
      </c>
      <c r="I328" s="385">
        <f t="shared" si="196"/>
        <v>5468615</v>
      </c>
      <c r="J328" s="385"/>
      <c r="K328" s="295">
        <v>5468615</v>
      </c>
      <c r="L328" s="295">
        <f t="shared" si="195"/>
        <v>5468615</v>
      </c>
    </row>
    <row r="329" spans="1:12" ht="63" x14ac:dyDescent="0.2">
      <c r="A329" s="116" t="str">
        <f>IF(B329&gt;0,VLOOKUP(B329,КВСР!A127:B1292,2),IF(C329&gt;0,VLOOKUP(C329,КФСР!A127:B1639,2),IF(D329&gt;0,VLOOKUP(D329,Программа!A$1:B$5110,2),IF(F329&gt;0,VLOOKUP(F329,КВР!A$1:B$5001,2),IF(E329&gt;0,VLOOKUP(E329,Направление!A$1:B$4783,2))))))</f>
        <v xml:space="preserve">Закупка товаров, работ и услуг для обеспечения государственных (муниципальных) нужд
</v>
      </c>
      <c r="B329" s="123"/>
      <c r="C329" s="124"/>
      <c r="D329" s="126"/>
      <c r="E329" s="124"/>
      <c r="F329" s="114">
        <v>200</v>
      </c>
      <c r="G329" s="385"/>
      <c r="H329" s="385">
        <v>878224</v>
      </c>
      <c r="I329" s="385">
        <f t="shared" si="196"/>
        <v>878224</v>
      </c>
      <c r="J329" s="385"/>
      <c r="K329" s="295">
        <v>878224</v>
      </c>
      <c r="L329" s="295">
        <f t="shared" si="195"/>
        <v>878224</v>
      </c>
    </row>
    <row r="330" spans="1:12" ht="15.75" x14ac:dyDescent="0.2">
      <c r="A330" s="116" t="str">
        <f>IF(B330&gt;0,VLOOKUP(B330,КВСР!A128:B1293,2),IF(C330&gt;0,VLOOKUP(C330,КФСР!A128:B1640,2),IF(D330&gt;0,VLOOKUP(D330,Программа!A$1:B$5110,2),IF(F330&gt;0,VLOOKUP(F330,КВР!A$1:B$5001,2),IF(E330&gt;0,VLOOKUP(E330,Направление!A$1:B$4783,2))))))</f>
        <v>Иные бюджетные ассигнования</v>
      </c>
      <c r="B330" s="123"/>
      <c r="C330" s="124"/>
      <c r="D330" s="126"/>
      <c r="E330" s="124"/>
      <c r="F330" s="114">
        <v>800</v>
      </c>
      <c r="G330" s="385"/>
      <c r="H330" s="385">
        <v>20000</v>
      </c>
      <c r="I330" s="385">
        <f t="shared" si="196"/>
        <v>20000</v>
      </c>
      <c r="J330" s="385"/>
      <c r="K330" s="295">
        <v>20000</v>
      </c>
      <c r="L330" s="295">
        <f t="shared" si="195"/>
        <v>20000</v>
      </c>
    </row>
    <row r="331" spans="1:12" ht="31.5" x14ac:dyDescent="0.2">
      <c r="A331" s="116" t="str">
        <f>IF(B331&gt;0,VLOOKUP(B331,КВСР!A135:B1300,2),IF(C331&gt;0,VLOOKUP(C331,КФСР!A135:B1647,2),IF(D331&gt;0,VLOOKUP(D331,Программа!A$1:B$5110,2),IF(F331&gt;0,VLOOKUP(F331,КВР!A$1:B$5001,2),IF(E331&gt;0,VLOOKUP(E331,Направление!A$1:B$4783,2))))))</f>
        <v>Обеспечение деятельности прочих учреждений в сфере образования</v>
      </c>
      <c r="B331" s="123"/>
      <c r="C331" s="124"/>
      <c r="D331" s="126"/>
      <c r="E331" s="124">
        <v>13310</v>
      </c>
      <c r="F331" s="114"/>
      <c r="G331" s="385"/>
      <c r="H331" s="385">
        <f t="shared" ref="H331:L331" si="227">H332+H333+H334</f>
        <v>20449563</v>
      </c>
      <c r="I331" s="385">
        <f t="shared" si="227"/>
        <v>20449563</v>
      </c>
      <c r="J331" s="385"/>
      <c r="K331" s="295">
        <f t="shared" si="227"/>
        <v>20449563</v>
      </c>
      <c r="L331" s="295">
        <f t="shared" si="227"/>
        <v>20449563</v>
      </c>
    </row>
    <row r="332" spans="1:12" ht="110.25" x14ac:dyDescent="0.2">
      <c r="A332" s="116" t="str">
        <f>IF(B332&gt;0,VLOOKUP(B332,КВСР!A136:B1301,2),IF(C332&gt;0,VLOOKUP(C332,КФСР!A136:B1648,2),IF(D332&gt;0,VLOOKUP(D332,Программа!A$1:B$5110,2),IF(F332&gt;0,VLOOKUP(F332,КВР!A$1:B$5001,2),IF(E332&gt;0,VLOOKUP(E332,Направление!A$1:B$4783,2))))))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3"/>
      <c r="C332" s="124"/>
      <c r="D332" s="126"/>
      <c r="E332" s="124"/>
      <c r="F332" s="114">
        <v>100</v>
      </c>
      <c r="G332" s="385"/>
      <c r="H332" s="385">
        <f>18573895</f>
        <v>18573895</v>
      </c>
      <c r="I332" s="385">
        <f t="shared" si="196"/>
        <v>18573895</v>
      </c>
      <c r="J332" s="385"/>
      <c r="K332" s="295">
        <v>18573895</v>
      </c>
      <c r="L332" s="295">
        <f t="shared" si="195"/>
        <v>18573895</v>
      </c>
    </row>
    <row r="333" spans="1:12" ht="63" x14ac:dyDescent="0.2">
      <c r="A333" s="116" t="str">
        <f>IF(B333&gt;0,VLOOKUP(B333,КВСР!A137:B1302,2),IF(C333&gt;0,VLOOKUP(C333,КФСР!A137:B1649,2),IF(D333&gt;0,VLOOKUP(D333,Программа!A$1:B$5110,2),IF(F333&gt;0,VLOOKUP(F333,КВР!A$1:B$5001,2),IF(E333&gt;0,VLOOKUP(E333,Направление!A$1:B$4783,2))))))</f>
        <v xml:space="preserve">Закупка товаров, работ и услуг для обеспечения государственных (муниципальных) нужд
</v>
      </c>
      <c r="B333" s="123"/>
      <c r="C333" s="124"/>
      <c r="D333" s="126"/>
      <c r="E333" s="124"/>
      <c r="F333" s="114">
        <v>200</v>
      </c>
      <c r="G333" s="385"/>
      <c r="H333" s="385">
        <v>1849604</v>
      </c>
      <c r="I333" s="385">
        <f t="shared" si="196"/>
        <v>1849604</v>
      </c>
      <c r="J333" s="385"/>
      <c r="K333" s="295">
        <v>1849604</v>
      </c>
      <c r="L333" s="295">
        <f t="shared" si="195"/>
        <v>1849604</v>
      </c>
    </row>
    <row r="334" spans="1:12" ht="15.75" x14ac:dyDescent="0.2">
      <c r="A334" s="116" t="str">
        <f>IF(B334&gt;0,VLOOKUP(B334,КВСР!A138:B1303,2),IF(C334&gt;0,VLOOKUP(C334,КФСР!A138:B1650,2),IF(D334&gt;0,VLOOKUP(D334,Программа!A$1:B$5110,2),IF(F334&gt;0,VLOOKUP(F334,КВР!A$1:B$5001,2),IF(E334&gt;0,VLOOKUP(E334,Направление!A$1:B$4783,2))))))</f>
        <v>Иные бюджетные ассигнования</v>
      </c>
      <c r="B334" s="123"/>
      <c r="C334" s="124"/>
      <c r="D334" s="126"/>
      <c r="E334" s="124"/>
      <c r="F334" s="114">
        <v>800</v>
      </c>
      <c r="G334" s="385"/>
      <c r="H334" s="385">
        <v>26064</v>
      </c>
      <c r="I334" s="385">
        <f t="shared" si="196"/>
        <v>26064</v>
      </c>
      <c r="J334" s="385"/>
      <c r="K334" s="295">
        <v>26064</v>
      </c>
      <c r="L334" s="295">
        <f t="shared" si="195"/>
        <v>26064</v>
      </c>
    </row>
    <row r="335" spans="1:12" ht="47.25" x14ac:dyDescent="0.2">
      <c r="A335" s="116" t="str">
        <f>IF(B335&gt;0,VLOOKUP(B335,КВСР!A130:B1295,2),IF(C335&gt;0,VLOOKUP(C335,КФСР!A130:B1642,2),IF(D335&gt;0,VLOOKUP(D335,Программа!A$1:B$5110,2),IF(F335&gt;0,VLOOKUP(F335,КВР!A$1:B$5001,2),IF(E335&gt;0,VLOOKUP(E335,Направление!A$1:B$4783,2))))))</f>
        <v>Расходы на обеспечение деятельности органов опеки и попечительства за счет средств областного бюджета</v>
      </c>
      <c r="B335" s="123"/>
      <c r="C335" s="124"/>
      <c r="D335" s="126"/>
      <c r="E335" s="124">
        <v>70550</v>
      </c>
      <c r="F335" s="125"/>
      <c r="G335" s="385"/>
      <c r="H335" s="385">
        <f t="shared" ref="H335" si="228">H336+H337+H338</f>
        <v>4126692</v>
      </c>
      <c r="I335" s="385">
        <f t="shared" si="196"/>
        <v>4126692</v>
      </c>
      <c r="J335" s="385"/>
      <c r="K335" s="295">
        <f t="shared" ref="K335" si="229">K336+K337+K338</f>
        <v>4126692</v>
      </c>
      <c r="L335" s="295">
        <f t="shared" si="195"/>
        <v>4126692</v>
      </c>
    </row>
    <row r="336" spans="1:12" ht="110.25" x14ac:dyDescent="0.2">
      <c r="A336" s="116" t="str">
        <f>IF(B336&gt;0,VLOOKUP(B336,КВСР!A131:B1296,2),IF(C336&gt;0,VLOOKUP(C336,КФСР!A131:B1643,2),IF(D336&gt;0,VLOOKUP(D336,Программа!A$1:B$5110,2),IF(F336&gt;0,VLOOKUP(F336,КВР!A$1:B$5001,2),IF(E336&gt;0,VLOOKUP(E336,Направление!A$1:B$4783,2))))))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3"/>
      <c r="C336" s="124"/>
      <c r="D336" s="126"/>
      <c r="E336" s="124"/>
      <c r="F336" s="125">
        <v>100</v>
      </c>
      <c r="G336" s="385"/>
      <c r="H336" s="385">
        <v>3233885</v>
      </c>
      <c r="I336" s="385">
        <f t="shared" si="196"/>
        <v>3233885</v>
      </c>
      <c r="J336" s="385"/>
      <c r="K336" s="295">
        <v>3233885</v>
      </c>
      <c r="L336" s="295">
        <f t="shared" si="195"/>
        <v>3233885</v>
      </c>
    </row>
    <row r="337" spans="1:12" ht="63" x14ac:dyDescent="0.2">
      <c r="A337" s="116" t="str">
        <f>IF(B337&gt;0,VLOOKUP(B337,КВСР!A132:B1297,2),IF(C337&gt;0,VLOOKUP(C337,КФСР!A132:B1644,2),IF(D337&gt;0,VLOOKUP(D337,Программа!A$1:B$5110,2),IF(F337&gt;0,VLOOKUP(F337,КВР!A$1:B$5001,2),IF(E337&gt;0,VLOOKUP(E337,Направление!A$1:B$4783,2))))))</f>
        <v xml:space="preserve">Закупка товаров, работ и услуг для обеспечения государственных (муниципальных) нужд
</v>
      </c>
      <c r="B337" s="117"/>
      <c r="C337" s="124"/>
      <c r="D337" s="126"/>
      <c r="E337" s="124"/>
      <c r="F337" s="125">
        <v>200</v>
      </c>
      <c r="G337" s="385"/>
      <c r="H337" s="385">
        <v>889507</v>
      </c>
      <c r="I337" s="385">
        <f t="shared" si="196"/>
        <v>889507</v>
      </c>
      <c r="J337" s="385"/>
      <c r="K337" s="295">
        <v>889507</v>
      </c>
      <c r="L337" s="295">
        <f t="shared" si="195"/>
        <v>889507</v>
      </c>
    </row>
    <row r="338" spans="1:12" ht="15.75" x14ac:dyDescent="0.2">
      <c r="A338" s="116" t="str">
        <f>IF(B338&gt;0,VLOOKUP(B338,КВСР!A133:B1298,2),IF(C338&gt;0,VLOOKUP(C338,КФСР!A133:B1645,2),IF(D338&gt;0,VLOOKUP(D338,Программа!A$1:B$5110,2),IF(F338&gt;0,VLOOKUP(F338,КВР!A$1:B$5001,2),IF(E338&gt;0,VLOOKUP(E338,Направление!A$1:B$4783,2))))))</f>
        <v>Иные бюджетные ассигнования</v>
      </c>
      <c r="B338" s="117"/>
      <c r="C338" s="124"/>
      <c r="D338" s="126"/>
      <c r="E338" s="124"/>
      <c r="F338" s="125">
        <v>800</v>
      </c>
      <c r="G338" s="385"/>
      <c r="H338" s="385">
        <v>3300</v>
      </c>
      <c r="I338" s="385">
        <f t="shared" si="196"/>
        <v>3300</v>
      </c>
      <c r="J338" s="385"/>
      <c r="K338" s="295">
        <v>3300</v>
      </c>
      <c r="L338" s="295">
        <f t="shared" si="195"/>
        <v>3300</v>
      </c>
    </row>
    <row r="339" spans="1:12" ht="15.75" x14ac:dyDescent="0.2">
      <c r="A339" s="116" t="str">
        <f>IF(B339&gt;0,VLOOKUP(B339,КВСР!A134:B1299,2),IF(C339&gt;0,VLOOKUP(C339,КФСР!A134:B1646,2),IF(D339&gt;0,VLOOKUP(D339,Программа!A$1:B$5110,2),IF(F339&gt;0,VLOOKUP(F339,КВР!A$1:B$5001,2),IF(E339&gt;0,VLOOKUP(E339,Направление!A$1:B$4783,2))))))</f>
        <v>Социальное обеспечение населения</v>
      </c>
      <c r="B339" s="117"/>
      <c r="C339" s="124">
        <v>1003</v>
      </c>
      <c r="D339" s="126"/>
      <c r="E339" s="124"/>
      <c r="F339" s="125"/>
      <c r="G339" s="385"/>
      <c r="H339" s="385">
        <f t="shared" ref="H339:L343" si="230">H340</f>
        <v>133429</v>
      </c>
      <c r="I339" s="385">
        <f t="shared" si="230"/>
        <v>133429</v>
      </c>
      <c r="J339" s="385"/>
      <c r="K339" s="295">
        <f t="shared" si="230"/>
        <v>133429</v>
      </c>
      <c r="L339" s="295">
        <f t="shared" si="230"/>
        <v>133429</v>
      </c>
    </row>
    <row r="340" spans="1:12" ht="63" x14ac:dyDescent="0.2">
      <c r="A340" s="116" t="str">
        <f>IF(B340&gt;0,VLOOKUP(B340,КВСР!A135:B1300,2),IF(C340&gt;0,VLOOKUP(C340,КФСР!A135:B1647,2),IF(D340&gt;0,VLOOKUP(D340,Программа!A$1:B$5110,2),IF(F340&gt;0,VLOOKUP(F340,КВР!A$1:B$5001,2),IF(E340&gt;0,VLOOKUP(E340,Направление!A$1:B$4783,2))))))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0" s="117"/>
      <c r="C340" s="124"/>
      <c r="D340" s="126" t="s">
        <v>452</v>
      </c>
      <c r="E340" s="124"/>
      <c r="F340" s="125"/>
      <c r="G340" s="385"/>
      <c r="H340" s="385">
        <f t="shared" si="230"/>
        <v>133429</v>
      </c>
      <c r="I340" s="385">
        <f t="shared" si="230"/>
        <v>133429</v>
      </c>
      <c r="J340" s="385"/>
      <c r="K340" s="295">
        <f t="shared" si="230"/>
        <v>133429</v>
      </c>
      <c r="L340" s="295">
        <f t="shared" si="230"/>
        <v>133429</v>
      </c>
    </row>
    <row r="341" spans="1:12" ht="63" x14ac:dyDescent="0.2">
      <c r="A341" s="116" t="str">
        <f>IF(B341&gt;0,VLOOKUP(B341,КВСР!A136:B1301,2),IF(C341&gt;0,VLOOKUP(C341,КФСР!A136:B1648,2),IF(D341&gt;0,VLOOKUP(D341,Программа!A$1:B$5110,2),IF(F341&gt;0,VLOOKUP(F341,КВР!A$1:B$5001,2),IF(E341&gt;0,VLOOKUP(E341,Направление!A$1:B$4783,2))))))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7"/>
      <c r="C341" s="124"/>
      <c r="D341" s="126" t="s">
        <v>454</v>
      </c>
      <c r="E341" s="124"/>
      <c r="F341" s="125"/>
      <c r="G341" s="385"/>
      <c r="H341" s="385">
        <f t="shared" si="230"/>
        <v>133429</v>
      </c>
      <c r="I341" s="385">
        <f t="shared" si="230"/>
        <v>133429</v>
      </c>
      <c r="J341" s="385"/>
      <c r="K341" s="295">
        <f t="shared" si="230"/>
        <v>133429</v>
      </c>
      <c r="L341" s="295">
        <f t="shared" si="230"/>
        <v>133429</v>
      </c>
    </row>
    <row r="342" spans="1:12" ht="15.75" x14ac:dyDescent="0.2">
      <c r="A342" s="116" t="str">
        <f>IF(B342&gt;0,VLOOKUP(B342,КВСР!A137:B1302,2),IF(C342&gt;0,VLOOKUP(C342,КФСР!A137:B1649,2),IF(D342&gt;0,VLOOKUP(D342,Программа!A$1:B$5110,2),IF(F342&gt;0,VLOOKUP(F342,КВР!A$1:B$5001,2),IF(E342&gt;0,VLOOKUP(E342,Направление!A$1:B$4783,2))))))</f>
        <v>Обеспечение компенсационных выплат</v>
      </c>
      <c r="B342" s="117"/>
      <c r="C342" s="124"/>
      <c r="D342" s="126" t="s">
        <v>1156</v>
      </c>
      <c r="E342" s="124"/>
      <c r="F342" s="125"/>
      <c r="G342" s="385"/>
      <c r="H342" s="385">
        <f t="shared" si="230"/>
        <v>133429</v>
      </c>
      <c r="I342" s="385">
        <f t="shared" si="230"/>
        <v>133429</v>
      </c>
      <c r="J342" s="385"/>
      <c r="K342" s="295">
        <f t="shared" si="230"/>
        <v>133429</v>
      </c>
      <c r="L342" s="295">
        <f t="shared" si="230"/>
        <v>133429</v>
      </c>
    </row>
    <row r="343" spans="1:12" ht="47.25" x14ac:dyDescent="0.2">
      <c r="A343" s="116" t="str">
        <f>IF(B343&gt;0,VLOOKUP(B343,КВСР!A138:B1303,2),IF(C343&gt;0,VLOOKUP(C343,КФСР!A138:B1650,2),IF(D343&gt;0,VLOOKUP(D343,Программа!A$1:B$5110,2),IF(F343&gt;0,VLOOKUP(F343,КВР!A$1:B$5001,2),IF(E343&gt;0,VLOOKUP(E343,Направление!A$1:B$4783,2))))))</f>
        <v>Компенсация части расходов на приобретение путевки в организации отдыха детей и их оздоровления</v>
      </c>
      <c r="B343" s="117"/>
      <c r="C343" s="124"/>
      <c r="D343" s="126"/>
      <c r="E343" s="124">
        <v>74390</v>
      </c>
      <c r="F343" s="125"/>
      <c r="G343" s="385"/>
      <c r="H343" s="385">
        <f t="shared" si="230"/>
        <v>133429</v>
      </c>
      <c r="I343" s="385">
        <f t="shared" si="230"/>
        <v>133429</v>
      </c>
      <c r="J343" s="385"/>
      <c r="K343" s="295">
        <f t="shared" si="230"/>
        <v>133429</v>
      </c>
      <c r="L343" s="295">
        <f t="shared" si="230"/>
        <v>133429</v>
      </c>
    </row>
    <row r="344" spans="1:12" ht="31.5" x14ac:dyDescent="0.2">
      <c r="A344" s="116" t="str">
        <f>IF(B344&gt;0,VLOOKUP(B344,КВСР!A139:B1304,2),IF(C344&gt;0,VLOOKUP(C344,КФСР!A139:B1651,2),IF(D344&gt;0,VLOOKUP(D344,Программа!A$1:B$5110,2),IF(F344&gt;0,VLOOKUP(F344,КВР!A$1:B$5001,2),IF(E344&gt;0,VLOOKUP(E344,Направление!A$1:B$4783,2))))))</f>
        <v>Социальное обеспечение и иные выплаты населению</v>
      </c>
      <c r="B344" s="117"/>
      <c r="C344" s="124"/>
      <c r="D344" s="126"/>
      <c r="E344" s="124"/>
      <c r="F344" s="125">
        <v>300</v>
      </c>
      <c r="G344" s="385"/>
      <c r="H344" s="385">
        <v>133429</v>
      </c>
      <c r="I344" s="385">
        <f>G344+H344</f>
        <v>133429</v>
      </c>
      <c r="J344" s="385"/>
      <c r="K344" s="295">
        <v>133429</v>
      </c>
      <c r="L344" s="295">
        <f>J344+K344</f>
        <v>133429</v>
      </c>
    </row>
    <row r="345" spans="1:12" ht="15.75" x14ac:dyDescent="0.2">
      <c r="A345" s="116" t="str">
        <f>IF(B345&gt;0,VLOOKUP(B345,КВСР!A134:B1299,2),IF(C345&gt;0,VLOOKUP(C345,КФСР!A134:B1646,2),IF(D345&gt;0,VLOOKUP(D345,Программа!A$1:B$5110,2),IF(F345&gt;0,VLOOKUP(F345,КВР!A$1:B$5001,2),IF(E345&gt;0,VLOOKUP(E345,Направление!A$1:B$4783,2))))))</f>
        <v>Охрана семьи и детства</v>
      </c>
      <c r="B345" s="123"/>
      <c r="C345" s="112">
        <v>1004</v>
      </c>
      <c r="D345" s="127"/>
      <c r="E345" s="128"/>
      <c r="F345" s="125"/>
      <c r="G345" s="385"/>
      <c r="H345" s="385">
        <f t="shared" ref="H345:L346" si="231">H346</f>
        <v>47547081</v>
      </c>
      <c r="I345" s="385">
        <f t="shared" si="196"/>
        <v>47547081</v>
      </c>
      <c r="J345" s="385"/>
      <c r="K345" s="295">
        <f t="shared" ref="K345" si="232">K346</f>
        <v>47573285</v>
      </c>
      <c r="L345" s="295">
        <f t="shared" si="195"/>
        <v>47573285</v>
      </c>
    </row>
    <row r="346" spans="1:12" ht="63" x14ac:dyDescent="0.2">
      <c r="A346" s="116" t="str">
        <f>IF(B346&gt;0,VLOOKUP(B346,КВСР!A152:B1317,2),IF(C346&gt;0,VLOOKUP(C346,КФСР!A152:B1664,2),IF(D346&gt;0,VLOOKUP(D346,Программа!A$1:B$5110,2),IF(F346&gt;0,VLOOKUP(F346,КВР!A$1:B$5001,2),IF(E346&gt;0,VLOOKUP(E346,Направление!A$1:B$4783,2))))))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6" s="117"/>
      <c r="C346" s="112"/>
      <c r="D346" s="129" t="s">
        <v>452</v>
      </c>
      <c r="E346" s="130"/>
      <c r="F346" s="125"/>
      <c r="G346" s="385"/>
      <c r="H346" s="385">
        <f t="shared" si="231"/>
        <v>47547081</v>
      </c>
      <c r="I346" s="385">
        <f t="shared" si="231"/>
        <v>47547081</v>
      </c>
      <c r="J346" s="385">
        <f t="shared" si="231"/>
        <v>0</v>
      </c>
      <c r="K346" s="385">
        <f t="shared" si="231"/>
        <v>47573285</v>
      </c>
      <c r="L346" s="385">
        <f t="shared" si="231"/>
        <v>47573285</v>
      </c>
    </row>
    <row r="347" spans="1:12" ht="63" x14ac:dyDescent="0.2">
      <c r="A347" s="116" t="str">
        <f>IF(B347&gt;0,VLOOKUP(B347,КВСР!A153:B1318,2),IF(C347&gt;0,VLOOKUP(C347,КФСР!A153:B1665,2),IF(D347&gt;0,VLOOKUP(D347,Программа!A$1:B$5110,2),IF(F347&gt;0,VLOOKUP(F347,КВР!A$1:B$5001,2),IF(E347&gt;0,VLOOKUP(E347,Направление!A$1:B$4783,2))))))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7"/>
      <c r="C347" s="112"/>
      <c r="D347" s="129" t="s">
        <v>454</v>
      </c>
      <c r="E347" s="130"/>
      <c r="F347" s="125"/>
      <c r="G347" s="385"/>
      <c r="H347" s="385">
        <f t="shared" ref="H347" si="233">H351+H364+H348</f>
        <v>47547081</v>
      </c>
      <c r="I347" s="385">
        <f t="shared" ref="I347:L347" si="234">I351+I364+I348</f>
        <v>47547081</v>
      </c>
      <c r="J347" s="385">
        <f t="shared" si="234"/>
        <v>0</v>
      </c>
      <c r="K347" s="385">
        <f t="shared" si="234"/>
        <v>47573285</v>
      </c>
      <c r="L347" s="385">
        <f t="shared" si="234"/>
        <v>47573285</v>
      </c>
    </row>
    <row r="348" spans="1:12" ht="47.25" x14ac:dyDescent="0.2">
      <c r="A348" s="116" t="str">
        <f>IF(B348&gt;0,VLOOKUP(B348,КВСР!A154:B1319,2),IF(C348&gt;0,VLOOKUP(C348,КФСР!A154:B1666,2),IF(D348&gt;0,VLOOKUP(D348,Программа!A$1:B$5110,2),IF(F348&gt;0,VLOOKUP(F348,КВР!A$1:B$5001,2),IF(E348&gt;0,VLOOKUP(E348,Направление!A$1:B$4783,2))))))</f>
        <v>Обеспечение качества и доступности образовательных услуг в сфере дошкольного образования</v>
      </c>
      <c r="B348" s="117"/>
      <c r="C348" s="112"/>
      <c r="D348" s="113" t="s">
        <v>455</v>
      </c>
      <c r="E348" s="130"/>
      <c r="F348" s="125"/>
      <c r="G348" s="385"/>
      <c r="H348" s="385">
        <f t="shared" ref="H348:L349" si="235">H349</f>
        <v>30000</v>
      </c>
      <c r="I348" s="385">
        <f t="shared" si="235"/>
        <v>30000</v>
      </c>
      <c r="J348" s="385">
        <f t="shared" si="235"/>
        <v>0</v>
      </c>
      <c r="K348" s="385">
        <f t="shared" si="235"/>
        <v>30000</v>
      </c>
      <c r="L348" s="385">
        <f t="shared" si="235"/>
        <v>30000</v>
      </c>
    </row>
    <row r="349" spans="1:12" ht="63" x14ac:dyDescent="0.2">
      <c r="A349" s="116" t="str">
        <f>IF(B349&gt;0,VLOOKUP(B349,КВСР!A155:B1320,2),IF(C349&gt;0,VLOOKUP(C349,КФСР!A155:B1667,2),IF(D349&gt;0,VLOOKUP(D349,Программа!A$1:B$5110,2),IF(F349&gt;0,VLOOKUP(F349,КВР!A$1:B$5001,2),IF(E349&gt;0,VLOOKUP(E349,Направление!A$1:B$4783,2))))))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7"/>
      <c r="C349" s="112"/>
      <c r="D349" s="129"/>
      <c r="E349" s="130">
        <v>73110</v>
      </c>
      <c r="F349" s="125"/>
      <c r="G349" s="385"/>
      <c r="H349" s="385">
        <f t="shared" si="235"/>
        <v>30000</v>
      </c>
      <c r="I349" s="385">
        <f t="shared" si="235"/>
        <v>30000</v>
      </c>
      <c r="J349" s="385"/>
      <c r="K349" s="385">
        <f t="shared" si="235"/>
        <v>30000</v>
      </c>
      <c r="L349" s="385">
        <f t="shared" si="235"/>
        <v>30000</v>
      </c>
    </row>
    <row r="350" spans="1:12" ht="110.25" x14ac:dyDescent="0.2">
      <c r="A350" s="116" t="str">
        <f>IF(B350&gt;0,VLOOKUP(B350,КВСР!A156:B1321,2),IF(C350&gt;0,VLOOKUP(C350,КФСР!A156:B1668,2),IF(D350&gt;0,VLOOKUP(D350,Программа!A$1:B$5110,2),IF(F350&gt;0,VLOOKUP(F350,КВР!A$1:B$5001,2),IF(E350&gt;0,VLOOKUP(E350,Направление!A$1:B$4783,2))))))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7"/>
      <c r="C350" s="112"/>
      <c r="D350" s="129"/>
      <c r="E350" s="130"/>
      <c r="F350" s="125">
        <v>100</v>
      </c>
      <c r="G350" s="385"/>
      <c r="H350" s="385">
        <v>30000</v>
      </c>
      <c r="I350" s="385">
        <f>G350+H350</f>
        <v>30000</v>
      </c>
      <c r="J350" s="385"/>
      <c r="K350" s="295">
        <v>30000</v>
      </c>
      <c r="L350" s="295">
        <f>J350+K350</f>
        <v>30000</v>
      </c>
    </row>
    <row r="351" spans="1:12" ht="63" x14ac:dyDescent="0.2">
      <c r="A351" s="116" t="str">
        <f>IF(B351&gt;0,VLOOKUP(B351,КВСР!A154:B1319,2),IF(C351&gt;0,VLOOKUP(C351,КФСР!A154:B1666,2),IF(D351&gt;0,VLOOKUP(D351,Программа!A$1:B$5110,2),IF(F351&gt;0,VLOOKUP(F351,КВР!A$1:B$5001,2),IF(E351&gt;0,VLOOKUP(E351,Направление!A$1:B$4783,2))))))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351" s="117"/>
      <c r="C351" s="112"/>
      <c r="D351" s="113" t="s">
        <v>503</v>
      </c>
      <c r="E351" s="130"/>
      <c r="F351" s="125"/>
      <c r="G351" s="385"/>
      <c r="H351" s="385">
        <f t="shared" ref="H351:L351" si="236">H352+H354+H356+H359</f>
        <v>36148845</v>
      </c>
      <c r="I351" s="385">
        <f t="shared" si="236"/>
        <v>36148845</v>
      </c>
      <c r="J351" s="385">
        <f t="shared" si="236"/>
        <v>0</v>
      </c>
      <c r="K351" s="385">
        <f t="shared" si="236"/>
        <v>36175049</v>
      </c>
      <c r="L351" s="385">
        <f t="shared" si="236"/>
        <v>36175049</v>
      </c>
    </row>
    <row r="352" spans="1:12" ht="78.75" x14ac:dyDescent="0.2">
      <c r="A352" s="116" t="str">
        <f>IF(B352&gt;0,VLOOKUP(B352,КВСР!A155:B1320,2),IF(C352&gt;0,VLOOKUP(C352,КФСР!A155:B1667,2),IF(D352&gt;0,VLOOKUP(D352,Программа!A$1:B$5110,2),IF(F352&gt;0,VLOOKUP(F352,КВР!A$1:B$5001,2),IF(E352&gt;0,VLOOKUP(E352,Направление!A$1:B$4783,2))))))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7"/>
      <c r="C352" s="112"/>
      <c r="D352" s="129"/>
      <c r="E352" s="130">
        <v>52600</v>
      </c>
      <c r="F352" s="125"/>
      <c r="G352" s="385"/>
      <c r="H352" s="385">
        <f t="shared" ref="H352" si="237">H353</f>
        <v>655097</v>
      </c>
      <c r="I352" s="385">
        <f t="shared" si="196"/>
        <v>655097</v>
      </c>
      <c r="J352" s="385"/>
      <c r="K352" s="295">
        <f t="shared" ref="K352" si="238">K353</f>
        <v>681301</v>
      </c>
      <c r="L352" s="295">
        <f t="shared" si="195"/>
        <v>681301</v>
      </c>
    </row>
    <row r="353" spans="1:12" ht="31.5" x14ac:dyDescent="0.2">
      <c r="A353" s="116" t="str">
        <f>IF(B353&gt;0,VLOOKUP(B353,КВСР!A158:B1323,2),IF(C353&gt;0,VLOOKUP(C353,КФСР!A158:B1670,2),IF(D353&gt;0,VLOOKUP(D353,Программа!A$1:B$5110,2),IF(F353&gt;0,VLOOKUP(F353,КВР!A$1:B$5001,2),IF(E353&gt;0,VLOOKUP(E353,Направление!A$1:B$4783,2))))))</f>
        <v>Социальное обеспечение и иные выплаты населению</v>
      </c>
      <c r="B353" s="117"/>
      <c r="C353" s="112"/>
      <c r="D353" s="129"/>
      <c r="E353" s="130"/>
      <c r="F353" s="125">
        <v>300</v>
      </c>
      <c r="G353" s="385"/>
      <c r="H353" s="385">
        <v>655097</v>
      </c>
      <c r="I353" s="385">
        <f t="shared" si="196"/>
        <v>655097</v>
      </c>
      <c r="J353" s="385"/>
      <c r="K353" s="295">
        <v>681301</v>
      </c>
      <c r="L353" s="295">
        <f t="shared" si="195"/>
        <v>681301</v>
      </c>
    </row>
    <row r="354" spans="1:12" ht="94.5" hidden="1" x14ac:dyDescent="0.2">
      <c r="A354" s="116" t="str">
        <f>IF(B354&gt;0,VLOOKUP(B354,КВСР!A159:B1324,2),IF(C354&gt;0,VLOOKUP(C354,КФСР!A159:B1671,2),IF(D354&gt;0,VLOOKUP(D354,Программа!A$1:B$5110,2),IF(F354&gt;0,VLOOKUP(F354,КВР!A$1:B$5001,2),IF(E354&gt;0,VLOOKUP(E354,Направление!A$1:B$4783,2))))))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7"/>
      <c r="C354" s="112"/>
      <c r="D354" s="129"/>
      <c r="E354" s="130">
        <v>70430</v>
      </c>
      <c r="F354" s="125"/>
      <c r="G354" s="385"/>
      <c r="H354" s="385">
        <f t="shared" ref="H354" si="239">H355</f>
        <v>0</v>
      </c>
      <c r="I354" s="385">
        <f t="shared" si="196"/>
        <v>0</v>
      </c>
      <c r="J354" s="385"/>
      <c r="K354" s="295">
        <f t="shared" ref="K354" si="240">K355</f>
        <v>0</v>
      </c>
      <c r="L354" s="295">
        <f t="shared" si="195"/>
        <v>0</v>
      </c>
    </row>
    <row r="355" spans="1:12" ht="31.5" hidden="1" x14ac:dyDescent="0.2">
      <c r="A355" s="116" t="str">
        <f>IF(B355&gt;0,VLOOKUP(B355,КВСР!A160:B1325,2),IF(C355&gt;0,VLOOKUP(C355,КФСР!A160:B1672,2),IF(D355&gt;0,VLOOKUP(D355,Программа!A$1:B$5110,2),IF(F355&gt;0,VLOOKUP(F355,КВР!A$1:B$5001,2),IF(E355&gt;0,VLOOKUP(E355,Направление!A$1:B$4783,2))))))</f>
        <v>Социальное обеспечение и иные выплаты населению</v>
      </c>
      <c r="B355" s="117"/>
      <c r="C355" s="112"/>
      <c r="D355" s="129"/>
      <c r="E355" s="130"/>
      <c r="F355" s="125">
        <v>300</v>
      </c>
      <c r="G355" s="385"/>
      <c r="H355" s="385"/>
      <c r="I355" s="385">
        <f t="shared" si="196"/>
        <v>0</v>
      </c>
      <c r="J355" s="385"/>
      <c r="K355" s="295"/>
      <c r="L355" s="295">
        <f t="shared" si="195"/>
        <v>0</v>
      </c>
    </row>
    <row r="356" spans="1:12" ht="78.75" x14ac:dyDescent="0.2">
      <c r="A356" s="116" t="str">
        <f>IF(B356&gt;0,VLOOKUP(B356,КВСР!A161:B1326,2),IF(C356&gt;0,VLOOKUP(C356,КФСР!A161:B1673,2),IF(D356&gt;0,VLOOKUP(D356,Программа!A$1:B$5110,2),IF(F356&gt;0,VLOOKUP(F356,КВР!A$1:B$5001,2),IF(E356&gt;0,VLOOKUP(E356,Направление!A$1:B$4783,2))))))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7"/>
      <c r="C356" s="112"/>
      <c r="D356" s="129"/>
      <c r="E356" s="130">
        <v>70460</v>
      </c>
      <c r="F356" s="125"/>
      <c r="G356" s="385"/>
      <c r="H356" s="385">
        <f t="shared" ref="H356" si="241">H357+H358</f>
        <v>31124721</v>
      </c>
      <c r="I356" s="385">
        <f t="shared" si="196"/>
        <v>31124721</v>
      </c>
      <c r="J356" s="385"/>
      <c r="K356" s="295">
        <f t="shared" ref="K356" si="242">K357+K358</f>
        <v>31124721</v>
      </c>
      <c r="L356" s="295">
        <f t="shared" si="195"/>
        <v>31124721</v>
      </c>
    </row>
    <row r="357" spans="1:12" ht="63" x14ac:dyDescent="0.25">
      <c r="A357" s="116" t="str">
        <f>IF(B357&gt;0,VLOOKUP(B357,КВСР!A162:B1327,2),IF(C357&gt;0,VLOOKUP(C357,КФСР!A162:B1674,2),IF(D357&gt;0,VLOOKUP(D357,Программа!A$1:B$5110,2),IF(F357&gt;0,VLOOKUP(F357,КВР!A$1:B$5001,2),IF(E357&gt;0,VLOOKUP(E357,Направление!A$1:B$4783,2))))))</f>
        <v xml:space="preserve">Закупка товаров, работ и услуг для обеспечения государственных (муниципальных) нужд
</v>
      </c>
      <c r="B357" s="117"/>
      <c r="C357" s="112"/>
      <c r="D357" s="143"/>
      <c r="E357" s="144"/>
      <c r="F357" s="125">
        <v>200</v>
      </c>
      <c r="G357" s="385"/>
      <c r="H357" s="385">
        <f>44161+51745</f>
        <v>95906</v>
      </c>
      <c r="I357" s="385">
        <f t="shared" si="196"/>
        <v>95906</v>
      </c>
      <c r="J357" s="385"/>
      <c r="K357" s="295">
        <f>44161+51745</f>
        <v>95906</v>
      </c>
      <c r="L357" s="295">
        <f t="shared" si="195"/>
        <v>95906</v>
      </c>
    </row>
    <row r="358" spans="1:12" ht="31.5" x14ac:dyDescent="0.25">
      <c r="A358" s="116" t="str">
        <f>IF(B358&gt;0,VLOOKUP(B358,КВСР!A163:B1328,2),IF(C358&gt;0,VLOOKUP(C358,КФСР!A163:B1675,2),IF(D358&gt;0,VLOOKUP(D358,Программа!A$1:B$5110,2),IF(F358&gt;0,VLOOKUP(F358,КВР!A$1:B$5001,2),IF(E358&gt;0,VLOOKUP(E358,Направление!A$1:B$4783,2))))))</f>
        <v>Социальное обеспечение и иные выплаты населению</v>
      </c>
      <c r="B358" s="117"/>
      <c r="C358" s="112"/>
      <c r="D358" s="143"/>
      <c r="E358" s="144"/>
      <c r="F358" s="125">
        <v>300</v>
      </c>
      <c r="G358" s="385"/>
      <c r="H358" s="385">
        <f>8832169+10348872+11847774</f>
        <v>31028815</v>
      </c>
      <c r="I358" s="385">
        <f t="shared" si="196"/>
        <v>31028815</v>
      </c>
      <c r="J358" s="385"/>
      <c r="K358" s="295">
        <f>8832169+10348872+11847774</f>
        <v>31028815</v>
      </c>
      <c r="L358" s="295">
        <f t="shared" si="195"/>
        <v>31028815</v>
      </c>
    </row>
    <row r="359" spans="1:12" ht="47.25" x14ac:dyDescent="0.25">
      <c r="A359" s="116" t="str">
        <f>IF(B359&gt;0,VLOOKUP(B359,КВСР!A164:B1329,2),IF(C359&gt;0,VLOOKUP(C359,КФСР!A164:B1676,2),IF(D359&gt;0,VLOOKUP(D359,Программа!A$1:B$5110,2),IF(F359&gt;0,VLOOKUP(F359,КВР!A$1:B$5001,2),IF(E359&gt;0,VLOOKUP(E359,Направление!A$1:B$4783,2))))))</f>
        <v>Государственная поддержка опеки и попечительства за счет средств областного бюджета</v>
      </c>
      <c r="B359" s="123"/>
      <c r="C359" s="112"/>
      <c r="D359" s="143"/>
      <c r="E359" s="112">
        <v>70500</v>
      </c>
      <c r="F359" s="125"/>
      <c r="G359" s="385"/>
      <c r="H359" s="385">
        <f t="shared" ref="H359" si="243">H360+H361+H362+H363</f>
        <v>4369027</v>
      </c>
      <c r="I359" s="385">
        <f t="shared" si="196"/>
        <v>4369027</v>
      </c>
      <c r="J359" s="385"/>
      <c r="K359" s="295">
        <f t="shared" ref="K359" si="244">K360+K361+K362+K363</f>
        <v>4369027</v>
      </c>
      <c r="L359" s="295">
        <f t="shared" si="195"/>
        <v>4369027</v>
      </c>
    </row>
    <row r="360" spans="1:12" ht="110.25" hidden="1" x14ac:dyDescent="0.2">
      <c r="A360" s="116" t="str">
        <f>IF(B360&gt;0,VLOOKUP(B360,КВСР!A165:B1330,2),IF(C360&gt;0,VLOOKUP(C360,КФСР!A165:B1677,2),IF(D360&gt;0,VLOOKUP(D360,Программа!A$1:B$5110,2),IF(F360&gt;0,VLOOKUP(F360,КВР!A$1:B$5001,2),IF(E360&gt;0,VLOOKUP(E360,Направление!A$1:B$4783,2))))))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3"/>
      <c r="C360" s="124"/>
      <c r="D360" s="126"/>
      <c r="E360" s="124"/>
      <c r="F360" s="125">
        <v>100</v>
      </c>
      <c r="G360" s="385"/>
      <c r="H360" s="385"/>
      <c r="I360" s="385">
        <f t="shared" si="196"/>
        <v>0</v>
      </c>
      <c r="J360" s="385"/>
      <c r="K360" s="295"/>
      <c r="L360" s="295">
        <f t="shared" si="195"/>
        <v>0</v>
      </c>
    </row>
    <row r="361" spans="1:12" ht="63" x14ac:dyDescent="0.2">
      <c r="A361" s="116" t="str">
        <f>IF(B361&gt;0,VLOOKUP(B361,КВСР!A166:B1331,2),IF(C361&gt;0,VLOOKUP(C361,КФСР!A166:B1678,2),IF(D361&gt;0,VLOOKUP(D361,Программа!A$1:B$5110,2),IF(F361&gt;0,VLOOKUP(F361,КВР!A$1:B$5001,2),IF(E361&gt;0,VLOOKUP(E361,Направление!A$1:B$4783,2))))))</f>
        <v xml:space="preserve">Закупка товаров, работ и услуг для обеспечения государственных (муниципальных) нужд
</v>
      </c>
      <c r="B361" s="123"/>
      <c r="C361" s="124"/>
      <c r="D361" s="126"/>
      <c r="E361" s="124"/>
      <c r="F361" s="125">
        <v>200</v>
      </c>
      <c r="G361" s="385"/>
      <c r="H361" s="385">
        <f>5464</f>
        <v>5464</v>
      </c>
      <c r="I361" s="385">
        <f t="shared" si="196"/>
        <v>5464</v>
      </c>
      <c r="J361" s="385"/>
      <c r="K361" s="295">
        <v>5464</v>
      </c>
      <c r="L361" s="295">
        <f t="shared" si="195"/>
        <v>5464</v>
      </c>
    </row>
    <row r="362" spans="1:12" ht="31.5" x14ac:dyDescent="0.2">
      <c r="A362" s="116" t="str">
        <f>IF(B362&gt;0,VLOOKUP(B362,КВСР!A167:B1332,2),IF(C362&gt;0,VLOOKUP(C362,КФСР!A167:B1679,2),IF(D362&gt;0,VLOOKUP(D362,Программа!A$1:B$5110,2),IF(F362&gt;0,VLOOKUP(F362,КВР!A$1:B$5001,2),IF(E362&gt;0,VLOOKUP(E362,Направление!A$1:B$4783,2))))))</f>
        <v>Социальное обеспечение и иные выплаты населению</v>
      </c>
      <c r="B362" s="123"/>
      <c r="C362" s="124"/>
      <c r="D362" s="126"/>
      <c r="E362" s="124"/>
      <c r="F362" s="125">
        <v>300</v>
      </c>
      <c r="G362" s="385"/>
      <c r="H362" s="385">
        <f>599867+23267+288740+393322+1086611</f>
        <v>2391807</v>
      </c>
      <c r="I362" s="385">
        <f t="shared" si="196"/>
        <v>2391807</v>
      </c>
      <c r="J362" s="385"/>
      <c r="K362" s="295">
        <v>2391807</v>
      </c>
      <c r="L362" s="295">
        <f t="shared" si="195"/>
        <v>2391807</v>
      </c>
    </row>
    <row r="363" spans="1:12" ht="47.25" x14ac:dyDescent="0.2">
      <c r="A363" s="116" t="str">
        <f>IF(B363&gt;0,VLOOKUP(B363,КВСР!A168:B1333,2),IF(C363&gt;0,VLOOKUP(C363,КФСР!A168:B1680,2),IF(D363&gt;0,VLOOKUP(D363,Программа!A$1:B$5110,2),IF(F363&gt;0,VLOOKUP(F363,КВР!A$1:B$5001,2),IF(E363&gt;0,VLOOKUP(E363,Направление!A$1:B$4783,2))))))</f>
        <v>Предоставление субсидий бюджетным, автономным учреждениям и иным некоммерческим организациям</v>
      </c>
      <c r="B363" s="123"/>
      <c r="C363" s="124"/>
      <c r="D363" s="126"/>
      <c r="E363" s="124"/>
      <c r="F363" s="125">
        <v>600</v>
      </c>
      <c r="G363" s="385"/>
      <c r="H363" s="385">
        <f>1971756</f>
        <v>1971756</v>
      </c>
      <c r="I363" s="385">
        <f t="shared" si="196"/>
        <v>1971756</v>
      </c>
      <c r="J363" s="385"/>
      <c r="K363" s="295">
        <v>1971756</v>
      </c>
      <c r="L363" s="295">
        <f t="shared" si="195"/>
        <v>1971756</v>
      </c>
    </row>
    <row r="364" spans="1:12" ht="15.75" x14ac:dyDescent="0.2">
      <c r="A364" s="116" t="str">
        <f>IF(B364&gt;0,VLOOKUP(B364,КВСР!A169:B1334,2),IF(C364&gt;0,VLOOKUP(C364,КФСР!A169:B1681,2),IF(D364&gt;0,VLOOKUP(D364,Программа!A$1:B$5110,2),IF(F364&gt;0,VLOOKUP(F364,КВР!A$1:B$5001,2),IF(E364&gt;0,VLOOKUP(E364,Направление!A$1:B$4783,2))))))</f>
        <v>Обеспечение компенсационных выплат</v>
      </c>
      <c r="B364" s="123"/>
      <c r="C364" s="124"/>
      <c r="D364" s="113" t="s">
        <v>1156</v>
      </c>
      <c r="E364" s="124"/>
      <c r="F364" s="125"/>
      <c r="G364" s="385"/>
      <c r="H364" s="385">
        <f t="shared" ref="H364" si="245">H365</f>
        <v>11368236</v>
      </c>
      <c r="I364" s="385">
        <f t="shared" si="196"/>
        <v>11368236</v>
      </c>
      <c r="J364" s="385"/>
      <c r="K364" s="295">
        <f t="shared" ref="K364" si="246">K365</f>
        <v>11368236</v>
      </c>
      <c r="L364" s="295">
        <f t="shared" si="195"/>
        <v>11368236</v>
      </c>
    </row>
    <row r="365" spans="1:12" ht="94.5" x14ac:dyDescent="0.2">
      <c r="A365" s="116" t="str">
        <f>IF(B365&gt;0,VLOOKUP(B365,КВСР!A168:B1333,2),IF(C365&gt;0,VLOOKUP(C365,КФСР!A168:B1680,2),IF(D365&gt;0,VLOOKUP(D365,Программа!A$1:B$5110,2),IF(F365&gt;0,VLOOKUP(F365,КВР!A$1:B$5001,2),IF(E365&gt;0,VLOOKUP(E365,Направление!A$1:B$4783,2))))))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3"/>
      <c r="C365" s="124"/>
      <c r="D365" s="126"/>
      <c r="E365" s="124">
        <v>70430</v>
      </c>
      <c r="F365" s="125"/>
      <c r="G365" s="385"/>
      <c r="H365" s="385">
        <f t="shared" ref="H365" si="247">H366+H367</f>
        <v>11368236</v>
      </c>
      <c r="I365" s="385">
        <f t="shared" si="196"/>
        <v>11368236</v>
      </c>
      <c r="J365" s="385"/>
      <c r="K365" s="295">
        <f t="shared" ref="K365" si="248">K366+K367</f>
        <v>11368236</v>
      </c>
      <c r="L365" s="295">
        <f t="shared" si="195"/>
        <v>11368236</v>
      </c>
    </row>
    <row r="366" spans="1:12" ht="63" x14ac:dyDescent="0.2">
      <c r="A366" s="116" t="str">
        <f>IF(B366&gt;0,VLOOKUP(B366,КВСР!A169:B1334,2),IF(C366&gt;0,VLOOKUP(C366,КФСР!A169:B1681,2),IF(D366&gt;0,VLOOKUP(D366,Программа!A$1:B$5110,2),IF(F366&gt;0,VLOOKUP(F366,КВР!A$1:B$5001,2),IF(E366&gt;0,VLOOKUP(E366,Направление!A$1:B$4783,2))))))</f>
        <v xml:space="preserve">Закупка товаров, работ и услуг для обеспечения государственных (муниципальных) нужд
</v>
      </c>
      <c r="B366" s="123"/>
      <c r="C366" s="124"/>
      <c r="D366" s="113"/>
      <c r="E366" s="112"/>
      <c r="F366" s="114">
        <v>200</v>
      </c>
      <c r="G366" s="385"/>
      <c r="H366" s="385">
        <v>168004</v>
      </c>
      <c r="I366" s="385">
        <f t="shared" si="196"/>
        <v>168004</v>
      </c>
      <c r="J366" s="385"/>
      <c r="K366" s="295">
        <v>168004</v>
      </c>
      <c r="L366" s="295">
        <f t="shared" si="195"/>
        <v>168004</v>
      </c>
    </row>
    <row r="367" spans="1:12" ht="31.5" x14ac:dyDescent="0.2">
      <c r="A367" s="116" t="str">
        <f>IF(B367&gt;0,VLOOKUP(B367,КВСР!A170:B1335,2),IF(C367&gt;0,VLOOKUP(C367,КФСР!A170:B1682,2),IF(D367&gt;0,VLOOKUP(D367,Программа!A$1:B$5110,2),IF(F367&gt;0,VLOOKUP(F367,КВР!A$1:B$5001,2),IF(E367&gt;0,VLOOKUP(E367,Направление!A$1:B$4783,2))))))</f>
        <v>Социальное обеспечение и иные выплаты населению</v>
      </c>
      <c r="B367" s="123"/>
      <c r="C367" s="124"/>
      <c r="D367" s="113"/>
      <c r="E367" s="112"/>
      <c r="F367" s="114">
        <v>300</v>
      </c>
      <c r="G367" s="385"/>
      <c r="H367" s="385">
        <v>11200232</v>
      </c>
      <c r="I367" s="385">
        <f t="shared" ref="I367:I449" si="249">SUM(G367:H367)</f>
        <v>11200232</v>
      </c>
      <c r="J367" s="385"/>
      <c r="K367" s="295">
        <v>11200232</v>
      </c>
      <c r="L367" s="295">
        <f t="shared" ref="L367:L449" si="250">SUM(J367:K367)</f>
        <v>11200232</v>
      </c>
    </row>
    <row r="368" spans="1:12" ht="15.75" x14ac:dyDescent="0.2">
      <c r="A368" s="116" t="str">
        <f>IF(B368&gt;0,VLOOKUP(B368,КВСР!A171:B1336,2),IF(C368&gt;0,VLOOKUP(C368,КФСР!A171:B1683,2),IF(D368&gt;0,VLOOKUP(D368,Программа!A$1:B$5110,2),IF(F368&gt;0,VLOOKUP(F368,КВР!A$1:B$5001,2),IF(E368&gt;0,VLOOKUP(E368,Направление!A$1:B$4783,2))))))</f>
        <v>Массовый спорт</v>
      </c>
      <c r="B368" s="123"/>
      <c r="C368" s="124">
        <v>1102</v>
      </c>
      <c r="D368" s="113"/>
      <c r="E368" s="112"/>
      <c r="F368" s="114"/>
      <c r="G368" s="385"/>
      <c r="H368" s="385">
        <f t="shared" ref="H368:H372" si="251">H369</f>
        <v>25000000</v>
      </c>
      <c r="I368" s="385">
        <f t="shared" si="249"/>
        <v>25000000</v>
      </c>
      <c r="J368" s="385"/>
      <c r="K368" s="295">
        <f t="shared" ref="K368:K372" si="252">K369</f>
        <v>20000000</v>
      </c>
      <c r="L368" s="295">
        <f t="shared" si="250"/>
        <v>20000000</v>
      </c>
    </row>
    <row r="369" spans="1:12" ht="63" x14ac:dyDescent="0.2">
      <c r="A369" s="116" t="str">
        <f>IF(B369&gt;0,VLOOKUP(B369,КВСР!A172:B1337,2),IF(C369&gt;0,VLOOKUP(C369,КФСР!A172:B1684,2),IF(D369&gt;0,VLOOKUP(D369,Программа!A$1:B$5110,2),IF(F369&gt;0,VLOOKUP(F369,КВР!A$1:B$5001,2),IF(E369&gt;0,VLOOKUP(E369,Направление!A$1:B$4783,2))))))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69" s="123"/>
      <c r="C369" s="124"/>
      <c r="D369" s="113" t="s">
        <v>452</v>
      </c>
      <c r="E369" s="112"/>
      <c r="F369" s="114"/>
      <c r="G369" s="385"/>
      <c r="H369" s="385">
        <f t="shared" si="251"/>
        <v>25000000</v>
      </c>
      <c r="I369" s="385">
        <f t="shared" si="249"/>
        <v>25000000</v>
      </c>
      <c r="J369" s="385"/>
      <c r="K369" s="295">
        <f t="shared" si="252"/>
        <v>20000000</v>
      </c>
      <c r="L369" s="295">
        <f t="shared" si="250"/>
        <v>20000000</v>
      </c>
    </row>
    <row r="370" spans="1:12" ht="47.25" x14ac:dyDescent="0.2">
      <c r="A370" s="116" t="str">
        <f>IF(B370&gt;0,VLOOKUP(B370,КВСР!A173:B1338,2),IF(C370&gt;0,VLOOKUP(C370,КФСР!A173:B1685,2),IF(D370&gt;0,VLOOKUP(D370,Программа!A$1:B$5110,2),IF(F370&gt;0,VLOOKUP(F370,КВР!A$1:B$5001,2),IF(E370&gt;0,VLOOKUP(E370,Направление!A$1:B$4783,2))))))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70" s="123"/>
      <c r="C370" s="124"/>
      <c r="D370" s="113" t="s">
        <v>472</v>
      </c>
      <c r="E370" s="112"/>
      <c r="F370" s="114"/>
      <c r="G370" s="385"/>
      <c r="H370" s="385">
        <f t="shared" si="251"/>
        <v>25000000</v>
      </c>
      <c r="I370" s="385">
        <f t="shared" si="249"/>
        <v>25000000</v>
      </c>
      <c r="J370" s="385"/>
      <c r="K370" s="295">
        <f t="shared" si="252"/>
        <v>20000000</v>
      </c>
      <c r="L370" s="295">
        <f t="shared" si="250"/>
        <v>20000000</v>
      </c>
    </row>
    <row r="371" spans="1:12" ht="78.75" x14ac:dyDescent="0.2">
      <c r="A371" s="116" t="str">
        <f>IF(B371&gt;0,VLOOKUP(B371,КВСР!A174:B1339,2),IF(C371&gt;0,VLOOKUP(C371,КФСР!A174:B1686,2),IF(D371&gt;0,VLOOKUP(D371,Программа!A$1:B$5110,2),IF(F371&gt;0,VLOOKUP(F371,КВР!A$1:B$5001,2),IF(E371&gt;0,VLOOKUP(E371,Направление!A$1:B$4783,2))))))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3"/>
      <c r="C371" s="124"/>
      <c r="D371" s="113" t="s">
        <v>528</v>
      </c>
      <c r="E371" s="112"/>
      <c r="F371" s="114"/>
      <c r="G371" s="385"/>
      <c r="H371" s="385">
        <f t="shared" ref="H371:I371" si="253">H372+H374</f>
        <v>25000000</v>
      </c>
      <c r="I371" s="385">
        <f t="shared" si="253"/>
        <v>25000000</v>
      </c>
      <c r="J371" s="385"/>
      <c r="K371" s="295">
        <f t="shared" si="252"/>
        <v>20000000</v>
      </c>
      <c r="L371" s="295">
        <f t="shared" si="250"/>
        <v>20000000</v>
      </c>
    </row>
    <row r="372" spans="1:12" ht="31.5" x14ac:dyDescent="0.2">
      <c r="A372" s="116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IF(B372&gt;0,VLOOKUP(B372,КВСР!A175:B1340,2),IF(C372&gt;0,VLOOKUP(C372,КФСР!A175:B1687,2),IF(D372&gt;0,VLOOKUP(D372,Программа!A$1:B$5110,2),IF(F372&gt;0,VLOOKUP(F372,КВР!A$1:B$5001,2),IF(E372&gt;0,VLOOKUP(E372,Направление!A$1:B$4783,2))))))</f>
        <v>Обеспечение деятельности учреждений спорта</v>
      </c>
      <c r="B372" s="123"/>
      <c r="C372" s="124"/>
      <c r="D372" s="113"/>
      <c r="E372" s="112">
        <v>14020</v>
      </c>
      <c r="F372" s="114"/>
      <c r="G372" s="385"/>
      <c r="H372" s="385">
        <f t="shared" si="251"/>
        <v>25000000</v>
      </c>
      <c r="I372" s="385">
        <f t="shared" si="249"/>
        <v>25000000</v>
      </c>
      <c r="J372" s="385"/>
      <c r="K372" s="295">
        <f t="shared" si="252"/>
        <v>20000000</v>
      </c>
      <c r="L372" s="295">
        <f t="shared" si="250"/>
        <v>20000000</v>
      </c>
    </row>
    <row r="373" spans="1:12" ht="47.25" x14ac:dyDescent="0.2">
      <c r="A373" s="116" t="str">
        <f>IF(B373&gt;0,VLOOKUP(B373,КВСР!A175:B1340,2),IF(C373&gt;0,VLOOKUP(C373,КФСР!A175:B1687,2),IF(D373&gt;0,VLOOKUP(D373,Программа!A$1:B$5110,2),IF(F373&gt;0,VLOOKUP(F373,КВР!A$1:B$5001,2),IF(E373&gt;0,VLOOKUP(E373,Направление!A$1:B$4783,2))))))</f>
        <v>Предоставление субсидий бюджетным, автономным учреждениям и иным некоммерческим организациям</v>
      </c>
      <c r="B373" s="123"/>
      <c r="C373" s="124"/>
      <c r="D373" s="113"/>
      <c r="E373" s="112"/>
      <c r="F373" s="114">
        <v>600</v>
      </c>
      <c r="G373" s="385"/>
      <c r="H373" s="385">
        <v>25000000</v>
      </c>
      <c r="I373" s="385">
        <f t="shared" si="249"/>
        <v>25000000</v>
      </c>
      <c r="J373" s="385"/>
      <c r="K373" s="295">
        <v>20000000</v>
      </c>
      <c r="L373" s="295">
        <f t="shared" si="250"/>
        <v>20000000</v>
      </c>
    </row>
    <row r="374" spans="1:12" ht="31.5" hidden="1" x14ac:dyDescent="0.2">
      <c r="A374" s="116" t="str">
        <f>IF(B374&gt;0,VLOOKUP(B374,КВСР!A176:B1341,2),IF(C374&gt;0,VLOOKUP(C374,КФСР!A176:B1688,2),IF(D374&gt;0,VLOOKUP(D374,Программа!A$1:B$5110,2),IF(F374&gt;0,VLOOKUP(F374,КВР!A$1:B$5001,2),IF(E374&gt;0,VLOOKUP(E374,Направление!A$1:B$4783,2))))))</f>
        <v>Обеспечение  физкультурно-спортивных мероприятий</v>
      </c>
      <c r="B374" s="123"/>
      <c r="C374" s="124"/>
      <c r="D374" s="113"/>
      <c r="E374" s="112">
        <v>29226</v>
      </c>
      <c r="F374" s="114"/>
      <c r="G374" s="385"/>
      <c r="H374" s="869">
        <f t="shared" ref="H374:L374" si="254">H375</f>
        <v>0</v>
      </c>
      <c r="I374" s="385">
        <f t="shared" si="254"/>
        <v>0</v>
      </c>
      <c r="J374" s="385"/>
      <c r="K374" s="869">
        <f t="shared" si="254"/>
        <v>0</v>
      </c>
      <c r="L374" s="385">
        <f t="shared" si="254"/>
        <v>0</v>
      </c>
    </row>
    <row r="375" spans="1:12" ht="47.25" hidden="1" x14ac:dyDescent="0.2">
      <c r="A375" s="116" t="str">
        <f>IF(B375&gt;0,VLOOKUP(B375,КВСР!A177:B1342,2),IF(C375&gt;0,VLOOKUP(C375,КФСР!A177:B1689,2),IF(D375&gt;0,VLOOKUP(D375,Программа!A$1:B$5110,2),IF(F375&gt;0,VLOOKUP(F375,КВР!A$1:B$5001,2),IF(E375&gt;0,VLOOKUP(E375,Направление!A$1:B$4783,2))))))</f>
        <v>Предоставление субсидий бюджетным, автономным учреждениям и иным некоммерческим организациям</v>
      </c>
      <c r="B375" s="123"/>
      <c r="C375" s="124"/>
      <c r="D375" s="113"/>
      <c r="E375" s="112"/>
      <c r="F375" s="114">
        <v>600</v>
      </c>
      <c r="G375" s="385"/>
      <c r="H375" s="869"/>
      <c r="I375" s="385">
        <f>G375+H375</f>
        <v>0</v>
      </c>
      <c r="J375" s="385"/>
      <c r="K375" s="867"/>
      <c r="L375" s="295">
        <f>J375+K375</f>
        <v>0</v>
      </c>
    </row>
    <row r="376" spans="1:12" ht="31.5" x14ac:dyDescent="0.2">
      <c r="A376" s="110" t="str">
        <f>IF(B376&gt;0,VLOOKUP(B376,КВСР!A182:B1347,2),IF(C376&gt;0,VLOOKUP(C376,КФСР!A182:B1694,2),IF(D376&gt;0,VLOOKUP(D376,Программа!A$1:B$5110,2),IF(F376&gt;0,VLOOKUP(F376,КВР!A$1:B$5001,2),IF(E376&gt;0,VLOOKUP(E376,Направление!A$1:B$4783,2))))))</f>
        <v>Департамент труда и соц. развития Администрации ТМР</v>
      </c>
      <c r="B376" s="111">
        <v>954</v>
      </c>
      <c r="C376" s="112"/>
      <c r="D376" s="113"/>
      <c r="E376" s="112"/>
      <c r="F376" s="114"/>
      <c r="G376" s="388"/>
      <c r="H376" s="388">
        <f>H377+H387+H393+H447+H476</f>
        <v>406587366</v>
      </c>
      <c r="I376" s="395">
        <f t="shared" si="249"/>
        <v>406587366</v>
      </c>
      <c r="J376" s="395"/>
      <c r="K376" s="387">
        <f>K377+K387+K393+K447+K476</f>
        <v>440439273</v>
      </c>
      <c r="L376" s="387">
        <f t="shared" si="250"/>
        <v>440439273</v>
      </c>
    </row>
    <row r="377" spans="1:12" ht="15.75" x14ac:dyDescent="0.2">
      <c r="A377" s="116" t="str">
        <f>IF(B377&gt;0,VLOOKUP(B377,КВСР!A187:B1352,2),IF(C377&gt;0,VLOOKUP(C377,КФСР!A187:B1699,2),IF(D377&gt;0,VLOOKUP(D377,Программа!A$1:B$5110,2),IF(F377&gt;0,VLOOKUP(F377,КВР!A$1:B$5001,2),IF(E377&gt;0,VLOOKUP(E377,Направление!A$1:B$4783,2))))))</f>
        <v>Пенсионное обеспечение</v>
      </c>
      <c r="B377" s="117"/>
      <c r="C377" s="112">
        <v>1001</v>
      </c>
      <c r="D377" s="113"/>
      <c r="E377" s="112"/>
      <c r="F377" s="114"/>
      <c r="G377" s="385"/>
      <c r="H377" s="385">
        <f t="shared" ref="H377" si="255">H378</f>
        <v>5227080</v>
      </c>
      <c r="I377" s="385">
        <f t="shared" si="249"/>
        <v>5227080</v>
      </c>
      <c r="J377" s="385"/>
      <c r="K377" s="295">
        <f t="shared" ref="K377" si="256">K378</f>
        <v>0</v>
      </c>
      <c r="L377" s="295">
        <f t="shared" si="250"/>
        <v>0</v>
      </c>
    </row>
    <row r="378" spans="1:12" ht="47.25" x14ac:dyDescent="0.2">
      <c r="A378" s="116" t="str">
        <f>IF(B378&gt;0,VLOOKUP(B378,КВСР!A188:B1353,2),IF(C378&gt;0,VLOOKUP(C378,КФСР!A188:B1700,2),IF(D378&gt;0,VLOOKUP(D378,Программа!A$1:B$5110,2),IF(F378&gt;0,VLOOKUP(F378,КВР!A$1:B$5001,2),IF(E378&gt;0,VLOOKUP(E378,Направление!A$1:B$4783,2))))))</f>
        <v>Муниципальная программа "Социальная поддержка населения Тутаевского муниципального района"</v>
      </c>
      <c r="B378" s="117"/>
      <c r="C378" s="112"/>
      <c r="D378" s="126" t="s">
        <v>461</v>
      </c>
      <c r="E378" s="124"/>
      <c r="F378" s="114"/>
      <c r="G378" s="385"/>
      <c r="H378" s="385">
        <f t="shared" ref="H378" si="257">H380</f>
        <v>5227080</v>
      </c>
      <c r="I378" s="385">
        <f t="shared" si="249"/>
        <v>5227080</v>
      </c>
      <c r="J378" s="385"/>
      <c r="K378" s="295">
        <f t="shared" ref="K378" si="258">K380</f>
        <v>0</v>
      </c>
      <c r="L378" s="295">
        <f t="shared" si="250"/>
        <v>0</v>
      </c>
    </row>
    <row r="379" spans="1:12" ht="47.25" x14ac:dyDescent="0.2">
      <c r="A379" s="116" t="str">
        <f>IF(B379&gt;0,VLOOKUP(B379,КВСР!A189:B1354,2),IF(C379&gt;0,VLOOKUP(C379,КФСР!A189:B1701,2),IF(D379&gt;0,VLOOKUP(D379,Программа!A$1:B$5110,2),IF(F379&gt;0,VLOOKUP(F379,КВР!A$1:B$5001,2),IF(E379&gt;0,VLOOKUP(E379,Направление!A$1:B$4783,2))))))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79" s="117"/>
      <c r="C379" s="112"/>
      <c r="D379" s="126" t="s">
        <v>533</v>
      </c>
      <c r="E379" s="124"/>
      <c r="F379" s="114"/>
      <c r="G379" s="385"/>
      <c r="H379" s="385">
        <f t="shared" ref="H379" si="259">H380</f>
        <v>5227080</v>
      </c>
      <c r="I379" s="385">
        <f t="shared" si="249"/>
        <v>5227080</v>
      </c>
      <c r="J379" s="385"/>
      <c r="K379" s="295">
        <f t="shared" ref="K379:K380" si="260">K380</f>
        <v>0</v>
      </c>
      <c r="L379" s="295">
        <f t="shared" si="250"/>
        <v>0</v>
      </c>
    </row>
    <row r="380" spans="1:12" ht="47.25" x14ac:dyDescent="0.2">
      <c r="A380" s="116" t="str">
        <f>IF(B380&gt;0,VLOOKUP(B380,КВСР!A190:B1355,2),IF(C380&gt;0,VLOOKUP(C380,КФСР!A190:B1702,2),IF(D380&gt;0,VLOOKUP(D380,Программа!A$1:B$5110,2),IF(F380&gt;0,VLOOKUP(F380,КВР!A$1:B$5001,2),IF(E380&gt;0,VLOOKUP(E380,Направление!A$1:B$4783,2))))))</f>
        <v>Исполнение публичных обязательств по предоставлению выплат, пособий и компенсаций</v>
      </c>
      <c r="B380" s="117"/>
      <c r="C380" s="112"/>
      <c r="D380" s="113" t="s">
        <v>535</v>
      </c>
      <c r="E380" s="112"/>
      <c r="F380" s="114"/>
      <c r="G380" s="385"/>
      <c r="H380" s="385">
        <f t="shared" ref="H380:I380" si="261">H381+H384</f>
        <v>5227080</v>
      </c>
      <c r="I380" s="385">
        <f t="shared" si="261"/>
        <v>5227080</v>
      </c>
      <c r="J380" s="385"/>
      <c r="K380" s="295">
        <f t="shared" si="260"/>
        <v>0</v>
      </c>
      <c r="L380" s="295">
        <f t="shared" si="250"/>
        <v>0</v>
      </c>
    </row>
    <row r="381" spans="1:12" ht="31.5" x14ac:dyDescent="0.2">
      <c r="A381" s="116" t="str">
        <f>IF(B381&gt;0,VLOOKUP(B381,КВСР!A191:B1356,2),IF(C381&gt;0,VLOOKUP(C381,КФСР!A191:B1703,2),IF(D381&gt;0,VLOOKUP(D381,Программа!A$1:B$5110,2),IF(F381&gt;0,VLOOKUP(F381,КВР!A$1:B$5001,2),IF(E381&gt;0,VLOOKUP(E381,Направление!A$1:B$4783,2))))))</f>
        <v>Доплаты к пенсиям муниципальных служащих</v>
      </c>
      <c r="B381" s="117"/>
      <c r="C381" s="112"/>
      <c r="D381" s="113"/>
      <c r="E381" s="112">
        <v>16010</v>
      </c>
      <c r="F381" s="114"/>
      <c r="G381" s="385"/>
      <c r="H381" s="385">
        <f t="shared" ref="H381" si="262">H383+H382</f>
        <v>5227080</v>
      </c>
      <c r="I381" s="385">
        <f t="shared" si="249"/>
        <v>5227080</v>
      </c>
      <c r="J381" s="385"/>
      <c r="K381" s="295">
        <f t="shared" ref="K381" si="263">K383+K382</f>
        <v>0</v>
      </c>
      <c r="L381" s="295">
        <f t="shared" si="250"/>
        <v>0</v>
      </c>
    </row>
    <row r="382" spans="1:12" ht="63" x14ac:dyDescent="0.2">
      <c r="A382" s="116" t="str">
        <f>IF(B382&gt;0,VLOOKUP(B382,КВСР!A192:B1357,2),IF(C382&gt;0,VLOOKUP(C382,КФСР!A192:B1704,2),IF(D382&gt;0,VLOOKUP(D382,Программа!A$1:B$5110,2),IF(F382&gt;0,VLOOKUP(F382,КВР!A$1:B$5001,2),IF(E382&gt;0,VLOOKUP(E382,Направление!A$1:B$4783,2))))))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3"/>
      <c r="E382" s="112"/>
      <c r="F382" s="114">
        <v>200</v>
      </c>
      <c r="G382" s="385"/>
      <c r="H382" s="385">
        <v>67080</v>
      </c>
      <c r="I382" s="385">
        <f t="shared" si="249"/>
        <v>67080</v>
      </c>
      <c r="J382" s="385"/>
      <c r="K382" s="295">
        <v>0</v>
      </c>
      <c r="L382" s="295">
        <f t="shared" si="250"/>
        <v>0</v>
      </c>
    </row>
    <row r="383" spans="1:12" ht="31.5" x14ac:dyDescent="0.2">
      <c r="A383" s="116" t="str">
        <f>IF(B383&gt;0,VLOOKUP(B383,КВСР!A190:B1355,2),IF(C383&gt;0,VLOOKUP(C383,КФСР!A190:B1702,2),IF(D383&gt;0,VLOOKUP(D383,Программа!A$1:B$5110,2),IF(F383&gt;0,VLOOKUP(F383,КВР!A$1:B$5001,2),IF(E383&gt;0,VLOOKUP(E383,Направление!A$1:B$4783,2))))))</f>
        <v>Социальное обеспечение и иные выплаты населению</v>
      </c>
      <c r="B383" s="117"/>
      <c r="C383" s="112"/>
      <c r="D383" s="113"/>
      <c r="E383" s="112"/>
      <c r="F383" s="114">
        <v>300</v>
      </c>
      <c r="G383" s="385"/>
      <c r="H383" s="385">
        <v>5160000</v>
      </c>
      <c r="I383" s="385">
        <f t="shared" si="249"/>
        <v>5160000</v>
      </c>
      <c r="J383" s="385"/>
      <c r="K383" s="295">
        <v>0</v>
      </c>
      <c r="L383" s="295">
        <f t="shared" si="250"/>
        <v>0</v>
      </c>
    </row>
    <row r="384" spans="1:12" ht="31.5" hidden="1" x14ac:dyDescent="0.2">
      <c r="A384" s="116" t="str">
        <f>IF(B384&gt;0,VLOOKUP(B384,КВСР!A191:B1356,2),IF(C384&gt;0,VLOOKUP(C384,КФСР!A191:B1703,2),IF(D384&gt;0,VLOOKUP(D384,Программа!A$1:B$5110,2),IF(F384&gt;0,VLOOKUP(F384,КВР!A$1:B$5001,2),IF(E384&gt;0,VLOOKUP(E384,Направление!A$1:B$4783,2))))))</f>
        <v>Доплаты к пенсиям муниципальным служащим поселений</v>
      </c>
      <c r="B384" s="117"/>
      <c r="C384" s="112"/>
      <c r="D384" s="113"/>
      <c r="E384" s="112">
        <v>29756</v>
      </c>
      <c r="F384" s="114"/>
      <c r="G384" s="385"/>
      <c r="H384" s="385">
        <f t="shared" ref="H384:L384" si="264">H385+H386</f>
        <v>0</v>
      </c>
      <c r="I384" s="385">
        <f t="shared" si="264"/>
        <v>0</v>
      </c>
      <c r="J384" s="385"/>
      <c r="K384" s="385">
        <f t="shared" si="264"/>
        <v>0</v>
      </c>
      <c r="L384" s="385">
        <f t="shared" si="264"/>
        <v>0</v>
      </c>
    </row>
    <row r="385" spans="1:12" ht="63" hidden="1" x14ac:dyDescent="0.2">
      <c r="A385" s="116" t="str">
        <f>IF(B385&gt;0,VLOOKUP(B385,КВСР!A192:B1357,2),IF(C385&gt;0,VLOOKUP(C385,КФСР!A192:B1704,2),IF(D385&gt;0,VLOOKUP(D385,Программа!A$1:B$5110,2),IF(F385&gt;0,VLOOKUP(F385,КВР!A$1:B$5001,2),IF(E385&gt;0,VLOOKUP(E385,Направление!A$1:B$4783,2))))))</f>
        <v xml:space="preserve">Закупка товаров, работ и услуг для обеспечения государственных (муниципальных) нужд
</v>
      </c>
      <c r="B385" s="117"/>
      <c r="C385" s="112"/>
      <c r="D385" s="113"/>
      <c r="E385" s="112"/>
      <c r="F385" s="114">
        <v>200</v>
      </c>
      <c r="G385" s="385"/>
      <c r="H385" s="385"/>
      <c r="I385" s="385">
        <f>G385+H385</f>
        <v>0</v>
      </c>
      <c r="J385" s="385"/>
      <c r="K385" s="295"/>
      <c r="L385" s="295">
        <f>J385+K385</f>
        <v>0</v>
      </c>
    </row>
    <row r="386" spans="1:12" ht="31.5" hidden="1" x14ac:dyDescent="0.2">
      <c r="A386" s="116" t="str">
        <f>IF(B386&gt;0,VLOOKUP(B386,КВСР!A193:B1358,2),IF(C386&gt;0,VLOOKUP(C386,КФСР!A193:B1705,2),IF(D386&gt;0,VLOOKUP(D386,Программа!A$1:B$5110,2),IF(F386&gt;0,VLOOKUP(F386,КВР!A$1:B$5001,2),IF(E386&gt;0,VLOOKUP(E386,Направление!A$1:B$4783,2))))))</f>
        <v>Социальное обеспечение и иные выплаты населению</v>
      </c>
      <c r="B386" s="117"/>
      <c r="C386" s="112"/>
      <c r="D386" s="113"/>
      <c r="E386" s="112"/>
      <c r="F386" s="114">
        <v>300</v>
      </c>
      <c r="G386" s="385"/>
      <c r="H386" s="385"/>
      <c r="I386" s="385">
        <f>G386+H386</f>
        <v>0</v>
      </c>
      <c r="J386" s="385"/>
      <c r="K386" s="295"/>
      <c r="L386" s="295">
        <f>J386+K386</f>
        <v>0</v>
      </c>
    </row>
    <row r="387" spans="1:12" ht="15.75" x14ac:dyDescent="0.2">
      <c r="A387" s="116" t="str">
        <f>IF(B387&gt;0,VLOOKUP(B387,КВСР!A191:B1356,2),IF(C387&gt;0,VLOOKUP(C387,КФСР!A191:B1703,2),IF(D387&gt;0,VLOOKUP(D387,Программа!A$1:B$5110,2),IF(F387&gt;0,VLOOKUP(F387,КВР!A$1:B$5001,2),IF(E387&gt;0,VLOOKUP(E387,Направление!A$1:B$4783,2))))))</f>
        <v>Социальное обслуживание населения</v>
      </c>
      <c r="B387" s="117"/>
      <c r="C387" s="112">
        <v>1002</v>
      </c>
      <c r="D387" s="113"/>
      <c r="E387" s="112"/>
      <c r="F387" s="114"/>
      <c r="G387" s="385"/>
      <c r="H387" s="385">
        <f t="shared" ref="H387" si="265">H388</f>
        <v>84501896</v>
      </c>
      <c r="I387" s="385">
        <f t="shared" si="249"/>
        <v>84501896</v>
      </c>
      <c r="J387" s="385"/>
      <c r="K387" s="295">
        <f t="shared" ref="K387" si="266">K388</f>
        <v>84501896</v>
      </c>
      <c r="L387" s="295">
        <f t="shared" si="250"/>
        <v>84501896</v>
      </c>
    </row>
    <row r="388" spans="1:12" ht="47.25" x14ac:dyDescent="0.2">
      <c r="A388" s="116" t="str">
        <f>IF(B388&gt;0,VLOOKUP(B388,КВСР!A192:B1357,2),IF(C388&gt;0,VLOOKUP(C388,КФСР!A192:B1704,2),IF(D388&gt;0,VLOOKUP(D388,Программа!A$1:B$5110,2),IF(F388&gt;0,VLOOKUP(F388,КВР!A$1:B$5001,2),IF(E388&gt;0,VLOOKUP(E388,Направление!A$1:B$4783,2))))))</f>
        <v>Муниципальная программа "Социальная поддержка населения Тутаевского муниципального района"</v>
      </c>
      <c r="B388" s="117"/>
      <c r="C388" s="112"/>
      <c r="D388" s="113" t="s">
        <v>461</v>
      </c>
      <c r="E388" s="112"/>
      <c r="F388" s="114"/>
      <c r="G388" s="385"/>
      <c r="H388" s="385">
        <f t="shared" ref="H388" si="267">H390</f>
        <v>84501896</v>
      </c>
      <c r="I388" s="385">
        <f t="shared" si="249"/>
        <v>84501896</v>
      </c>
      <c r="J388" s="385"/>
      <c r="K388" s="295">
        <f t="shared" ref="K388" si="268">K390</f>
        <v>84501896</v>
      </c>
      <c r="L388" s="295">
        <f t="shared" si="250"/>
        <v>84501896</v>
      </c>
    </row>
    <row r="389" spans="1:12" ht="47.25" x14ac:dyDescent="0.2">
      <c r="A389" s="116" t="str">
        <f>IF(B389&gt;0,VLOOKUP(B389,КВСР!A193:B1358,2),IF(C389&gt;0,VLOOKUP(C389,КФСР!A193:B1705,2),IF(D389&gt;0,VLOOKUP(D389,Программа!A$1:B$5110,2),IF(F389&gt;0,VLOOKUP(F389,КВР!A$1:B$5001,2),IF(E389&gt;0,VLOOKUP(E389,Направление!A$1:B$4783,2))))))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89" s="117"/>
      <c r="C389" s="112"/>
      <c r="D389" s="113" t="s">
        <v>533</v>
      </c>
      <c r="E389" s="112"/>
      <c r="F389" s="114"/>
      <c r="G389" s="385"/>
      <c r="H389" s="385">
        <f t="shared" ref="H389:H391" si="269">H390</f>
        <v>84501896</v>
      </c>
      <c r="I389" s="385">
        <f t="shared" si="249"/>
        <v>84501896</v>
      </c>
      <c r="J389" s="385"/>
      <c r="K389" s="295">
        <f t="shared" ref="K389:K391" si="270">K390</f>
        <v>84501896</v>
      </c>
      <c r="L389" s="295">
        <f t="shared" si="250"/>
        <v>84501896</v>
      </c>
    </row>
    <row r="390" spans="1:12" ht="63" x14ac:dyDescent="0.2">
      <c r="A390" s="116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7"/>
      <c r="C390" s="112"/>
      <c r="D390" s="113" t="s">
        <v>538</v>
      </c>
      <c r="E390" s="112"/>
      <c r="F390" s="114"/>
      <c r="G390" s="385"/>
      <c r="H390" s="385">
        <f t="shared" si="269"/>
        <v>84501896</v>
      </c>
      <c r="I390" s="385">
        <f t="shared" si="249"/>
        <v>84501896</v>
      </c>
      <c r="J390" s="385"/>
      <c r="K390" s="295">
        <f t="shared" si="270"/>
        <v>84501896</v>
      </c>
      <c r="L390" s="295">
        <f t="shared" si="250"/>
        <v>84501896</v>
      </c>
    </row>
    <row r="391" spans="1:12" ht="126" x14ac:dyDescent="0.2">
      <c r="A391" s="116" t="str">
        <f>IF(B391&gt;0,VLOOKUP(B391,КВСР!A194:B1359,2),IF(C391&gt;0,VLOOKUP(C391,КФСР!A194:B1706,2),IF(D391&gt;0,VLOOKUP(D391,Программа!A$1:B$5110,2),IF(F391&gt;0,VLOOKUP(F391,КВР!A$1:B$5001,2),IF(E391&gt;0,VLOOKUP(E391,Направление!A$1:B$4783,2))))))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7"/>
      <c r="C391" s="112"/>
      <c r="D391" s="113"/>
      <c r="E391" s="112">
        <v>70850</v>
      </c>
      <c r="F391" s="114"/>
      <c r="G391" s="385"/>
      <c r="H391" s="385">
        <f t="shared" si="269"/>
        <v>84501896</v>
      </c>
      <c r="I391" s="385">
        <f t="shared" si="249"/>
        <v>84501896</v>
      </c>
      <c r="J391" s="385"/>
      <c r="K391" s="295">
        <f t="shared" si="270"/>
        <v>84501896</v>
      </c>
      <c r="L391" s="295">
        <f t="shared" si="250"/>
        <v>84501896</v>
      </c>
    </row>
    <row r="392" spans="1:12" ht="47.25" x14ac:dyDescent="0.2">
      <c r="A392" s="116" t="str">
        <f>IF(B392&gt;0,VLOOKUP(B392,КВСР!A195:B1360,2),IF(C392&gt;0,VLOOKUP(C392,КФСР!A195:B1707,2),IF(D392&gt;0,VLOOKUP(D392,Программа!A$1:B$5110,2),IF(F392&gt;0,VLOOKUP(F392,КВР!A$1:B$5001,2),IF(E392&gt;0,VLOOKUP(E392,Направление!A$1:B$4783,2))))))</f>
        <v>Предоставление субсидий бюджетным, автономным учреждениям и иным некоммерческим организациям</v>
      </c>
      <c r="B392" s="117"/>
      <c r="C392" s="112"/>
      <c r="D392" s="113"/>
      <c r="E392" s="112"/>
      <c r="F392" s="114">
        <v>600</v>
      </c>
      <c r="G392" s="385"/>
      <c r="H392" s="385">
        <v>84501896</v>
      </c>
      <c r="I392" s="385">
        <f t="shared" si="249"/>
        <v>84501896</v>
      </c>
      <c r="J392" s="385"/>
      <c r="K392" s="295">
        <v>84501896</v>
      </c>
      <c r="L392" s="295">
        <f t="shared" si="250"/>
        <v>84501896</v>
      </c>
    </row>
    <row r="393" spans="1:12" ht="15.75" x14ac:dyDescent="0.2">
      <c r="A393" s="116" t="str">
        <f>IF(B393&gt;0,VLOOKUP(B393,КВСР!A196:B1361,2),IF(C393&gt;0,VLOOKUP(C393,КФСР!A196:B1708,2),IF(D393&gt;0,VLOOKUP(D393,Программа!A$1:B$5110,2),IF(F393&gt;0,VLOOKUP(F393,КВР!A$1:B$5001,2),IF(E393&gt;0,VLOOKUP(E393,Направление!A$1:B$4783,2))))))</f>
        <v>Социальное обеспечение населения</v>
      </c>
      <c r="B393" s="117"/>
      <c r="C393" s="112">
        <v>1003</v>
      </c>
      <c r="D393" s="113"/>
      <c r="E393" s="112"/>
      <c r="F393" s="114"/>
      <c r="G393" s="385"/>
      <c r="H393" s="385">
        <f t="shared" ref="H393:L393" si="271">H394</f>
        <v>174349446</v>
      </c>
      <c r="I393" s="385">
        <f t="shared" si="271"/>
        <v>174349446</v>
      </c>
      <c r="J393" s="385">
        <f t="shared" si="271"/>
        <v>0</v>
      </c>
      <c r="K393" s="385">
        <f t="shared" si="271"/>
        <v>207113178</v>
      </c>
      <c r="L393" s="385">
        <f t="shared" si="271"/>
        <v>207113178</v>
      </c>
    </row>
    <row r="394" spans="1:12" ht="47.25" x14ac:dyDescent="0.2">
      <c r="A394" s="116" t="str">
        <f>IF(B394&gt;0,VLOOKUP(B394,КВСР!A197:B1362,2),IF(C394&gt;0,VLOOKUP(C394,КФСР!A197:B1709,2),IF(D394&gt;0,VLOOKUP(D394,Программа!A$1:B$5110,2),IF(F394&gt;0,VLOOKUP(F394,КВР!A$1:B$5001,2),IF(E394&gt;0,VLOOKUP(E394,Направление!A$1:B$4783,2))))))</f>
        <v>Муниципальная программа "Социальная поддержка населения Тутаевского муниципального района"</v>
      </c>
      <c r="B394" s="117"/>
      <c r="C394" s="112"/>
      <c r="D394" s="113" t="s">
        <v>461</v>
      </c>
      <c r="E394" s="112"/>
      <c r="F394" s="114"/>
      <c r="G394" s="385"/>
      <c r="H394" s="385">
        <f t="shared" ref="H394:L394" si="272">H395</f>
        <v>174349446</v>
      </c>
      <c r="I394" s="385">
        <f t="shared" si="272"/>
        <v>174349446</v>
      </c>
      <c r="J394" s="385">
        <f t="shared" si="272"/>
        <v>0</v>
      </c>
      <c r="K394" s="385">
        <f t="shared" si="272"/>
        <v>207113178</v>
      </c>
      <c r="L394" s="385">
        <f t="shared" si="272"/>
        <v>207113178</v>
      </c>
    </row>
    <row r="395" spans="1:12" ht="47.25" x14ac:dyDescent="0.2">
      <c r="A395" s="116" t="str">
        <f>IF(B395&gt;0,VLOOKUP(B395,КВСР!A198:B1363,2),IF(C395&gt;0,VLOOKUP(C395,КФСР!A198:B1710,2),IF(D395&gt;0,VLOOKUP(D395,Программа!A$1:B$5110,2),IF(F395&gt;0,VLOOKUP(F395,КВР!A$1:B$5001,2),IF(E395&gt;0,VLOOKUP(E395,Направление!A$1:B$4783,2))))))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95" s="117"/>
      <c r="C395" s="112"/>
      <c r="D395" s="113" t="s">
        <v>533</v>
      </c>
      <c r="E395" s="112"/>
      <c r="F395" s="114"/>
      <c r="G395" s="385"/>
      <c r="H395" s="385">
        <f>H396+H436</f>
        <v>174349446</v>
      </c>
      <c r="I395" s="385">
        <f t="shared" ref="I395:L395" si="273">I396+I436</f>
        <v>174349446</v>
      </c>
      <c r="J395" s="385">
        <f t="shared" si="273"/>
        <v>0</v>
      </c>
      <c r="K395" s="385">
        <f t="shared" si="273"/>
        <v>207113178</v>
      </c>
      <c r="L395" s="385">
        <f t="shared" si="273"/>
        <v>207113178</v>
      </c>
    </row>
    <row r="396" spans="1:12" ht="47.25" x14ac:dyDescent="0.2">
      <c r="A396" s="116" t="str">
        <f>IF(B396&gt;0,VLOOKUP(B396,КВСР!A199:B1364,2),IF(C396&gt;0,VLOOKUP(C396,КФСР!A199:B1711,2),IF(D396&gt;0,VLOOKUP(D396,Программа!A$1:B$5110,2),IF(F396&gt;0,VLOOKUP(F396,КВР!A$1:B$5001,2),IF(E396&gt;0,VLOOKUP(E396,Направление!A$1:B$4783,2))))))</f>
        <v>Исполнение публичных обязательств по предоставлению выплат, пособий и компенсаций</v>
      </c>
      <c r="B396" s="117"/>
      <c r="C396" s="112"/>
      <c r="D396" s="113" t="s">
        <v>535</v>
      </c>
      <c r="E396" s="112"/>
      <c r="F396" s="114"/>
      <c r="G396" s="385"/>
      <c r="H396" s="385">
        <f>H397+H400+H405+H408+H410+H413+H416+H419+H422+H429+H432+H434+H425+H427+H403</f>
        <v>167268140</v>
      </c>
      <c r="I396" s="385">
        <f t="shared" ref="I396:L396" si="274">I397+I400+I405+I408+I410+I413+I416+I419+I422+I429+I432+I434+I425+I427+I403</f>
        <v>167268140</v>
      </c>
      <c r="J396" s="385">
        <f t="shared" si="274"/>
        <v>0</v>
      </c>
      <c r="K396" s="385">
        <f t="shared" si="274"/>
        <v>199026922</v>
      </c>
      <c r="L396" s="385">
        <f t="shared" si="274"/>
        <v>199026922</v>
      </c>
    </row>
    <row r="397" spans="1:12" ht="47.25" x14ac:dyDescent="0.2">
      <c r="A397" s="116" t="str">
        <f>IF(B397&gt;0,VLOOKUP(B397,КВСР!A200:B1365,2),IF(C397&gt;0,VLOOKUP(C397,КФСР!A200:B1712,2),IF(D397&gt;0,VLOOKUP(D397,Программа!A$1:B$5110,2),IF(F397&gt;0,VLOOKUP(F397,КВР!A$1:B$5001,2),IF(E397&gt;0,VLOOKUP(E397,Направление!A$1:B$4783,2))))))</f>
        <v>Субвенция на социальную поддержку граждан, подвергшихся воздействию радиации</v>
      </c>
      <c r="B397" s="117"/>
      <c r="C397" s="112"/>
      <c r="D397" s="113"/>
      <c r="E397" s="112">
        <v>51370</v>
      </c>
      <c r="F397" s="114"/>
      <c r="G397" s="385"/>
      <c r="H397" s="385">
        <f t="shared" ref="H397" si="275">H398+H399</f>
        <v>1728462</v>
      </c>
      <c r="I397" s="385">
        <f t="shared" si="249"/>
        <v>1728462</v>
      </c>
      <c r="J397" s="385"/>
      <c r="K397" s="295">
        <f t="shared" ref="K397" si="276">K398+K399</f>
        <v>1728462</v>
      </c>
      <c r="L397" s="295">
        <f t="shared" si="250"/>
        <v>1728462</v>
      </c>
    </row>
    <row r="398" spans="1:12" ht="63" x14ac:dyDescent="0.2">
      <c r="A398" s="116" t="str">
        <f>IF(B398&gt;0,VLOOKUP(B398,КВСР!A201:B1366,2),IF(C398&gt;0,VLOOKUP(C398,КФСР!A201:B1713,2),IF(D398&gt;0,VLOOKUP(D398,Программа!A$1:B$5110,2),IF(F398&gt;0,VLOOKUP(F398,КВР!A$1:B$5001,2),IF(E398&gt;0,VLOOKUP(E398,Направление!A$1:B$4783,2))))))</f>
        <v xml:space="preserve">Закупка товаров, работ и услуг для обеспечения государственных (муниципальных) нужд
</v>
      </c>
      <c r="B398" s="117"/>
      <c r="C398" s="112"/>
      <c r="D398" s="113"/>
      <c r="E398" s="112"/>
      <c r="F398" s="114">
        <v>200</v>
      </c>
      <c r="G398" s="385"/>
      <c r="H398" s="385">
        <v>20400</v>
      </c>
      <c r="I398" s="385">
        <f t="shared" si="249"/>
        <v>20400</v>
      </c>
      <c r="J398" s="385"/>
      <c r="K398" s="295">
        <v>20400</v>
      </c>
      <c r="L398" s="295">
        <f t="shared" si="250"/>
        <v>20400</v>
      </c>
    </row>
    <row r="399" spans="1:12" ht="31.5" x14ac:dyDescent="0.2">
      <c r="A399" s="116" t="str">
        <f>IF(B399&gt;0,VLOOKUP(B399,КВСР!A202:B1367,2),IF(C399&gt;0,VLOOKUP(C399,КФСР!A202:B1714,2),IF(D399&gt;0,VLOOKUP(D399,Программа!A$1:B$5110,2),IF(F399&gt;0,VLOOKUP(F399,КВР!A$1:B$5001,2),IF(E399&gt;0,VLOOKUP(E399,Направление!A$1:B$4783,2))))))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85"/>
      <c r="H399" s="385">
        <v>1708062</v>
      </c>
      <c r="I399" s="385">
        <f t="shared" si="249"/>
        <v>1708062</v>
      </c>
      <c r="J399" s="385"/>
      <c r="K399" s="295">
        <v>1708062</v>
      </c>
      <c r="L399" s="295">
        <f t="shared" si="250"/>
        <v>1708062</v>
      </c>
    </row>
    <row r="400" spans="1:12" ht="110.25" x14ac:dyDescent="0.2">
      <c r="A400" s="116" t="str">
        <f>IF(B400&gt;0,VLOOKUP(B400,КВСР!A203:B1368,2),IF(C400&gt;0,VLOOKUP(C400,КФСР!A203:B1715,2),IF(D400&gt;0,VLOOKUP(D400,Программа!A$1:B$5110,2),IF(F400&gt;0,VLOOKUP(F400,КВР!A$1:B$5001,2),IF(E400&gt;0,VLOOKUP(E400,Направление!A$1:B$4783,2))))))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7"/>
      <c r="C400" s="112"/>
      <c r="D400" s="113"/>
      <c r="E400" s="112">
        <v>52200</v>
      </c>
      <c r="F400" s="114"/>
      <c r="G400" s="385"/>
      <c r="H400" s="385">
        <f t="shared" ref="H400" si="277">SUM(H401:H402)</f>
        <v>6363986</v>
      </c>
      <c r="I400" s="385">
        <f t="shared" si="249"/>
        <v>6363986</v>
      </c>
      <c r="J400" s="385"/>
      <c r="K400" s="295">
        <f t="shared" ref="K400" si="278">SUM(K401:K402)</f>
        <v>6618369</v>
      </c>
      <c r="L400" s="295">
        <f t="shared" si="250"/>
        <v>6618369</v>
      </c>
    </row>
    <row r="401" spans="1:12" ht="63" x14ac:dyDescent="0.2">
      <c r="A401" s="116" t="str">
        <f>IF(B401&gt;0,VLOOKUP(B401,КВСР!A204:B1369,2),IF(C401&gt;0,VLOOKUP(C401,КФСР!A204:B1716,2),IF(D401&gt;0,VLOOKUP(D401,Программа!A$1:B$5110,2),IF(F401&gt;0,VLOOKUP(F401,КВР!A$1:B$5001,2),IF(E401&gt;0,VLOOKUP(E401,Направление!A$1:B$4783,2))))))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3"/>
      <c r="E401" s="112"/>
      <c r="F401" s="114">
        <v>200</v>
      </c>
      <c r="G401" s="385"/>
      <c r="H401" s="385">
        <v>81670</v>
      </c>
      <c r="I401" s="385">
        <f t="shared" si="249"/>
        <v>81670</v>
      </c>
      <c r="J401" s="385"/>
      <c r="K401" s="295">
        <v>84935</v>
      </c>
      <c r="L401" s="295">
        <f t="shared" si="250"/>
        <v>84935</v>
      </c>
    </row>
    <row r="402" spans="1:12" ht="31.5" x14ac:dyDescent="0.2">
      <c r="A402" s="116" t="str">
        <f>IF(B402&gt;0,VLOOKUP(B402,КВСР!A205:B1370,2),IF(C402&gt;0,VLOOKUP(C402,КФСР!A205:B1717,2),IF(D402&gt;0,VLOOKUP(D402,Программа!A$1:B$5110,2),IF(F402&gt;0,VLOOKUP(F402,КВР!A$1:B$5001,2),IF(E402&gt;0,VLOOKUP(E402,Направление!A$1:B$4783,2))))))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85"/>
      <c r="H402" s="385">
        <v>6282316</v>
      </c>
      <c r="I402" s="385">
        <f t="shared" si="249"/>
        <v>6282316</v>
      </c>
      <c r="J402" s="385"/>
      <c r="K402" s="295">
        <v>6533434</v>
      </c>
      <c r="L402" s="295">
        <f t="shared" si="250"/>
        <v>6533434</v>
      </c>
    </row>
    <row r="403" spans="1:12" ht="78.75" x14ac:dyDescent="0.2">
      <c r="A403" s="116" t="str">
        <f>IF(B403&gt;0,VLOOKUP(B403,КВСР!A206:B1371,2),IF(C403&gt;0,VLOOKUP(C403,КФСР!A206:B1718,2),IF(D403&gt;0,VLOOKUP(D403,Программа!A$1:B$5110,2),IF(F403&gt;0,VLOOKUP(F403,КВР!A$1:B$5001,2),IF(E403&gt;0,VLOOKUP(E403,Направление!A$1:B$4783,2))))))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7"/>
      <c r="C403" s="112"/>
      <c r="D403" s="113"/>
      <c r="E403" s="112">
        <v>52400</v>
      </c>
      <c r="F403" s="114"/>
      <c r="G403" s="385">
        <f>G404</f>
        <v>0</v>
      </c>
      <c r="H403" s="385">
        <f t="shared" ref="H403:L403" si="279">H404</f>
        <v>10200</v>
      </c>
      <c r="I403" s="385">
        <f t="shared" si="279"/>
        <v>10200</v>
      </c>
      <c r="J403" s="385">
        <f t="shared" si="279"/>
        <v>0</v>
      </c>
      <c r="K403" s="385">
        <f t="shared" si="279"/>
        <v>10200</v>
      </c>
      <c r="L403" s="385">
        <f t="shared" si="279"/>
        <v>10200</v>
      </c>
    </row>
    <row r="404" spans="1:12" ht="31.5" x14ac:dyDescent="0.2">
      <c r="A404" s="116" t="str">
        <f>IF(B404&gt;0,VLOOKUP(B404,КВСР!A207:B1372,2),IF(C404&gt;0,VLOOKUP(C404,КФСР!A207:B1719,2),IF(D404&gt;0,VLOOKUP(D404,Программа!A$1:B$5110,2),IF(F404&gt;0,VLOOKUP(F404,КВР!A$1:B$5001,2),IF(E404&gt;0,VLOOKUP(E404,Направление!A$1:B$4783,2))))))</f>
        <v>Социальное обеспечение и иные выплаты населению</v>
      </c>
      <c r="B404" s="117"/>
      <c r="C404" s="112"/>
      <c r="D404" s="113"/>
      <c r="E404" s="112"/>
      <c r="F404" s="114">
        <v>300</v>
      </c>
      <c r="G404" s="385"/>
      <c r="H404" s="385">
        <v>10200</v>
      </c>
      <c r="I404" s="385">
        <f>G404+H404</f>
        <v>10200</v>
      </c>
      <c r="J404" s="385"/>
      <c r="K404" s="295">
        <v>10200</v>
      </c>
      <c r="L404" s="295">
        <f>J404+K404</f>
        <v>10200</v>
      </c>
    </row>
    <row r="405" spans="1:12" ht="47.25" x14ac:dyDescent="0.2">
      <c r="A405" s="116" t="str">
        <f>IF(B405&gt;0,VLOOKUP(B405,КВСР!A206:B1371,2),IF(C405&gt;0,VLOOKUP(C405,КФСР!A206:B1718,2),IF(D405&gt;0,VLOOKUP(D405,Программа!A$1:B$5110,2),IF(F405&gt;0,VLOOKUP(F405,КВР!A$1:B$5001,2),IF(E405&gt;0,VLOOKUP(E405,Направление!A$1:B$4783,2))))))</f>
        <v>Оплата жилищно-коммунальных услуг отдельным категориям граждан за счет средств федерального бюджета</v>
      </c>
      <c r="B405" s="117"/>
      <c r="C405" s="112"/>
      <c r="D405" s="113"/>
      <c r="E405" s="112">
        <v>52500</v>
      </c>
      <c r="F405" s="114"/>
      <c r="G405" s="385"/>
      <c r="H405" s="385">
        <f t="shared" ref="H405" si="280">SUM(H406:H407)</f>
        <v>43459000</v>
      </c>
      <c r="I405" s="385">
        <f t="shared" si="249"/>
        <v>43459000</v>
      </c>
      <c r="J405" s="385"/>
      <c r="K405" s="295">
        <f t="shared" ref="K405" si="281">SUM(K406:K407)</f>
        <v>43459000</v>
      </c>
      <c r="L405" s="295">
        <f t="shared" si="250"/>
        <v>43459000</v>
      </c>
    </row>
    <row r="406" spans="1:12" ht="63" x14ac:dyDescent="0.2">
      <c r="A406" s="116" t="str">
        <f>IF(B406&gt;0,VLOOKUP(B406,КВСР!A207:B1372,2),IF(C406&gt;0,VLOOKUP(C406,КФСР!A207:B1719,2),IF(D406&gt;0,VLOOKUP(D406,Программа!A$1:B$5110,2),IF(F406&gt;0,VLOOKUP(F406,КВР!A$1:B$5001,2),IF(E406&gt;0,VLOOKUP(E406,Направление!A$1:B$4783,2))))))</f>
        <v xml:space="preserve">Закупка товаров, работ и услуг для обеспечения государственных (муниципальных) нужд
</v>
      </c>
      <c r="B406" s="117"/>
      <c r="C406" s="112"/>
      <c r="D406" s="113"/>
      <c r="E406" s="112"/>
      <c r="F406" s="114">
        <v>200</v>
      </c>
      <c r="G406" s="385"/>
      <c r="H406" s="385">
        <v>586700</v>
      </c>
      <c r="I406" s="385">
        <f t="shared" si="249"/>
        <v>586700</v>
      </c>
      <c r="J406" s="385"/>
      <c r="K406" s="295">
        <v>586700</v>
      </c>
      <c r="L406" s="295">
        <f t="shared" si="250"/>
        <v>586700</v>
      </c>
    </row>
    <row r="407" spans="1:12" ht="31.5" x14ac:dyDescent="0.2">
      <c r="A407" s="116" t="str">
        <f>IF(B407&gt;0,VLOOKUP(B407,КВСР!A208:B1373,2),IF(C407&gt;0,VLOOKUP(C407,КФСР!A208:B1720,2),IF(D407&gt;0,VLOOKUP(D407,Программа!A$1:B$5110,2),IF(F407&gt;0,VLOOKUP(F407,КВР!A$1:B$5001,2),IF(E407&gt;0,VLOOKUP(E407,Направление!A$1:B$4783,2))))))</f>
        <v>Социальное обеспечение и иные выплаты населению</v>
      </c>
      <c r="B407" s="117"/>
      <c r="C407" s="112"/>
      <c r="D407" s="113"/>
      <c r="E407" s="112"/>
      <c r="F407" s="114">
        <v>300</v>
      </c>
      <c r="G407" s="385"/>
      <c r="H407" s="385">
        <v>42872300</v>
      </c>
      <c r="I407" s="385">
        <f t="shared" si="249"/>
        <v>42872300</v>
      </c>
      <c r="J407" s="385"/>
      <c r="K407" s="295">
        <v>42872300</v>
      </c>
      <c r="L407" s="295">
        <f t="shared" si="250"/>
        <v>42872300</v>
      </c>
    </row>
    <row r="408" spans="1:12" ht="63" hidden="1" x14ac:dyDescent="0.2">
      <c r="A408" s="116" t="str">
        <f>IF(B408&gt;0,VLOOKUP(B408,КВСР!A209:B1374,2),IF(C408&gt;0,VLOOKUP(C408,КФСР!A209:B1721,2),IF(D408&gt;0,VLOOKUP(D408,Программа!A$1:B$5110,2),IF(F408&gt;0,VLOOKUP(F408,КВР!A$1:B$5001,2),IF(E408&gt;0,VLOOKUP(E408,Направление!A$1:B$4783,2))))))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7"/>
      <c r="C408" s="112"/>
      <c r="D408" s="113"/>
      <c r="E408" s="112">
        <v>54620</v>
      </c>
      <c r="F408" s="114"/>
      <c r="G408" s="385"/>
      <c r="H408" s="385">
        <f t="shared" ref="H408" si="282">H409</f>
        <v>0</v>
      </c>
      <c r="I408" s="385">
        <f t="shared" si="249"/>
        <v>0</v>
      </c>
      <c r="J408" s="385"/>
      <c r="K408" s="295">
        <f t="shared" ref="K408" si="283">K409</f>
        <v>0</v>
      </c>
      <c r="L408" s="295">
        <f t="shared" si="250"/>
        <v>0</v>
      </c>
    </row>
    <row r="409" spans="1:12" ht="31.5" hidden="1" x14ac:dyDescent="0.2">
      <c r="A409" s="116" t="str">
        <f>IF(B409&gt;0,VLOOKUP(B409,КВСР!A211:B1376,2),IF(C409&gt;0,VLOOKUP(C409,КФСР!A211:B1723,2),IF(D409&gt;0,VLOOKUP(D409,Программа!A$1:B$5110,2),IF(F409&gt;0,VLOOKUP(F409,КВР!A$1:B$5001,2),IF(E409&gt;0,VLOOKUP(E409,Направление!A$1:B$4783,2))))))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85"/>
      <c r="H409" s="385"/>
      <c r="I409" s="385">
        <f t="shared" si="249"/>
        <v>0</v>
      </c>
      <c r="J409" s="385"/>
      <c r="K409" s="295"/>
      <c r="L409" s="295">
        <f t="shared" si="250"/>
        <v>0</v>
      </c>
    </row>
    <row r="410" spans="1:12" ht="63" x14ac:dyDescent="0.2">
      <c r="A410" s="116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7"/>
      <c r="C410" s="112"/>
      <c r="D410" s="113"/>
      <c r="E410" s="112">
        <v>70740</v>
      </c>
      <c r="F410" s="114"/>
      <c r="G410" s="385"/>
      <c r="H410" s="385">
        <f t="shared" ref="H410" si="284">H411+H412</f>
        <v>19628000</v>
      </c>
      <c r="I410" s="385">
        <f t="shared" si="249"/>
        <v>19628000</v>
      </c>
      <c r="J410" s="385"/>
      <c r="K410" s="295">
        <f t="shared" ref="K410" si="285">K411+K412</f>
        <v>25026000</v>
      </c>
      <c r="L410" s="295">
        <f t="shared" si="250"/>
        <v>25026000</v>
      </c>
    </row>
    <row r="411" spans="1:12" ht="63" x14ac:dyDescent="0.2">
      <c r="A411" s="116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IF(B411&gt;0,VLOOKUP(B411,КВСР!A200:B1365,2),IF(C411&gt;0,VLOOKUP(C411,КФСР!A200:B1712,2),IF(D411&gt;0,VLOOKUP(D411,Программа!A$1:B$5110,2),IF(F411&gt;0,VLOOKUP(F411,КВР!A$1:B$5001,2),IF(E411&gt;0,VLOOKUP(E411,Направление!A$1:B$4783,2))))))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85"/>
      <c r="H411" s="385">
        <v>250000</v>
      </c>
      <c r="I411" s="385">
        <f t="shared" si="249"/>
        <v>250000</v>
      </c>
      <c r="J411" s="385"/>
      <c r="K411" s="295">
        <v>3176300</v>
      </c>
      <c r="L411" s="295">
        <f t="shared" si="250"/>
        <v>3176300</v>
      </c>
    </row>
    <row r="412" spans="1:12" ht="31.5" x14ac:dyDescent="0.2">
      <c r="A412" s="116" t="str">
        <f>IF(B412&gt;0,VLOOKUP(B412,КВСР!A201:B1366,2),IF(C412&gt;0,VLOOKUP(C412,КФСР!A201:B1713,2),IF(D412&gt;0,VLOOKUP(D412,Программа!A$1:B$5110,2),IF(F412&gt;0,VLOOKUP(F412,КВР!A$1:B$5001,2),IF(E412&gt;0,VLOOKUP(E412,Направление!A$1:B$4783,2))))))</f>
        <v>Социальное обеспечение и иные выплаты населению</v>
      </c>
      <c r="B412" s="117"/>
      <c r="C412" s="112"/>
      <c r="D412" s="113"/>
      <c r="E412" s="112"/>
      <c r="F412" s="114">
        <v>300</v>
      </c>
      <c r="G412" s="385"/>
      <c r="H412" s="385">
        <v>19378000</v>
      </c>
      <c r="I412" s="385">
        <f t="shared" si="249"/>
        <v>19378000</v>
      </c>
      <c r="J412" s="385"/>
      <c r="K412" s="295">
        <v>21849700</v>
      </c>
      <c r="L412" s="295">
        <f t="shared" si="250"/>
        <v>21849700</v>
      </c>
    </row>
    <row r="413" spans="1:12" ht="78.75" x14ac:dyDescent="0.2">
      <c r="A413" s="116" t="str">
        <f>IF(B413&gt;0,VLOOKUP(B413,КВСР!A199:B1364,2),IF(C413&gt;0,VLOOKUP(C413,КФСР!A199:B1711,2),IF(D413&gt;0,VLOOKUP(D413,Программа!A$1:B$5110,2),IF(F413&gt;0,VLOOKUP(F413,КВР!A$1:B$5001,2),IF(E413&gt;0,VLOOKUP(E413,Направление!A$1:B$4783,2))))))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7"/>
      <c r="C413" s="112"/>
      <c r="D413" s="113"/>
      <c r="E413" s="112">
        <v>70750</v>
      </c>
      <c r="F413" s="114"/>
      <c r="G413" s="385"/>
      <c r="H413" s="385">
        <f t="shared" ref="H413" si="286">H415+H414</f>
        <v>28162000</v>
      </c>
      <c r="I413" s="385">
        <f t="shared" si="249"/>
        <v>28162000</v>
      </c>
      <c r="J413" s="385"/>
      <c r="K413" s="295">
        <f t="shared" ref="K413" si="287">K415+K414</f>
        <v>35907000</v>
      </c>
      <c r="L413" s="295">
        <f t="shared" si="250"/>
        <v>35907000</v>
      </c>
    </row>
    <row r="414" spans="1:12" ht="63" x14ac:dyDescent="0.2">
      <c r="A414" s="116" t="str">
        <f>IF(B414&gt;0,VLOOKUP(B414,КВСР!A200:B1365,2),IF(C414&gt;0,VLOOKUP(C414,КФСР!A200:B1712,2),IF(D414&gt;0,VLOOKUP(D414,Программа!A$1:B$5110,2),IF(F414&gt;0,VLOOKUP(F414,КВР!A$1:B$5001,2),IF(E414&gt;0,VLOOKUP(E414,Направление!A$1:B$4783,2))))))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3"/>
      <c r="E414" s="112"/>
      <c r="F414" s="114">
        <v>200</v>
      </c>
      <c r="G414" s="385"/>
      <c r="H414" s="385">
        <v>432000</v>
      </c>
      <c r="I414" s="385">
        <f t="shared" si="249"/>
        <v>432000</v>
      </c>
      <c r="J414" s="385"/>
      <c r="K414" s="295">
        <v>552000</v>
      </c>
      <c r="L414" s="295">
        <f t="shared" si="250"/>
        <v>552000</v>
      </c>
    </row>
    <row r="415" spans="1:12" ht="31.5" x14ac:dyDescent="0.2">
      <c r="A415" s="116" t="str">
        <f>IF(B415&gt;0,VLOOKUP(B415,КВСР!A200:B1365,2),IF(C415&gt;0,VLOOKUP(C415,КФСР!A200:B1712,2),IF(D415&gt;0,VLOOKUP(D415,Программа!A$1:B$5110,2),IF(F415&gt;0,VLOOKUP(F415,КВР!A$1:B$5001,2),IF(E415&gt;0,VLOOKUP(E415,Направление!A$1:B$4783,2))))))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385"/>
      <c r="H415" s="385">
        <v>27730000</v>
      </c>
      <c r="I415" s="385">
        <f t="shared" si="249"/>
        <v>27730000</v>
      </c>
      <c r="J415" s="385"/>
      <c r="K415" s="295">
        <v>35355000</v>
      </c>
      <c r="L415" s="295">
        <f t="shared" si="250"/>
        <v>35355000</v>
      </c>
    </row>
    <row r="416" spans="1:12" ht="110.25" x14ac:dyDescent="0.2">
      <c r="A416" s="116" t="str">
        <f>IF(B416&gt;0,VLOOKUP(B416,КВСР!A201:B1366,2),IF(C416&gt;0,VLOOKUP(C416,КФСР!A201:B1713,2),IF(D416&gt;0,VLOOKUP(D416,Программа!A$1:B$5110,2),IF(F416&gt;0,VLOOKUP(F416,КВР!A$1:B$5001,2),IF(E416&gt;0,VLOOKUP(E416,Направление!A$1:B$4783,2))))))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7"/>
      <c r="C416" s="112"/>
      <c r="D416" s="113"/>
      <c r="E416" s="112">
        <v>70840</v>
      </c>
      <c r="F416" s="114"/>
      <c r="G416" s="385"/>
      <c r="H416" s="385">
        <f t="shared" ref="H416" si="288">H417+H418</f>
        <v>48153000</v>
      </c>
      <c r="I416" s="385">
        <f t="shared" si="249"/>
        <v>48153000</v>
      </c>
      <c r="J416" s="385"/>
      <c r="K416" s="295">
        <f t="shared" ref="K416" si="289">K417+K418</f>
        <v>62157000</v>
      </c>
      <c r="L416" s="295">
        <f t="shared" si="250"/>
        <v>62157000</v>
      </c>
    </row>
    <row r="417" spans="1:12" ht="63" x14ac:dyDescent="0.2">
      <c r="A417" s="116" t="str">
        <f>IF(B417&gt;0,VLOOKUP(B417,КВСР!A202:B1367,2),IF(C417&gt;0,VLOOKUP(C417,КФСР!A202:B1714,2),IF(D417&gt;0,VLOOKUP(D417,Программа!A$1:B$5110,2),IF(F417&gt;0,VLOOKUP(F417,КВР!A$1:B$5001,2),IF(E417&gt;0,VLOOKUP(E417,Направление!A$1:B$4783,2))))))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85"/>
      <c r="H417" s="385">
        <v>1110000</v>
      </c>
      <c r="I417" s="385">
        <f t="shared" si="249"/>
        <v>1110000</v>
      </c>
      <c r="J417" s="385"/>
      <c r="K417" s="295">
        <v>1432000</v>
      </c>
      <c r="L417" s="295">
        <f t="shared" si="250"/>
        <v>1432000</v>
      </c>
    </row>
    <row r="418" spans="1:12" ht="31.5" x14ac:dyDescent="0.2">
      <c r="A418" s="116" t="str">
        <f>IF(B418&gt;0,VLOOKUP(B418,КВСР!A203:B1368,2),IF(C418&gt;0,VLOOKUP(C418,КФСР!A203:B1715,2),IF(D418&gt;0,VLOOKUP(D418,Программа!A$1:B$5110,2),IF(F418&gt;0,VLOOKUP(F418,КВР!A$1:B$5001,2),IF(E418&gt;0,VLOOKUP(E418,Направление!A$1:B$4783,2))))))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385"/>
      <c r="H418" s="385">
        <v>47043000</v>
      </c>
      <c r="I418" s="385">
        <f t="shared" si="249"/>
        <v>47043000</v>
      </c>
      <c r="J418" s="385"/>
      <c r="K418" s="295">
        <v>60725000</v>
      </c>
      <c r="L418" s="295">
        <f t="shared" si="250"/>
        <v>60725000</v>
      </c>
    </row>
    <row r="419" spans="1:12" ht="31.5" x14ac:dyDescent="0.2">
      <c r="A419" s="116" t="str">
        <f>IF(B419&gt;0,VLOOKUP(B419,КВСР!A204:B1369,2),IF(C419&gt;0,VLOOKUP(C419,КФСР!A204:B1716,2),IF(D419&gt;0,VLOOKUP(D419,Программа!A$1:B$5110,2),IF(F419&gt;0,VLOOKUP(F419,КВР!A$1:B$5001,2),IF(E419&gt;0,VLOOKUP(E419,Направление!A$1:B$4783,2))))))</f>
        <v>Денежные выплаты за счет средств областного бюджета</v>
      </c>
      <c r="B419" s="117"/>
      <c r="C419" s="112"/>
      <c r="D419" s="113"/>
      <c r="E419" s="112">
        <v>70860</v>
      </c>
      <c r="F419" s="114"/>
      <c r="G419" s="385"/>
      <c r="H419" s="385">
        <f t="shared" ref="H419" si="290">H420+H421</f>
        <v>15499600</v>
      </c>
      <c r="I419" s="385">
        <f t="shared" si="249"/>
        <v>15499600</v>
      </c>
      <c r="J419" s="385"/>
      <c r="K419" s="295">
        <f t="shared" ref="K419" si="291">K420+K421</f>
        <v>19759000</v>
      </c>
      <c r="L419" s="295">
        <f t="shared" si="250"/>
        <v>19759000</v>
      </c>
    </row>
    <row r="420" spans="1:12" ht="63" x14ac:dyDescent="0.2">
      <c r="A420" s="116" t="str">
        <f>IF(B420&gt;0,VLOOKUP(B420,КВСР!A205:B1370,2),IF(C420&gt;0,VLOOKUP(C420,КФСР!A205:B1717,2),IF(D420&gt;0,VLOOKUP(D420,Программа!A$1:B$5110,2),IF(F420&gt;0,VLOOKUP(F420,КВР!A$1:B$5001,2),IF(E420&gt;0,VLOOKUP(E420,Направление!A$1:B$4783,2))))))</f>
        <v xml:space="preserve">Закупка товаров, работ и услуг для обеспечения государственных (муниципальных) нужд
</v>
      </c>
      <c r="B420" s="117"/>
      <c r="C420" s="112"/>
      <c r="D420" s="113"/>
      <c r="E420" s="112"/>
      <c r="F420" s="114">
        <v>200</v>
      </c>
      <c r="G420" s="385"/>
      <c r="H420" s="385">
        <v>352800</v>
      </c>
      <c r="I420" s="385">
        <f t="shared" si="249"/>
        <v>352800</v>
      </c>
      <c r="J420" s="385"/>
      <c r="K420" s="295">
        <v>451000</v>
      </c>
      <c r="L420" s="295">
        <f t="shared" si="250"/>
        <v>451000</v>
      </c>
    </row>
    <row r="421" spans="1:12" ht="31.5" x14ac:dyDescent="0.2">
      <c r="A421" s="116" t="str">
        <f>IF(B421&gt;0,VLOOKUP(B421,КВСР!A206:B1371,2),IF(C421&gt;0,VLOOKUP(C421,КФСР!A206:B1718,2),IF(D421&gt;0,VLOOKUP(D421,Программа!A$1:B$5110,2),IF(F421&gt;0,VLOOKUP(F421,КВР!A$1:B$5001,2),IF(E421&gt;0,VLOOKUP(E421,Направление!A$1:B$4783,2))))))</f>
        <v>Социальное обеспечение и иные выплаты населению</v>
      </c>
      <c r="B421" s="117"/>
      <c r="C421" s="112"/>
      <c r="D421" s="113"/>
      <c r="E421" s="112"/>
      <c r="F421" s="114">
        <v>300</v>
      </c>
      <c r="G421" s="385"/>
      <c r="H421" s="385">
        <v>15146800</v>
      </c>
      <c r="I421" s="385">
        <f t="shared" si="249"/>
        <v>15146800</v>
      </c>
      <c r="J421" s="385"/>
      <c r="K421" s="295">
        <v>19308000</v>
      </c>
      <c r="L421" s="295">
        <f t="shared" si="250"/>
        <v>19308000</v>
      </c>
    </row>
    <row r="422" spans="1:12" ht="47.25" hidden="1" x14ac:dyDescent="0.2">
      <c r="A422" s="116" t="str">
        <f>IF(B422&gt;0,VLOOKUP(B422,КВСР!A207:B1372,2),IF(C422&gt;0,VLOOKUP(C422,КФСР!A207:B1719,2),IF(D422&gt;0,VLOOKUP(D422,Программа!A$1:B$5110,2),IF(F422&gt;0,VLOOKUP(F422,КВР!A$1:B$5001,2),IF(E422&gt;0,VLOOKUP(E422,Направление!A$1:B$4783,2))))))</f>
        <v>Оказание социальной помощи отдельным категориям граждан за счет средств областного бюджета</v>
      </c>
      <c r="B422" s="117"/>
      <c r="C422" s="112"/>
      <c r="D422" s="113"/>
      <c r="E422" s="112">
        <v>70890</v>
      </c>
      <c r="F422" s="114"/>
      <c r="G422" s="385"/>
      <c r="H422" s="385">
        <f t="shared" ref="H422" si="292">H423+H424</f>
        <v>0</v>
      </c>
      <c r="I422" s="385">
        <f t="shared" si="249"/>
        <v>0</v>
      </c>
      <c r="J422" s="385"/>
      <c r="K422" s="295">
        <f t="shared" ref="K422" si="293">K423+K424</f>
        <v>0</v>
      </c>
      <c r="L422" s="295">
        <f t="shared" si="250"/>
        <v>0</v>
      </c>
    </row>
    <row r="423" spans="1:12" ht="63" hidden="1" x14ac:dyDescent="0.2">
      <c r="A423" s="116" t="str">
        <f>IF(B423&gt;0,VLOOKUP(B423,КВСР!A208:B1373,2),IF(C423&gt;0,VLOOKUP(C423,КФСР!A208:B1720,2),IF(D423&gt;0,VLOOKUP(D423,Программа!A$1:B$5110,2),IF(F423&gt;0,VLOOKUP(F423,КВР!A$1:B$5001,2),IF(E423&gt;0,VLOOKUP(E423,Направление!A$1:B$4783,2))))))</f>
        <v xml:space="preserve">Закупка товаров, работ и услуг для обеспечения государственных (муниципальных) нужд
</v>
      </c>
      <c r="B423" s="117"/>
      <c r="C423" s="112"/>
      <c r="D423" s="113"/>
      <c r="E423" s="112"/>
      <c r="F423" s="114">
        <v>200</v>
      </c>
      <c r="G423" s="385"/>
      <c r="H423" s="385"/>
      <c r="I423" s="385">
        <f t="shared" si="249"/>
        <v>0</v>
      </c>
      <c r="J423" s="385"/>
      <c r="K423" s="295"/>
      <c r="L423" s="295">
        <f t="shared" si="250"/>
        <v>0</v>
      </c>
    </row>
    <row r="424" spans="1:12" ht="31.5" hidden="1" x14ac:dyDescent="0.2">
      <c r="A424" s="116" t="str">
        <f>IF(B424&gt;0,VLOOKUP(B424,КВСР!A209:B1374,2),IF(C424&gt;0,VLOOKUP(C424,КФСР!A209:B1721,2),IF(D424&gt;0,VLOOKUP(D424,Программа!A$1:B$5110,2),IF(F424&gt;0,VLOOKUP(F424,КВР!A$1:B$5001,2),IF(E424&gt;0,VLOOKUP(E424,Направление!A$1:B$4783,2))))))</f>
        <v>Социальное обеспечение и иные выплаты населению</v>
      </c>
      <c r="B424" s="117"/>
      <c r="C424" s="112"/>
      <c r="D424" s="113"/>
      <c r="E424" s="112"/>
      <c r="F424" s="114">
        <v>300</v>
      </c>
      <c r="G424" s="385"/>
      <c r="H424" s="385"/>
      <c r="I424" s="385">
        <f t="shared" si="249"/>
        <v>0</v>
      </c>
      <c r="J424" s="385"/>
      <c r="K424" s="295"/>
      <c r="L424" s="295">
        <f t="shared" si="250"/>
        <v>0</v>
      </c>
    </row>
    <row r="425" spans="1:12" ht="78.75" x14ac:dyDescent="0.2">
      <c r="A425" s="116" t="str">
        <f>IF(B425&gt;0,VLOOKUP(B425,КВСР!A210:B1375,2),IF(C425&gt;0,VLOOKUP(C425,КФСР!A210:B1722,2),IF(D425&gt;0,VLOOKUP(D425,Программа!A$1:B$5110,2),IF(F425&gt;0,VLOOKUP(F425,КВР!A$1:B$5001,2),IF(E425&gt;0,VLOOKUP(E425,Направление!A$1:B$4783,2))))))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7"/>
      <c r="C425" s="112"/>
      <c r="D425" s="113"/>
      <c r="E425" s="112">
        <v>72550</v>
      </c>
      <c r="F425" s="114"/>
      <c r="G425" s="385"/>
      <c r="H425" s="385">
        <f t="shared" ref="H425:L425" si="294">H426</f>
        <v>83895</v>
      </c>
      <c r="I425" s="385">
        <f t="shared" si="294"/>
        <v>83895</v>
      </c>
      <c r="J425" s="385"/>
      <c r="K425" s="295">
        <f t="shared" si="294"/>
        <v>87253</v>
      </c>
      <c r="L425" s="295">
        <f t="shared" si="294"/>
        <v>87253</v>
      </c>
    </row>
    <row r="426" spans="1:12" ht="15.75" x14ac:dyDescent="0.2">
      <c r="A426" s="116" t="str">
        <f>IF(B426&gt;0,VLOOKUP(B426,КВСР!A211:B1376,2),IF(C426&gt;0,VLOOKUP(C426,КФСР!A211:B1723,2),IF(D426&gt;0,VLOOKUP(D426,Программа!A$1:B$5110,2),IF(F426&gt;0,VLOOKUP(F426,КВР!A$1:B$5001,2),IF(E426&gt;0,VLOOKUP(E426,Направление!A$1:B$4783,2))))))</f>
        <v>Иные бюджетные ассигнования</v>
      </c>
      <c r="B426" s="117"/>
      <c r="C426" s="112"/>
      <c r="D426" s="113"/>
      <c r="E426" s="112"/>
      <c r="F426" s="114">
        <v>800</v>
      </c>
      <c r="G426" s="385"/>
      <c r="H426" s="385">
        <v>83895</v>
      </c>
      <c r="I426" s="385">
        <f>G426+H426</f>
        <v>83895</v>
      </c>
      <c r="J426" s="385"/>
      <c r="K426" s="295">
        <v>87253</v>
      </c>
      <c r="L426" s="295">
        <f>J426+K426</f>
        <v>87253</v>
      </c>
    </row>
    <row r="427" spans="1:12" ht="78.75" x14ac:dyDescent="0.2">
      <c r="A427" s="116" t="str">
        <f>IF(B427&gt;0,VLOOKUP(B427,КВСР!A212:B1377,2),IF(C427&gt;0,VLOOKUP(C427,КФСР!A212:B1724,2),IF(D427&gt;0,VLOOKUP(D427,Программа!A$1:B$5110,2),IF(F427&gt;0,VLOOKUP(F427,КВР!A$1:B$5001,2),IF(E427&gt;0,VLOOKUP(E427,Направление!A$1:B$4783,2))))))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7"/>
      <c r="C427" s="112"/>
      <c r="D427" s="113"/>
      <c r="E427" s="112">
        <v>72560</v>
      </c>
      <c r="F427" s="114"/>
      <c r="G427" s="385"/>
      <c r="H427" s="385">
        <f t="shared" ref="H427:K427" si="295">H428</f>
        <v>2366358</v>
      </c>
      <c r="I427" s="385">
        <f t="shared" ref="I427:I428" si="296">G427+H427</f>
        <v>2366358</v>
      </c>
      <c r="J427" s="385"/>
      <c r="K427" s="295">
        <f t="shared" si="295"/>
        <v>2460999</v>
      </c>
      <c r="L427" s="295">
        <f t="shared" ref="L427:L428" si="297">J427+K427</f>
        <v>2460999</v>
      </c>
    </row>
    <row r="428" spans="1:12" ht="15.75" x14ac:dyDescent="0.2">
      <c r="A428" s="116" t="str">
        <f>IF(B428&gt;0,VLOOKUP(B428,КВСР!A213:B1378,2),IF(C428&gt;0,VLOOKUP(C428,КФСР!A213:B1725,2),IF(D428&gt;0,VLOOKUP(D428,Программа!A$1:B$5110,2),IF(F428&gt;0,VLOOKUP(F428,КВР!A$1:B$5001,2),IF(E428&gt;0,VLOOKUP(E428,Направление!A$1:B$4783,2))))))</f>
        <v>Иные бюджетные ассигнования</v>
      </c>
      <c r="B428" s="117"/>
      <c r="C428" s="112"/>
      <c r="D428" s="113"/>
      <c r="E428" s="112"/>
      <c r="F428" s="114">
        <v>800</v>
      </c>
      <c r="G428" s="385"/>
      <c r="H428" s="385">
        <v>2366358</v>
      </c>
      <c r="I428" s="385">
        <f t="shared" si="296"/>
        <v>2366358</v>
      </c>
      <c r="J428" s="385"/>
      <c r="K428" s="295">
        <v>2460999</v>
      </c>
      <c r="L428" s="295">
        <f t="shared" si="297"/>
        <v>2460999</v>
      </c>
    </row>
    <row r="429" spans="1:12" ht="47.25" hidden="1" x14ac:dyDescent="0.2">
      <c r="A429" s="116" t="str">
        <f>IF(B429&gt;0,VLOOKUP(B429,КВСР!A210:B1375,2),IF(C429&gt;0,VLOOKUP(C429,КФСР!A210:B1722,2),IF(D429&gt;0,VLOOKUP(D429,Программа!A$1:B$5110,2),IF(F429&gt;0,VLOOKUP(F429,КВР!A$1:B$5001,2),IF(E429&gt;0,VLOOKUP(E429,Направление!A$1:B$4783,2))))))</f>
        <v>Расходы на социальную поддержку отдельных категорий граждан в части ежемесячного пособия на ребенка</v>
      </c>
      <c r="B429" s="117"/>
      <c r="C429" s="112"/>
      <c r="D429" s="113"/>
      <c r="E429" s="112">
        <v>73040</v>
      </c>
      <c r="F429" s="114"/>
      <c r="G429" s="385"/>
      <c r="H429" s="385">
        <f>H430+H431</f>
        <v>0</v>
      </c>
      <c r="I429" s="385">
        <f t="shared" si="249"/>
        <v>0</v>
      </c>
      <c r="J429" s="385"/>
      <c r="K429" s="295">
        <f>K430+K431</f>
        <v>0</v>
      </c>
      <c r="L429" s="295">
        <f t="shared" si="250"/>
        <v>0</v>
      </c>
    </row>
    <row r="430" spans="1:12" ht="63" hidden="1" x14ac:dyDescent="0.2">
      <c r="A430" s="116" t="str">
        <f>IF(B430&gt;0,VLOOKUP(B430,КВСР!A211:B1376,2),IF(C430&gt;0,VLOOKUP(C430,КФСР!A211:B1723,2),IF(D430&gt;0,VLOOKUP(D430,Программа!A$1:B$5110,2),IF(F430&gt;0,VLOOKUP(F430,КВР!A$1:B$5001,2),IF(E430&gt;0,VLOOKUP(E430,Направление!A$1:B$4783,2))))))</f>
        <v xml:space="preserve">Закупка товаров, работ и услуг для обеспечения государственных (муниципальных) нужд
</v>
      </c>
      <c r="B430" s="117"/>
      <c r="C430" s="112"/>
      <c r="D430" s="113"/>
      <c r="E430" s="112"/>
      <c r="F430" s="114">
        <v>200</v>
      </c>
      <c r="G430" s="385"/>
      <c r="H430" s="385">
        <v>0</v>
      </c>
      <c r="I430" s="385">
        <f t="shared" si="249"/>
        <v>0</v>
      </c>
      <c r="J430" s="385"/>
      <c r="K430" s="295">
        <v>0</v>
      </c>
      <c r="L430" s="295">
        <f t="shared" si="250"/>
        <v>0</v>
      </c>
    </row>
    <row r="431" spans="1:12" ht="31.5" hidden="1" x14ac:dyDescent="0.2">
      <c r="A431" s="116" t="str">
        <f>IF(B431&gt;0,VLOOKUP(B431,КВСР!A204:B1369,2),IF(C431&gt;0,VLOOKUP(C431,КФСР!A204:B1716,2),IF(D431&gt;0,VLOOKUP(D431,Программа!A$1:B$5110,2),IF(F431&gt;0,VLOOKUP(F431,КВР!A$1:B$5001,2),IF(E431&gt;0,VLOOKUP(E431,Направление!A$1:B$4783,2))))))</f>
        <v>Социальное обеспечение и иные выплаты населению</v>
      </c>
      <c r="B431" s="117"/>
      <c r="C431" s="112"/>
      <c r="D431" s="113"/>
      <c r="E431" s="112"/>
      <c r="F431" s="114">
        <v>300</v>
      </c>
      <c r="G431" s="385"/>
      <c r="H431" s="385">
        <v>0</v>
      </c>
      <c r="I431" s="385">
        <f t="shared" si="249"/>
        <v>0</v>
      </c>
      <c r="J431" s="385"/>
      <c r="K431" s="295">
        <v>0</v>
      </c>
      <c r="L431" s="295">
        <f t="shared" si="250"/>
        <v>0</v>
      </c>
    </row>
    <row r="432" spans="1:12" ht="78.75" x14ac:dyDescent="0.2">
      <c r="A432" s="116" t="str">
        <f>IF(B432&gt;0,VLOOKUP(B432,КВСР!A207:B1372,2),IF(C432&gt;0,VLOOKUP(C432,КФСР!A207:B1719,2),IF(D432&gt;0,VLOOKUP(D432,Программа!A$1:B$5110,2),IF(F432&gt;0,VLOOKUP(F432,КВР!A$1:B$5001,2),IF(E432&gt;0,VLOOKUP(E432,Направление!A$1:B$4783,2))))))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7"/>
      <c r="C432" s="112"/>
      <c r="D432" s="113"/>
      <c r="E432" s="112">
        <v>75490</v>
      </c>
      <c r="F432" s="114"/>
      <c r="G432" s="385"/>
      <c r="H432" s="385">
        <f t="shared" ref="H432:K432" si="298">H433</f>
        <v>30317</v>
      </c>
      <c r="I432" s="385">
        <f t="shared" si="298"/>
        <v>30317</v>
      </c>
      <c r="J432" s="385">
        <f t="shared" si="298"/>
        <v>0</v>
      </c>
      <c r="K432" s="385">
        <f t="shared" si="298"/>
        <v>30317</v>
      </c>
      <c r="L432" s="385">
        <f>L433</f>
        <v>30317</v>
      </c>
    </row>
    <row r="433" spans="1:12" ht="63" x14ac:dyDescent="0.2">
      <c r="A433" s="116" t="str">
        <f>IF(B433&gt;0,VLOOKUP(B433,КВСР!A208:B1373,2),IF(C433&gt;0,VLOOKUP(C433,КФСР!A208:B1720,2),IF(D433&gt;0,VLOOKUP(D433,Программа!A$1:B$5110,2),IF(F433&gt;0,VLOOKUP(F433,КВР!A$1:B$5001,2),IF(E433&gt;0,VLOOKUP(E433,Направление!A$1:B$4783,2))))))</f>
        <v xml:space="preserve">Закупка товаров, работ и услуг для обеспечения государственных (муниципальных) нужд
</v>
      </c>
      <c r="B433" s="117"/>
      <c r="C433" s="112"/>
      <c r="D433" s="113"/>
      <c r="E433" s="112"/>
      <c r="F433" s="114">
        <v>200</v>
      </c>
      <c r="G433" s="385"/>
      <c r="H433" s="385">
        <v>30317</v>
      </c>
      <c r="I433" s="385">
        <f>SUM(G433:H433)</f>
        <v>30317</v>
      </c>
      <c r="J433" s="385"/>
      <c r="K433" s="295">
        <v>30317</v>
      </c>
      <c r="L433" s="295">
        <f>SUM(J433:K433)</f>
        <v>30317</v>
      </c>
    </row>
    <row r="434" spans="1:12" ht="63" x14ac:dyDescent="0.2">
      <c r="A434" s="116" t="str">
        <f>IF(B434&gt;0,VLOOKUP(B434,КВСР!A209:B1374,2),IF(C434&gt;0,VLOOKUP(C434,КФСР!A209:B1721,2),IF(D434&gt;0,VLOOKUP(D434,Программа!A$1:B$5110,2),IF(F434&gt;0,VLOOKUP(F434,КВР!A$1:B$5001,2),IF(E434&gt;0,VLOOKUP(E434,Направление!A$1:B$4783,2))))))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7"/>
      <c r="C434" s="112"/>
      <c r="D434" s="113"/>
      <c r="E434" s="112" t="s">
        <v>1258</v>
      </c>
      <c r="F434" s="114"/>
      <c r="G434" s="385"/>
      <c r="H434" s="385">
        <f t="shared" ref="H434:L434" si="299">H435</f>
        <v>1783322</v>
      </c>
      <c r="I434" s="385">
        <f t="shared" si="299"/>
        <v>1783322</v>
      </c>
      <c r="J434" s="385"/>
      <c r="K434" s="385">
        <f t="shared" si="299"/>
        <v>1783322</v>
      </c>
      <c r="L434" s="385">
        <f t="shared" si="299"/>
        <v>1783322</v>
      </c>
    </row>
    <row r="435" spans="1:12" ht="31.5" x14ac:dyDescent="0.2">
      <c r="A435" s="116" t="str">
        <f>IF(B435&gt;0,VLOOKUP(B435,КВСР!A210:B1375,2),IF(C435&gt;0,VLOOKUP(C435,КФСР!A210:B1722,2),IF(D435&gt;0,VLOOKUP(D435,Программа!A$1:B$5110,2),IF(F435&gt;0,VLOOKUP(F435,КВР!A$1:B$5001,2),IF(E435&gt;0,VLOOKUP(E435,Направление!A$1:B$4783,2))))))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85"/>
      <c r="H435" s="385">
        <v>1783322</v>
      </c>
      <c r="I435" s="385">
        <f>SUM(G435:H435)</f>
        <v>1783322</v>
      </c>
      <c r="J435" s="385"/>
      <c r="K435" s="295">
        <v>1783322</v>
      </c>
      <c r="L435" s="295">
        <f>SUM(J435:K435)</f>
        <v>1783322</v>
      </c>
    </row>
    <row r="436" spans="1:12" ht="63" x14ac:dyDescent="0.2">
      <c r="A436" s="116" t="str">
        <f>IF(B436&gt;0,VLOOKUP(B436,КВСР!A205:B1370,2),IF(C436&gt;0,VLOOKUP(C436,КФСР!A205:B1717,2),IF(D436&gt;0,VLOOKUP(D436,Программа!A$1:B$5110,2),IF(F436&gt;0,VLOOKUP(F436,КВР!A$1:B$5001,2),IF(E436&gt;0,VLOOKUP(E436,Направление!A$1:B$4783,2))))))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436" s="117"/>
      <c r="C436" s="112"/>
      <c r="D436" s="113" t="s">
        <v>553</v>
      </c>
      <c r="E436" s="112"/>
      <c r="F436" s="114"/>
      <c r="G436" s="385"/>
      <c r="H436" s="385">
        <f>H437+H440+H443+H445</f>
        <v>7081306</v>
      </c>
      <c r="I436" s="385">
        <f t="shared" ref="I436:L436" si="300">I437+I440+I443+I445</f>
        <v>7081306</v>
      </c>
      <c r="J436" s="385"/>
      <c r="K436" s="385">
        <f t="shared" si="300"/>
        <v>8086256</v>
      </c>
      <c r="L436" s="385">
        <f t="shared" si="300"/>
        <v>8086256</v>
      </c>
    </row>
    <row r="437" spans="1:12" ht="47.25" hidden="1" x14ac:dyDescent="0.2">
      <c r="A437" s="116" t="str">
        <f>IF(B437&gt;0,VLOOKUP(B437,КВСР!A206:B1371,2),IF(C437&gt;0,VLOOKUP(C437,КФСР!A206:B1718,2),IF(D437&gt;0,VLOOKUP(D437,Программа!A$1:B$5110,2),IF(F437&gt;0,VLOOKUP(F437,КВР!A$1:B$5001,2),IF(E437&gt;0,VLOOKUP(E437,Направление!A$1:B$4783,2))))))</f>
        <v>Организация перевозок больных, нуждающихся в амбулаторном гемодиализе</v>
      </c>
      <c r="B437" s="117"/>
      <c r="C437" s="112"/>
      <c r="D437" s="113"/>
      <c r="E437" s="112">
        <v>16210</v>
      </c>
      <c r="F437" s="114"/>
      <c r="G437" s="385"/>
      <c r="H437" s="385">
        <f t="shared" ref="H437" si="301">H438+H439</f>
        <v>0</v>
      </c>
      <c r="I437" s="385">
        <f t="shared" si="249"/>
        <v>0</v>
      </c>
      <c r="J437" s="385"/>
      <c r="K437" s="295">
        <f t="shared" ref="K437" si="302">K438+K439</f>
        <v>0</v>
      </c>
      <c r="L437" s="295">
        <f t="shared" si="250"/>
        <v>0</v>
      </c>
    </row>
    <row r="438" spans="1:12" ht="31.5" hidden="1" x14ac:dyDescent="0.2">
      <c r="A438" s="116" t="str">
        <f>IF(B438&gt;0,VLOOKUP(B438,КВСР!A207:B1372,2),IF(C438&gt;0,VLOOKUP(C438,КФСР!A207:B1719,2),IF(D438&gt;0,VLOOKUP(D438,Программа!A$1:B$5110,2),IF(F438&gt;0,VLOOKUP(F438,КВР!A$1:B$5001,2),IF(E438&gt;0,VLOOKUP(E438,Направление!A$1:B$4783,2))))))</f>
        <v>Социальное обеспечение и иные выплаты населению</v>
      </c>
      <c r="B438" s="117"/>
      <c r="C438" s="112"/>
      <c r="D438" s="113"/>
      <c r="E438" s="112"/>
      <c r="F438" s="114">
        <v>300</v>
      </c>
      <c r="G438" s="385"/>
      <c r="H438" s="385"/>
      <c r="I438" s="385">
        <f t="shared" si="249"/>
        <v>0</v>
      </c>
      <c r="J438" s="385"/>
      <c r="K438" s="295"/>
      <c r="L438" s="295">
        <f t="shared" si="250"/>
        <v>0</v>
      </c>
    </row>
    <row r="439" spans="1:12" ht="31.5" hidden="1" x14ac:dyDescent="0.2">
      <c r="A439" s="116" t="str">
        <f>IF(B439&gt;0,VLOOKUP(B439,КВСР!A208:B1373,2),IF(C439&gt;0,VLOOKUP(C439,КФСР!A208:B1720,2),IF(D439&gt;0,VLOOKUP(D439,Программа!A$1:B$5110,2),IF(F439&gt;0,VLOOKUP(F439,КВР!A$1:B$5001,2),IF(E439&gt;0,VLOOKUP(E439,Направление!A$1:B$4783,2))))))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85"/>
      <c r="H439" s="385"/>
      <c r="I439" s="385">
        <f t="shared" si="249"/>
        <v>0</v>
      </c>
      <c r="J439" s="385"/>
      <c r="K439" s="295"/>
      <c r="L439" s="295">
        <f t="shared" si="250"/>
        <v>0</v>
      </c>
    </row>
    <row r="440" spans="1:12" ht="47.25" x14ac:dyDescent="0.2">
      <c r="A440" s="116" t="str">
        <f>IF(B440&gt;0,VLOOKUP(B440,КВСР!A209:B1374,2),IF(C440&gt;0,VLOOKUP(C440,КФСР!A209:B1721,2),IF(D440&gt;0,VLOOKUP(D440,Программа!A$1:B$5110,2),IF(F440&gt;0,VLOOKUP(F440,КВР!A$1:B$5001,2),IF(E440&gt;0,VLOOKUP(E440,Направление!A$1:B$4783,2))))))</f>
        <v>Оказание социальной помощи отдельным категориям граждан за счет средств областного бюджета</v>
      </c>
      <c r="B440" s="117"/>
      <c r="C440" s="112"/>
      <c r="D440" s="113"/>
      <c r="E440" s="112">
        <v>70890</v>
      </c>
      <c r="F440" s="114"/>
      <c r="G440" s="385"/>
      <c r="H440" s="385">
        <f t="shared" ref="H440" si="303">H441+H442</f>
        <v>2067800</v>
      </c>
      <c r="I440" s="385">
        <f t="shared" si="249"/>
        <v>2067800</v>
      </c>
      <c r="J440" s="385"/>
      <c r="K440" s="295">
        <f t="shared" ref="K440" si="304">K441+K442</f>
        <v>3072750</v>
      </c>
      <c r="L440" s="295">
        <f t="shared" si="250"/>
        <v>3072750</v>
      </c>
    </row>
    <row r="441" spans="1:12" ht="63" x14ac:dyDescent="0.2">
      <c r="A441" s="116" t="str">
        <f>IF(B441&gt;0,VLOOKUP(B441,КВСР!A210:B1375,2),IF(C441&gt;0,VLOOKUP(C441,КФСР!A210:B1722,2),IF(D441&gt;0,VLOOKUP(D441,Программа!A$1:B$5110,2),IF(F441&gt;0,VLOOKUP(F441,КВР!A$1:B$5001,2),IF(E441&gt;0,VLOOKUP(E441,Направление!A$1:B$4783,2))))))</f>
        <v xml:space="preserve">Закупка товаров, работ и услуг для обеспечения государственных (муниципальных) нужд
</v>
      </c>
      <c r="B441" s="117"/>
      <c r="C441" s="112"/>
      <c r="D441" s="113"/>
      <c r="E441" s="112"/>
      <c r="F441" s="114">
        <v>200</v>
      </c>
      <c r="G441" s="385"/>
      <c r="H441" s="385">
        <v>24850</v>
      </c>
      <c r="I441" s="385">
        <f t="shared" si="249"/>
        <v>24850</v>
      </c>
      <c r="J441" s="385"/>
      <c r="K441" s="295">
        <v>34300</v>
      </c>
      <c r="L441" s="295">
        <f t="shared" si="250"/>
        <v>34300</v>
      </c>
    </row>
    <row r="442" spans="1:12" ht="31.5" x14ac:dyDescent="0.2">
      <c r="A442" s="116" t="str">
        <f>IF(B442&gt;0,VLOOKUP(B442,КВСР!A211:B1376,2),IF(C442&gt;0,VLOOKUP(C442,КФСР!A211:B1723,2),IF(D442&gt;0,VLOOKUP(D442,Программа!A$1:B$5110,2),IF(F442&gt;0,VLOOKUP(F442,КВР!A$1:B$5001,2),IF(E442&gt;0,VLOOKUP(E442,Направление!A$1:B$4783,2))))))</f>
        <v>Социальное обеспечение и иные выплаты населению</v>
      </c>
      <c r="B442" s="117"/>
      <c r="C442" s="112"/>
      <c r="D442" s="113"/>
      <c r="E442" s="112"/>
      <c r="F442" s="114">
        <v>300</v>
      </c>
      <c r="G442" s="385"/>
      <c r="H442" s="385">
        <v>2042950</v>
      </c>
      <c r="I442" s="385">
        <f t="shared" si="249"/>
        <v>2042950</v>
      </c>
      <c r="J442" s="385"/>
      <c r="K442" s="295">
        <v>3038450</v>
      </c>
      <c r="L442" s="295">
        <f t="shared" si="250"/>
        <v>3038450</v>
      </c>
    </row>
    <row r="443" spans="1:12" ht="63" x14ac:dyDescent="0.2">
      <c r="A443" s="116" t="str">
        <f>IF(B443&gt;0,VLOOKUP(B443,КВСР!A212:B1377,2),IF(C443&gt;0,VLOOKUP(C443,КФСР!A212:B1724,2),IF(D443&gt;0,VLOOKUP(D443,Программа!A$1:B$5110,2),IF(F443&gt;0,VLOOKUP(F443,КВР!A$1:B$5001,2),IF(E443&gt;0,VLOOKUP(E443,Направление!A$1:B$4783,2))))))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7"/>
      <c r="C443" s="112"/>
      <c r="D443" s="113"/>
      <c r="E443" s="112">
        <v>75520</v>
      </c>
      <c r="F443" s="114"/>
      <c r="G443" s="385"/>
      <c r="H443" s="385">
        <f t="shared" ref="H443:L443" si="305">H444</f>
        <v>270900</v>
      </c>
      <c r="I443" s="385">
        <f t="shared" si="305"/>
        <v>270900</v>
      </c>
      <c r="J443" s="385"/>
      <c r="K443" s="385">
        <f t="shared" si="305"/>
        <v>270900</v>
      </c>
      <c r="L443" s="385">
        <f t="shared" si="305"/>
        <v>270900</v>
      </c>
    </row>
    <row r="444" spans="1:12" ht="63" x14ac:dyDescent="0.2">
      <c r="A444" s="116" t="str">
        <f>IF(B444&gt;0,VLOOKUP(B444,КВСР!A213:B1378,2),IF(C444&gt;0,VLOOKUP(C444,КФСР!A213:B1725,2),IF(D444&gt;0,VLOOKUP(D444,Программа!A$1:B$5110,2),IF(F444&gt;0,VLOOKUP(F444,КВР!A$1:B$5001,2),IF(E444&gt;0,VLOOKUP(E444,Направление!A$1:B$4783,2))))))</f>
        <v xml:space="preserve">Закупка товаров, работ и услуг для обеспечения государственных (муниципальных) нужд
</v>
      </c>
      <c r="B444" s="117"/>
      <c r="C444" s="112"/>
      <c r="D444" s="113"/>
      <c r="E444" s="112"/>
      <c r="F444" s="114">
        <v>200</v>
      </c>
      <c r="G444" s="385"/>
      <c r="H444" s="385">
        <v>270900</v>
      </c>
      <c r="I444" s="385">
        <f>G444+H444</f>
        <v>270900</v>
      </c>
      <c r="J444" s="385"/>
      <c r="K444" s="295">
        <v>270900</v>
      </c>
      <c r="L444" s="295">
        <f>J444+K444</f>
        <v>270900</v>
      </c>
    </row>
    <row r="445" spans="1:12" ht="47.25" x14ac:dyDescent="0.2">
      <c r="A445" s="116" t="str">
        <f>IF(B445&gt;0,VLOOKUP(B445,КВСР!A214:B1379,2),IF(C445&gt;0,VLOOKUP(C445,КФСР!A214:B1726,2),IF(D445&gt;0,VLOOKUP(D445,Программа!A$1:B$5110,2),IF(F445&gt;0,VLOOKUP(F445,КВР!A$1:B$5001,2),IF(E445&gt;0,VLOOKUP(E445,Направление!A$1:B$4783,2))))))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445" s="117"/>
      <c r="C445" s="112"/>
      <c r="D445" s="113"/>
      <c r="E445" s="112" t="s">
        <v>1853</v>
      </c>
      <c r="F445" s="114"/>
      <c r="G445" s="385"/>
      <c r="H445" s="385">
        <f t="shared" ref="H445:L445" si="306">H446</f>
        <v>4742606</v>
      </c>
      <c r="I445" s="385">
        <f t="shared" si="306"/>
        <v>4742606</v>
      </c>
      <c r="J445" s="385"/>
      <c r="K445" s="385">
        <f t="shared" si="306"/>
        <v>4742606</v>
      </c>
      <c r="L445" s="385">
        <f t="shared" si="306"/>
        <v>4742606</v>
      </c>
    </row>
    <row r="446" spans="1:12" ht="31.5" x14ac:dyDescent="0.2">
      <c r="A446" s="116" t="str">
        <f>IF(B446&gt;0,VLOOKUP(B446,КВСР!A215:B1380,2),IF(C446&gt;0,VLOOKUP(C446,КФСР!A215:B1727,2),IF(D446&gt;0,VLOOKUP(D446,Программа!A$1:B$5110,2),IF(F446&gt;0,VLOOKUP(F446,КВР!A$1:B$5001,2),IF(E446&gt;0,VLOOKUP(E446,Направление!A$1:B$4783,2))))))</f>
        <v>Социальное обеспечение и иные выплаты населению</v>
      </c>
      <c r="B446" s="117"/>
      <c r="C446" s="112"/>
      <c r="D446" s="113"/>
      <c r="E446" s="112"/>
      <c r="F446" s="114">
        <v>300</v>
      </c>
      <c r="G446" s="385"/>
      <c r="H446" s="385">
        <v>4742606</v>
      </c>
      <c r="I446" s="385">
        <f t="shared" ref="I446" si="307">G446+H446</f>
        <v>4742606</v>
      </c>
      <c r="J446" s="385"/>
      <c r="K446" s="295">
        <v>4742606</v>
      </c>
      <c r="L446" s="295">
        <f t="shared" ref="L446" si="308">J446+K446</f>
        <v>4742606</v>
      </c>
    </row>
    <row r="447" spans="1:12" ht="15.75" x14ac:dyDescent="0.2">
      <c r="A447" s="116" t="str">
        <f>IF(B447&gt;0,VLOOKUP(B447,КВСР!A209:B1374,2),IF(C447&gt;0,VLOOKUP(C447,КФСР!A209:B1721,2),IF(D447&gt;0,VLOOKUP(D447,Программа!A$1:B$5110,2),IF(F447&gt;0,VLOOKUP(F447,КВР!A$1:B$5001,2),IF(E447&gt;0,VLOOKUP(E447,Направление!A$1:B$4783,2))))))</f>
        <v>Охрана семьи и детства</v>
      </c>
      <c r="B447" s="117"/>
      <c r="C447" s="112">
        <v>1004</v>
      </c>
      <c r="D447" s="113"/>
      <c r="E447" s="112"/>
      <c r="F447" s="114"/>
      <c r="G447" s="385"/>
      <c r="H447" s="385">
        <f t="shared" ref="H447:H448" si="309">H448</f>
        <v>125919454</v>
      </c>
      <c r="I447" s="385">
        <f t="shared" si="249"/>
        <v>125919454</v>
      </c>
      <c r="J447" s="385"/>
      <c r="K447" s="295">
        <f t="shared" ref="K447:K448" si="310">K448</f>
        <v>132756079</v>
      </c>
      <c r="L447" s="295">
        <f t="shared" si="250"/>
        <v>132756079</v>
      </c>
    </row>
    <row r="448" spans="1:12" ht="47.25" x14ac:dyDescent="0.2">
      <c r="A448" s="116" t="str">
        <f>IF(B448&gt;0,VLOOKUP(B448,КВСР!A234:B1399,2),IF(C448&gt;0,VLOOKUP(C448,КФСР!A234:B1746,2),IF(D448&gt;0,VLOOKUP(D448,Программа!A$1:B$5110,2),IF(F448&gt;0,VLOOKUP(F448,КВР!A$1:B$5001,2),IF(E448&gt;0,VLOOKUP(E448,Направление!A$1:B$4783,2))))))</f>
        <v>Муниципальная программа "Социальная поддержка населения Тутаевского муниципального района"</v>
      </c>
      <c r="B448" s="117"/>
      <c r="C448" s="112"/>
      <c r="D448" s="113" t="s">
        <v>461</v>
      </c>
      <c r="E448" s="112"/>
      <c r="F448" s="114"/>
      <c r="G448" s="385"/>
      <c r="H448" s="385">
        <f t="shared" si="309"/>
        <v>125919454</v>
      </c>
      <c r="I448" s="385">
        <f t="shared" si="249"/>
        <v>125919454</v>
      </c>
      <c r="J448" s="385"/>
      <c r="K448" s="295">
        <f t="shared" si="310"/>
        <v>132756079</v>
      </c>
      <c r="L448" s="295">
        <f t="shared" si="250"/>
        <v>132756079</v>
      </c>
    </row>
    <row r="449" spans="1:12" ht="47.25" x14ac:dyDescent="0.2">
      <c r="A449" s="116" t="str">
        <f>IF(B449&gt;0,VLOOKUP(B449,КВСР!A235:B1400,2),IF(C449&gt;0,VLOOKUP(C449,КФСР!A235:B1747,2),IF(D449&gt;0,VLOOKUP(D449,Программа!A$1:B$5110,2),IF(F449&gt;0,VLOOKUP(F449,КВР!A$1:B$5001,2),IF(E449&gt;0,VLOOKUP(E449,Направление!A$1:B$4783,2))))))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49" s="117"/>
      <c r="C449" s="112"/>
      <c r="D449" s="113" t="s">
        <v>533</v>
      </c>
      <c r="E449" s="112"/>
      <c r="F449" s="114"/>
      <c r="G449" s="385"/>
      <c r="H449" s="385">
        <f>H450+H469</f>
        <v>125919454</v>
      </c>
      <c r="I449" s="385">
        <f t="shared" si="249"/>
        <v>125919454</v>
      </c>
      <c r="J449" s="385"/>
      <c r="K449" s="295">
        <f>K450+K469</f>
        <v>132756079</v>
      </c>
      <c r="L449" s="295">
        <f t="shared" si="250"/>
        <v>132756079</v>
      </c>
    </row>
    <row r="450" spans="1:12" ht="47.25" x14ac:dyDescent="0.2">
      <c r="A450" s="116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IF(B450&gt;0,VLOOKUP(B450,КВСР!A236:B1401,2),IF(C450&gt;0,VLOOKUP(C450,КФСР!A236:B1748,2),IF(D450&gt;0,VLOOKUP(D450,Программа!A$1:B$5110,2),IF(F450&gt;0,VLOOKUP(F450,КВР!A$1:B$5001,2),IF(E450&gt;0,VLOOKUP(E450,Направление!A$1:B$4783,2))))))</f>
        <v>Исполнение публичных обязательств по предоставлению выплат, пособий и компенсаций</v>
      </c>
      <c r="B450" s="117"/>
      <c r="C450" s="112"/>
      <c r="D450" s="129" t="s">
        <v>535</v>
      </c>
      <c r="E450" s="130"/>
      <c r="F450" s="114"/>
      <c r="G450" s="385"/>
      <c r="H450" s="385">
        <f>H451+H453+H455+H459+H462+H457+H464+H467</f>
        <v>72232560</v>
      </c>
      <c r="I450" s="385">
        <f t="shared" ref="I450:L450" si="311">I451+I453+I455+I459+I462+I457+I464+I467</f>
        <v>72232560</v>
      </c>
      <c r="J450" s="385">
        <f t="shared" si="311"/>
        <v>0</v>
      </c>
      <c r="K450" s="385">
        <f t="shared" si="311"/>
        <v>78528229</v>
      </c>
      <c r="L450" s="385">
        <f t="shared" si="311"/>
        <v>78528229</v>
      </c>
    </row>
    <row r="451" spans="1:12" ht="126" x14ac:dyDescent="0.2">
      <c r="A451" s="116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7"/>
      <c r="C451" s="112"/>
      <c r="D451" s="129"/>
      <c r="E451" s="130">
        <v>52700</v>
      </c>
      <c r="F451" s="114"/>
      <c r="G451" s="385"/>
      <c r="H451" s="385">
        <f t="shared" ref="H451" si="312">H452</f>
        <v>375836</v>
      </c>
      <c r="I451" s="385">
        <f t="shared" ref="I451:I542" si="313">SUM(G451:H451)</f>
        <v>375836</v>
      </c>
      <c r="J451" s="385"/>
      <c r="K451" s="295">
        <f t="shared" ref="K451" si="314">K452</f>
        <v>390869</v>
      </c>
      <c r="L451" s="295">
        <f t="shared" ref="L451:L542" si="315">SUM(J451:K451)</f>
        <v>390869</v>
      </c>
    </row>
    <row r="452" spans="1:12" ht="31.5" x14ac:dyDescent="0.2">
      <c r="A452" s="116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IF(B452&gt;0,VLOOKUP(B452,КВСР!A238:B1403,2),IF(C452&gt;0,VLOOKUP(C452,КФСР!A238:B1750,2),IF(D452&gt;0,VLOOKUP(D452,Программа!A$1:B$5110,2),IF(F452&gt;0,VLOOKUP(F452,КВР!A$1:B$5001,2),IF(E452&gt;0,VLOOKUP(E452,Направление!A$1:B$4783,2))))))</f>
        <v>Социальное обеспечение и иные выплаты населению</v>
      </c>
      <c r="B452" s="117"/>
      <c r="C452" s="112"/>
      <c r="D452" s="129"/>
      <c r="E452" s="130"/>
      <c r="F452" s="114">
        <v>300</v>
      </c>
      <c r="G452" s="385"/>
      <c r="H452" s="385">
        <v>375836</v>
      </c>
      <c r="I452" s="385">
        <f t="shared" si="313"/>
        <v>375836</v>
      </c>
      <c r="J452" s="385"/>
      <c r="K452" s="295">
        <v>390869</v>
      </c>
      <c r="L452" s="295">
        <f t="shared" si="315"/>
        <v>390869</v>
      </c>
    </row>
    <row r="453" spans="1:12" ht="141.75" x14ac:dyDescent="0.2">
      <c r="A453" s="116" t="str">
        <f>IF(B453&gt;0,VLOOKUP(B453,КВСР!A236:B1401,2),IF(C453&gt;0,VLOOKUP(C453,КФСР!A236:B1748,2),IF(D453&gt;0,VLOOKUP(D453,Программа!A$1:B$5110,2),IF(F453&gt;0,VLOOKUP(F453,КВР!A$1:B$5001,2),IF(E453&gt;0,VLOOKUP(E453,Направление!A$1:B$4783,2))))))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7"/>
      <c r="C453" s="112"/>
      <c r="D453" s="113"/>
      <c r="E453" s="112">
        <v>53800</v>
      </c>
      <c r="F453" s="114"/>
      <c r="G453" s="385"/>
      <c r="H453" s="385">
        <f t="shared" ref="H453" si="316">H454</f>
        <v>23215545</v>
      </c>
      <c r="I453" s="385">
        <f t="shared" si="313"/>
        <v>23215545</v>
      </c>
      <c r="J453" s="385"/>
      <c r="K453" s="295">
        <f t="shared" ref="K453" si="317">K454</f>
        <v>24144161</v>
      </c>
      <c r="L453" s="295">
        <f t="shared" si="315"/>
        <v>24144161</v>
      </c>
    </row>
    <row r="454" spans="1:12" ht="31.5" x14ac:dyDescent="0.2">
      <c r="A454" s="116" t="str">
        <f>IF(B454&gt;0,VLOOKUP(B454,КВСР!A237:B1402,2),IF(C454&gt;0,VLOOKUP(C454,КФСР!A237:B1749,2),IF(D454&gt;0,VLOOKUP(D454,Программа!A$1:B$5110,2),IF(F454&gt;0,VLOOKUP(F454,КВР!A$1:B$5001,2),IF(E454&gt;0,VLOOKUP(E454,Направление!A$1:B$4783,2))))))</f>
        <v>Социальное обеспечение и иные выплаты населению</v>
      </c>
      <c r="B454" s="117"/>
      <c r="C454" s="112"/>
      <c r="D454" s="113"/>
      <c r="E454" s="112"/>
      <c r="F454" s="114">
        <v>300</v>
      </c>
      <c r="G454" s="385"/>
      <c r="H454" s="385">
        <v>23215545</v>
      </c>
      <c r="I454" s="385">
        <f t="shared" si="313"/>
        <v>23215545</v>
      </c>
      <c r="J454" s="385"/>
      <c r="K454" s="295">
        <v>24144161</v>
      </c>
      <c r="L454" s="295">
        <f t="shared" si="315"/>
        <v>24144161</v>
      </c>
    </row>
    <row r="455" spans="1:12" ht="94.5" hidden="1" x14ac:dyDescent="0.2">
      <c r="A455" s="116" t="str">
        <f>IF(B455&gt;0,VLOOKUP(B455,КВСР!A238:B1403,2),IF(C455&gt;0,VLOOKUP(C455,КФСР!A238:B1750,2),IF(D455&gt;0,VLOOKUP(D455,Программа!A$1:B$5110,2),IF(F455&gt;0,VLOOKUP(F455,КВР!A$1:B$5001,2),IF(E455&gt;0,VLOOKUP(E455,Направление!A$1:B$4783,2))))))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7"/>
      <c r="C455" s="112"/>
      <c r="D455" s="113"/>
      <c r="E455" s="112">
        <v>53850</v>
      </c>
      <c r="F455" s="114"/>
      <c r="G455" s="385"/>
      <c r="H455" s="385">
        <f t="shared" ref="H455" si="318">H456</f>
        <v>0</v>
      </c>
      <c r="I455" s="385">
        <f t="shared" si="313"/>
        <v>0</v>
      </c>
      <c r="J455" s="385"/>
      <c r="K455" s="295">
        <f t="shared" ref="K455" si="319">K456</f>
        <v>0</v>
      </c>
      <c r="L455" s="295">
        <f t="shared" si="315"/>
        <v>0</v>
      </c>
    </row>
    <row r="456" spans="1:12" ht="31.5" hidden="1" x14ac:dyDescent="0.2">
      <c r="A456" s="116" t="str">
        <f>IF(B456&gt;0,VLOOKUP(B456,КВСР!A239:B1404,2),IF(C456&gt;0,VLOOKUP(C456,КФСР!A239:B1751,2),IF(D456&gt;0,VLOOKUP(D456,Программа!A$1:B$5110,2),IF(F456&gt;0,VLOOKUP(F456,КВР!A$1:B$5001,2),IF(E456&gt;0,VLOOKUP(E456,Направление!A$1:B$4783,2))))))</f>
        <v>Социальное обеспечение и иные выплаты населению</v>
      </c>
      <c r="B456" s="117"/>
      <c r="C456" s="112"/>
      <c r="D456" s="113"/>
      <c r="E456" s="112"/>
      <c r="F456" s="114">
        <v>300</v>
      </c>
      <c r="G456" s="385"/>
      <c r="H456" s="385"/>
      <c r="I456" s="385">
        <f t="shared" si="313"/>
        <v>0</v>
      </c>
      <c r="J456" s="385"/>
      <c r="K456" s="295"/>
      <c r="L456" s="295">
        <f t="shared" si="315"/>
        <v>0</v>
      </c>
    </row>
    <row r="457" spans="1:12" ht="63" x14ac:dyDescent="0.2">
      <c r="A457" s="116" t="str">
        <f>IF(B457&gt;0,VLOOKUP(B457,КВСР!A240:B1405,2),IF(C457&gt;0,VLOOKUP(C457,КФСР!A240:B1752,2),IF(D457&gt;0,VLOOKUP(D457,Программа!A$1:B$5110,2),IF(F457&gt;0,VLOOKUP(F457,КВР!A$1:B$5001,2),IF(E457&gt;0,VLOOKUP(E457,Направление!A$1:B$4783,2))))))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7"/>
      <c r="C457" s="112"/>
      <c r="D457" s="113"/>
      <c r="E457" s="112">
        <v>70870</v>
      </c>
      <c r="F457" s="114"/>
      <c r="G457" s="385"/>
      <c r="H457" s="385">
        <f t="shared" ref="H457:L457" si="320">H458</f>
        <v>2400</v>
      </c>
      <c r="I457" s="385">
        <f t="shared" si="320"/>
        <v>2400</v>
      </c>
      <c r="J457" s="385"/>
      <c r="K457" s="295">
        <f t="shared" si="320"/>
        <v>2400</v>
      </c>
      <c r="L457" s="295">
        <f t="shared" si="320"/>
        <v>2400</v>
      </c>
    </row>
    <row r="458" spans="1:12" ht="110.25" x14ac:dyDescent="0.2">
      <c r="A458" s="116" t="str">
        <f>IF(B458&gt;0,VLOOKUP(B458,КВСР!A241:B1406,2),IF(C458&gt;0,VLOOKUP(C458,КФСР!A241:B1753,2),IF(D458&gt;0,VLOOKUP(D458,Программа!A$1:B$5110,2),IF(F458&gt;0,VLOOKUP(F458,КВР!A$1:B$5001,2),IF(E458&gt;0,VLOOKUP(E458,Направление!A$1:B$4783,2))))))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7"/>
      <c r="C458" s="112"/>
      <c r="D458" s="113"/>
      <c r="E458" s="112"/>
      <c r="F458" s="114">
        <v>100</v>
      </c>
      <c r="G458" s="385"/>
      <c r="H458" s="385">
        <v>2400</v>
      </c>
      <c r="I458" s="385">
        <f t="shared" si="313"/>
        <v>2400</v>
      </c>
      <c r="J458" s="385"/>
      <c r="K458" s="295">
        <v>2400</v>
      </c>
      <c r="L458" s="295">
        <f t="shared" si="315"/>
        <v>2400</v>
      </c>
    </row>
    <row r="459" spans="1:12" ht="47.25" x14ac:dyDescent="0.2">
      <c r="A459" s="116" t="str">
        <f>IF(B459&gt;0,VLOOKUP(B459,КВСР!A242:B1407,2),IF(C459&gt;0,VLOOKUP(C459,КФСР!A242:B1754,2),IF(D459&gt;0,VLOOKUP(D459,Программа!A$1:B$5110,2),IF(F459&gt;0,VLOOKUP(F459,КВР!A$1:B$5001,2),IF(E459&gt;0,VLOOKUP(E459,Направление!A$1:B$4783,2))))))</f>
        <v>Расходы на социальную поддержку отдельных категорий граждан в части ежемесячного пособия на ребенка</v>
      </c>
      <c r="B459" s="117"/>
      <c r="C459" s="112"/>
      <c r="D459" s="113"/>
      <c r="E459" s="112">
        <v>73040</v>
      </c>
      <c r="F459" s="114"/>
      <c r="G459" s="385"/>
      <c r="H459" s="385">
        <f t="shared" ref="H459:L459" si="321">H460+H461</f>
        <v>21541000</v>
      </c>
      <c r="I459" s="385">
        <f t="shared" si="321"/>
        <v>21541000</v>
      </c>
      <c r="J459" s="385"/>
      <c r="K459" s="385">
        <f t="shared" si="321"/>
        <v>27466000</v>
      </c>
      <c r="L459" s="385">
        <f t="shared" si="321"/>
        <v>27466000</v>
      </c>
    </row>
    <row r="460" spans="1:12" ht="63" x14ac:dyDescent="0.2">
      <c r="A460" s="116" t="str">
        <f>IF(B460&gt;0,VLOOKUP(B460,КВСР!A243:B1408,2),IF(C460&gt;0,VLOOKUP(C460,КФСР!A243:B1755,2),IF(D460&gt;0,VLOOKUP(D460,Программа!A$1:B$5110,2),IF(F460&gt;0,VLOOKUP(F460,КВР!A$1:B$5001,2),IF(E460&gt;0,VLOOKUP(E460,Направление!A$1:B$4783,2))))))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85"/>
      <c r="H460" s="385">
        <v>2150</v>
      </c>
      <c r="I460" s="385">
        <f>G460+H460</f>
        <v>2150</v>
      </c>
      <c r="J460" s="385"/>
      <c r="K460" s="295">
        <v>2700</v>
      </c>
      <c r="L460" s="295">
        <f>J460+K460</f>
        <v>2700</v>
      </c>
    </row>
    <row r="461" spans="1:12" ht="31.5" x14ac:dyDescent="0.2">
      <c r="A461" s="116" t="str">
        <f>IF(B461&gt;0,VLOOKUP(B461,КВСР!A244:B1409,2),IF(C461&gt;0,VLOOKUP(C461,КФСР!A244:B1756,2),IF(D461&gt;0,VLOOKUP(D461,Программа!A$1:B$5110,2),IF(F461&gt;0,VLOOKUP(F461,КВР!A$1:B$5001,2),IF(E461&gt;0,VLOOKUP(E461,Направление!A$1:B$4783,2))))))</f>
        <v>Социальное обеспечение и иные выплаты населению</v>
      </c>
      <c r="B461" s="117"/>
      <c r="C461" s="112"/>
      <c r="D461" s="113"/>
      <c r="E461" s="112"/>
      <c r="F461" s="114">
        <v>300</v>
      </c>
      <c r="G461" s="385"/>
      <c r="H461" s="385">
        <v>21538850</v>
      </c>
      <c r="I461" s="385">
        <f>G461+H461</f>
        <v>21538850</v>
      </c>
      <c r="J461" s="385"/>
      <c r="K461" s="295">
        <v>27463300</v>
      </c>
      <c r="L461" s="295">
        <f>J461+K461</f>
        <v>27463300</v>
      </c>
    </row>
    <row r="462" spans="1:12" ht="94.5" x14ac:dyDescent="0.2">
      <c r="A462" s="116" t="str">
        <f>IF(B462&gt;0,VLOOKUP(B462,КВСР!A240:B1405,2),IF(C462&gt;0,VLOOKUP(C462,КФСР!A240:B1752,2),IF(D462&gt;0,VLOOKUP(D462,Программа!A$1:B$5110,2),IF(F462&gt;0,VLOOKUP(F462,КВР!A$1:B$5001,2),IF(E462&gt;0,VLOOKUP(E462,Направление!A$1:B$4783,2))))))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7"/>
      <c r="C462" s="112"/>
      <c r="D462" s="113"/>
      <c r="E462" s="112">
        <v>75480</v>
      </c>
      <c r="F462" s="114"/>
      <c r="G462" s="385"/>
      <c r="H462" s="385">
        <f t="shared" ref="H462:L462" si="322">H463</f>
        <v>616600</v>
      </c>
      <c r="I462" s="385">
        <f t="shared" si="322"/>
        <v>616600</v>
      </c>
      <c r="J462" s="385"/>
      <c r="K462" s="295">
        <f t="shared" si="322"/>
        <v>624900</v>
      </c>
      <c r="L462" s="295">
        <f t="shared" si="322"/>
        <v>624900</v>
      </c>
    </row>
    <row r="463" spans="1:12" ht="63" x14ac:dyDescent="0.2">
      <c r="A463" s="116" t="str">
        <f>IF(B463&gt;0,VLOOKUP(B463,КВСР!A241:B1406,2),IF(C463&gt;0,VLOOKUP(C463,КФСР!A241:B1753,2),IF(D463&gt;0,VLOOKUP(D463,Программа!A$1:B$5110,2),IF(F463&gt;0,VLOOKUP(F463,КВР!A$1:B$5001,2),IF(E463&gt;0,VLOOKUP(E463,Направление!A$1:B$4783,2))))))</f>
        <v xml:space="preserve">Закупка товаров, работ и услуг для обеспечения государственных (муниципальных) нужд
</v>
      </c>
      <c r="B463" s="117"/>
      <c r="C463" s="112"/>
      <c r="D463" s="113"/>
      <c r="E463" s="112"/>
      <c r="F463" s="114">
        <v>200</v>
      </c>
      <c r="G463" s="385"/>
      <c r="H463" s="385">
        <v>616600</v>
      </c>
      <c r="I463" s="385">
        <f t="shared" si="313"/>
        <v>616600</v>
      </c>
      <c r="J463" s="385"/>
      <c r="K463" s="295">
        <v>624900</v>
      </c>
      <c r="L463" s="295">
        <f t="shared" si="315"/>
        <v>624900</v>
      </c>
    </row>
    <row r="464" spans="1:12" ht="47.25" x14ac:dyDescent="0.2">
      <c r="A464" s="116" t="str">
        <f>IF(B464&gt;0,VLOOKUP(B464,КВСР!A238:B1403,2),IF(C464&gt;0,VLOOKUP(C464,КФСР!A238:B1750,2),IF(D464&gt;0,VLOOKUP(D464,Программа!A$1:B$5110,2),IF(F464&gt;0,VLOOKUP(F464,КВР!A$1:B$5001,2),IF(E464&gt;0,VLOOKUP(E464,Направление!A$1:B$4783,2))))))</f>
        <v>Ежемесячная выплата на детей в возрасте от трех до семи лет включительно в части расходов по доставке</v>
      </c>
      <c r="B464" s="117"/>
      <c r="C464" s="112"/>
      <c r="D464" s="113"/>
      <c r="E464" s="112">
        <v>75510</v>
      </c>
      <c r="F464" s="114"/>
      <c r="G464" s="385"/>
      <c r="H464" s="385">
        <f t="shared" ref="H464" si="323">H466+H465</f>
        <v>902639</v>
      </c>
      <c r="I464" s="385">
        <f t="shared" si="313"/>
        <v>902639</v>
      </c>
      <c r="J464" s="385"/>
      <c r="K464" s="295">
        <f t="shared" ref="K464" si="324">K466+K465</f>
        <v>902639</v>
      </c>
      <c r="L464" s="295">
        <f t="shared" si="315"/>
        <v>902639</v>
      </c>
    </row>
    <row r="465" spans="1:12" ht="63" x14ac:dyDescent="0.2">
      <c r="A465" s="116" t="str">
        <f>IF(B465&gt;0,VLOOKUP(B465,КВСР!A239:B1404,2),IF(C465&gt;0,VLOOKUP(C465,КФСР!A239:B1751,2),IF(D465&gt;0,VLOOKUP(D465,Программа!A$1:B$5110,2),IF(F465&gt;0,VLOOKUP(F465,КВР!A$1:B$5001,2),IF(E465&gt;0,VLOOKUP(E465,Направление!A$1:B$4783,2))))))</f>
        <v xml:space="preserve">Закупка товаров, работ и услуг для обеспечения государственных (муниципальных) нужд
</v>
      </c>
      <c r="B465" s="117"/>
      <c r="C465" s="112"/>
      <c r="D465" s="113"/>
      <c r="E465" s="112"/>
      <c r="F465" s="114">
        <v>200</v>
      </c>
      <c r="G465" s="385"/>
      <c r="H465" s="385">
        <v>902639</v>
      </c>
      <c r="I465" s="385">
        <f t="shared" si="313"/>
        <v>902639</v>
      </c>
      <c r="J465" s="385"/>
      <c r="K465" s="295">
        <v>902639</v>
      </c>
      <c r="L465" s="295">
        <f t="shared" si="315"/>
        <v>902639</v>
      </c>
    </row>
    <row r="466" spans="1:12" ht="31.5" hidden="1" x14ac:dyDescent="0.2">
      <c r="A466" s="116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IF(B466&gt;0,VLOOKUP(B466,КВСР!A239:B1404,2),IF(C466&gt;0,VLOOKUP(C466,КФСР!A239:B1751,2),IF(D466&gt;0,VLOOKUP(D466,Программа!A$1:B$5110,2),IF(F466&gt;0,VLOOKUP(F466,КВР!A$1:B$5001,2),IF(E466&gt;0,VLOOKUP(E466,Направление!A$1:B$4783,2))))))</f>
        <v>Социальное обеспечение и иные выплаты населению</v>
      </c>
      <c r="B466" s="117"/>
      <c r="C466" s="112"/>
      <c r="D466" s="113"/>
      <c r="E466" s="112"/>
      <c r="F466" s="114">
        <v>300</v>
      </c>
      <c r="G466" s="385"/>
      <c r="H466" s="385">
        <v>0</v>
      </c>
      <c r="I466" s="385">
        <f t="shared" si="313"/>
        <v>0</v>
      </c>
      <c r="J466" s="385"/>
      <c r="K466" s="295">
        <v>0</v>
      </c>
      <c r="L466" s="295">
        <f t="shared" si="315"/>
        <v>0</v>
      </c>
    </row>
    <row r="467" spans="1:12" ht="31.5" x14ac:dyDescent="0.2">
      <c r="A467" s="116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IF(B467&gt;0,VLOOKUP(B467,КВСР!A240:B1405,2),IF(C467&gt;0,VLOOKUP(C467,КФСР!A240:B1752,2),IF(D467&gt;0,VLOOKUP(D467,Программа!A$1:B$5110,2),IF(F467&gt;0,VLOOKUP(F467,КВР!A$1:B$5001,2),IF(E467&gt;0,VLOOKUP(E467,Направление!A$1:B$4783,2))))))</f>
        <v>Ежемесячная выплата на детей в возрасте от 3 до 7 лет включительно</v>
      </c>
      <c r="B467" s="117"/>
      <c r="C467" s="112"/>
      <c r="D467" s="113"/>
      <c r="E467" s="112" t="s">
        <v>1824</v>
      </c>
      <c r="F467" s="114"/>
      <c r="G467" s="385">
        <f>G468</f>
        <v>0</v>
      </c>
      <c r="H467" s="385">
        <f t="shared" ref="H467:L467" si="325">H468</f>
        <v>25578540</v>
      </c>
      <c r="I467" s="385">
        <f t="shared" si="325"/>
        <v>25578540</v>
      </c>
      <c r="J467" s="385">
        <f t="shared" si="325"/>
        <v>0</v>
      </c>
      <c r="K467" s="385">
        <f t="shared" si="325"/>
        <v>24997260</v>
      </c>
      <c r="L467" s="385">
        <f t="shared" si="325"/>
        <v>24997260</v>
      </c>
    </row>
    <row r="468" spans="1:12" ht="31.5" x14ac:dyDescent="0.2">
      <c r="A468" s="116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IF(B468&gt;0,VLOOKUP(B468,КВСР!A241:B1406,2),IF(C468&gt;0,VLOOKUP(C468,КФСР!A241:B1753,2),IF(D468&gt;0,VLOOKUP(D468,Программа!A$1:B$5110,2),IF(F468&gt;0,VLOOKUP(F468,КВР!A$1:B$5001,2),IF(E468&gt;0,VLOOKUP(E468,Направление!A$1:B$4783,2))))))</f>
        <v>Социальное обеспечение и иные выплаты населению</v>
      </c>
      <c r="B468" s="117"/>
      <c r="C468" s="112"/>
      <c r="D468" s="113"/>
      <c r="E468" s="112"/>
      <c r="F468" s="114">
        <v>300</v>
      </c>
      <c r="G468" s="385"/>
      <c r="H468" s="385">
        <v>25578540</v>
      </c>
      <c r="I468" s="385">
        <f>G468+H468</f>
        <v>25578540</v>
      </c>
      <c r="J468" s="385"/>
      <c r="K468" s="295">
        <v>24997260</v>
      </c>
      <c r="L468" s="295">
        <f>J468+K468</f>
        <v>24997260</v>
      </c>
    </row>
    <row r="469" spans="1:12" ht="31.5" x14ac:dyDescent="0.2">
      <c r="A469" s="116" t="str">
        <f>IF(B469&gt;0,VLOOKUP(B469,КВСР!A240:B1405,2),IF(C469&gt;0,VLOOKUP(C469,КФСР!A240:B1752,2),IF(D469&gt;0,VLOOKUP(D469,Программа!A$1:B$5110,2),IF(F469&gt;0,VLOOKUP(F469,КВР!A$1:B$5001,2),IF(E469&gt;0,VLOOKUP(E469,Направление!A$1:B$4783,2))))))</f>
        <v>Федеральный проект "Финансовая поддержка при рождении детей"</v>
      </c>
      <c r="B469" s="117"/>
      <c r="C469" s="112"/>
      <c r="D469" s="113" t="s">
        <v>1545</v>
      </c>
      <c r="E469" s="112"/>
      <c r="F469" s="114"/>
      <c r="G469" s="385"/>
      <c r="H469" s="385">
        <f>H470+H472+H474</f>
        <v>53686894</v>
      </c>
      <c r="I469" s="385">
        <f t="shared" ref="I469:L469" si="326">I470+I472+I474</f>
        <v>53686894</v>
      </c>
      <c r="J469" s="385"/>
      <c r="K469" s="385">
        <f t="shared" si="326"/>
        <v>54227850</v>
      </c>
      <c r="L469" s="385">
        <f t="shared" si="326"/>
        <v>54227850</v>
      </c>
    </row>
    <row r="470" spans="1:12" ht="63" x14ac:dyDescent="0.2">
      <c r="A470" s="116" t="str">
        <f>IF(B470&gt;0,VLOOKUP(B470,КВСР!A241:B1406,2),IF(C470&gt;0,VLOOKUP(C470,КФСР!A241:B1753,2),IF(D470&gt;0,VLOOKUP(D470,Программа!A$1:B$5110,2),IF(F470&gt;0,VLOOKUP(F470,КВР!A$1:B$5001,2),IF(E470&gt;0,VLOOKUP(E470,Направление!A$1:B$4783,2))))))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7"/>
      <c r="C470" s="112"/>
      <c r="D470" s="113"/>
      <c r="E470" s="112">
        <v>50840</v>
      </c>
      <c r="F470" s="114"/>
      <c r="G470" s="385"/>
      <c r="H470" s="385">
        <f t="shared" ref="H470" si="327">H471</f>
        <v>12805582</v>
      </c>
      <c r="I470" s="385">
        <f t="shared" si="313"/>
        <v>12805582</v>
      </c>
      <c r="J470" s="385"/>
      <c r="K470" s="295">
        <f t="shared" ref="K470" si="328">K471</f>
        <v>12978630</v>
      </c>
      <c r="L470" s="295">
        <f t="shared" si="315"/>
        <v>12978630</v>
      </c>
    </row>
    <row r="471" spans="1:12" ht="31.5" x14ac:dyDescent="0.2">
      <c r="A471" s="116" t="str">
        <f>IF(B471&gt;0,VLOOKUP(B471,КВСР!A239:B1404,2),IF(C471&gt;0,VLOOKUP(C471,КФСР!A239:B1751,2),IF(D471&gt;0,VLOOKUP(D471,Программа!A$1:B$5110,2),IF(F471&gt;0,VLOOKUP(F471,КВР!A$1:B$5001,2),IF(E471&gt;0,VLOOKUP(E471,Направление!A$1:B$4783,2))))))</f>
        <v>Социальное обеспечение и иные выплаты населению</v>
      </c>
      <c r="B471" s="117"/>
      <c r="C471" s="112"/>
      <c r="D471" s="113"/>
      <c r="E471" s="112"/>
      <c r="F471" s="114">
        <v>300</v>
      </c>
      <c r="G471" s="385"/>
      <c r="H471" s="385">
        <v>12805582</v>
      </c>
      <c r="I471" s="385">
        <f t="shared" si="313"/>
        <v>12805582</v>
      </c>
      <c r="J471" s="385"/>
      <c r="K471" s="295">
        <v>12978630</v>
      </c>
      <c r="L471" s="295">
        <f t="shared" si="315"/>
        <v>12978630</v>
      </c>
    </row>
    <row r="472" spans="1:12" ht="78.75" x14ac:dyDescent="0.2">
      <c r="A472" s="116" t="str">
        <f>IF(B472&gt;0,VLOOKUP(B472,КВСР!A240:B1405,2),IF(C472&gt;0,VLOOKUP(C472,КФСР!A240:B1752,2),IF(D472&gt;0,VLOOKUP(D472,Программа!A$1:B$5110,2),IF(F472&gt;0,VLOOKUP(F472,КВР!A$1:B$5001,2),IF(E472&gt;0,VLOOKUP(E472,Направление!A$1:B$4783,2))))))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7"/>
      <c r="C472" s="112"/>
      <c r="D472" s="113"/>
      <c r="E472" s="112">
        <v>55730</v>
      </c>
      <c r="F472" s="114"/>
      <c r="G472" s="385"/>
      <c r="H472" s="385">
        <f t="shared" ref="H472:I472" si="329">H473</f>
        <v>40881312</v>
      </c>
      <c r="I472" s="385">
        <f t="shared" si="329"/>
        <v>40881312</v>
      </c>
      <c r="J472" s="385"/>
      <c r="K472" s="385">
        <f t="shared" ref="K472:L472" si="330">K473</f>
        <v>41249220</v>
      </c>
      <c r="L472" s="385">
        <f t="shared" si="330"/>
        <v>41249220</v>
      </c>
    </row>
    <row r="473" spans="1:12" ht="31.5" x14ac:dyDescent="0.2">
      <c r="A473" s="116" t="str">
        <f>IF(B473&gt;0,VLOOKUP(B473,КВСР!A241:B1406,2),IF(C473&gt;0,VLOOKUP(C473,КФСР!A241:B1753,2),IF(D473&gt;0,VLOOKUP(D473,Программа!A$1:B$5110,2),IF(F473&gt;0,VLOOKUP(F473,КВР!A$1:B$5001,2),IF(E473&gt;0,VLOOKUP(E473,Направление!A$1:B$4783,2))))))</f>
        <v>Социальное обеспечение и иные выплаты населению</v>
      </c>
      <c r="B473" s="117"/>
      <c r="C473" s="112"/>
      <c r="D473" s="113"/>
      <c r="E473" s="112"/>
      <c r="F473" s="114">
        <v>300</v>
      </c>
      <c r="G473" s="385"/>
      <c r="H473" s="385">
        <v>40881312</v>
      </c>
      <c r="I473" s="385">
        <f>G473+H473</f>
        <v>40881312</v>
      </c>
      <c r="J473" s="385"/>
      <c r="K473" s="295">
        <v>41249220</v>
      </c>
      <c r="L473" s="295">
        <f>J473+K473</f>
        <v>41249220</v>
      </c>
    </row>
    <row r="474" spans="1:12" ht="94.5" hidden="1" x14ac:dyDescent="0.2">
      <c r="A474" s="116" t="str">
        <f>IF(B474&gt;0,VLOOKUP(B474,КВСР!A242:B1407,2),IF(C474&gt;0,VLOOKUP(C474,КФСР!A242:B1754,2),IF(D474&gt;0,VLOOKUP(D474,Программа!A$1:B$5110,2),IF(F474&gt;0,VLOOKUP(F474,КВР!A$1:B$5001,2),IF(E474&gt;0,VLOOKUP(E474,Направление!A$1:B$4783,2))))))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7"/>
      <c r="C474" s="112"/>
      <c r="D474" s="113"/>
      <c r="E474" s="112">
        <v>75480</v>
      </c>
      <c r="F474" s="114"/>
      <c r="G474" s="385"/>
      <c r="H474" s="385">
        <f t="shared" ref="H474:L474" si="331">H475</f>
        <v>0</v>
      </c>
      <c r="I474" s="385">
        <f t="shared" si="331"/>
        <v>0</v>
      </c>
      <c r="J474" s="385"/>
      <c r="K474" s="385">
        <f t="shared" si="331"/>
        <v>0</v>
      </c>
      <c r="L474" s="385">
        <f t="shared" si="331"/>
        <v>0</v>
      </c>
    </row>
    <row r="475" spans="1:12" ht="63" hidden="1" x14ac:dyDescent="0.2">
      <c r="A475" s="116" t="str">
        <f>IF(B475&gt;0,VLOOKUP(B475,КВСР!A243:B1408,2),IF(C475&gt;0,VLOOKUP(C475,КФСР!A243:B1755,2),IF(D475&gt;0,VLOOKUP(D475,Программа!A$1:B$5110,2),IF(F475&gt;0,VLOOKUP(F475,КВР!A$1:B$5001,2),IF(E475&gt;0,VLOOKUP(E475,Направление!A$1:B$4783,2))))))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385"/>
      <c r="H475" s="385"/>
      <c r="I475" s="385">
        <f t="shared" ref="I475" si="332">G475+H475</f>
        <v>0</v>
      </c>
      <c r="J475" s="385"/>
      <c r="K475" s="295"/>
      <c r="L475" s="295">
        <f t="shared" ref="L475" si="333">J475+K475</f>
        <v>0</v>
      </c>
    </row>
    <row r="476" spans="1:12" ht="31.5" x14ac:dyDescent="0.2">
      <c r="A476" s="116" t="str">
        <f>IF(B476&gt;0,VLOOKUP(B476,КВСР!A238:B1403,2),IF(C476&gt;0,VLOOKUP(C476,КФСР!A238:B1750,2),IF(D476&gt;0,VLOOKUP(D476,Программа!A$1:B$5110,2),IF(F476&gt;0,VLOOKUP(F476,КВР!A$1:B$5001,2),IF(E476&gt;0,VLOOKUP(E476,Направление!A$1:B$4783,2))))))</f>
        <v>Другие вопросы в области социальной политики</v>
      </c>
      <c r="B476" s="117"/>
      <c r="C476" s="112">
        <v>1006</v>
      </c>
      <c r="D476" s="113"/>
      <c r="E476" s="112"/>
      <c r="F476" s="114"/>
      <c r="G476" s="385"/>
      <c r="H476" s="385">
        <f t="shared" ref="H476:H477" si="334">H477</f>
        <v>16589490</v>
      </c>
      <c r="I476" s="385">
        <f t="shared" si="313"/>
        <v>16589490</v>
      </c>
      <c r="J476" s="385"/>
      <c r="K476" s="295">
        <f t="shared" ref="K476:K477" si="335">K477</f>
        <v>16068120</v>
      </c>
      <c r="L476" s="295">
        <f t="shared" si="315"/>
        <v>16068120</v>
      </c>
    </row>
    <row r="477" spans="1:12" ht="47.25" x14ac:dyDescent="0.2">
      <c r="A477" s="116" t="str">
        <f>IF(B477&gt;0,VLOOKUP(B477,КВСР!A239:B1404,2),IF(C477&gt;0,VLOOKUP(C477,КФСР!A239:B1751,2),IF(D477&gt;0,VLOOKUP(D477,Программа!A$1:B$5110,2),IF(F477&gt;0,VLOOKUP(F477,КВР!A$1:B$5001,2),IF(E477&gt;0,VLOOKUP(E477,Направление!A$1:B$4783,2))))))</f>
        <v>Муниципальная программа "Социальная поддержка населения Тутаевского муниципального района"</v>
      </c>
      <c r="B477" s="117"/>
      <c r="C477" s="112"/>
      <c r="D477" s="113" t="s">
        <v>461</v>
      </c>
      <c r="E477" s="112"/>
      <c r="F477" s="114"/>
      <c r="G477" s="385"/>
      <c r="H477" s="385">
        <f t="shared" si="334"/>
        <v>16589490</v>
      </c>
      <c r="I477" s="385">
        <f t="shared" si="313"/>
        <v>16589490</v>
      </c>
      <c r="J477" s="385"/>
      <c r="K477" s="295">
        <f t="shared" si="335"/>
        <v>16068120</v>
      </c>
      <c r="L477" s="295">
        <f t="shared" si="315"/>
        <v>16068120</v>
      </c>
    </row>
    <row r="478" spans="1:12" ht="47.25" x14ac:dyDescent="0.2">
      <c r="A478" s="116" t="str">
        <f>IF(B478&gt;0,VLOOKUP(B478,КВСР!A240:B1405,2),IF(C478&gt;0,VLOOKUP(C478,КФСР!A240:B1752,2),IF(D478&gt;0,VLOOKUP(D478,Программа!A$1:B$5110,2),IF(F478&gt;0,VLOOKUP(F478,КВР!A$1:B$5001,2),IF(E478&gt;0,VLOOKUP(E478,Направление!A$1:B$4783,2))))))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78" s="117"/>
      <c r="C478" s="112"/>
      <c r="D478" s="113" t="s">
        <v>533</v>
      </c>
      <c r="E478" s="112"/>
      <c r="F478" s="114"/>
      <c r="G478" s="385"/>
      <c r="H478" s="385">
        <f t="shared" ref="H478" si="336">H479+H486</f>
        <v>16589490</v>
      </c>
      <c r="I478" s="385">
        <f t="shared" si="313"/>
        <v>16589490</v>
      </c>
      <c r="J478" s="385"/>
      <c r="K478" s="295">
        <f t="shared" ref="K478" si="337">K479+K486</f>
        <v>16068120</v>
      </c>
      <c r="L478" s="295">
        <f t="shared" si="315"/>
        <v>16068120</v>
      </c>
    </row>
    <row r="479" spans="1:12" ht="47.25" x14ac:dyDescent="0.2">
      <c r="A479" s="116" t="str">
        <f>IF(B479&gt;0,VLOOKUP(B479,КВСР!A241:B1406,2),IF(C479&gt;0,VLOOKUP(C479,КФСР!A241:B1753,2),IF(D479&gt;0,VLOOKUP(D479,Программа!A$1:B$5110,2),IF(F479&gt;0,VLOOKUP(F479,КВР!A$1:B$5001,2),IF(E479&gt;0,VLOOKUP(E479,Направление!A$1:B$4783,2))))))</f>
        <v>Исполнение публичных обязательств по предоставлению выплат, пособий и компенсаций</v>
      </c>
      <c r="B479" s="117"/>
      <c r="C479" s="112"/>
      <c r="D479" s="113" t="s">
        <v>535</v>
      </c>
      <c r="E479" s="112"/>
      <c r="F479" s="114"/>
      <c r="G479" s="385"/>
      <c r="H479" s="385">
        <f t="shared" ref="H479" si="338">H480+H482</f>
        <v>15133490</v>
      </c>
      <c r="I479" s="385">
        <f t="shared" si="313"/>
        <v>15133490</v>
      </c>
      <c r="J479" s="385"/>
      <c r="K479" s="295">
        <f t="shared" ref="K479" si="339">K480+K482</f>
        <v>14612120</v>
      </c>
      <c r="L479" s="295">
        <f t="shared" si="315"/>
        <v>14612120</v>
      </c>
    </row>
    <row r="480" spans="1:12" ht="15.75" x14ac:dyDescent="0.2">
      <c r="A480" s="116" t="str">
        <f>IF(B480&gt;0,VLOOKUP(B480,КВСР!A242:B1407,2),IF(C480&gt;0,VLOOKUP(C480,КФСР!A242:B1754,2),IF(D480&gt;0,VLOOKUP(D480,Программа!A$1:B$5110,2),IF(F480&gt;0,VLOOKUP(F480,КВР!A$1:B$5001,2),IF(E480&gt;0,VLOOKUP(E480,Направление!A$1:B$4783,2))))))</f>
        <v>Содержание центрального аппарата</v>
      </c>
      <c r="B480" s="117"/>
      <c r="C480" s="112"/>
      <c r="D480" s="113"/>
      <c r="E480" s="112">
        <v>12010</v>
      </c>
      <c r="F480" s="114"/>
      <c r="G480" s="385"/>
      <c r="H480" s="385">
        <f t="shared" ref="H480" si="340">H481</f>
        <v>521370</v>
      </c>
      <c r="I480" s="385">
        <f t="shared" si="313"/>
        <v>521370</v>
      </c>
      <c r="J480" s="385"/>
      <c r="K480" s="295">
        <f t="shared" ref="K480" si="341">K481</f>
        <v>0</v>
      </c>
      <c r="L480" s="295">
        <f t="shared" si="315"/>
        <v>0</v>
      </c>
    </row>
    <row r="481" spans="1:12" ht="110.25" x14ac:dyDescent="0.2">
      <c r="A481" s="116" t="str">
        <f>IF(B481&gt;0,VLOOKUP(B481,КВСР!A242:B1407,2),IF(C481&gt;0,VLOOKUP(C481,КФСР!A242:B1754,2),IF(D481&gt;0,VLOOKUP(D481,Программа!A$1:B$5110,2),IF(F481&gt;0,VLOOKUP(F481,КВР!A$1:B$5001,2),IF(E481&gt;0,VLOOKUP(E481,Направление!A$1:B$4783,2))))))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7"/>
      <c r="C481" s="112"/>
      <c r="D481" s="113"/>
      <c r="E481" s="112"/>
      <c r="F481" s="114">
        <v>100</v>
      </c>
      <c r="G481" s="385"/>
      <c r="H481" s="385">
        <v>521370</v>
      </c>
      <c r="I481" s="385">
        <f t="shared" si="313"/>
        <v>521370</v>
      </c>
      <c r="J481" s="385"/>
      <c r="K481" s="295">
        <v>0</v>
      </c>
      <c r="L481" s="295">
        <f t="shared" si="315"/>
        <v>0</v>
      </c>
    </row>
    <row r="482" spans="1:12" ht="63" x14ac:dyDescent="0.2">
      <c r="A482" s="116" t="str">
        <f>IF(B482&gt;0,VLOOKUP(B482,КВСР!A244:B1409,2),IF(C482&gt;0,VLOOKUP(C482,КФСР!A244:B1756,2),IF(D482&gt;0,VLOOKUP(D482,Программа!A$1:B$5110,2),IF(F482&gt;0,VLOOKUP(F482,КВР!A$1:B$5001,2),IF(E482&gt;0,VLOOKUP(E482,Направление!A$1:B$4783,2))))))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7"/>
      <c r="C482" s="112"/>
      <c r="D482" s="113"/>
      <c r="E482" s="112">
        <v>70870</v>
      </c>
      <c r="F482" s="114"/>
      <c r="G482" s="385"/>
      <c r="H482" s="385">
        <f t="shared" ref="H482" si="342">H483+H484+H485</f>
        <v>14612120</v>
      </c>
      <c r="I482" s="385">
        <f t="shared" si="313"/>
        <v>14612120</v>
      </c>
      <c r="J482" s="385"/>
      <c r="K482" s="295">
        <f t="shared" ref="K482" si="343">K483+K484+K485</f>
        <v>14612120</v>
      </c>
      <c r="L482" s="295">
        <f t="shared" si="315"/>
        <v>14612120</v>
      </c>
    </row>
    <row r="483" spans="1:12" ht="110.25" x14ac:dyDescent="0.2">
      <c r="A483" s="116" t="str">
        <f>IF(B483&gt;0,VLOOKUP(B483,КВСР!A245:B1410,2),IF(C483&gt;0,VLOOKUP(C483,КФСР!A245:B1757,2),IF(D483&gt;0,VLOOKUP(D483,Программа!A$1:B$5110,2),IF(F483&gt;0,VLOOKUP(F483,КВР!A$1:B$5001,2),IF(E483&gt;0,VLOOKUP(E483,Направление!A$1:B$4783,2))))))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7"/>
      <c r="C483" s="112"/>
      <c r="D483" s="113"/>
      <c r="E483" s="112"/>
      <c r="F483" s="114">
        <v>100</v>
      </c>
      <c r="G483" s="385"/>
      <c r="H483" s="385">
        <v>12790120</v>
      </c>
      <c r="I483" s="385">
        <f t="shared" si="313"/>
        <v>12790120</v>
      </c>
      <c r="J483" s="385"/>
      <c r="K483" s="295">
        <v>12790120</v>
      </c>
      <c r="L483" s="295">
        <f t="shared" si="315"/>
        <v>12790120</v>
      </c>
    </row>
    <row r="484" spans="1:12" ht="63" x14ac:dyDescent="0.2">
      <c r="A484" s="116" t="str">
        <f>IF(B484&gt;0,VLOOKUP(B484,КВСР!A246:B1411,2),IF(C484&gt;0,VLOOKUP(C484,КФСР!A246:B1758,2),IF(D484&gt;0,VLOOKUP(D484,Программа!A$1:B$5110,2),IF(F484&gt;0,VLOOKUP(F484,КВР!A$1:B$5001,2),IF(E484&gt;0,VLOOKUP(E484,Направление!A$1:B$4783,2))))))</f>
        <v xml:space="preserve">Закупка товаров, работ и услуг для обеспечения государственных (муниципальных) нужд
</v>
      </c>
      <c r="B484" s="117"/>
      <c r="C484" s="112"/>
      <c r="D484" s="113"/>
      <c r="E484" s="112"/>
      <c r="F484" s="114">
        <v>200</v>
      </c>
      <c r="G484" s="385"/>
      <c r="H484" s="385">
        <v>1814000</v>
      </c>
      <c r="I484" s="385">
        <f t="shared" si="313"/>
        <v>1814000</v>
      </c>
      <c r="J484" s="385"/>
      <c r="K484" s="295">
        <v>1814000</v>
      </c>
      <c r="L484" s="295">
        <f t="shared" si="315"/>
        <v>1814000</v>
      </c>
    </row>
    <row r="485" spans="1:12" ht="15.75" x14ac:dyDescent="0.2">
      <c r="A485" s="116" t="str">
        <f>IF(B485&gt;0,VLOOKUP(B485,КВСР!A247:B1412,2),IF(C485&gt;0,VLOOKUP(C485,КФСР!A247:B1759,2),IF(D485&gt;0,VLOOKUP(D485,Программа!A$1:B$5110,2),IF(F485&gt;0,VLOOKUP(F485,КВР!A$1:B$5001,2),IF(E485&gt;0,VLOOKUP(E485,Направление!A$1:B$4783,2))))))</f>
        <v>Иные бюджетные ассигнования</v>
      </c>
      <c r="B485" s="117"/>
      <c r="C485" s="112"/>
      <c r="D485" s="113"/>
      <c r="E485" s="112"/>
      <c r="F485" s="114">
        <v>800</v>
      </c>
      <c r="G485" s="385"/>
      <c r="H485" s="385">
        <v>8000</v>
      </c>
      <c r="I485" s="385">
        <f t="shared" si="313"/>
        <v>8000</v>
      </c>
      <c r="J485" s="385"/>
      <c r="K485" s="295">
        <v>8000</v>
      </c>
      <c r="L485" s="295">
        <f t="shared" si="315"/>
        <v>8000</v>
      </c>
    </row>
    <row r="486" spans="1:12" ht="31.5" x14ac:dyDescent="0.2">
      <c r="A486" s="116" t="str">
        <f>IF(B486&gt;0,VLOOKUP(B486,КВСР!A248:B1413,2),IF(C486&gt;0,VLOOKUP(C486,КФСР!A248:B1760,2),IF(D486&gt;0,VLOOKUP(D486,Программа!A$1:B$5110,2),IF(F486&gt;0,VLOOKUP(F486,КВР!A$1:B$5001,2),IF(E486&gt;0,VLOOKUP(E486,Направление!A$1:B$4783,2))))))</f>
        <v>Информационное обеспечение реализации мероприятий программы</v>
      </c>
      <c r="B486" s="117"/>
      <c r="C486" s="112"/>
      <c r="D486" s="113" t="s">
        <v>1279</v>
      </c>
      <c r="E486" s="112"/>
      <c r="F486" s="114"/>
      <c r="G486" s="385"/>
      <c r="H486" s="385">
        <f t="shared" ref="H486:H487" si="344">H487</f>
        <v>1456000</v>
      </c>
      <c r="I486" s="385">
        <f t="shared" si="313"/>
        <v>1456000</v>
      </c>
      <c r="J486" s="385"/>
      <c r="K486" s="295">
        <f t="shared" ref="K486:K487" si="345">K487</f>
        <v>1456000</v>
      </c>
      <c r="L486" s="295">
        <f t="shared" si="315"/>
        <v>1456000</v>
      </c>
    </row>
    <row r="487" spans="1:12" ht="63" x14ac:dyDescent="0.2">
      <c r="A487" s="116" t="str">
        <f>IF(B487&gt;0,VLOOKUP(B487,КВСР!A249:B1414,2),IF(C487&gt;0,VLOOKUP(C487,КФСР!A249:B1761,2),IF(D487&gt;0,VLOOKUP(D487,Программа!A$1:B$5110,2),IF(F487&gt;0,VLOOKUP(F487,КВР!A$1:B$5001,2),IF(E487&gt;0,VLOOKUP(E487,Направление!A$1:B$4783,2))))))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7"/>
      <c r="C487" s="112"/>
      <c r="D487" s="113"/>
      <c r="E487" s="112">
        <v>70870</v>
      </c>
      <c r="F487" s="114"/>
      <c r="G487" s="385"/>
      <c r="H487" s="385">
        <f t="shared" si="344"/>
        <v>1456000</v>
      </c>
      <c r="I487" s="385">
        <f t="shared" si="313"/>
        <v>1456000</v>
      </c>
      <c r="J487" s="385"/>
      <c r="K487" s="295">
        <f t="shared" si="345"/>
        <v>1456000</v>
      </c>
      <c r="L487" s="295">
        <f t="shared" si="315"/>
        <v>1456000</v>
      </c>
    </row>
    <row r="488" spans="1:12" ht="63" x14ac:dyDescent="0.2">
      <c r="A488" s="116" t="str">
        <f>IF(B488&gt;0,VLOOKUP(B488,КВСР!A250:B1415,2),IF(C488&gt;0,VLOOKUP(C488,КФСР!A250:B1762,2),IF(D488&gt;0,VLOOKUP(D488,Программа!A$1:B$5110,2),IF(F488&gt;0,VLOOKUP(F488,КВР!A$1:B$5001,2),IF(E488&gt;0,VLOOKUP(E488,Направление!A$1:B$4783,2))))))</f>
        <v xml:space="preserve">Закупка товаров, работ и услуг для обеспечения государственных (муниципальных) нужд
</v>
      </c>
      <c r="B488" s="117"/>
      <c r="C488" s="112"/>
      <c r="D488" s="113"/>
      <c r="E488" s="112"/>
      <c r="F488" s="114">
        <v>200</v>
      </c>
      <c r="G488" s="385"/>
      <c r="H488" s="385">
        <v>1456000</v>
      </c>
      <c r="I488" s="385">
        <f t="shared" si="313"/>
        <v>1456000</v>
      </c>
      <c r="J488" s="385"/>
      <c r="K488" s="295">
        <v>1456000</v>
      </c>
      <c r="L488" s="295">
        <f t="shared" si="315"/>
        <v>1456000</v>
      </c>
    </row>
    <row r="489" spans="1:12" ht="31.5" x14ac:dyDescent="0.2">
      <c r="A489" s="110" t="str">
        <f>IF(B489&gt;0,VLOOKUP(B489,КВСР!A247:B1412,2),IF(C489&gt;0,VLOOKUP(C489,КФСР!A247:B1759,2),IF(D489&gt;0,VLOOKUP(D489,Программа!A$1:B$5110,2),IF(F489&gt;0,VLOOKUP(F489,КВР!A$1:B$5001,2),IF(E489&gt;0,VLOOKUP(E489,Направление!A$1:B$4783,2))))))</f>
        <v>Департамент финансов администрации ТМР</v>
      </c>
      <c r="B489" s="111">
        <v>955</v>
      </c>
      <c r="C489" s="112"/>
      <c r="D489" s="113"/>
      <c r="E489" s="112"/>
      <c r="F489" s="114"/>
      <c r="G489" s="388"/>
      <c r="H489" s="388">
        <f t="shared" ref="H489:L489" si="346">H490+H512+H516+H508+H499</f>
        <v>21900000</v>
      </c>
      <c r="I489" s="388">
        <f t="shared" si="346"/>
        <v>21900000</v>
      </c>
      <c r="J489" s="388"/>
      <c r="K489" s="384">
        <f t="shared" si="346"/>
        <v>500000</v>
      </c>
      <c r="L489" s="384">
        <f t="shared" si="346"/>
        <v>500000</v>
      </c>
    </row>
    <row r="490" spans="1:12" ht="63" x14ac:dyDescent="0.2">
      <c r="A490" s="116" t="str">
        <f>IF(B490&gt;0,VLOOKUP(B490,КВСР!A248:B1413,2),IF(C490&gt;0,VLOOKUP(C490,КФСР!A248:B1760,2),IF(D490&gt;0,VLOOKUP(D490,Программа!A$1:B$5110,2),IF(F490&gt;0,VLOOKUP(F490,КВР!A$1:B$5001,2),IF(E490&gt;0,VLOOKUP(E490,Направление!A$1:B$4783,2))))))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7"/>
      <c r="C490" s="112">
        <v>106</v>
      </c>
      <c r="D490" s="113"/>
      <c r="E490" s="112"/>
      <c r="F490" s="114"/>
      <c r="G490" s="385"/>
      <c r="H490" s="385">
        <f t="shared" ref="H490:L490" si="347">H491</f>
        <v>12000000</v>
      </c>
      <c r="I490" s="385">
        <f t="shared" si="347"/>
        <v>12000000</v>
      </c>
      <c r="J490" s="385"/>
      <c r="K490" s="295">
        <f t="shared" si="347"/>
        <v>0</v>
      </c>
      <c r="L490" s="295">
        <f t="shared" si="347"/>
        <v>0</v>
      </c>
    </row>
    <row r="491" spans="1:12" ht="15.75" x14ac:dyDescent="0.2">
      <c r="A491" s="116" t="str">
        <f>IF(B491&gt;0,VLOOKUP(B491,КВСР!A249:B1414,2),IF(C491&gt;0,VLOOKUP(C491,КФСР!A249:B1761,2),IF(D491&gt;0,VLOOKUP(D491,Программа!A$1:B$5110,2),IF(F491&gt;0,VLOOKUP(F491,КВР!A$1:B$5001,2),IF(E491&gt;0,VLOOKUP(E491,Направление!A$1:B$4783,2))))))</f>
        <v>Непрограммные расходы бюджета</v>
      </c>
      <c r="B491" s="117"/>
      <c r="C491" s="112"/>
      <c r="D491" s="113" t="s">
        <v>394</v>
      </c>
      <c r="E491" s="112"/>
      <c r="F491" s="114"/>
      <c r="G491" s="385"/>
      <c r="H491" s="385">
        <f t="shared" ref="H491:L491" si="348">H492</f>
        <v>12000000</v>
      </c>
      <c r="I491" s="385">
        <f t="shared" si="348"/>
        <v>12000000</v>
      </c>
      <c r="J491" s="385"/>
      <c r="K491" s="295">
        <f t="shared" si="348"/>
        <v>0</v>
      </c>
      <c r="L491" s="295">
        <f t="shared" si="348"/>
        <v>0</v>
      </c>
    </row>
    <row r="492" spans="1:12" ht="15.75" x14ac:dyDescent="0.2">
      <c r="A492" s="116" t="str">
        <f>IF(B492&gt;0,VLOOKUP(B492,КВСР!A252:B1417,2),IF(C492&gt;0,VLOOKUP(C492,КФСР!A252:B1764,2),IF(D492&gt;0,VLOOKUP(D492,Программа!A$1:B$5110,2),IF(F492&gt;0,VLOOKUP(F492,КВР!A$1:B$5001,2),IF(E492&gt;0,VLOOKUP(E492,Направление!A$1:B$4783,2))))))</f>
        <v>Содержание центрального аппарата</v>
      </c>
      <c r="B492" s="117"/>
      <c r="C492" s="112"/>
      <c r="D492" s="113"/>
      <c r="E492" s="112">
        <v>12010</v>
      </c>
      <c r="F492" s="114"/>
      <c r="G492" s="385"/>
      <c r="H492" s="385">
        <f t="shared" ref="H492:L492" si="349">H493+H494+H495</f>
        <v>12000000</v>
      </c>
      <c r="I492" s="385">
        <f t="shared" si="349"/>
        <v>12000000</v>
      </c>
      <c r="J492" s="385"/>
      <c r="K492" s="295">
        <f t="shared" si="349"/>
        <v>0</v>
      </c>
      <c r="L492" s="295">
        <f t="shared" si="349"/>
        <v>0</v>
      </c>
    </row>
    <row r="493" spans="1:12" ht="110.25" x14ac:dyDescent="0.2">
      <c r="A493" s="116" t="str">
        <f>IF(B493&gt;0,VLOOKUP(B493,КВСР!A251:B1416,2),IF(C493&gt;0,VLOOKUP(C493,КФСР!A251:B1763,2),IF(D493&gt;0,VLOOKUP(D493,Программа!A$1:B$5110,2),IF(F493&gt;0,VLOOKUP(F493,КВР!A$1:B$5001,2),IF(E493&gt;0,VLOOKUP(E493,Направление!A$1:B$4783,2))))))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7"/>
      <c r="C493" s="112"/>
      <c r="D493" s="113"/>
      <c r="E493" s="112"/>
      <c r="F493" s="114">
        <v>100</v>
      </c>
      <c r="G493" s="385"/>
      <c r="H493" s="385">
        <v>11200000</v>
      </c>
      <c r="I493" s="385">
        <f t="shared" si="313"/>
        <v>11200000</v>
      </c>
      <c r="J493" s="385"/>
      <c r="K493" s="295">
        <v>0</v>
      </c>
      <c r="L493" s="295">
        <f t="shared" si="315"/>
        <v>0</v>
      </c>
    </row>
    <row r="494" spans="1:12" ht="63" x14ac:dyDescent="0.2">
      <c r="A494" s="116" t="str">
        <f>IF(B494&gt;0,VLOOKUP(B494,КВСР!A252:B1417,2),IF(C494&gt;0,VLOOKUP(C494,КФСР!A252:B1764,2),IF(D494&gt;0,VLOOKUP(D494,Программа!A$1:B$5110,2),IF(F494&gt;0,VLOOKUP(F494,КВР!A$1:B$5001,2),IF(E494&gt;0,VLOOKUP(E494,Направление!A$1:B$4783,2))))))</f>
        <v xml:space="preserve">Закупка товаров, работ и услуг для обеспечения государственных (муниципальных) нужд
</v>
      </c>
      <c r="B494" s="117"/>
      <c r="C494" s="112"/>
      <c r="D494" s="113"/>
      <c r="E494" s="112"/>
      <c r="F494" s="114">
        <v>200</v>
      </c>
      <c r="G494" s="385"/>
      <c r="H494" s="385">
        <v>800000</v>
      </c>
      <c r="I494" s="385">
        <f t="shared" si="313"/>
        <v>800000</v>
      </c>
      <c r="J494" s="385"/>
      <c r="K494" s="295">
        <v>0</v>
      </c>
      <c r="L494" s="295">
        <f t="shared" si="315"/>
        <v>0</v>
      </c>
    </row>
    <row r="495" spans="1:12" ht="15.75" hidden="1" x14ac:dyDescent="0.2">
      <c r="A495" s="116" t="str">
        <f>IF(B495&gt;0,VLOOKUP(B495,КВСР!A253:B1418,2),IF(C495&gt;0,VLOOKUP(C495,КФСР!A253:B1765,2),IF(D495&gt;0,VLOOKUP(D495,Программа!A$1:B$5110,2),IF(F495&gt;0,VLOOKUP(F495,КВР!A$1:B$5001,2),IF(E495&gt;0,VLOOKUP(E495,Направление!A$1:B$4783,2))))))</f>
        <v>Иные бюджетные ассигнования</v>
      </c>
      <c r="B495" s="117"/>
      <c r="C495" s="112"/>
      <c r="D495" s="113"/>
      <c r="E495" s="112"/>
      <c r="F495" s="114">
        <v>800</v>
      </c>
      <c r="G495" s="385"/>
      <c r="H495" s="385"/>
      <c r="I495" s="385">
        <f t="shared" si="313"/>
        <v>0</v>
      </c>
      <c r="J495" s="385"/>
      <c r="K495" s="295"/>
      <c r="L495" s="295">
        <f t="shared" si="315"/>
        <v>0</v>
      </c>
    </row>
    <row r="496" spans="1:12" ht="47.25" hidden="1" x14ac:dyDescent="0.2">
      <c r="A496" s="116" t="str">
        <f>IF(B496&gt;0,VLOOKUP(B496,КВСР!A252:B1417,2),IF(C496&gt;0,VLOOKUP(C496,КФСР!A252:B1764,2),IF(D496&gt;0,VLOOKUP(D496,Программа!A$1:B$5110,2),IF(F496&gt;0,VLOOKUP(F496,КВР!A$1:B$5001,2),IF(E496&gt;0,VLOOKUP(E496,Направление!A$1:B$4783,2))))))</f>
        <v>Содержание органов местного самоуправления за счет средств поселений</v>
      </c>
      <c r="B496" s="117"/>
      <c r="C496" s="112"/>
      <c r="D496" s="113"/>
      <c r="E496" s="112">
        <v>29016</v>
      </c>
      <c r="F496" s="114"/>
      <c r="G496" s="385"/>
      <c r="H496" s="385">
        <f t="shared" ref="H496" si="350">H497+H498</f>
        <v>0</v>
      </c>
      <c r="I496" s="385">
        <f t="shared" si="313"/>
        <v>0</v>
      </c>
      <c r="J496" s="385"/>
      <c r="K496" s="295">
        <f t="shared" ref="K496" si="351">K497+K498</f>
        <v>0</v>
      </c>
      <c r="L496" s="295">
        <f t="shared" si="315"/>
        <v>0</v>
      </c>
    </row>
    <row r="497" spans="1:12" ht="110.25" hidden="1" x14ac:dyDescent="0.2">
      <c r="A497" s="116" t="str">
        <f>IF(B497&gt;0,VLOOKUP(B497,КВСР!A253:B1418,2),IF(C497&gt;0,VLOOKUP(C497,КФСР!A253:B1765,2),IF(D497&gt;0,VLOOKUP(D497,Программа!A$1:B$5110,2),IF(F497&gt;0,VLOOKUP(F497,КВР!A$1:B$5001,2),IF(E497&gt;0,VLOOKUP(E497,Направление!A$1:B$4783,2))))))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7"/>
      <c r="C497" s="112"/>
      <c r="D497" s="113"/>
      <c r="E497" s="112"/>
      <c r="F497" s="114">
        <v>100</v>
      </c>
      <c r="G497" s="385"/>
      <c r="H497" s="385"/>
      <c r="I497" s="385">
        <f t="shared" si="313"/>
        <v>0</v>
      </c>
      <c r="J497" s="385"/>
      <c r="K497" s="295"/>
      <c r="L497" s="295">
        <f t="shared" si="315"/>
        <v>0</v>
      </c>
    </row>
    <row r="498" spans="1:12" ht="63" hidden="1" x14ac:dyDescent="0.2">
      <c r="A498" s="116" t="str">
        <f>IF(B498&gt;0,VLOOKUP(B498,КВСР!A254:B1419,2),IF(C498&gt;0,VLOOKUP(C498,КФСР!A254:B1766,2),IF(D498&gt;0,VLOOKUP(D498,Программа!A$1:B$5110,2),IF(F498&gt;0,VLOOKUP(F498,КВР!A$1:B$5001,2),IF(E498&gt;0,VLOOKUP(E498,Направление!A$1:B$4783,2))))))</f>
        <v xml:space="preserve">Закупка товаров, работ и услуг для обеспечения государственных (муниципальных) нужд
</v>
      </c>
      <c r="B498" s="117"/>
      <c r="C498" s="112"/>
      <c r="D498" s="113"/>
      <c r="E498" s="112"/>
      <c r="F498" s="114">
        <v>200</v>
      </c>
      <c r="G498" s="385"/>
      <c r="H498" s="385"/>
      <c r="I498" s="385">
        <f t="shared" si="313"/>
        <v>0</v>
      </c>
      <c r="J498" s="385"/>
      <c r="K498" s="295"/>
      <c r="L498" s="295">
        <f t="shared" si="315"/>
        <v>0</v>
      </c>
    </row>
    <row r="499" spans="1:12" ht="15.75" x14ac:dyDescent="0.2">
      <c r="A499" s="116" t="str">
        <f>IF(B499&gt;0,VLOOKUP(B499,КВСР!A255:B1420,2),IF(C499&gt;0,VLOOKUP(C499,КФСР!A255:B1767,2),IF(D499&gt;0,VLOOKUP(D499,Программа!A$1:B$5110,2),IF(F499&gt;0,VLOOKUP(F499,КВР!A$1:B$5001,2),IF(E499&gt;0,VLOOKUP(E499,Направление!A$1:B$4783,2))))))</f>
        <v>Другие общегосударственные вопросы</v>
      </c>
      <c r="B499" s="117"/>
      <c r="C499" s="112">
        <v>113</v>
      </c>
      <c r="D499" s="113"/>
      <c r="E499" s="112"/>
      <c r="F499" s="114"/>
      <c r="G499" s="385"/>
      <c r="H499" s="385">
        <f t="shared" ref="H499:L499" si="352">H500+H504</f>
        <v>9400000</v>
      </c>
      <c r="I499" s="385">
        <f t="shared" si="352"/>
        <v>9400000</v>
      </c>
      <c r="J499" s="385"/>
      <c r="K499" s="295">
        <f t="shared" si="352"/>
        <v>0</v>
      </c>
      <c r="L499" s="295">
        <f t="shared" si="352"/>
        <v>0</v>
      </c>
    </row>
    <row r="500" spans="1:12" ht="63" x14ac:dyDescent="0.2">
      <c r="A500" s="116" t="str">
        <f>IF(B500&gt;0,VLOOKUP(B500,КВСР!A256:B1421,2),IF(C500&gt;0,VLOOKUP(C500,КФСР!A256:B1768,2),IF(D500&gt;0,VLOOKUP(D500,Программа!A$1:B$5110,2),IF(F500&gt;0,VLOOKUP(F500,КВР!A$1:B$5001,2),IF(E500&gt;0,VLOOKUP(E500,Направление!A$1:B$4783,2))))))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7"/>
      <c r="C500" s="112"/>
      <c r="D500" s="113" t="s">
        <v>409</v>
      </c>
      <c r="E500" s="112"/>
      <c r="F500" s="114"/>
      <c r="G500" s="385"/>
      <c r="H500" s="385">
        <f t="shared" ref="H500:L502" si="353">H501</f>
        <v>900000</v>
      </c>
      <c r="I500" s="385">
        <f t="shared" si="353"/>
        <v>900000</v>
      </c>
      <c r="J500" s="385"/>
      <c r="K500" s="295">
        <f t="shared" si="353"/>
        <v>0</v>
      </c>
      <c r="L500" s="295">
        <f t="shared" si="353"/>
        <v>0</v>
      </c>
    </row>
    <row r="501" spans="1:12" ht="31.5" x14ac:dyDescent="0.2">
      <c r="A501" s="116" t="str">
        <f>IF(B501&gt;0,VLOOKUP(B501,КВСР!A257:B1422,2),IF(C501&gt;0,VLOOKUP(C501,КФСР!A257:B1769,2),IF(D501&gt;0,VLOOKUP(D501,Программа!A$1:B$5110,2),IF(F501&gt;0,VLOOKUP(F501,КВР!A$1:B$5001,2),IF(E501&gt;0,VLOOKUP(E501,Направление!A$1:B$4783,2))))))</f>
        <v>Бесперебойное функционирование информационных систем</v>
      </c>
      <c r="B501" s="117"/>
      <c r="C501" s="112"/>
      <c r="D501" s="113" t="s">
        <v>445</v>
      </c>
      <c r="E501" s="112"/>
      <c r="F501" s="114"/>
      <c r="G501" s="385"/>
      <c r="H501" s="385">
        <f t="shared" si="353"/>
        <v>900000</v>
      </c>
      <c r="I501" s="385">
        <f t="shared" si="353"/>
        <v>900000</v>
      </c>
      <c r="J501" s="385"/>
      <c r="K501" s="295">
        <f t="shared" si="353"/>
        <v>0</v>
      </c>
      <c r="L501" s="295">
        <f t="shared" si="353"/>
        <v>0</v>
      </c>
    </row>
    <row r="502" spans="1:12" ht="31.5" x14ac:dyDescent="0.2">
      <c r="A502" s="116" t="str">
        <f>IF(B502&gt;0,VLOOKUP(B502,КВСР!A258:B1423,2),IF(C502&gt;0,VLOOKUP(C502,КФСР!A258:B1770,2),IF(D502&gt;0,VLOOKUP(D502,Программа!A$1:B$5110,2),IF(F502&gt;0,VLOOKUP(F502,КВР!A$1:B$5001,2),IF(E502&gt;0,VLOOKUP(E502,Направление!A$1:B$4783,2))))))</f>
        <v>Расходы на проведение мероприятий по информатизации</v>
      </c>
      <c r="B502" s="117"/>
      <c r="C502" s="112"/>
      <c r="D502" s="113"/>
      <c r="E502" s="112">
        <v>12210</v>
      </c>
      <c r="F502" s="114"/>
      <c r="G502" s="385"/>
      <c r="H502" s="385">
        <f t="shared" si="353"/>
        <v>900000</v>
      </c>
      <c r="I502" s="385">
        <f t="shared" si="353"/>
        <v>900000</v>
      </c>
      <c r="J502" s="385"/>
      <c r="K502" s="295">
        <f t="shared" si="353"/>
        <v>0</v>
      </c>
      <c r="L502" s="295">
        <f t="shared" si="353"/>
        <v>0</v>
      </c>
    </row>
    <row r="503" spans="1:12" ht="63" x14ac:dyDescent="0.2">
      <c r="A503" s="116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IF(B503&gt;0,VLOOKUP(B503,КВСР!A258:B1423,2),IF(C503&gt;0,VLOOKUP(C503,КФСР!A258:B1770,2),IF(D503&gt;0,VLOOKUP(D503,Программа!A$1:B$5110,2),IF(F503&gt;0,VLOOKUP(F503,КВР!A$1:B$5001,2),IF(E503&gt;0,VLOOKUP(E503,Направление!A$1:B$4783,2))))))</f>
        <v xml:space="preserve">Закупка товаров, работ и услуг для обеспечения государственных (муниципальных) нужд
</v>
      </c>
      <c r="B503" s="117"/>
      <c r="C503" s="112"/>
      <c r="D503" s="113"/>
      <c r="E503" s="112"/>
      <c r="F503" s="114">
        <v>200</v>
      </c>
      <c r="G503" s="385"/>
      <c r="H503" s="385">
        <v>900000</v>
      </c>
      <c r="I503" s="385">
        <f t="shared" si="313"/>
        <v>900000</v>
      </c>
      <c r="J503" s="385"/>
      <c r="K503" s="295">
        <v>0</v>
      </c>
      <c r="L503" s="295">
        <f t="shared" si="315"/>
        <v>0</v>
      </c>
    </row>
    <row r="504" spans="1:12" ht="15.75" x14ac:dyDescent="0.2">
      <c r="A504" s="116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IF(B504&gt;0,VLOOKUP(B504,КВСР!A259:B1424,2),IF(C504&gt;0,VLOOKUP(C504,КФСР!A259:B1771,2),IF(D504&gt;0,VLOOKUP(D504,Программа!A$1:B$5110,2),IF(F504&gt;0,VLOOKUP(F504,КВР!A$1:B$5001,2),IF(E504&gt;0,VLOOKUP(E504,Направление!A$1:B$4783,2))))))</f>
        <v>Непрограммные расходы бюджета</v>
      </c>
      <c r="B504" s="117"/>
      <c r="C504" s="112"/>
      <c r="D504" s="113" t="s">
        <v>394</v>
      </c>
      <c r="E504" s="112"/>
      <c r="F504" s="114"/>
      <c r="G504" s="385"/>
      <c r="H504" s="385">
        <f t="shared" ref="H504:K504" si="354">H505</f>
        <v>8500000</v>
      </c>
      <c r="I504" s="385">
        <f t="shared" si="313"/>
        <v>8500000</v>
      </c>
      <c r="J504" s="385"/>
      <c r="K504" s="295">
        <f t="shared" si="354"/>
        <v>0</v>
      </c>
      <c r="L504" s="295">
        <f t="shared" si="315"/>
        <v>0</v>
      </c>
    </row>
    <row r="505" spans="1:12" ht="47.25" x14ac:dyDescent="0.2">
      <c r="A505" s="116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IF(B505&gt;0,VLOOKUP(B505,КВСР!A260:B1425,2),IF(C505&gt;0,VLOOKUP(C505,КФСР!A260:B1772,2),IF(D505&gt;0,VLOOKUP(D505,Программа!A$1:B$5110,2),IF(F505&gt;0,VLOOKUP(F505,КВР!A$1:B$5001,2),IF(E505&gt;0,VLOOKUP(E505,Направление!A$1:B$4783,2))))))</f>
        <v>Обеспечение деятельности подведомственных учреждений органов местного самоуправления</v>
      </c>
      <c r="B505" s="117"/>
      <c r="C505" s="112"/>
      <c r="D505" s="113"/>
      <c r="E505" s="112">
        <v>12100</v>
      </c>
      <c r="F505" s="114"/>
      <c r="G505" s="385"/>
      <c r="H505" s="385">
        <f t="shared" ref="H505:K505" si="355">H506+H507</f>
        <v>8500000</v>
      </c>
      <c r="I505" s="385">
        <f t="shared" si="313"/>
        <v>8500000</v>
      </c>
      <c r="J505" s="385"/>
      <c r="K505" s="295">
        <f t="shared" si="355"/>
        <v>0</v>
      </c>
      <c r="L505" s="295">
        <f t="shared" si="315"/>
        <v>0</v>
      </c>
    </row>
    <row r="506" spans="1:12" ht="110.25" x14ac:dyDescent="0.2">
      <c r="A506" s="116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7"/>
      <c r="C506" s="112"/>
      <c r="D506" s="113"/>
      <c r="E506" s="112"/>
      <c r="F506" s="114">
        <v>100</v>
      </c>
      <c r="G506" s="385"/>
      <c r="H506" s="385">
        <v>8000000</v>
      </c>
      <c r="I506" s="385">
        <f t="shared" si="313"/>
        <v>8000000</v>
      </c>
      <c r="J506" s="385"/>
      <c r="K506" s="295">
        <v>0</v>
      </c>
      <c r="L506" s="295">
        <f t="shared" si="315"/>
        <v>0</v>
      </c>
    </row>
    <row r="507" spans="1:12" ht="63" x14ac:dyDescent="0.2">
      <c r="A507" s="116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IF(B507&gt;0,VLOOKUP(B507,КВСР!A262:B1427,2),IF(C507&gt;0,VLOOKUP(C507,КФСР!A262:B1774,2),IF(D507&gt;0,VLOOKUP(D507,Программа!A$1:B$5110,2),IF(F507&gt;0,VLOOKUP(F507,КВР!A$1:B$5001,2),IF(E507&gt;0,VLOOKUP(E507,Направление!A$1:B$4783,2))))))</f>
        <v xml:space="preserve">Закупка товаров, работ и услуг для обеспечения государственных (муниципальных) нужд
</v>
      </c>
      <c r="B507" s="117"/>
      <c r="C507" s="112"/>
      <c r="D507" s="113"/>
      <c r="E507" s="112"/>
      <c r="F507" s="114">
        <v>200</v>
      </c>
      <c r="G507" s="385"/>
      <c r="H507" s="385">
        <v>500000</v>
      </c>
      <c r="I507" s="385">
        <f t="shared" si="313"/>
        <v>500000</v>
      </c>
      <c r="J507" s="385"/>
      <c r="K507" s="295">
        <v>0</v>
      </c>
      <c r="L507" s="295">
        <f t="shared" si="315"/>
        <v>0</v>
      </c>
    </row>
    <row r="508" spans="1:12" ht="31.5" hidden="1" x14ac:dyDescent="0.2">
      <c r="A508" s="116" t="str">
        <f>IF(B508&gt;0,VLOOKUP(B508,КВСР!A258:B1423,2),IF(C508&gt;0,VLOOKUP(C508,КФСР!A258:B1770,2),IF(D508&gt;0,VLOOKUP(D508,Программа!A$1:B$5110,2),IF(F508&gt;0,VLOOKUP(F508,КВР!A$1:B$5001,2),IF(E508&gt;0,VLOOKUP(E508,Направление!A$1:B$4783,2))))))</f>
        <v>Мобилизационная и вневойсковая подготовка</v>
      </c>
      <c r="B508" s="117"/>
      <c r="C508" s="112">
        <v>203</v>
      </c>
      <c r="D508" s="113"/>
      <c r="E508" s="112"/>
      <c r="F508" s="114"/>
      <c r="G508" s="385"/>
      <c r="H508" s="385">
        <f t="shared" ref="H508:H510" si="356">H509</f>
        <v>0</v>
      </c>
      <c r="I508" s="385">
        <f t="shared" si="313"/>
        <v>0</v>
      </c>
      <c r="J508" s="385"/>
      <c r="K508" s="295">
        <f t="shared" ref="K508:K510" si="357">K509</f>
        <v>0</v>
      </c>
      <c r="L508" s="295">
        <f t="shared" si="315"/>
        <v>0</v>
      </c>
    </row>
    <row r="509" spans="1:12" ht="31.5" hidden="1" x14ac:dyDescent="0.2">
      <c r="A509" s="116" t="str">
        <f>IF(B509&gt;0,VLOOKUP(B509,КВСР!A259:B1424,2),IF(C509&gt;0,VLOOKUP(C509,КФСР!A259:B1771,2),IF(D509&gt;0,VLOOKUP(D509,Программа!A$1:B$5110,2),IF(F509&gt;0,VLOOKUP(F509,КВР!A$1:B$5001,2),IF(E509&gt;0,VLOOKUP(E509,Направление!A$1:B$4783,2))))))</f>
        <v>Межбюджетные трансферты  поселениям района</v>
      </c>
      <c r="B509" s="117"/>
      <c r="C509" s="112"/>
      <c r="D509" s="113" t="s">
        <v>565</v>
      </c>
      <c r="E509" s="112"/>
      <c r="F509" s="114"/>
      <c r="G509" s="385"/>
      <c r="H509" s="385">
        <f t="shared" si="356"/>
        <v>0</v>
      </c>
      <c r="I509" s="385">
        <f t="shared" si="313"/>
        <v>0</v>
      </c>
      <c r="J509" s="385"/>
      <c r="K509" s="295">
        <f t="shared" si="357"/>
        <v>0</v>
      </c>
      <c r="L509" s="295">
        <f t="shared" si="315"/>
        <v>0</v>
      </c>
    </row>
    <row r="510" spans="1:12" ht="47.25" hidden="1" x14ac:dyDescent="0.2">
      <c r="A510" s="116" t="str">
        <f>IF(B510&gt;0,VLOOKUP(B510,КВСР!A260:B1425,2),IF(C510&gt;0,VLOOKUP(C510,КФСР!A260:B1772,2),IF(D510&gt;0,VLOOKUP(D510,Программа!A$1:B$5110,2),IF(F510&gt;0,VLOOKUP(F510,КВР!A$1:B$5001,2),IF(E510&gt;0,VLOOKUP(E510,Направление!A$1:B$4783,2))))))</f>
        <v>Субвенция  на осуществление первичного воинского учета на территориях, где отсутствуют военные комиссариаты</v>
      </c>
      <c r="B510" s="117"/>
      <c r="C510" s="112"/>
      <c r="D510" s="113"/>
      <c r="E510" s="112">
        <v>51180</v>
      </c>
      <c r="F510" s="114"/>
      <c r="G510" s="385"/>
      <c r="H510" s="385">
        <f t="shared" si="356"/>
        <v>0</v>
      </c>
      <c r="I510" s="385">
        <f t="shared" si="313"/>
        <v>0</v>
      </c>
      <c r="J510" s="385"/>
      <c r="K510" s="295">
        <f t="shared" si="357"/>
        <v>0</v>
      </c>
      <c r="L510" s="295">
        <f t="shared" si="315"/>
        <v>0</v>
      </c>
    </row>
    <row r="511" spans="1:12" ht="15.75" hidden="1" x14ac:dyDescent="0.2">
      <c r="A511" s="116" t="str">
        <f>IF(B511&gt;0,VLOOKUP(B511,КВСР!A261:B1426,2),IF(C511&gt;0,VLOOKUP(C511,КФСР!A261:B1773,2),IF(D511&gt;0,VLOOKUP(D511,Программа!A$1:B$5110,2),IF(F511&gt;0,VLOOKUP(F511,КВР!A$1:B$5001,2),IF(E511&gt;0,VLOOKUP(E511,Направление!A$1:B$4783,2))))))</f>
        <v xml:space="preserve"> Межбюджетные трансферты</v>
      </c>
      <c r="B511" s="117"/>
      <c r="C511" s="112"/>
      <c r="D511" s="114"/>
      <c r="E511" s="112"/>
      <c r="F511" s="114">
        <v>500</v>
      </c>
      <c r="G511" s="385"/>
      <c r="H511" s="385">
        <v>0</v>
      </c>
      <c r="I511" s="385">
        <f t="shared" si="313"/>
        <v>0</v>
      </c>
      <c r="J511" s="385"/>
      <c r="K511" s="295">
        <v>0</v>
      </c>
      <c r="L511" s="295">
        <f t="shared" si="315"/>
        <v>0</v>
      </c>
    </row>
    <row r="512" spans="1:12" ht="31.5" x14ac:dyDescent="0.2">
      <c r="A512" s="116" t="str">
        <f>IF(B512&gt;0,VLOOKUP(B512,КВСР!A262:B1427,2),IF(C512&gt;0,VLOOKUP(C512,КФСР!A262:B1774,2),IF(D512&gt;0,VLOOKUP(D512,Программа!A$1:B$5110,2),IF(F512&gt;0,VLOOKUP(F512,КВР!A$1:B$5001,2),IF(E512&gt;0,VLOOKUP(E512,Направление!A$1:B$4783,2))))))</f>
        <v>Обслуживание государственного (муниципального) внутреннего долга</v>
      </c>
      <c r="B512" s="117"/>
      <c r="C512" s="112">
        <v>1301</v>
      </c>
      <c r="D512" s="113"/>
      <c r="E512" s="112"/>
      <c r="F512" s="114"/>
      <c r="G512" s="385"/>
      <c r="H512" s="385">
        <f t="shared" ref="H512:H513" si="358">H513</f>
        <v>500000</v>
      </c>
      <c r="I512" s="385">
        <f t="shared" si="313"/>
        <v>500000</v>
      </c>
      <c r="J512" s="385"/>
      <c r="K512" s="295">
        <f t="shared" ref="K512:K514" si="359">K513</f>
        <v>500000</v>
      </c>
      <c r="L512" s="295">
        <f t="shared" si="315"/>
        <v>500000</v>
      </c>
    </row>
    <row r="513" spans="1:12" ht="15.75" x14ac:dyDescent="0.2">
      <c r="A513" s="116" t="str">
        <f>IF(B513&gt;0,VLOOKUP(B513,КВСР!A263:B1428,2),IF(C513&gt;0,VLOOKUP(C513,КФСР!A263:B1775,2),IF(D513&gt;0,VLOOKUP(D513,Программа!A$1:B$5110,2),IF(F513&gt;0,VLOOKUP(F513,КВР!A$1:B$5001,2),IF(E513&gt;0,VLOOKUP(E513,Направление!A$1:B$4783,2))))))</f>
        <v>Непрограммные расходы бюджета</v>
      </c>
      <c r="B513" s="117"/>
      <c r="C513" s="112"/>
      <c r="D513" s="113" t="s">
        <v>394</v>
      </c>
      <c r="E513" s="112"/>
      <c r="F513" s="114"/>
      <c r="G513" s="385"/>
      <c r="H513" s="385">
        <f t="shared" si="358"/>
        <v>500000</v>
      </c>
      <c r="I513" s="385">
        <f t="shared" si="313"/>
        <v>500000</v>
      </c>
      <c r="J513" s="385"/>
      <c r="K513" s="295">
        <f t="shared" si="359"/>
        <v>500000</v>
      </c>
      <c r="L513" s="295">
        <f t="shared" si="315"/>
        <v>500000</v>
      </c>
    </row>
    <row r="514" spans="1:12" ht="31.5" x14ac:dyDescent="0.2">
      <c r="A514" s="116" t="str">
        <f>IF(B514&gt;0,VLOOKUP(B514,КВСР!A264:B1429,2),IF(C514&gt;0,VLOOKUP(C514,КФСР!A264:B1776,2),IF(D514&gt;0,VLOOKUP(D514,Программа!A$1:B$5110,2),IF(F514&gt;0,VLOOKUP(F514,КВР!A$1:B$5001,2),IF(E514&gt;0,VLOOKUP(E514,Направление!A$1:B$4783,2))))))</f>
        <v>Процентные платежи по обслуживанию муниципального долга</v>
      </c>
      <c r="B514" s="117"/>
      <c r="C514" s="112"/>
      <c r="D514" s="113"/>
      <c r="E514" s="112">
        <v>12800</v>
      </c>
      <c r="F514" s="114"/>
      <c r="G514" s="385"/>
      <c r="H514" s="385">
        <f t="shared" ref="H514" si="360">H515</f>
        <v>500000</v>
      </c>
      <c r="I514" s="385">
        <f t="shared" si="313"/>
        <v>500000</v>
      </c>
      <c r="J514" s="385"/>
      <c r="K514" s="295">
        <f t="shared" si="359"/>
        <v>500000</v>
      </c>
      <c r="L514" s="295">
        <f t="shared" si="315"/>
        <v>500000</v>
      </c>
    </row>
    <row r="515" spans="1:12" ht="31.5" x14ac:dyDescent="0.2">
      <c r="A515" s="116" t="str">
        <f>IF(B515&gt;0,VLOOKUP(B515,КВСР!A265:B1430,2),IF(C515&gt;0,VLOOKUP(C515,КФСР!A265:B1777,2),IF(D515&gt;0,VLOOKUP(D515,Программа!A$1:B$5110,2),IF(F515&gt;0,VLOOKUP(F515,КВР!A$1:B$5001,2),IF(E515&gt;0,VLOOKUP(E515,Направление!A$1:B$4783,2))))))</f>
        <v>Обслуживание государственного долга Российской Федерации</v>
      </c>
      <c r="B515" s="117"/>
      <c r="C515" s="112"/>
      <c r="D515" s="113"/>
      <c r="E515" s="112"/>
      <c r="F515" s="114">
        <v>700</v>
      </c>
      <c r="G515" s="385"/>
      <c r="H515" s="385">
        <v>500000</v>
      </c>
      <c r="I515" s="385">
        <f t="shared" si="313"/>
        <v>500000</v>
      </c>
      <c r="J515" s="385"/>
      <c r="K515" s="295">
        <v>500000</v>
      </c>
      <c r="L515" s="295">
        <f t="shared" si="315"/>
        <v>500000</v>
      </c>
    </row>
    <row r="516" spans="1:12" ht="63" hidden="1" x14ac:dyDescent="0.2">
      <c r="A516" s="116" t="str">
        <f>IF(B516&gt;0,VLOOKUP(B516,КВСР!A265:B1430,2),IF(C516&gt;0,VLOOKUP(C516,КФСР!A265:B1777,2),IF(D516&gt;0,VLOOKUP(D516,Программа!A$1:B$5110,2),IF(F516&gt;0,VLOOKUP(F516,КВР!A$1:B$5001,2),IF(E516&gt;0,VLOOKUP(E516,Направление!A$1:B$4783,2))))))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516" s="117"/>
      <c r="C516" s="112">
        <v>1401</v>
      </c>
      <c r="D516" s="113"/>
      <c r="E516" s="112"/>
      <c r="F516" s="114"/>
      <c r="G516" s="385"/>
      <c r="H516" s="869">
        <f t="shared" ref="H516" si="361">H517</f>
        <v>0</v>
      </c>
      <c r="I516" s="385">
        <f t="shared" si="313"/>
        <v>0</v>
      </c>
      <c r="J516" s="385"/>
      <c r="K516" s="867">
        <f t="shared" ref="K516" si="362">K517</f>
        <v>0</v>
      </c>
      <c r="L516" s="295">
        <f t="shared" si="315"/>
        <v>0</v>
      </c>
    </row>
    <row r="517" spans="1:12" ht="31.5" hidden="1" x14ac:dyDescent="0.2">
      <c r="A517" s="116" t="str">
        <f>IF(B517&gt;0,VLOOKUP(B517,КВСР!A270:B1435,2),IF(C517&gt;0,VLOOKUP(C517,КФСР!A270:B1782,2),IF(D517&gt;0,VLOOKUP(D517,Программа!A$1:B$5110,2),IF(F517&gt;0,VLOOKUP(F517,КВР!A$1:B$5001,2),IF(E517&gt;0,VLOOKUP(E517,Направление!A$1:B$4783,2))))))</f>
        <v>Межбюджетные трансферты  поселениям района</v>
      </c>
      <c r="B517" s="117"/>
      <c r="C517" s="112"/>
      <c r="D517" s="113" t="s">
        <v>565</v>
      </c>
      <c r="E517" s="112"/>
      <c r="F517" s="114"/>
      <c r="G517" s="385"/>
      <c r="H517" s="869"/>
      <c r="I517" s="385">
        <f t="shared" si="313"/>
        <v>0</v>
      </c>
      <c r="J517" s="385"/>
      <c r="K517" s="867">
        <f t="shared" ref="K517" si="363">K518+K520</f>
        <v>0</v>
      </c>
      <c r="L517" s="295">
        <f t="shared" si="315"/>
        <v>0</v>
      </c>
    </row>
    <row r="518" spans="1:12" ht="47.25" hidden="1" x14ac:dyDescent="0.2">
      <c r="A518" s="116" t="str">
        <f>IF(B518&gt;0,VLOOKUP(B518,КВСР!A272:B1437,2),IF(C518&gt;0,VLOOKUP(C518,КФСР!A272:B1784,2),IF(D518&gt;0,VLOOKUP(D518,Программа!A$1:B$5110,2),IF(F518&gt;0,VLOOKUP(F518,КВР!A$1:B$5001,2),IF(E518&gt;0,VLOOKUP(E518,Направление!A$1:B$4783,2))))))</f>
        <v>Дотации поселениям района  на выравнивание бюджетной обеспеченности</v>
      </c>
      <c r="B518" s="117"/>
      <c r="C518" s="112"/>
      <c r="D518" s="113"/>
      <c r="E518" s="112">
        <v>10800</v>
      </c>
      <c r="F518" s="114"/>
      <c r="G518" s="385"/>
      <c r="H518" s="869">
        <f t="shared" ref="H518" si="364">H519</f>
        <v>0</v>
      </c>
      <c r="I518" s="385">
        <f t="shared" si="313"/>
        <v>0</v>
      </c>
      <c r="J518" s="385"/>
      <c r="K518" s="867">
        <f t="shared" ref="K518" si="365">K519</f>
        <v>0</v>
      </c>
      <c r="L518" s="295">
        <f t="shared" si="315"/>
        <v>0</v>
      </c>
    </row>
    <row r="519" spans="1:12" ht="15.75" hidden="1" x14ac:dyDescent="0.2">
      <c r="A519" s="116" t="str">
        <f>IF(B519&gt;0,VLOOKUP(B519,КВСР!A273:B1438,2),IF(C519&gt;0,VLOOKUP(C519,КФСР!A273:B1785,2),IF(D519&gt;0,VLOOKUP(D519,Программа!A$1:B$5110,2),IF(F519&gt;0,VLOOKUP(F519,КВР!A$1:B$5001,2),IF(E519&gt;0,VLOOKUP(E519,Направление!A$1:B$4783,2))))))</f>
        <v xml:space="preserve"> Межбюджетные трансферты</v>
      </c>
      <c r="B519" s="117"/>
      <c r="C519" s="112"/>
      <c r="D519" s="113"/>
      <c r="E519" s="112"/>
      <c r="F519" s="114">
        <v>500</v>
      </c>
      <c r="G519" s="574"/>
      <c r="H519" s="869"/>
      <c r="I519" s="385">
        <f t="shared" si="313"/>
        <v>0</v>
      </c>
      <c r="J519" s="385"/>
      <c r="K519" s="867"/>
      <c r="L519" s="295">
        <f t="shared" si="315"/>
        <v>0</v>
      </c>
    </row>
    <row r="520" spans="1:12" ht="47.25" hidden="1" x14ac:dyDescent="0.2">
      <c r="A520" s="116" t="str">
        <f>IF(B520&gt;0,VLOOKUP(B520,КВСР!A271:B1436,2),IF(C520&gt;0,VLOOKUP(C520,КФСР!A271:B1783,2),IF(D520&gt;0,VLOOKUP(D520,Программа!A$1:B$5110,2),IF(F520&gt;0,VLOOKUP(F520,КВР!A$1:B$5001,2),IF(E520&gt;0,VLOOKUP(E520,Направление!A$1:B$4783,2))))))</f>
        <v>Дотации поселениям Ярославской области на выравнивание бюджетной обеспеченности</v>
      </c>
      <c r="B520" s="117"/>
      <c r="C520" s="112"/>
      <c r="D520" s="113"/>
      <c r="E520" s="112">
        <v>72970</v>
      </c>
      <c r="F520" s="114"/>
      <c r="G520" s="385"/>
      <c r="H520" s="869">
        <f t="shared" ref="H520" si="366">H521</f>
        <v>0</v>
      </c>
      <c r="I520" s="385">
        <f t="shared" si="313"/>
        <v>0</v>
      </c>
      <c r="J520" s="385"/>
      <c r="K520" s="867">
        <f t="shared" ref="K520" si="367">K521</f>
        <v>0</v>
      </c>
      <c r="L520" s="295">
        <f t="shared" si="315"/>
        <v>0</v>
      </c>
    </row>
    <row r="521" spans="1:12" ht="15.75" hidden="1" x14ac:dyDescent="0.2">
      <c r="A521" s="116" t="str">
        <f>IF(B521&gt;0,VLOOKUP(B521,КВСР!A272:B1437,2),IF(C521&gt;0,VLOOKUP(C521,КФСР!A272:B1784,2),IF(D521&gt;0,VLOOKUP(D521,Программа!A$1:B$5110,2),IF(F521&gt;0,VLOOKUP(F521,КВР!A$1:B$5001,2),IF(E521&gt;0,VLOOKUP(E521,Направление!A$1:B$4783,2))))))</f>
        <v xml:space="preserve"> Межбюджетные трансферты</v>
      </c>
      <c r="B521" s="117"/>
      <c r="C521" s="112"/>
      <c r="D521" s="113"/>
      <c r="E521" s="112"/>
      <c r="F521" s="114">
        <v>500</v>
      </c>
      <c r="G521" s="385"/>
      <c r="H521" s="869">
        <v>0</v>
      </c>
      <c r="I521" s="385">
        <f t="shared" si="313"/>
        <v>0</v>
      </c>
      <c r="J521" s="385"/>
      <c r="K521" s="867"/>
      <c r="L521" s="295">
        <f t="shared" si="315"/>
        <v>0</v>
      </c>
    </row>
    <row r="522" spans="1:12" ht="47.25" x14ac:dyDescent="0.2">
      <c r="A522" s="110" t="str">
        <f>IF(B522&gt;0,VLOOKUP(B522,КВСР!A276:B1441,2),IF(C522&gt;0,VLOOKUP(C522,КФСР!A276:B1788,2),IF(D522&gt;0,VLOOKUP(D522,Программа!A$1:B$5110,2),IF(F522&gt;0,VLOOKUP(F522,КВР!A$1:B$5001,2),IF(E522&gt;0,VLOOKUP(E522,Направление!A$1:B$4783,2))))))</f>
        <v>Департамент культуры, туризма и молодежной политики Администрации ТМР</v>
      </c>
      <c r="B522" s="111">
        <v>956</v>
      </c>
      <c r="C522" s="112"/>
      <c r="D522" s="113"/>
      <c r="E522" s="112"/>
      <c r="F522" s="114"/>
      <c r="G522" s="388"/>
      <c r="H522" s="388">
        <f>H528+H537+H547+H566+H581+H523</f>
        <v>130269417</v>
      </c>
      <c r="I522" s="388">
        <f>I528+I537+I547+I566+I581+I523</f>
        <v>130269417</v>
      </c>
      <c r="J522" s="388"/>
      <c r="K522" s="388">
        <f>K528+K537+K547+K566+K581+K523</f>
        <v>99845432</v>
      </c>
      <c r="L522" s="388">
        <f>L528+L537+L547+L566+L581+L523</f>
        <v>99845432</v>
      </c>
    </row>
    <row r="523" spans="1:12" ht="47.25" hidden="1" x14ac:dyDescent="0.2">
      <c r="A523" s="116" t="str">
        <f>IF(B523&gt;0,VLOOKUP(B523,КВСР!A277:B1442,2),IF(C523&gt;0,VLOOKUP(C523,КФСР!A277:B1789,2),IF(D523&gt;0,VLOOKUP(D523,Программа!A$1:B$5110,2),IF(F523&gt;0,VLOOKUP(F523,КВР!A$1:B$5001,2),IF(E523&gt;0,VLOOKUP(E523,Направление!A$1:B$4783,2))))))</f>
        <v>Другие вопросы в области национальной безопасности и правоохранительной деятельности</v>
      </c>
      <c r="B523" s="111"/>
      <c r="C523" s="112">
        <v>314</v>
      </c>
      <c r="D523" s="113"/>
      <c r="E523" s="112"/>
      <c r="F523" s="114"/>
      <c r="G523" s="447"/>
      <c r="H523" s="447">
        <f t="shared" ref="H523:L526" si="368">H524</f>
        <v>0</v>
      </c>
      <c r="I523" s="447">
        <f t="shared" si="368"/>
        <v>0</v>
      </c>
      <c r="J523" s="447"/>
      <c r="K523" s="447">
        <f t="shared" si="368"/>
        <v>0</v>
      </c>
      <c r="L523" s="447">
        <f t="shared" si="368"/>
        <v>0</v>
      </c>
    </row>
    <row r="524" spans="1:12" ht="63" hidden="1" x14ac:dyDescent="0.2">
      <c r="A524" s="116" t="str">
        <f>IF(B524&gt;0,VLOOKUP(B524,КВСР!A278:B1443,2),IF(C524&gt;0,VLOOKUP(C524,КФСР!A278:B1790,2),IF(D524&gt;0,VLOOKUP(D524,Программа!A$1:B$5110,2),IF(F524&gt;0,VLOOKUP(F524,КВР!A$1:B$5001,2),IF(E524&gt;0,VLOOKUP(E524,Направление!A$1:B$4783,2))))))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1"/>
      <c r="C524" s="112"/>
      <c r="D524" s="113" t="s">
        <v>513</v>
      </c>
      <c r="E524" s="112"/>
      <c r="F524" s="114"/>
      <c r="G524" s="447"/>
      <c r="H524" s="447">
        <f t="shared" si="368"/>
        <v>0</v>
      </c>
      <c r="I524" s="447">
        <f t="shared" si="368"/>
        <v>0</v>
      </c>
      <c r="J524" s="447"/>
      <c r="K524" s="447">
        <f t="shared" si="368"/>
        <v>0</v>
      </c>
      <c r="L524" s="447">
        <f t="shared" si="368"/>
        <v>0</v>
      </c>
    </row>
    <row r="525" spans="1:12" ht="31.5" hidden="1" x14ac:dyDescent="0.2">
      <c r="A525" s="116" t="str">
        <f>IF(B525&gt;0,VLOOKUP(B525,КВСР!A279:B1444,2),IF(C525&gt;0,VLOOKUP(C525,КФСР!A279:B1791,2),IF(D525&gt;0,VLOOKUP(D525,Программа!A$1:B$5110,2),IF(F525&gt;0,VLOOKUP(F525,КВР!A$1:B$5001,2),IF(E525&gt;0,VLOOKUP(E525,Направление!A$1:B$4783,2))))))</f>
        <v>Реализация мероприятий по профилактике правонарушений</v>
      </c>
      <c r="B525" s="111"/>
      <c r="C525" s="112"/>
      <c r="D525" s="113" t="s">
        <v>515</v>
      </c>
      <c r="E525" s="112"/>
      <c r="F525" s="114"/>
      <c r="G525" s="447"/>
      <c r="H525" s="447">
        <f t="shared" si="368"/>
        <v>0</v>
      </c>
      <c r="I525" s="447">
        <f t="shared" si="368"/>
        <v>0</v>
      </c>
      <c r="J525" s="447"/>
      <c r="K525" s="447">
        <f t="shared" si="368"/>
        <v>0</v>
      </c>
      <c r="L525" s="447">
        <f t="shared" si="368"/>
        <v>0</v>
      </c>
    </row>
    <row r="526" spans="1:12" ht="31.5" hidden="1" x14ac:dyDescent="0.2">
      <c r="A526" s="116" t="str">
        <f>IF(B526&gt;0,VLOOKUP(B526,КВСР!A280:B1445,2),IF(C526&gt;0,VLOOKUP(C526,КФСР!A280:B1792,2),IF(D526&gt;0,VLOOKUP(D526,Программа!A$1:B$5110,2),IF(F526&gt;0,VLOOKUP(F526,КВР!A$1:B$5001,2),IF(E526&gt;0,VLOOKUP(E526,Направление!A$1:B$4783,2))))))</f>
        <v>Обеспечение деятельности народных дружин</v>
      </c>
      <c r="B526" s="111"/>
      <c r="C526" s="112"/>
      <c r="D526" s="113"/>
      <c r="E526" s="112">
        <v>29486</v>
      </c>
      <c r="F526" s="114"/>
      <c r="G526" s="447"/>
      <c r="H526" s="447">
        <f t="shared" si="368"/>
        <v>0</v>
      </c>
      <c r="I526" s="447">
        <f t="shared" si="368"/>
        <v>0</v>
      </c>
      <c r="J526" s="447"/>
      <c r="K526" s="447">
        <f t="shared" si="368"/>
        <v>0</v>
      </c>
      <c r="L526" s="447">
        <f t="shared" si="368"/>
        <v>0</v>
      </c>
    </row>
    <row r="527" spans="1:12" ht="47.25" hidden="1" x14ac:dyDescent="0.2">
      <c r="A527" s="116" t="str">
        <f>IF(B527&gt;0,VLOOKUP(B527,КВСР!A281:B1446,2),IF(C527&gt;0,VLOOKUP(C527,КФСР!A281:B1793,2),IF(D527&gt;0,VLOOKUP(D527,Программа!A$1:B$5110,2),IF(F527&gt;0,VLOOKUP(F527,КВР!A$1:B$5001,2),IF(E527&gt;0,VLOOKUP(E527,Направление!A$1:B$4783,2))))))</f>
        <v>Предоставление субсидий бюджетным, автономным учреждениям и иным некоммерческим организациям</v>
      </c>
      <c r="B527" s="111"/>
      <c r="C527" s="112"/>
      <c r="D527" s="113"/>
      <c r="E527" s="112"/>
      <c r="F527" s="114">
        <v>600</v>
      </c>
      <c r="G527" s="447"/>
      <c r="H527" s="447"/>
      <c r="I527" s="447">
        <f>G527+H527</f>
        <v>0</v>
      </c>
      <c r="J527" s="447"/>
      <c r="K527" s="447"/>
      <c r="L527" s="447">
        <f>J527+K527</f>
        <v>0</v>
      </c>
    </row>
    <row r="528" spans="1:12" ht="15.75" x14ac:dyDescent="0.2">
      <c r="A528" s="116" t="str">
        <f>IF(B528&gt;0,VLOOKUP(B528,КВСР!A282:B1447,2),IF(C528&gt;0,VLOOKUP(C528,КФСР!A282:B1794,2),IF(D528&gt;0,VLOOKUP(D528,Программа!A$1:B$5110,2),IF(F528&gt;0,VLOOKUP(F528,КВР!A$1:B$5001,2),IF(E528&gt;0,VLOOKUP(E528,Направление!A$1:B$4783,2))))))</f>
        <v>Дополнительное образование детей</v>
      </c>
      <c r="B528" s="117"/>
      <c r="C528" s="112">
        <v>703</v>
      </c>
      <c r="D528" s="113"/>
      <c r="E528" s="112"/>
      <c r="F528" s="114"/>
      <c r="G528" s="385"/>
      <c r="H528" s="385">
        <f>H529</f>
        <v>23490928</v>
      </c>
      <c r="I528" s="385">
        <f t="shared" si="313"/>
        <v>23490928</v>
      </c>
      <c r="J528" s="385"/>
      <c r="K528" s="295">
        <f t="shared" ref="K528:L529" si="369">K529</f>
        <v>18414928</v>
      </c>
      <c r="L528" s="295">
        <f t="shared" si="315"/>
        <v>18414928</v>
      </c>
    </row>
    <row r="529" spans="1:12" ht="63" x14ac:dyDescent="0.2">
      <c r="A529" s="116" t="str">
        <f>IF(B529&gt;0,VLOOKUP(B529,КВСР!A283:B1448,2),IF(C529&gt;0,VLOOKUP(C529,КФСР!A283:B1795,2),IF(D529&gt;0,VLOOKUP(D529,Программа!A$1:B$5110,2),IF(F529&gt;0,VLOOKUP(F529,КВР!A$1:B$5001,2),IF(E529&gt;0,VLOOKUP(E529,Направление!A$1:B$4783,2))))))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29" s="117"/>
      <c r="C529" s="112"/>
      <c r="D529" s="126" t="s">
        <v>482</v>
      </c>
      <c r="E529" s="124"/>
      <c r="F529" s="114"/>
      <c r="G529" s="385"/>
      <c r="H529" s="385">
        <f>H530</f>
        <v>23490928</v>
      </c>
      <c r="I529" s="385">
        <f t="shared" ref="I529" si="370">I530</f>
        <v>23490928</v>
      </c>
      <c r="J529" s="385"/>
      <c r="K529" s="385">
        <f t="shared" si="369"/>
        <v>18414928</v>
      </c>
      <c r="L529" s="385">
        <f t="shared" si="369"/>
        <v>18414928</v>
      </c>
    </row>
    <row r="530" spans="1:12" ht="47.25" x14ac:dyDescent="0.2">
      <c r="A530" s="116" t="str">
        <f>IF(B530&gt;0,VLOOKUP(B530,КВСР!A284:B1449,2),IF(C530&gt;0,VLOOKUP(C530,КФСР!A284:B1796,2),IF(D530&gt;0,VLOOKUP(D530,Программа!A$1:B$5110,2),IF(F530&gt;0,VLOOKUP(F530,КВР!A$1:B$5001,2),IF(E530&gt;0,VLOOKUP(E530,Направление!A$1:B$4783,2))))))</f>
        <v>Ведомственная целевая программа «Сохранение и развитие культуры Тутаевского муниципального района»</v>
      </c>
      <c r="B530" s="117"/>
      <c r="C530" s="112"/>
      <c r="D530" s="126" t="s">
        <v>581</v>
      </c>
      <c r="E530" s="124"/>
      <c r="F530" s="114"/>
      <c r="G530" s="385"/>
      <c r="H530" s="385">
        <f>H531+H534</f>
        <v>23490928</v>
      </c>
      <c r="I530" s="385">
        <f t="shared" ref="I530:L530" si="371">I531+I534</f>
        <v>23490928</v>
      </c>
      <c r="J530" s="385"/>
      <c r="K530" s="385">
        <f t="shared" si="371"/>
        <v>18414928</v>
      </c>
      <c r="L530" s="385">
        <f t="shared" si="371"/>
        <v>18414928</v>
      </c>
    </row>
    <row r="531" spans="1:12" ht="47.25" x14ac:dyDescent="0.2">
      <c r="A531" s="116" t="str">
        <f>IF(B531&gt;0,VLOOKUP(B531,КВСР!A285:B1450,2),IF(C531&gt;0,VLOOKUP(C531,КФСР!A285:B1797,2),IF(D531&gt;0,VLOOKUP(D531,Программа!A$1:B$5110,2),IF(F531&gt;0,VLOOKUP(F531,КВР!A$1:B$5001,2),IF(E531&gt;0,VLOOKUP(E531,Направление!A$1:B$4783,2))))))</f>
        <v>Реализация дополнительных образовательных программ в сфере культуры</v>
      </c>
      <c r="B531" s="117"/>
      <c r="C531" s="112"/>
      <c r="D531" s="113" t="s">
        <v>583</v>
      </c>
      <c r="E531" s="112"/>
      <c r="F531" s="114"/>
      <c r="G531" s="385"/>
      <c r="H531" s="385">
        <f t="shared" ref="H531:H532" si="372">H532</f>
        <v>23490928</v>
      </c>
      <c r="I531" s="385">
        <f t="shared" si="313"/>
        <v>23490928</v>
      </c>
      <c r="J531" s="385"/>
      <c r="K531" s="295">
        <f t="shared" ref="K531:K532" si="373">K532</f>
        <v>18414928</v>
      </c>
      <c r="L531" s="295">
        <f t="shared" si="315"/>
        <v>18414928</v>
      </c>
    </row>
    <row r="532" spans="1:12" ht="31.5" x14ac:dyDescent="0.2">
      <c r="A532" s="116" t="str">
        <f>IF(B532&gt;0,VLOOKUP(B532,КВСР!A285:B1450,2),IF(C532&gt;0,VLOOKUP(C532,КФСР!A285:B1797,2),IF(D532&gt;0,VLOOKUP(D532,Программа!A$1:B$5110,2),IF(F532&gt;0,VLOOKUP(F532,КВР!A$1:B$5001,2),IF(E532&gt;0,VLOOKUP(E532,Направление!A$1:B$4783,2))))))</f>
        <v>Обеспечение деятельности учреждений дополнительного образования</v>
      </c>
      <c r="B532" s="117"/>
      <c r="C532" s="112"/>
      <c r="D532" s="113"/>
      <c r="E532" s="112">
        <v>13210</v>
      </c>
      <c r="F532" s="114"/>
      <c r="G532" s="385"/>
      <c r="H532" s="385">
        <f t="shared" si="372"/>
        <v>23490928</v>
      </c>
      <c r="I532" s="385">
        <f t="shared" si="313"/>
        <v>23490928</v>
      </c>
      <c r="J532" s="385"/>
      <c r="K532" s="295">
        <f t="shared" si="373"/>
        <v>18414928</v>
      </c>
      <c r="L532" s="295">
        <f t="shared" si="315"/>
        <v>18414928</v>
      </c>
    </row>
    <row r="533" spans="1:12" ht="47.25" x14ac:dyDescent="0.2">
      <c r="A533" s="116" t="str">
        <f>IF(B533&gt;0,VLOOKUP(B533,КВСР!A286:B1451,2),IF(C533&gt;0,VLOOKUP(C533,КФСР!A286:B1798,2),IF(D533&gt;0,VLOOKUP(D533,Программа!A$1:B$5110,2),IF(F533&gt;0,VLOOKUP(F533,КВР!A$1:B$5001,2),IF(E533&gt;0,VLOOKUP(E533,Направление!A$1:B$4783,2))))))</f>
        <v>Предоставление субсидий бюджетным, автономным учреждениям и иным некоммерческим организациям</v>
      </c>
      <c r="B533" s="117"/>
      <c r="C533" s="112"/>
      <c r="D533" s="113"/>
      <c r="E533" s="112"/>
      <c r="F533" s="114">
        <v>600</v>
      </c>
      <c r="G533" s="385"/>
      <c r="H533" s="385">
        <f>4811833+18626000+53095</f>
        <v>23490928</v>
      </c>
      <c r="I533" s="385">
        <f t="shared" si="313"/>
        <v>23490928</v>
      </c>
      <c r="J533" s="385"/>
      <c r="K533" s="295">
        <f>4811833+13550000+53095</f>
        <v>18414928</v>
      </c>
      <c r="L533" s="295">
        <f t="shared" si="315"/>
        <v>18414928</v>
      </c>
    </row>
    <row r="534" spans="1:12" ht="15.75" hidden="1" x14ac:dyDescent="0.2">
      <c r="A534" s="116" t="str">
        <f>IF(B534&gt;0,VLOOKUP(B534,КВСР!A287:B1452,2),IF(C534&gt;0,VLOOKUP(C534,КФСР!A287:B1799,2),IF(D534&gt;0,VLOOKUP(D534,Программа!A$1:B$5110,2),IF(F534&gt;0,VLOOKUP(F534,КВР!A$1:B$5001,2),IF(E534&gt;0,VLOOKUP(E534,Направление!A$1:B$4783,2))))))</f>
        <v>Федеральный проект "Культурная среда"</v>
      </c>
      <c r="B534" s="117"/>
      <c r="C534" s="112"/>
      <c r="D534" s="113" t="s">
        <v>1695</v>
      </c>
      <c r="E534" s="112"/>
      <c r="F534" s="114"/>
      <c r="G534" s="385"/>
      <c r="H534" s="385">
        <f t="shared" ref="H534:L534" si="374">H535</f>
        <v>0</v>
      </c>
      <c r="I534" s="385">
        <f t="shared" si="374"/>
        <v>0</v>
      </c>
      <c r="J534" s="385"/>
      <c r="K534" s="385">
        <f t="shared" si="374"/>
        <v>0</v>
      </c>
      <c r="L534" s="385">
        <f t="shared" si="374"/>
        <v>0</v>
      </c>
    </row>
    <row r="535" spans="1:12" ht="78.75" hidden="1" x14ac:dyDescent="0.2">
      <c r="A535" s="116" t="str">
        <f>IF(B535&gt;0,VLOOKUP(B535,КВСР!A288:B1453,2),IF(C535&gt;0,VLOOKUP(C535,КФСР!A288:B1800,2),IF(D535&gt;0,VLOOKUP(D535,Программа!A$1:B$5110,2),IF(F535&gt;0,VLOOKUP(F535,КВР!A$1:B$5001,2),IF(E535&gt;0,VLOOKUP(E535,Направление!A$1:B$4783,2))))))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7"/>
      <c r="C535" s="112"/>
      <c r="D535" s="113"/>
      <c r="E535" s="112">
        <v>55191</v>
      </c>
      <c r="F535" s="114"/>
      <c r="G535" s="385"/>
      <c r="H535" s="385">
        <f t="shared" ref="H535:L535" si="375">H536</f>
        <v>0</v>
      </c>
      <c r="I535" s="385">
        <f t="shared" si="375"/>
        <v>0</v>
      </c>
      <c r="J535" s="385"/>
      <c r="K535" s="385">
        <f t="shared" si="375"/>
        <v>0</v>
      </c>
      <c r="L535" s="385">
        <f t="shared" si="375"/>
        <v>0</v>
      </c>
    </row>
    <row r="536" spans="1:12" ht="47.25" hidden="1" x14ac:dyDescent="0.2">
      <c r="A536" s="116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IF(B536&gt;0,VLOOKUP(B536,КВСР!A289:B1454,2),IF(C536&gt;0,VLOOKUP(C536,КФСР!A289:B1801,2),IF(D536&gt;0,VLOOKUP(D536,Программа!A$1:B$5110,2),IF(F536&gt;0,VLOOKUP(F536,КВР!A$1:B$5001,2),IF(E536&gt;0,VLOOKUP(E536,Направление!A$1:B$4783,2))))))</f>
        <v>Предоставление субсидий бюджетным, автономным учреждениям и иным некоммерческим организациям</v>
      </c>
      <c r="B536" s="117"/>
      <c r="C536" s="112"/>
      <c r="D536" s="113"/>
      <c r="E536" s="112"/>
      <c r="F536" s="114">
        <v>600</v>
      </c>
      <c r="G536" s="385"/>
      <c r="H536" s="385"/>
      <c r="I536" s="385">
        <f>H536+G536</f>
        <v>0</v>
      </c>
      <c r="J536" s="385"/>
      <c r="K536" s="295">
        <v>0</v>
      </c>
      <c r="L536" s="295">
        <f>K536+J536</f>
        <v>0</v>
      </c>
    </row>
    <row r="537" spans="1:12" ht="15.75" x14ac:dyDescent="0.2">
      <c r="A537" s="116" t="str">
        <f>IF(B537&gt;0,VLOOKUP(B537,КВСР!A286:B1451,2),IF(C537&gt;0,VLOOKUP(C537,КФСР!A286:B1798,2),IF(D537&gt;0,VLOOKUP(D537,Программа!A$1:B$5110,2),IF(F537&gt;0,VLOOKUP(F537,КВР!A$1:B$5001,2),IF(E537&gt;0,VLOOKUP(E537,Направление!A$1:B$4783,2))))))</f>
        <v>Молодежная политика</v>
      </c>
      <c r="B537" s="117"/>
      <c r="C537" s="112">
        <v>707</v>
      </c>
      <c r="D537" s="113"/>
      <c r="E537" s="112"/>
      <c r="F537" s="114"/>
      <c r="G537" s="385"/>
      <c r="H537" s="385">
        <f t="shared" ref="H537" si="376">H538</f>
        <v>8080000</v>
      </c>
      <c r="I537" s="385">
        <f t="shared" si="313"/>
        <v>8080000</v>
      </c>
      <c r="J537" s="385"/>
      <c r="K537" s="295">
        <f t="shared" ref="K537" si="377">K538</f>
        <v>5800000</v>
      </c>
      <c r="L537" s="295">
        <f t="shared" si="315"/>
        <v>5800000</v>
      </c>
    </row>
    <row r="538" spans="1:12" ht="63" x14ac:dyDescent="0.2">
      <c r="A538" s="116" t="str">
        <f>IF(B538&gt;0,VLOOKUP(B538,КВСР!A287:B1452,2),IF(C538&gt;0,VLOOKUP(C538,КФСР!A287:B1799,2),IF(D538&gt;0,VLOOKUP(D538,Программа!A$1:B$5110,2),IF(F538&gt;0,VLOOKUP(F538,КВР!A$1:B$5001,2),IF(E538&gt;0,VLOOKUP(E538,Направление!A$1:B$4783,2))))))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8" s="117"/>
      <c r="C538" s="112"/>
      <c r="D538" s="113" t="s">
        <v>482</v>
      </c>
      <c r="E538" s="112"/>
      <c r="F538" s="114"/>
      <c r="G538" s="385"/>
      <c r="H538" s="385">
        <f t="shared" ref="H538" si="378">H540</f>
        <v>8080000</v>
      </c>
      <c r="I538" s="385">
        <f t="shared" si="313"/>
        <v>8080000</v>
      </c>
      <c r="J538" s="385"/>
      <c r="K538" s="295">
        <f t="shared" ref="K538" si="379">K540</f>
        <v>5800000</v>
      </c>
      <c r="L538" s="295">
        <f t="shared" si="315"/>
        <v>5800000</v>
      </c>
    </row>
    <row r="539" spans="1:12" ht="31.5" x14ac:dyDescent="0.2">
      <c r="A539" s="116" t="str">
        <f>IF(B539&gt;0,VLOOKUP(B539,КВСР!A288:B1453,2),IF(C539&gt;0,VLOOKUP(C539,КФСР!A288:B1800,2),IF(D539&gt;0,VLOOKUP(D539,Программа!A$1:B$5110,2),IF(F539&gt;0,VLOOKUP(F539,КВР!A$1:B$5001,2),IF(E539&gt;0,VLOOKUP(E539,Направление!A$1:B$4783,2))))))</f>
        <v>Ведомственная целевая программа «Молодежь»</v>
      </c>
      <c r="B539" s="117"/>
      <c r="C539" s="112"/>
      <c r="D539" s="113" t="s">
        <v>586</v>
      </c>
      <c r="E539" s="112"/>
      <c r="F539" s="114"/>
      <c r="G539" s="385"/>
      <c r="H539" s="385">
        <f t="shared" ref="H539" si="380">H540</f>
        <v>8080000</v>
      </c>
      <c r="I539" s="385">
        <f t="shared" si="313"/>
        <v>8080000</v>
      </c>
      <c r="J539" s="385"/>
      <c r="K539" s="295">
        <f t="shared" ref="K539" si="381">K540</f>
        <v>5800000</v>
      </c>
      <c r="L539" s="295">
        <f t="shared" si="315"/>
        <v>5800000</v>
      </c>
    </row>
    <row r="540" spans="1:12" ht="63" x14ac:dyDescent="0.2">
      <c r="A540" s="116" t="str">
        <f>IF(B540&gt;0,VLOOKUP(B540,КВСР!A289:B1454,2),IF(C540&gt;0,VLOOKUP(C540,КФСР!A289:B1801,2),IF(D540&gt;0,VLOOKUP(D540,Программа!A$1:B$5110,2),IF(F540&gt;0,VLOOKUP(F540,КВР!A$1:B$5001,2),IF(E540&gt;0,VLOOKUP(E540,Направление!A$1:B$4783,2))))))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7"/>
      <c r="C540" s="112"/>
      <c r="D540" s="113" t="s">
        <v>588</v>
      </c>
      <c r="E540" s="112"/>
      <c r="F540" s="114"/>
      <c r="G540" s="385"/>
      <c r="H540" s="385">
        <f t="shared" ref="H540" si="382">H541+H543+H545</f>
        <v>8080000</v>
      </c>
      <c r="I540" s="385">
        <f t="shared" si="313"/>
        <v>8080000</v>
      </c>
      <c r="J540" s="385"/>
      <c r="K540" s="295">
        <f t="shared" ref="K540" si="383">K541+K543+K545</f>
        <v>5800000</v>
      </c>
      <c r="L540" s="295">
        <f t="shared" si="315"/>
        <v>5800000</v>
      </c>
    </row>
    <row r="541" spans="1:12" ht="31.5" x14ac:dyDescent="0.2">
      <c r="A541" s="116" t="str">
        <f>IF(B541&gt;0,VLOOKUP(B541,КВСР!A289:B1454,2),IF(C541&gt;0,VLOOKUP(C541,КФСР!A289:B1801,2),IF(D541&gt;0,VLOOKUP(D541,Программа!A$1:B$5110,2),IF(F541&gt;0,VLOOKUP(F541,КВР!A$1:B$5001,2),IF(E541&gt;0,VLOOKUP(E541,Направление!A$1:B$4783,2))))))</f>
        <v xml:space="preserve">Обеспечение деятельности учреждений в сфере молодежной политики </v>
      </c>
      <c r="B541" s="117"/>
      <c r="C541" s="112"/>
      <c r="D541" s="113"/>
      <c r="E541" s="112">
        <v>14510</v>
      </c>
      <c r="F541" s="114"/>
      <c r="G541" s="385"/>
      <c r="H541" s="385">
        <f t="shared" ref="H541" si="384">H542</f>
        <v>8080000</v>
      </c>
      <c r="I541" s="385">
        <f t="shared" si="313"/>
        <v>8080000</v>
      </c>
      <c r="J541" s="385"/>
      <c r="K541" s="295">
        <f t="shared" ref="K541" si="385">K542</f>
        <v>5800000</v>
      </c>
      <c r="L541" s="295">
        <f t="shared" si="315"/>
        <v>5800000</v>
      </c>
    </row>
    <row r="542" spans="1:12" ht="47.25" x14ac:dyDescent="0.2">
      <c r="A542" s="116" t="str">
        <f>IF(B542&gt;0,VLOOKUP(B542,КВСР!A290:B1455,2),IF(C542&gt;0,VLOOKUP(C542,КФСР!A290:B1802,2),IF(D542&gt;0,VLOOKUP(D542,Программа!A$1:B$5110,2),IF(F542&gt;0,VLOOKUP(F542,КВР!A$1:B$5001,2),IF(E542&gt;0,VLOOKUP(E542,Направление!A$1:B$4783,2))))))</f>
        <v>Предоставление субсидий бюджетным, автономным учреждениям и иным некоммерческим организациям</v>
      </c>
      <c r="B542" s="117"/>
      <c r="C542" s="112"/>
      <c r="D542" s="113"/>
      <c r="E542" s="112"/>
      <c r="F542" s="114">
        <v>600</v>
      </c>
      <c r="G542" s="385"/>
      <c r="H542" s="385">
        <v>8080000</v>
      </c>
      <c r="I542" s="385">
        <f t="shared" si="313"/>
        <v>8080000</v>
      </c>
      <c r="J542" s="385"/>
      <c r="K542" s="295">
        <v>5800000</v>
      </c>
      <c r="L542" s="295">
        <f t="shared" si="315"/>
        <v>5800000</v>
      </c>
    </row>
    <row r="543" spans="1:12" ht="63" hidden="1" x14ac:dyDescent="0.2">
      <c r="A543" s="116" t="str">
        <f>IF(B543&gt;0,VLOOKUP(B543,КВСР!A291:B1456,2),IF(C543&gt;0,VLOOKUP(C543,КФСР!A291:B1803,2),IF(D543&gt;0,VLOOKUP(D543,Программа!A$1:B$5110,2),IF(F543&gt;0,VLOOKUP(F543,КВР!A$1:B$5001,2),IF(E543&gt;0,VLOOKUP(E543,Направление!A$1:B$4783,2))))))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7"/>
      <c r="C543" s="112"/>
      <c r="D543" s="113"/>
      <c r="E543" s="112" t="s">
        <v>592</v>
      </c>
      <c r="F543" s="114"/>
      <c r="G543" s="385"/>
      <c r="H543" s="385">
        <f t="shared" ref="H543" si="386">H544</f>
        <v>0</v>
      </c>
      <c r="I543" s="385">
        <f t="shared" ref="I543:I584" si="387">SUM(G543:H543)</f>
        <v>0</v>
      </c>
      <c r="J543" s="385"/>
      <c r="K543" s="295">
        <f t="shared" ref="K543" si="388">K544</f>
        <v>0</v>
      </c>
      <c r="L543" s="295">
        <f t="shared" ref="L543:L584" si="389">SUM(J543:K543)</f>
        <v>0</v>
      </c>
    </row>
    <row r="544" spans="1:12" ht="47.25" hidden="1" x14ac:dyDescent="0.2">
      <c r="A544" s="116" t="str">
        <f>IF(B544&gt;0,VLOOKUP(B544,КВСР!A292:B1457,2),IF(C544&gt;0,VLOOKUP(C544,КФСР!A292:B1804,2),IF(D544&gt;0,VLOOKUP(D544,Программа!A$1:B$5110,2),IF(F544&gt;0,VLOOKUP(F544,КВР!A$1:B$5001,2),IF(E544&gt;0,VLOOKUP(E544,Направление!A$1:B$4783,2))))))</f>
        <v>Предоставление субсидий бюджетным, автономным учреждениям и иным некоммерческим организациям</v>
      </c>
      <c r="B544" s="117"/>
      <c r="C544" s="112"/>
      <c r="D544" s="113"/>
      <c r="E544" s="112"/>
      <c r="F544" s="114">
        <v>600</v>
      </c>
      <c r="G544" s="385"/>
      <c r="H544" s="385"/>
      <c r="I544" s="385">
        <f t="shared" si="387"/>
        <v>0</v>
      </c>
      <c r="J544" s="385"/>
      <c r="K544" s="295"/>
      <c r="L544" s="295">
        <f t="shared" si="389"/>
        <v>0</v>
      </c>
    </row>
    <row r="545" spans="1:12" ht="63" hidden="1" x14ac:dyDescent="0.2">
      <c r="A545" s="116" t="str">
        <f>IF(B545&gt;0,VLOOKUP(B545,КВСР!A293:B1458,2),IF(C545&gt;0,VLOOKUP(C545,КФСР!A293:B1805,2),IF(D545&gt;0,VLOOKUP(D545,Программа!A$1:B$5110,2),IF(F545&gt;0,VLOOKUP(F545,КВР!A$1:B$5001,2),IF(E545&gt;0,VLOOKUP(E545,Направление!A$1:B$4783,2))))))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7"/>
      <c r="C545" s="112"/>
      <c r="D545" s="113"/>
      <c r="E545" s="112">
        <v>70650</v>
      </c>
      <c r="F545" s="114"/>
      <c r="G545" s="385"/>
      <c r="H545" s="385">
        <f t="shared" ref="H545" si="390">H546</f>
        <v>0</v>
      </c>
      <c r="I545" s="385">
        <f t="shared" si="387"/>
        <v>0</v>
      </c>
      <c r="J545" s="385"/>
      <c r="K545" s="295">
        <f t="shared" ref="K545" si="391">K546</f>
        <v>0</v>
      </c>
      <c r="L545" s="295">
        <f t="shared" si="389"/>
        <v>0</v>
      </c>
    </row>
    <row r="546" spans="1:12" ht="47.25" hidden="1" x14ac:dyDescent="0.2">
      <c r="A546" s="116" t="str">
        <f>IF(B546&gt;0,VLOOKUP(B546,КВСР!A294:B1459,2),IF(C546&gt;0,VLOOKUP(C546,КФСР!A294:B1806,2),IF(D546&gt;0,VLOOKUP(D546,Программа!A$1:B$5110,2),IF(F546&gt;0,VLOOKUP(F546,КВР!A$1:B$5001,2),IF(E546&gt;0,VLOOKUP(E546,Направление!A$1:B$4783,2))))))</f>
        <v>Предоставление субсидий бюджетным, автономным учреждениям и иным некоммерческим организациям</v>
      </c>
      <c r="B546" s="117"/>
      <c r="C546" s="112"/>
      <c r="D546" s="113"/>
      <c r="E546" s="112"/>
      <c r="F546" s="114">
        <v>600</v>
      </c>
      <c r="G546" s="385"/>
      <c r="H546" s="385"/>
      <c r="I546" s="385">
        <f t="shared" si="387"/>
        <v>0</v>
      </c>
      <c r="J546" s="385"/>
      <c r="K546" s="295"/>
      <c r="L546" s="295">
        <f t="shared" si="389"/>
        <v>0</v>
      </c>
    </row>
    <row r="547" spans="1:12" ht="15.75" x14ac:dyDescent="0.2">
      <c r="A547" s="116" t="str">
        <f>IF(B547&gt;0,VLOOKUP(B547,КВСР!A309:B1474,2),IF(C547&gt;0,VLOOKUP(C547,КФСР!A309:B1821,2),IF(D547&gt;0,VLOOKUP(D547,Программа!A$1:B$5110,2),IF(F547&gt;0,VLOOKUP(F547,КВР!A$1:B$5001,2),IF(E547&gt;0,VLOOKUP(E547,Направление!A$1:B$4783,2))))))</f>
        <v>Культура</v>
      </c>
      <c r="B547" s="117"/>
      <c r="C547" s="112">
        <v>801</v>
      </c>
      <c r="D547" s="126"/>
      <c r="E547" s="124"/>
      <c r="F547" s="125"/>
      <c r="G547" s="385"/>
      <c r="H547" s="385">
        <f t="shared" ref="H547" si="392">H548</f>
        <v>66643512</v>
      </c>
      <c r="I547" s="385">
        <f t="shared" si="387"/>
        <v>66643512</v>
      </c>
      <c r="J547" s="385"/>
      <c r="K547" s="295">
        <f t="shared" ref="K547" si="393">K548</f>
        <v>54263622</v>
      </c>
      <c r="L547" s="295">
        <f t="shared" si="389"/>
        <v>54263622</v>
      </c>
    </row>
    <row r="548" spans="1:12" ht="63" x14ac:dyDescent="0.2">
      <c r="A548" s="116" t="str">
        <f>IF(B548&gt;0,VLOOKUP(B548,КВСР!A310:B1475,2),IF(C548&gt;0,VLOOKUP(C548,КФСР!A310:B1822,2),IF(D548&gt;0,VLOOKUP(D548,Программа!A$1:B$5110,2),IF(F548&gt;0,VLOOKUP(F548,КВР!A$1:B$5001,2),IF(E548&gt;0,VLOOKUP(E548,Направление!A$1:B$4783,2))))))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8" s="117"/>
      <c r="C548" s="112"/>
      <c r="D548" s="126" t="s">
        <v>482</v>
      </c>
      <c r="E548" s="124"/>
      <c r="F548" s="125"/>
      <c r="G548" s="385"/>
      <c r="H548" s="385">
        <f t="shared" ref="H548:L548" si="394">H553+H549</f>
        <v>66643512</v>
      </c>
      <c r="I548" s="385">
        <f t="shared" si="394"/>
        <v>66643512</v>
      </c>
      <c r="J548" s="385"/>
      <c r="K548" s="385">
        <f t="shared" si="394"/>
        <v>54263622</v>
      </c>
      <c r="L548" s="385">
        <f t="shared" si="394"/>
        <v>54263622</v>
      </c>
    </row>
    <row r="549" spans="1:12" ht="78.75" hidden="1" x14ac:dyDescent="0.2">
      <c r="A549" s="116" t="str">
        <f>IF(B549&gt;0,VLOOKUP(B549,КВСР!A311:B1476,2),IF(C549&gt;0,VLOOKUP(C549,КФСР!A311:B1823,2),IF(D549&gt;0,VLOOKUP(D549,Программа!A$1:B$5110,2),IF(F549&gt;0,VLOOKUP(F549,КВР!A$1:B$5001,2),IF(E549&gt;0,VLOOKUP(E549,Направление!A$1:B$4783,2))))))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7"/>
      <c r="C549" s="112"/>
      <c r="D549" s="126" t="s">
        <v>484</v>
      </c>
      <c r="E549" s="124"/>
      <c r="F549" s="125"/>
      <c r="G549" s="385"/>
      <c r="H549" s="385">
        <f t="shared" ref="H549:L551" si="395">H550</f>
        <v>0</v>
      </c>
      <c r="I549" s="385">
        <f t="shared" si="395"/>
        <v>0</v>
      </c>
      <c r="J549" s="385"/>
      <c r="K549" s="385">
        <f t="shared" si="395"/>
        <v>0</v>
      </c>
      <c r="L549" s="385">
        <f t="shared" si="395"/>
        <v>0</v>
      </c>
    </row>
    <row r="550" spans="1:12" ht="78.75" hidden="1" x14ac:dyDescent="0.2">
      <c r="A550" s="116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7"/>
      <c r="C550" s="112"/>
      <c r="D550" s="126" t="s">
        <v>1712</v>
      </c>
      <c r="E550" s="124"/>
      <c r="F550" s="125"/>
      <c r="G550" s="385"/>
      <c r="H550" s="385">
        <f t="shared" si="395"/>
        <v>0</v>
      </c>
      <c r="I550" s="385">
        <f t="shared" si="395"/>
        <v>0</v>
      </c>
      <c r="J550" s="385"/>
      <c r="K550" s="385">
        <f t="shared" si="395"/>
        <v>0</v>
      </c>
      <c r="L550" s="385">
        <f t="shared" si="395"/>
        <v>0</v>
      </c>
    </row>
    <row r="551" spans="1:12" ht="47.25" hidden="1" x14ac:dyDescent="0.2">
      <c r="A551" s="116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IF(B551&gt;0,VLOOKUP(B551,КВСР!A313:B1478,2),IF(C551&gt;0,VLOOKUP(C551,КФСР!A313:B1825,2),IF(D551&gt;0,VLOOKUP(D551,Программа!A$1:B$5110,2),IF(F551&gt;0,VLOOKUP(F551,КВР!A$1:B$5001,2),IF(E551&gt;0,VLOOKUP(E551,Направление!A$1:B$4783,2))))))</f>
        <v>Обеспечение мероприятий по содержанию  военно-мемориального комплекса пл.Юности</v>
      </c>
      <c r="B551" s="117"/>
      <c r="C551" s="112"/>
      <c r="D551" s="126"/>
      <c r="E551" s="124">
        <v>29686</v>
      </c>
      <c r="F551" s="125"/>
      <c r="G551" s="385"/>
      <c r="H551" s="385">
        <f t="shared" si="395"/>
        <v>0</v>
      </c>
      <c r="I551" s="385">
        <f t="shared" si="395"/>
        <v>0</v>
      </c>
      <c r="J551" s="385"/>
      <c r="K551" s="385">
        <f t="shared" si="395"/>
        <v>0</v>
      </c>
      <c r="L551" s="385">
        <f t="shared" si="395"/>
        <v>0</v>
      </c>
    </row>
    <row r="552" spans="1:12" ht="47.25" hidden="1" x14ac:dyDescent="0.2">
      <c r="A552" s="116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IF(B552&gt;0,VLOOKUP(B552,КВСР!A314:B1479,2),IF(C552&gt;0,VLOOKUP(C552,КФСР!A314:B1826,2),IF(D552&gt;0,VLOOKUP(D552,Программа!A$1:B$5110,2),IF(F552&gt;0,VLOOKUP(F552,КВР!A$1:B$5001,2),IF(E552&gt;0,VLOOKUP(E552,Направление!A$1:B$4783,2))))))</f>
        <v>Предоставление субсидий бюджетным, автономным учреждениям и иным некоммерческим организациям</v>
      </c>
      <c r="B552" s="117"/>
      <c r="C552" s="112"/>
      <c r="D552" s="126"/>
      <c r="E552" s="124"/>
      <c r="F552" s="125">
        <v>600</v>
      </c>
      <c r="G552" s="385"/>
      <c r="H552" s="385"/>
      <c r="I552" s="385">
        <f>G552+H552</f>
        <v>0</v>
      </c>
      <c r="J552" s="385"/>
      <c r="K552" s="295"/>
      <c r="L552" s="295">
        <f>J552+K552</f>
        <v>0</v>
      </c>
    </row>
    <row r="553" spans="1:12" ht="47.25" x14ac:dyDescent="0.2">
      <c r="A553" s="116" t="str">
        <f>IF(B553&gt;0,VLOOKUP(B553,КВСР!A311:B1476,2),IF(C553&gt;0,VLOOKUP(C553,КФСР!A311:B1823,2),IF(D553&gt;0,VLOOKUP(D553,Программа!A$1:B$5110,2),IF(F553&gt;0,VLOOKUP(F553,КВР!A$1:B$5001,2),IF(E553&gt;0,VLOOKUP(E553,Направление!A$1:B$4783,2))))))</f>
        <v>Ведомственная целевая программа «Сохранение и развитие культуры Тутаевского муниципального района»</v>
      </c>
      <c r="B553" s="117"/>
      <c r="C553" s="112"/>
      <c r="D553" s="126" t="s">
        <v>581</v>
      </c>
      <c r="E553" s="124"/>
      <c r="F553" s="125"/>
      <c r="G553" s="385"/>
      <c r="H553" s="385">
        <f t="shared" ref="H553" si="396">H554+H561</f>
        <v>66643512</v>
      </c>
      <c r="I553" s="385">
        <f t="shared" si="387"/>
        <v>66643512</v>
      </c>
      <c r="J553" s="385"/>
      <c r="K553" s="295">
        <f t="shared" ref="K553" si="397">K554+K561</f>
        <v>54263622</v>
      </c>
      <c r="L553" s="295">
        <f t="shared" si="389"/>
        <v>54263622</v>
      </c>
    </row>
    <row r="554" spans="1:12" ht="31.5" x14ac:dyDescent="0.2">
      <c r="A554" s="116" t="str">
        <f>IF(B554&gt;0,VLOOKUP(B554,КВСР!A312:B1477,2),IF(C554&gt;0,VLOOKUP(C554,КФСР!A312:B1824,2),IF(D554&gt;0,VLOOKUP(D554,Программа!A$1:B$5110,2),IF(F554&gt;0,VLOOKUP(F554,КВР!A$1:B$5001,2),IF(E554&gt;0,VLOOKUP(E554,Направление!A$1:B$4783,2))))))</f>
        <v>Содействие доступу граждан к культурным ценностям</v>
      </c>
      <c r="B554" s="117"/>
      <c r="C554" s="112"/>
      <c r="D554" s="126" t="s">
        <v>600</v>
      </c>
      <c r="E554" s="124"/>
      <c r="F554" s="125"/>
      <c r="G554" s="385"/>
      <c r="H554" s="385">
        <f t="shared" ref="H554:I554" si="398">H555+H557+H559</f>
        <v>51405776</v>
      </c>
      <c r="I554" s="385">
        <f t="shared" si="398"/>
        <v>51405776</v>
      </c>
      <c r="J554" s="385"/>
      <c r="K554" s="385">
        <f t="shared" ref="K554:L554" si="399">K555+K557</f>
        <v>41385886</v>
      </c>
      <c r="L554" s="385">
        <f t="shared" si="399"/>
        <v>41385886</v>
      </c>
    </row>
    <row r="555" spans="1:12" ht="31.5" x14ac:dyDescent="0.2">
      <c r="A555" s="116" t="str">
        <f>IF(B555&gt;0,VLOOKUP(B555,КВСР!A312:B1477,2),IF(C555&gt;0,VLOOKUP(C555,КФСР!A312:B1824,2),IF(D555&gt;0,VLOOKUP(D555,Программа!A$1:B$5110,2),IF(F555&gt;0,VLOOKUP(F555,КВР!A$1:B$5001,2),IF(E555&gt;0,VLOOKUP(E555,Направление!A$1:B$4783,2))))))</f>
        <v>Обеспечение деятельности учреждений по организации досуга в сфере культуры</v>
      </c>
      <c r="B555" s="117"/>
      <c r="C555" s="112"/>
      <c r="D555" s="126"/>
      <c r="E555" s="124">
        <v>15010</v>
      </c>
      <c r="F555" s="125"/>
      <c r="G555" s="385"/>
      <c r="H555" s="385">
        <f t="shared" ref="H555" si="400">H556</f>
        <v>51405776</v>
      </c>
      <c r="I555" s="385">
        <f t="shared" si="387"/>
        <v>51405776</v>
      </c>
      <c r="J555" s="385"/>
      <c r="K555" s="295">
        <f t="shared" ref="K555" si="401">K556</f>
        <v>41385886</v>
      </c>
      <c r="L555" s="295">
        <f t="shared" si="389"/>
        <v>41385886</v>
      </c>
    </row>
    <row r="556" spans="1:12" ht="47.25" x14ac:dyDescent="0.2">
      <c r="A556" s="116" t="str">
        <f>IF(B556&gt;0,VLOOKUP(B556,КВСР!A313:B1478,2),IF(C556&gt;0,VLOOKUP(C556,КФСР!A313:B1825,2),IF(D556&gt;0,VLOOKUP(D556,Программа!A$1:B$5110,2),IF(F556&gt;0,VLOOKUP(F556,КВР!A$1:B$5001,2),IF(E556&gt;0,VLOOKUP(E556,Направление!A$1:B$4783,2))))))</f>
        <v>Предоставление субсидий бюджетным, автономным учреждениям и иным некоммерческим организациям</v>
      </c>
      <c r="B556" s="117"/>
      <c r="C556" s="112"/>
      <c r="D556" s="126"/>
      <c r="E556" s="124"/>
      <c r="F556" s="125">
        <v>600</v>
      </c>
      <c r="G556" s="385"/>
      <c r="H556" s="385">
        <f>14660334+6844755+11020000+19770000-889313</f>
        <v>51405776</v>
      </c>
      <c r="I556" s="385">
        <f t="shared" si="387"/>
        <v>51405776</v>
      </c>
      <c r="J556" s="385"/>
      <c r="K556" s="295">
        <f>14660334+4750000+8400000+14000000-424448</f>
        <v>41385886</v>
      </c>
      <c r="L556" s="295">
        <f t="shared" si="389"/>
        <v>41385886</v>
      </c>
    </row>
    <row r="557" spans="1:12" ht="31.5" hidden="1" x14ac:dyDescent="0.2">
      <c r="A557" s="116" t="str">
        <f>IF(B557&gt;0,VLOOKUP(B557,КВСР!A314:B1479,2),IF(C557&gt;0,VLOOKUP(C557,КФСР!A314:B1826,2),IF(D557&gt;0,VLOOKUP(D557,Программа!A$1:B$5110,2),IF(F557&gt;0,VLOOKUP(F557,КВР!A$1:B$5001,2),IF(E557&gt;0,VLOOKUP(E557,Направление!A$1:B$4783,2))))))</f>
        <v xml:space="preserve">Обеспечение культурно-досуговых мероприятий </v>
      </c>
      <c r="B557" s="117"/>
      <c r="C557" s="112"/>
      <c r="D557" s="126"/>
      <c r="E557" s="124">
        <v>29216</v>
      </c>
      <c r="F557" s="125"/>
      <c r="G557" s="385"/>
      <c r="H557" s="385">
        <f t="shared" ref="H557:L557" si="402">H558</f>
        <v>0</v>
      </c>
      <c r="I557" s="385">
        <f t="shared" si="402"/>
        <v>0</v>
      </c>
      <c r="J557" s="385"/>
      <c r="K557" s="385">
        <f t="shared" si="402"/>
        <v>0</v>
      </c>
      <c r="L557" s="385">
        <f t="shared" si="402"/>
        <v>0</v>
      </c>
    </row>
    <row r="558" spans="1:12" ht="47.25" hidden="1" x14ac:dyDescent="0.2">
      <c r="A558" s="116" t="str">
        <f>IF(B558&gt;0,VLOOKUP(B558,КВСР!A315:B1480,2),IF(C558&gt;0,VLOOKUP(C558,КФСР!A315:B1827,2),IF(D558&gt;0,VLOOKUP(D558,Программа!A$1:B$5110,2),IF(F558&gt;0,VLOOKUP(F558,КВР!A$1:B$5001,2),IF(E558&gt;0,VLOOKUP(E558,Направление!A$1:B$4783,2))))))</f>
        <v>Предоставление субсидий бюджетным, автономным учреждениям и иным некоммерческим организациям</v>
      </c>
      <c r="B558" s="117"/>
      <c r="C558" s="112"/>
      <c r="D558" s="126"/>
      <c r="E558" s="124"/>
      <c r="F558" s="125">
        <v>600</v>
      </c>
      <c r="G558" s="385"/>
      <c r="H558" s="385"/>
      <c r="I558" s="385">
        <f>G558+H558</f>
        <v>0</v>
      </c>
      <c r="J558" s="385"/>
      <c r="K558" s="295"/>
      <c r="L558" s="295">
        <f>J558+K558</f>
        <v>0</v>
      </c>
    </row>
    <row r="559" spans="1:12" ht="63" hidden="1" x14ac:dyDescent="0.2">
      <c r="A559" s="116" t="str">
        <f>IF(B559&gt;0,VLOOKUP(B559,КВСР!A316:B1481,2),IF(C559&gt;0,VLOOKUP(C559,КФСР!A316:B1828,2),IF(D559&gt;0,VLOOKUP(D559,Программа!A$1:B$5110,2),IF(F559&gt;0,VLOOKUP(F559,КВР!A$1:B$5001,2),IF(E559&gt;0,VLOOKUP(E559,Направление!A$1:B$4783,2))))))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7"/>
      <c r="C559" s="112"/>
      <c r="D559" s="126"/>
      <c r="E559" s="124">
        <v>29556</v>
      </c>
      <c r="F559" s="125"/>
      <c r="G559" s="385"/>
      <c r="H559" s="385">
        <f t="shared" ref="H559:L559" si="403">H560</f>
        <v>0</v>
      </c>
      <c r="I559" s="385">
        <f t="shared" si="403"/>
        <v>0</v>
      </c>
      <c r="J559" s="385"/>
      <c r="K559" s="385">
        <f t="shared" si="403"/>
        <v>0</v>
      </c>
      <c r="L559" s="385">
        <f t="shared" si="403"/>
        <v>0</v>
      </c>
    </row>
    <row r="560" spans="1:12" ht="47.25" hidden="1" x14ac:dyDescent="0.2">
      <c r="A560" s="116" t="str">
        <f>IF(B560&gt;0,VLOOKUP(B560,КВСР!A317:B1482,2),IF(C560&gt;0,VLOOKUP(C560,КФСР!A317:B1829,2),IF(D560&gt;0,VLOOKUP(D560,Программа!A$1:B$5110,2),IF(F560&gt;0,VLOOKUP(F560,КВР!A$1:B$5001,2),IF(E560&gt;0,VLOOKUP(E560,Направление!A$1:B$4783,2))))))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17"/>
      <c r="C560" s="112"/>
      <c r="D560" s="126"/>
      <c r="E560" s="124"/>
      <c r="F560" s="125">
        <v>600</v>
      </c>
      <c r="G560" s="385"/>
      <c r="H560" s="385"/>
      <c r="I560" s="385">
        <f>G560+H560</f>
        <v>0</v>
      </c>
      <c r="J560" s="385"/>
      <c r="K560" s="295"/>
      <c r="L560" s="295">
        <f>J560+K560</f>
        <v>0</v>
      </c>
    </row>
    <row r="561" spans="1:12" ht="31.5" x14ac:dyDescent="0.2">
      <c r="A561" s="116" t="str">
        <f>IF(B561&gt;0,VLOOKUP(B561,КВСР!A314:B1479,2),IF(C561&gt;0,VLOOKUP(C561,КФСР!A314:B1826,2),IF(D561&gt;0,VLOOKUP(D561,Программа!A$1:B$5110,2),IF(F561&gt;0,VLOOKUP(F561,КВР!A$1:B$5001,2),IF(E561&gt;0,VLOOKUP(E561,Направление!A$1:B$4783,2))))))</f>
        <v>Поддержка доступа граждан к информационно-библиотечным ресурсам</v>
      </c>
      <c r="B561" s="117"/>
      <c r="C561" s="112"/>
      <c r="D561" s="126" t="s">
        <v>605</v>
      </c>
      <c r="E561" s="124"/>
      <c r="F561" s="125"/>
      <c r="G561" s="385"/>
      <c r="H561" s="385">
        <f t="shared" ref="H561:L561" si="404">H562+H564</f>
        <v>15237736</v>
      </c>
      <c r="I561" s="385">
        <f t="shared" si="404"/>
        <v>15237736</v>
      </c>
      <c r="J561" s="385"/>
      <c r="K561" s="385">
        <f t="shared" si="404"/>
        <v>12877736</v>
      </c>
      <c r="L561" s="385">
        <f t="shared" si="404"/>
        <v>12877736</v>
      </c>
    </row>
    <row r="562" spans="1:12" ht="15.75" x14ac:dyDescent="0.2">
      <c r="A562" s="116" t="str">
        <f>IF(B562&gt;0,VLOOKUP(B562,КВСР!A315:B1480,2),IF(C562&gt;0,VLOOKUP(C562,КФСР!A315:B1827,2),IF(D562&gt;0,VLOOKUP(D562,Программа!A$1:B$5110,2),IF(F562&gt;0,VLOOKUP(F562,КВР!A$1:B$5001,2),IF(E562&gt;0,VLOOKUP(E562,Направление!A$1:B$4783,2))))))</f>
        <v>Обеспечение деятельности библиотек</v>
      </c>
      <c r="B562" s="117"/>
      <c r="C562" s="112"/>
      <c r="D562" s="126"/>
      <c r="E562" s="124">
        <v>15110</v>
      </c>
      <c r="F562" s="125"/>
      <c r="G562" s="385"/>
      <c r="H562" s="385">
        <f t="shared" ref="H562" si="405">H563</f>
        <v>15237736</v>
      </c>
      <c r="I562" s="385">
        <f t="shared" si="387"/>
        <v>15237736</v>
      </c>
      <c r="J562" s="385"/>
      <c r="K562" s="295">
        <f t="shared" ref="K562" si="406">K563</f>
        <v>12877736</v>
      </c>
      <c r="L562" s="295">
        <f t="shared" si="389"/>
        <v>12877736</v>
      </c>
    </row>
    <row r="563" spans="1:12" ht="47.25" x14ac:dyDescent="0.2">
      <c r="A563" s="116" t="str">
        <f>IF(B563&gt;0,VLOOKUP(B563,КВСР!A316:B1481,2),IF(C563&gt;0,VLOOKUP(C563,КФСР!A316:B1828,2),IF(D563&gt;0,VLOOKUP(D563,Программа!A$1:B$5110,2),IF(F563&gt;0,VLOOKUP(F563,КВР!A$1:B$5001,2),IF(E563&gt;0,VLOOKUP(E563,Направление!A$1:B$4783,2))))))</f>
        <v>Предоставление субсидий бюджетным, автономным учреждениям и иным некоммерческим организациям</v>
      </c>
      <c r="B563" s="117"/>
      <c r="C563" s="112"/>
      <c r="D563" s="126"/>
      <c r="E563" s="124"/>
      <c r="F563" s="125">
        <v>600</v>
      </c>
      <c r="G563" s="385"/>
      <c r="H563" s="385">
        <f>5177736+10060000</f>
        <v>15237736</v>
      </c>
      <c r="I563" s="385">
        <f t="shared" si="387"/>
        <v>15237736</v>
      </c>
      <c r="J563" s="385"/>
      <c r="K563" s="295">
        <f>5177736+7700000</f>
        <v>12877736</v>
      </c>
      <c r="L563" s="295">
        <f t="shared" si="389"/>
        <v>12877736</v>
      </c>
    </row>
    <row r="564" spans="1:12" ht="31.5" hidden="1" x14ac:dyDescent="0.2">
      <c r="A564" s="116" t="str">
        <f>IF(B564&gt;0,VLOOKUP(B564,КВСР!A317:B1482,2),IF(C564&gt;0,VLOOKUP(C564,КФСР!A317:B1829,2),IF(D564&gt;0,VLOOKUP(D564,Программа!A$1:B$5110,2),IF(F564&gt;0,VLOOKUP(F564,КВР!A$1:B$5001,2),IF(E564&gt;0,VLOOKUP(E564,Направление!A$1:B$4783,2))))))</f>
        <v xml:space="preserve">Обеспечение культурно-досуговых мероприятий </v>
      </c>
      <c r="B564" s="117"/>
      <c r="C564" s="112"/>
      <c r="D564" s="126"/>
      <c r="E564" s="124">
        <v>29216</v>
      </c>
      <c r="F564" s="125"/>
      <c r="G564" s="385"/>
      <c r="H564" s="385">
        <f t="shared" ref="H564:L564" si="407">H565</f>
        <v>0</v>
      </c>
      <c r="I564" s="385">
        <f t="shared" si="407"/>
        <v>0</v>
      </c>
      <c r="J564" s="385"/>
      <c r="K564" s="385">
        <f t="shared" si="407"/>
        <v>0</v>
      </c>
      <c r="L564" s="385">
        <f t="shared" si="407"/>
        <v>0</v>
      </c>
    </row>
    <row r="565" spans="1:12" ht="47.25" hidden="1" x14ac:dyDescent="0.2">
      <c r="A565" s="116" t="str">
        <f>IF(B565&gt;0,VLOOKUP(B565,КВСР!A318:B1483,2),IF(C565&gt;0,VLOOKUP(C565,КФСР!A318:B1830,2),IF(D565&gt;0,VLOOKUP(D565,Программа!A$1:B$5110,2),IF(F565&gt;0,VLOOKUP(F565,КВР!A$1:B$5001,2),IF(E565&gt;0,VLOOKUP(E565,Направление!A$1:B$4783,2))))))</f>
        <v>Предоставление субсидий бюджетным, автономным учреждениям и иным некоммерческим организациям</v>
      </c>
      <c r="B565" s="117"/>
      <c r="C565" s="112"/>
      <c r="D565" s="126"/>
      <c r="E565" s="124"/>
      <c r="F565" s="125">
        <v>600</v>
      </c>
      <c r="G565" s="385"/>
      <c r="H565" s="385"/>
      <c r="I565" s="385">
        <f>G565+H565</f>
        <v>0</v>
      </c>
      <c r="J565" s="385"/>
      <c r="K565" s="295"/>
      <c r="L565" s="295">
        <f>J565+K565</f>
        <v>0</v>
      </c>
    </row>
    <row r="566" spans="1:12" ht="31.5" x14ac:dyDescent="0.2">
      <c r="A566" s="116" t="str">
        <f>IF(B566&gt;0,VLOOKUP(B566,КВСР!A317:B1482,2),IF(C566&gt;0,VLOOKUP(C566,КФСР!A317:B1829,2),IF(D566&gt;0,VLOOKUP(D566,Программа!A$1:B$5110,2),IF(F566&gt;0,VLOOKUP(F566,КВР!A$1:B$5001,2),IF(E566&gt;0,VLOOKUP(E566,Направление!A$1:B$4783,2))))))</f>
        <v>Другие вопросы в области культуры, кинематографии</v>
      </c>
      <c r="B566" s="117"/>
      <c r="C566" s="112">
        <v>804</v>
      </c>
      <c r="D566" s="113"/>
      <c r="E566" s="112"/>
      <c r="F566" s="114"/>
      <c r="G566" s="385"/>
      <c r="H566" s="385">
        <f t="shared" ref="H566" si="408">H567</f>
        <v>32054977</v>
      </c>
      <c r="I566" s="385">
        <f t="shared" si="387"/>
        <v>32054977</v>
      </c>
      <c r="J566" s="385"/>
      <c r="K566" s="295">
        <f t="shared" ref="K566" si="409">K567</f>
        <v>21366882</v>
      </c>
      <c r="L566" s="295">
        <f t="shared" si="389"/>
        <v>21366882</v>
      </c>
    </row>
    <row r="567" spans="1:12" ht="63" x14ac:dyDescent="0.2">
      <c r="A567" s="116" t="str">
        <f>IF(B567&gt;0,VLOOKUP(B567,КВСР!A329:B1494,2),IF(C567&gt;0,VLOOKUP(C567,КФСР!A329:B1841,2),IF(D567&gt;0,VLOOKUP(D567,Программа!A$1:B$5110,2),IF(F567&gt;0,VLOOKUP(F567,КВР!A$1:B$5001,2),IF(E567&gt;0,VLOOKUP(E567,Направление!A$1:B$4783,2))))))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67" s="117"/>
      <c r="C567" s="112"/>
      <c r="D567" s="113" t="s">
        <v>482</v>
      </c>
      <c r="E567" s="112"/>
      <c r="F567" s="114"/>
      <c r="G567" s="385"/>
      <c r="H567" s="385">
        <f t="shared" ref="H567" si="410">H569</f>
        <v>32054977</v>
      </c>
      <c r="I567" s="385">
        <f t="shared" si="387"/>
        <v>32054977</v>
      </c>
      <c r="J567" s="385"/>
      <c r="K567" s="295">
        <f t="shared" ref="K567" si="411">K569</f>
        <v>21366882</v>
      </c>
      <c r="L567" s="295">
        <f t="shared" si="389"/>
        <v>21366882</v>
      </c>
    </row>
    <row r="568" spans="1:12" ht="47.25" x14ac:dyDescent="0.2">
      <c r="A568" s="116" t="str">
        <f>IF(B568&gt;0,VLOOKUP(B568,КВСР!A330:B1495,2),IF(C568&gt;0,VLOOKUP(C568,КФСР!A330:B1842,2),IF(D568&gt;0,VLOOKUP(D568,Программа!A$1:B$5110,2),IF(F568&gt;0,VLOOKUP(F568,КВР!A$1:B$5001,2),IF(E568&gt;0,VLOOKUP(E568,Направление!A$1:B$4783,2))))))</f>
        <v>Ведомственная целевая программа «Сохранение и развитие культуры Тутаевского муниципального района»</v>
      </c>
      <c r="B568" s="117"/>
      <c r="C568" s="112"/>
      <c r="D568" s="113" t="s">
        <v>581</v>
      </c>
      <c r="E568" s="112"/>
      <c r="F568" s="114"/>
      <c r="G568" s="385"/>
      <c r="H568" s="385">
        <f t="shared" ref="H568" si="412">H569</f>
        <v>32054977</v>
      </c>
      <c r="I568" s="385">
        <f t="shared" si="387"/>
        <v>32054977</v>
      </c>
      <c r="J568" s="385"/>
      <c r="K568" s="295">
        <f t="shared" ref="K568" si="413">K569</f>
        <v>21366882</v>
      </c>
      <c r="L568" s="295">
        <f t="shared" si="389"/>
        <v>21366882</v>
      </c>
    </row>
    <row r="569" spans="1:12" ht="31.5" x14ac:dyDescent="0.2">
      <c r="A569" s="116" t="str">
        <f>IF(B569&gt;0,VLOOKUP(B569,КВСР!A331:B1496,2),IF(C569&gt;0,VLOOKUP(C569,КФСР!A331:B1843,2),IF(D569&gt;0,VLOOKUP(D569,Программа!A$1:B$5110,2),IF(F569&gt;0,VLOOKUP(F569,КВР!A$1:B$5001,2),IF(E569&gt;0,VLOOKUP(E569,Направление!A$1:B$4783,2))))))</f>
        <v>Обеспечение эффективности управления системой культуры</v>
      </c>
      <c r="B569" s="117"/>
      <c r="C569" s="112"/>
      <c r="D569" s="113" t="s">
        <v>608</v>
      </c>
      <c r="E569" s="112"/>
      <c r="F569" s="114"/>
      <c r="G569" s="385"/>
      <c r="H569" s="385">
        <f>H570+H574+H578</f>
        <v>32054977</v>
      </c>
      <c r="I569" s="385">
        <f t="shared" si="387"/>
        <v>32054977</v>
      </c>
      <c r="J569" s="385"/>
      <c r="K569" s="295">
        <f>K570+K574+K578</f>
        <v>21366882</v>
      </c>
      <c r="L569" s="295">
        <f t="shared" si="389"/>
        <v>21366882</v>
      </c>
    </row>
    <row r="570" spans="1:12" ht="15.75" x14ac:dyDescent="0.2">
      <c r="A570" s="116" t="str">
        <f>IF(B570&gt;0,VLOOKUP(B570,КВСР!A332:B1497,2),IF(C570&gt;0,VLOOKUP(C570,КФСР!A332:B1844,2),IF(D570&gt;0,VLOOKUP(D570,Программа!A$1:B$5110,2),IF(F570&gt;0,VLOOKUP(F570,КВР!A$1:B$5001,2),IF(E570&gt;0,VLOOKUP(E570,Направление!A$1:B$4783,2))))))</f>
        <v>Содержание центрального аппарата</v>
      </c>
      <c r="B570" s="117"/>
      <c r="C570" s="112"/>
      <c r="D570" s="113"/>
      <c r="E570" s="112">
        <v>12010</v>
      </c>
      <c r="F570" s="114"/>
      <c r="G570" s="385"/>
      <c r="H570" s="385">
        <f t="shared" ref="H570:L570" si="414">H571+H572+H573</f>
        <v>4745600</v>
      </c>
      <c r="I570" s="385">
        <f t="shared" si="414"/>
        <v>4745600</v>
      </c>
      <c r="J570" s="385"/>
      <c r="K570" s="295">
        <f t="shared" si="414"/>
        <v>4745600</v>
      </c>
      <c r="L570" s="295">
        <f t="shared" si="414"/>
        <v>4745600</v>
      </c>
    </row>
    <row r="571" spans="1:12" ht="110.25" x14ac:dyDescent="0.2">
      <c r="A571" s="116" t="str">
        <f>IF(B571&gt;0,VLOOKUP(B571,КВСР!A332:B1497,2),IF(C571&gt;0,VLOOKUP(C571,КФСР!A332:B1844,2),IF(D571&gt;0,VLOOKUP(D571,Программа!A$1:B$5110,2),IF(F571&gt;0,VLOOKUP(F571,КВР!A$1:B$5001,2),IF(E571&gt;0,VLOOKUP(E571,Направление!A$1:B$4783,2))))))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7"/>
      <c r="C571" s="112"/>
      <c r="D571" s="113"/>
      <c r="E571" s="112"/>
      <c r="F571" s="114">
        <v>100</v>
      </c>
      <c r="G571" s="385"/>
      <c r="H571" s="385">
        <f>3164800+60000+955800</f>
        <v>4180600</v>
      </c>
      <c r="I571" s="385">
        <f t="shared" si="387"/>
        <v>4180600</v>
      </c>
      <c r="J571" s="385"/>
      <c r="K571" s="295">
        <f>3164800+60000+955800</f>
        <v>4180600</v>
      </c>
      <c r="L571" s="295">
        <f t="shared" si="389"/>
        <v>4180600</v>
      </c>
    </row>
    <row r="572" spans="1:12" ht="63" x14ac:dyDescent="0.2">
      <c r="A572" s="116" t="str">
        <f>IF(B572&gt;0,VLOOKUP(B572,КВСР!A333:B1498,2),IF(C572&gt;0,VLOOKUP(C572,КФСР!A333:B1845,2),IF(D572&gt;0,VLOOKUP(D572,Программа!A$1:B$5110,2),IF(F572&gt;0,VLOOKUP(F572,КВР!A$1:B$5001,2),IF(E572&gt;0,VLOOKUP(E572,Направление!A$1:B$4783,2))))))</f>
        <v xml:space="preserve">Закупка товаров, работ и услуг для обеспечения государственных (муниципальных) нужд
</v>
      </c>
      <c r="B572" s="117"/>
      <c r="C572" s="112"/>
      <c r="D572" s="113"/>
      <c r="E572" s="112"/>
      <c r="F572" s="114">
        <v>200</v>
      </c>
      <c r="G572" s="385"/>
      <c r="H572" s="385">
        <v>522000</v>
      </c>
      <c r="I572" s="385">
        <f t="shared" si="387"/>
        <v>522000</v>
      </c>
      <c r="J572" s="385"/>
      <c r="K572" s="295">
        <v>522000</v>
      </c>
      <c r="L572" s="295">
        <f t="shared" si="389"/>
        <v>522000</v>
      </c>
    </row>
    <row r="573" spans="1:12" ht="15.75" x14ac:dyDescent="0.2">
      <c r="A573" s="116" t="str">
        <f>IF(B573&gt;0,VLOOKUP(B573,КВСР!A334:B1499,2),IF(C573&gt;0,VLOOKUP(C573,КФСР!A334:B1846,2),IF(D573&gt;0,VLOOKUP(D573,Программа!A$1:B$5110,2),IF(F573&gt;0,VLOOKUP(F573,КВР!A$1:B$5001,2),IF(E573&gt;0,VLOOKUP(E573,Направление!A$1:B$4783,2))))))</f>
        <v>Иные бюджетные ассигнования</v>
      </c>
      <c r="B573" s="117"/>
      <c r="C573" s="112"/>
      <c r="D573" s="113"/>
      <c r="E573" s="112"/>
      <c r="F573" s="114">
        <v>800</v>
      </c>
      <c r="G573" s="385"/>
      <c r="H573" s="385">
        <v>43000</v>
      </c>
      <c r="I573" s="385">
        <f t="shared" si="387"/>
        <v>43000</v>
      </c>
      <c r="J573" s="385"/>
      <c r="K573" s="295">
        <v>43000</v>
      </c>
      <c r="L573" s="295">
        <f t="shared" si="389"/>
        <v>43000</v>
      </c>
    </row>
    <row r="574" spans="1:12" ht="31.5" x14ac:dyDescent="0.2">
      <c r="A574" s="116" t="str">
        <f>IF(B574&gt;0,VLOOKUP(B574,КВСР!A333:B1498,2),IF(C574&gt;0,VLOOKUP(C574,КФСР!A333:B1845,2),IF(D574&gt;0,VLOOKUP(D574,Программа!A$1:B$5110,2),IF(F574&gt;0,VLOOKUP(F574,КВР!A$1:B$5001,2),IF(E574&gt;0,VLOOKUP(E574,Направление!A$1:B$4783,2))))))</f>
        <v>Обеспечение деятельности прочих учреждений в сфере культуры</v>
      </c>
      <c r="B574" s="117"/>
      <c r="C574" s="112"/>
      <c r="D574" s="113"/>
      <c r="E574" s="112">
        <v>15210</v>
      </c>
      <c r="F574" s="114"/>
      <c r="G574" s="385"/>
      <c r="H574" s="385">
        <f>H575+H576+H577</f>
        <v>27309377</v>
      </c>
      <c r="I574" s="385">
        <f>I575+I576+I577</f>
        <v>27309377</v>
      </c>
      <c r="J574" s="385"/>
      <c r="K574" s="295">
        <f>K575+K576+K577</f>
        <v>16621282</v>
      </c>
      <c r="L574" s="295">
        <f>L575+L576+L577</f>
        <v>16621282</v>
      </c>
    </row>
    <row r="575" spans="1:12" ht="110.25" x14ac:dyDescent="0.2">
      <c r="A575" s="116" t="str">
        <f>IF(B575&gt;0,VLOOKUP(B575,КВСР!A334:B1499,2),IF(C575&gt;0,VLOOKUP(C575,КФСР!A334:B1846,2),IF(D575&gt;0,VLOOKUP(D575,Программа!A$1:B$5110,2),IF(F575&gt;0,VLOOKUP(F575,КВР!A$1:B$5001,2),IF(E575&gt;0,VLOOKUP(E575,Направление!A$1:B$4783,2))))))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7"/>
      <c r="C575" s="112"/>
      <c r="D575" s="113"/>
      <c r="E575" s="112"/>
      <c r="F575" s="114">
        <v>100</v>
      </c>
      <c r="G575" s="385"/>
      <c r="H575" s="385">
        <f>20304800+6132177</f>
        <v>26436977</v>
      </c>
      <c r="I575" s="385">
        <f t="shared" si="387"/>
        <v>26436977</v>
      </c>
      <c r="J575" s="385"/>
      <c r="K575" s="295">
        <f>12437271+3756011</f>
        <v>16193282</v>
      </c>
      <c r="L575" s="295">
        <f t="shared" si="389"/>
        <v>16193282</v>
      </c>
    </row>
    <row r="576" spans="1:12" ht="63" x14ac:dyDescent="0.2">
      <c r="A576" s="116" t="str">
        <f>IF(B576&gt;0,VLOOKUP(B576,КВСР!A335:B1500,2),IF(C576&gt;0,VLOOKUP(C576,КФСР!A335:B1847,2),IF(D576&gt;0,VLOOKUP(D576,Программа!A$1:B$5110,2),IF(F576&gt;0,VLOOKUP(F576,КВР!A$1:B$5001,2),IF(E576&gt;0,VLOOKUP(E576,Направление!A$1:B$4783,2))))))</f>
        <v xml:space="preserve">Закупка товаров, работ и услуг для обеспечения государственных (муниципальных) нужд
</v>
      </c>
      <c r="B576" s="117"/>
      <c r="C576" s="112"/>
      <c r="D576" s="113"/>
      <c r="E576" s="112"/>
      <c r="F576" s="114">
        <v>200</v>
      </c>
      <c r="G576" s="385"/>
      <c r="H576" s="385">
        <v>844400</v>
      </c>
      <c r="I576" s="385">
        <f t="shared" si="387"/>
        <v>844400</v>
      </c>
      <c r="J576" s="385"/>
      <c r="K576" s="295">
        <v>400000</v>
      </c>
      <c r="L576" s="295">
        <f t="shared" si="389"/>
        <v>400000</v>
      </c>
    </row>
    <row r="577" spans="1:13" ht="15.75" x14ac:dyDescent="0.2">
      <c r="A577" s="116" t="str">
        <f>IF(B577&gt;0,VLOOKUP(B577,КВСР!A336:B1501,2),IF(C577&gt;0,VLOOKUP(C577,КФСР!A336:B1848,2),IF(D577&gt;0,VLOOKUP(D577,Программа!A$1:B$5110,2),IF(F577&gt;0,VLOOKUP(F577,КВР!A$1:B$5001,2),IF(E577&gt;0,VLOOKUP(E577,Направление!A$1:B$4783,2))))))</f>
        <v>Иные бюджетные ассигнования</v>
      </c>
      <c r="B577" s="117"/>
      <c r="C577" s="112"/>
      <c r="D577" s="113"/>
      <c r="E577" s="112"/>
      <c r="F577" s="114">
        <v>800</v>
      </c>
      <c r="G577" s="385"/>
      <c r="H577" s="385">
        <v>28000</v>
      </c>
      <c r="I577" s="385">
        <f t="shared" si="387"/>
        <v>28000</v>
      </c>
      <c r="J577" s="385"/>
      <c r="K577" s="295">
        <v>28000</v>
      </c>
      <c r="L577" s="295">
        <f t="shared" si="389"/>
        <v>28000</v>
      </c>
    </row>
    <row r="578" spans="1:13" ht="47.25" hidden="1" x14ac:dyDescent="0.2">
      <c r="A578" s="116" t="str">
        <f>IF(B578&gt;0,VLOOKUP(B578,КВСР!A335:B1500,2),IF(C578&gt;0,VLOOKUP(C578,КФСР!A335:B1847,2),IF(D578&gt;0,VLOOKUP(D578,Программа!A$1:B$5110,2),IF(F578&gt;0,VLOOKUP(F578,КВР!A$1:B$5001,2),IF(E578&gt;0,VLOOKUP(E578,Направление!A$1:B$4783,2))))))</f>
        <v>Содержание органов местного самоуправления за счет средств поселений</v>
      </c>
      <c r="B578" s="117"/>
      <c r="C578" s="112"/>
      <c r="D578" s="113"/>
      <c r="E578" s="112">
        <v>29016</v>
      </c>
      <c r="F578" s="114"/>
      <c r="G578" s="385"/>
      <c r="H578" s="385">
        <f t="shared" ref="H578" si="415">H579+H580</f>
        <v>0</v>
      </c>
      <c r="I578" s="385">
        <f t="shared" si="387"/>
        <v>0</v>
      </c>
      <c r="J578" s="385"/>
      <c r="K578" s="295">
        <f t="shared" ref="K578" si="416">K579+K580</f>
        <v>0</v>
      </c>
      <c r="L578" s="295">
        <f t="shared" si="389"/>
        <v>0</v>
      </c>
    </row>
    <row r="579" spans="1:13" ht="110.25" hidden="1" x14ac:dyDescent="0.2">
      <c r="A579" s="116" t="str">
        <f>IF(B579&gt;0,VLOOKUP(B579,КВСР!A336:B1501,2),IF(C579&gt;0,VLOOKUP(C579,КФСР!A336:B1848,2),IF(D579&gt;0,VLOOKUP(D579,Программа!A$1:B$5110,2),IF(F579&gt;0,VLOOKUP(F579,КВР!A$1:B$5001,2),IF(E579&gt;0,VLOOKUP(E579,Направление!A$1:B$4783,2))))))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7"/>
      <c r="C579" s="112"/>
      <c r="D579" s="113"/>
      <c r="E579" s="112"/>
      <c r="F579" s="114">
        <v>100</v>
      </c>
      <c r="G579" s="385"/>
      <c r="H579" s="385"/>
      <c r="I579" s="385">
        <f t="shared" si="387"/>
        <v>0</v>
      </c>
      <c r="J579" s="385"/>
      <c r="K579" s="295"/>
      <c r="L579" s="295">
        <f t="shared" si="389"/>
        <v>0</v>
      </c>
    </row>
    <row r="580" spans="1:13" ht="63" hidden="1" x14ac:dyDescent="0.2">
      <c r="A580" s="116" t="str">
        <f>IF(B580&gt;0,VLOOKUP(B580,КВСР!A337:B1502,2),IF(C580&gt;0,VLOOKUP(C580,КФСР!A337:B1849,2),IF(D580&gt;0,VLOOKUP(D580,Программа!A$1:B$5110,2),IF(F580&gt;0,VLOOKUP(F580,КВР!A$1:B$5001,2),IF(E580&gt;0,VLOOKUP(E580,Направление!A$1:B$4783,2))))))</f>
        <v xml:space="preserve">Закупка товаров, работ и услуг для обеспечения государственных (муниципальных) нужд
</v>
      </c>
      <c r="B580" s="117"/>
      <c r="C580" s="112"/>
      <c r="D580" s="113"/>
      <c r="E580" s="112"/>
      <c r="F580" s="114">
        <v>200</v>
      </c>
      <c r="G580" s="385"/>
      <c r="H580" s="385"/>
      <c r="I580" s="385">
        <f t="shared" si="387"/>
        <v>0</v>
      </c>
      <c r="J580" s="385"/>
      <c r="K580" s="295"/>
      <c r="L580" s="295">
        <f t="shared" si="389"/>
        <v>0</v>
      </c>
    </row>
    <row r="581" spans="1:13" ht="15.75" hidden="1" x14ac:dyDescent="0.2">
      <c r="A581" s="116" t="str">
        <f>IF(B581&gt;0,VLOOKUP(B581,КВСР!A347:B1512,2),IF(C581&gt;0,VLOOKUP(C581,КФСР!A347:B1859,2),IF(D581&gt;0,VLOOKUP(D581,Программа!A$1:B$5110,2),IF(F581&gt;0,VLOOKUP(F581,КВР!A$1:B$5001,2),IF(E581&gt;0,VLOOKUP(E581,Направление!A$1:B$4783,2))))))</f>
        <v>Периодическая печать и издательства</v>
      </c>
      <c r="B581" s="117"/>
      <c r="C581" s="112">
        <v>1202</v>
      </c>
      <c r="D581" s="113"/>
      <c r="E581" s="112"/>
      <c r="F581" s="114"/>
      <c r="G581" s="385"/>
      <c r="H581" s="385">
        <f t="shared" ref="H581:H583" si="417">H582</f>
        <v>0</v>
      </c>
      <c r="I581" s="385">
        <f t="shared" si="387"/>
        <v>0</v>
      </c>
      <c r="J581" s="385"/>
      <c r="K581" s="295">
        <f t="shared" ref="K581:K583" si="418">K582</f>
        <v>0</v>
      </c>
      <c r="L581" s="295">
        <f t="shared" si="389"/>
        <v>0</v>
      </c>
    </row>
    <row r="582" spans="1:13" ht="15.75" hidden="1" x14ac:dyDescent="0.2">
      <c r="A582" s="116" t="str">
        <f>IF(B582&gt;0,VLOOKUP(B582,КВСР!A348:B1513,2),IF(C582&gt;0,VLOOKUP(C582,КФСР!A348:B1860,2),IF(D582&gt;0,VLOOKUP(D582,Программа!A$1:B$5110,2),IF(F582&gt;0,VLOOKUP(F582,КВР!A$1:B$5001,2),IF(E582&gt;0,VLOOKUP(E582,Направление!A$1:B$4783,2))))))</f>
        <v>Непрограммные расходы бюджета</v>
      </c>
      <c r="B582" s="117"/>
      <c r="C582" s="112"/>
      <c r="D582" s="113" t="s">
        <v>394</v>
      </c>
      <c r="E582" s="112"/>
      <c r="F582" s="114"/>
      <c r="G582" s="385"/>
      <c r="H582" s="385">
        <f t="shared" si="417"/>
        <v>0</v>
      </c>
      <c r="I582" s="385">
        <f t="shared" si="387"/>
        <v>0</v>
      </c>
      <c r="J582" s="385"/>
      <c r="K582" s="295">
        <f t="shared" si="418"/>
        <v>0</v>
      </c>
      <c r="L582" s="295">
        <f t="shared" si="389"/>
        <v>0</v>
      </c>
    </row>
    <row r="583" spans="1:13" ht="15.75" hidden="1" x14ac:dyDescent="0.2">
      <c r="A583" s="116" t="str">
        <f>IF(B583&gt;0,VLOOKUP(B583,КВСР!A349:B1514,2),IF(C583&gt;0,VLOOKUP(C583,КФСР!A349:B1861,2),IF(D583&gt;0,VLOOKUP(D583,Программа!A$1:B$5110,2),IF(F583&gt;0,VLOOKUP(F583,КВР!A$1:B$5001,2),IF(E583&gt;0,VLOOKUP(E583,Направление!A$1:B$4783,2))))))</f>
        <v xml:space="preserve">Поддержка периодических изданий </v>
      </c>
      <c r="B583" s="117"/>
      <c r="C583" s="112"/>
      <c r="D583" s="113"/>
      <c r="E583" s="112">
        <v>12750</v>
      </c>
      <c r="F583" s="114"/>
      <c r="G583" s="385"/>
      <c r="H583" s="385">
        <f t="shared" si="417"/>
        <v>0</v>
      </c>
      <c r="I583" s="385">
        <f t="shared" si="387"/>
        <v>0</v>
      </c>
      <c r="J583" s="385"/>
      <c r="K583" s="295">
        <f t="shared" si="418"/>
        <v>0</v>
      </c>
      <c r="L583" s="295">
        <f t="shared" si="389"/>
        <v>0</v>
      </c>
    </row>
    <row r="584" spans="1:13" ht="47.25" hidden="1" x14ac:dyDescent="0.2">
      <c r="A584" s="116" t="str">
        <f>IF(B584&gt;0,VLOOKUP(B584,КВСР!A350:B1515,2),IF(C584&gt;0,VLOOKUP(C584,КФСР!A350:B1862,2),IF(D584&gt;0,VLOOKUP(D584,Программа!A$1:B$5110,2),IF(F584&gt;0,VLOOKUP(F584,КВР!A$1:B$5001,2),IF(E584&gt;0,VLOOKUP(E584,Направление!A$1:B$4783,2))))))</f>
        <v>Предоставление субсидий бюджетным, автономным учреждениям и иным некоммерческим организациям</v>
      </c>
      <c r="B584" s="117"/>
      <c r="C584" s="112"/>
      <c r="D584" s="113"/>
      <c r="E584" s="112"/>
      <c r="F584" s="114">
        <v>600</v>
      </c>
      <c r="G584" s="385"/>
      <c r="H584" s="385"/>
      <c r="I584" s="385">
        <f t="shared" si="387"/>
        <v>0</v>
      </c>
      <c r="J584" s="385"/>
      <c r="K584" s="295"/>
      <c r="L584" s="295">
        <f t="shared" si="389"/>
        <v>0</v>
      </c>
    </row>
    <row r="585" spans="1:13" ht="15.75" x14ac:dyDescent="0.2">
      <c r="A585" s="110" t="str">
        <f>IF(B585&gt;0,VLOOKUP(B585,КВСР!A415:B1580,2),IF(C585&gt;0,VLOOKUP(C585,КФСР!A415:B1927,2),IF(D585&gt;0,VLOOKUP(D585,Программа!A$1:B$5110,2),IF(F585&gt;0,VLOOKUP(F585,КВР!A$1:B$5001,2),IF(E585&gt;0,VLOOKUP(E585,Направление!A$1:B$4783,2))))))</f>
        <v>МУ Контрольно-счетная палата ТМР</v>
      </c>
      <c r="B585" s="111">
        <v>982</v>
      </c>
      <c r="C585" s="136"/>
      <c r="D585" s="137"/>
      <c r="E585" s="136"/>
      <c r="F585" s="138"/>
      <c r="G585" s="388"/>
      <c r="H585" s="388">
        <f t="shared" ref="H585:H586" si="419">H586</f>
        <v>1629826</v>
      </c>
      <c r="I585" s="388">
        <f t="shared" ref="I585:I599" si="420">SUM(G585:H585)</f>
        <v>1629826</v>
      </c>
      <c r="J585" s="388"/>
      <c r="K585" s="384">
        <f t="shared" ref="K585:K586" si="421">K586</f>
        <v>1629826</v>
      </c>
      <c r="L585" s="384">
        <f t="shared" ref="L585:L599" si="422">SUM(J585:K585)</f>
        <v>1629826</v>
      </c>
      <c r="M585" s="142"/>
    </row>
    <row r="586" spans="1:13" ht="63" x14ac:dyDescent="0.2">
      <c r="A586" s="116" t="str">
        <f>IF(B586&gt;0,VLOOKUP(B586,КВСР!A416:B1581,2),IF(C586&gt;0,VLOOKUP(C586,КФСР!A416:B1928,2),IF(D586&gt;0,VLOOKUP(D586,Программа!A$1:B$5110,2),IF(F586&gt;0,VLOOKUP(F586,КВР!A$1:B$5001,2),IF(E586&gt;0,VLOOKUP(E586,Направление!A$1:B$4783,2))))))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5"/>
      <c r="C586" s="112">
        <v>106</v>
      </c>
      <c r="D586" s="129"/>
      <c r="E586" s="130"/>
      <c r="F586" s="132"/>
      <c r="G586" s="385"/>
      <c r="H586" s="385">
        <f t="shared" si="419"/>
        <v>1629826</v>
      </c>
      <c r="I586" s="385">
        <f t="shared" si="420"/>
        <v>1629826</v>
      </c>
      <c r="J586" s="385"/>
      <c r="K586" s="295">
        <f t="shared" si="421"/>
        <v>1629826</v>
      </c>
      <c r="L586" s="295">
        <f t="shared" si="422"/>
        <v>1629826</v>
      </c>
    </row>
    <row r="587" spans="1:13" ht="15.75" x14ac:dyDescent="0.2">
      <c r="A587" s="116" t="str">
        <f>IF(B587&gt;0,VLOOKUP(B587,КВСР!A417:B1582,2),IF(C587&gt;0,VLOOKUP(C587,КФСР!A417:B1929,2),IF(D587&gt;0,VLOOKUP(D587,Программа!A$1:B$5110,2),IF(F587&gt;0,VLOOKUP(F587,КВР!A$1:B$5001,2),IF(E587&gt;0,VLOOKUP(E587,Направление!A$1:B$4783,2))))))</f>
        <v>Непрограммные расходы бюджета</v>
      </c>
      <c r="B587" s="135"/>
      <c r="C587" s="112"/>
      <c r="D587" s="129" t="s">
        <v>394</v>
      </c>
      <c r="E587" s="130"/>
      <c r="F587" s="132"/>
      <c r="G587" s="385"/>
      <c r="H587" s="385">
        <f t="shared" ref="H587" si="423">H588+H592+H594</f>
        <v>1629826</v>
      </c>
      <c r="I587" s="385">
        <f t="shared" si="420"/>
        <v>1629826</v>
      </c>
      <c r="J587" s="385"/>
      <c r="K587" s="295">
        <f t="shared" ref="K587" si="424">K588+K592+K594</f>
        <v>1629826</v>
      </c>
      <c r="L587" s="295">
        <f t="shared" si="422"/>
        <v>1629826</v>
      </c>
    </row>
    <row r="588" spans="1:13" ht="15.75" x14ac:dyDescent="0.2">
      <c r="A588" s="116" t="str">
        <f>IF(B588&gt;0,VLOOKUP(B588,КВСР!A418:B1583,2),IF(C588&gt;0,VLOOKUP(C588,КФСР!A418:B1930,2),IF(D588&gt;0,VLOOKUP(D588,Программа!A$1:B$5110,2),IF(F588&gt;0,VLOOKUP(F588,КВР!A$1:B$5001,2),IF(E588&gt;0,VLOOKUP(E588,Направление!A$1:B$4783,2))))))</f>
        <v>Содержание центрального аппарата</v>
      </c>
      <c r="B588" s="135"/>
      <c r="C588" s="130"/>
      <c r="D588" s="113"/>
      <c r="E588" s="112">
        <v>12010</v>
      </c>
      <c r="F588" s="132"/>
      <c r="G588" s="385"/>
      <c r="H588" s="385">
        <f t="shared" ref="H588:L588" si="425">H589+H590+H591</f>
        <v>625649</v>
      </c>
      <c r="I588" s="385">
        <f t="shared" si="425"/>
        <v>625649</v>
      </c>
      <c r="J588" s="385"/>
      <c r="K588" s="295">
        <f t="shared" si="425"/>
        <v>625649</v>
      </c>
      <c r="L588" s="295">
        <f t="shared" si="425"/>
        <v>625649</v>
      </c>
    </row>
    <row r="589" spans="1:13" ht="110.25" x14ac:dyDescent="0.2">
      <c r="A589" s="116" t="str">
        <f>IF(B589&gt;0,VLOOKUP(B589,КВСР!A419:B1584,2),IF(C589&gt;0,VLOOKUP(C589,КФСР!A419:B1931,2),IF(D589&gt;0,VLOOKUP(D589,Программа!A$1:B$5110,2),IF(F589&gt;0,VLOOKUP(F589,КВР!A$1:B$5001,2),IF(E589&gt;0,VLOOKUP(E589,Направление!A$1:B$4783,2))))))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5"/>
      <c r="C589" s="130"/>
      <c r="D589" s="129"/>
      <c r="E589" s="130"/>
      <c r="F589" s="132">
        <v>100</v>
      </c>
      <c r="G589" s="385"/>
      <c r="H589" s="385">
        <v>604649</v>
      </c>
      <c r="I589" s="385">
        <f t="shared" si="420"/>
        <v>604649</v>
      </c>
      <c r="J589" s="385"/>
      <c r="K589" s="295">
        <v>604649</v>
      </c>
      <c r="L589" s="295">
        <f t="shared" si="422"/>
        <v>604649</v>
      </c>
    </row>
    <row r="590" spans="1:13" ht="63" x14ac:dyDescent="0.2">
      <c r="A590" s="116" t="str">
        <f>IF(B590&gt;0,VLOOKUP(B590,КВСР!A420:B1585,2),IF(C590&gt;0,VLOOKUP(C590,КФСР!A420:B1932,2),IF(D590&gt;0,VLOOKUP(D590,Программа!A$1:B$5110,2),IF(F590&gt;0,VLOOKUP(F590,КВР!A$1:B$5001,2),IF(E590&gt;0,VLOOKUP(E590,Направление!A$1:B$4783,2))))))</f>
        <v xml:space="preserve">Закупка товаров, работ и услуг для обеспечения государственных (муниципальных) нужд
</v>
      </c>
      <c r="B590" s="135"/>
      <c r="C590" s="130"/>
      <c r="D590" s="129"/>
      <c r="E590" s="130"/>
      <c r="F590" s="132">
        <v>200</v>
      </c>
      <c r="G590" s="385"/>
      <c r="H590" s="385">
        <v>21000</v>
      </c>
      <c r="I590" s="385">
        <f t="shared" si="420"/>
        <v>21000</v>
      </c>
      <c r="J590" s="385"/>
      <c r="K590" s="295">
        <v>21000</v>
      </c>
      <c r="L590" s="295">
        <f t="shared" si="422"/>
        <v>21000</v>
      </c>
    </row>
    <row r="591" spans="1:13" ht="15.75" x14ac:dyDescent="0.2">
      <c r="A591" s="116" t="str">
        <f>IF(B591&gt;0,VLOOKUP(B591,КВСР!A421:B1586,2),IF(C591&gt;0,VLOOKUP(C591,КФСР!A421:B1933,2),IF(D591&gt;0,VLOOKUP(D591,Программа!A$1:B$5110,2),IF(F591&gt;0,VLOOKUP(F591,КВР!A$1:B$5001,2),IF(E591&gt;0,VLOOKUP(E591,Направление!A$1:B$4783,2))))))</f>
        <v>Иные бюджетные ассигнования</v>
      </c>
      <c r="B591" s="135"/>
      <c r="C591" s="130"/>
      <c r="D591" s="129"/>
      <c r="E591" s="130"/>
      <c r="F591" s="132">
        <v>800</v>
      </c>
      <c r="G591" s="385"/>
      <c r="H591" s="385"/>
      <c r="I591" s="385">
        <f t="shared" si="420"/>
        <v>0</v>
      </c>
      <c r="J591" s="385"/>
      <c r="K591" s="295"/>
      <c r="L591" s="295">
        <f t="shared" si="422"/>
        <v>0</v>
      </c>
    </row>
    <row r="592" spans="1:13" ht="47.25" x14ac:dyDescent="0.2">
      <c r="A592" s="116" t="str">
        <f>IF(B592&gt;0,VLOOKUP(B592,КВСР!A420:B1585,2),IF(C592&gt;0,VLOOKUP(C592,КФСР!A420:B1932,2),IF(D592&gt;0,VLOOKUP(D592,Программа!A$1:B$5110,2),IF(F592&gt;0,VLOOKUP(F592,КВР!A$1:B$5001,2),IF(E592&gt;0,VLOOKUP(E592,Направление!A$1:B$4783,2))))))</f>
        <v>Содержание руководителя контрольно-счетной палаты муниципального образования и его заместителей</v>
      </c>
      <c r="B592" s="135"/>
      <c r="C592" s="130"/>
      <c r="D592" s="129"/>
      <c r="E592" s="130">
        <v>12030</v>
      </c>
      <c r="F592" s="132"/>
      <c r="G592" s="385"/>
      <c r="H592" s="385">
        <f t="shared" ref="H592" si="426">H593</f>
        <v>951082</v>
      </c>
      <c r="I592" s="385">
        <f t="shared" si="420"/>
        <v>951082</v>
      </c>
      <c r="J592" s="385"/>
      <c r="K592" s="295">
        <f t="shared" ref="K592" si="427">K593</f>
        <v>951082</v>
      </c>
      <c r="L592" s="295">
        <f t="shared" si="422"/>
        <v>951082</v>
      </c>
    </row>
    <row r="593" spans="1:12" ht="110.25" x14ac:dyDescent="0.2">
      <c r="A593" s="116" t="str">
        <f>IF(B593&gt;0,VLOOKUP(B593,КВСР!A421:B1586,2),IF(C593&gt;0,VLOOKUP(C593,КФСР!A421:B1933,2),IF(D593&gt;0,VLOOKUP(D593,Программа!A$1:B$5110,2),IF(F593&gt;0,VLOOKUP(F593,КВР!A$1:B$5001,2),IF(E593&gt;0,VLOOKUP(E593,Направление!A$1:B$4783,2))))))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5"/>
      <c r="C593" s="130"/>
      <c r="D593" s="129"/>
      <c r="E593" s="130"/>
      <c r="F593" s="132">
        <v>100</v>
      </c>
      <c r="G593" s="385"/>
      <c r="H593" s="385">
        <v>951082</v>
      </c>
      <c r="I593" s="385">
        <f t="shared" si="420"/>
        <v>951082</v>
      </c>
      <c r="J593" s="385"/>
      <c r="K593" s="295">
        <v>951082</v>
      </c>
      <c r="L593" s="295">
        <f t="shared" si="422"/>
        <v>951082</v>
      </c>
    </row>
    <row r="594" spans="1:12" ht="47.25" x14ac:dyDescent="0.2">
      <c r="A594" s="116" t="str">
        <f>IF(B594&gt;0,VLOOKUP(B594,КВСР!A422:B1587,2),IF(C594&gt;0,VLOOKUP(C594,КФСР!A422:B1934,2),IF(D594&gt;0,VLOOKUP(D594,Программа!A$1:B$5110,2),IF(F594&gt;0,VLOOKUP(F594,КВР!A$1:B$5001,2),IF(E594&gt;0,VLOOKUP(E594,Направление!A$1:B$4783,2))))))</f>
        <v>Обеспечение мероприятий по осуществлению внешнего муниципального контроля</v>
      </c>
      <c r="B594" s="135"/>
      <c r="C594" s="130"/>
      <c r="D594" s="129"/>
      <c r="E594" s="130">
        <v>29386</v>
      </c>
      <c r="F594" s="132"/>
      <c r="G594" s="385"/>
      <c r="H594" s="385">
        <f t="shared" ref="H594" si="428">H595+H596</f>
        <v>53095</v>
      </c>
      <c r="I594" s="385">
        <f t="shared" si="420"/>
        <v>53095</v>
      </c>
      <c r="J594" s="385"/>
      <c r="K594" s="295">
        <f t="shared" ref="K594" si="429">K595+K596</f>
        <v>53095</v>
      </c>
      <c r="L594" s="295">
        <f t="shared" si="422"/>
        <v>53095</v>
      </c>
    </row>
    <row r="595" spans="1:12" ht="110.25" x14ac:dyDescent="0.2">
      <c r="A595" s="116" t="str">
        <f>IF(B595&gt;0,VLOOKUP(B595,КВСР!A423:B1588,2),IF(C595&gt;0,VLOOKUP(C595,КФСР!A423:B1935,2),IF(D595&gt;0,VLOOKUP(D595,Программа!A$1:B$5110,2),IF(F595&gt;0,VLOOKUP(F595,КВР!A$1:B$5001,2),IF(E595&gt;0,VLOOKUP(E595,Направление!A$1:B$4783,2))))))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5"/>
      <c r="C595" s="130"/>
      <c r="D595" s="129"/>
      <c r="E595" s="130"/>
      <c r="F595" s="132">
        <v>100</v>
      </c>
      <c r="G595" s="385"/>
      <c r="H595" s="385">
        <v>48268</v>
      </c>
      <c r="I595" s="385">
        <f t="shared" si="420"/>
        <v>48268</v>
      </c>
      <c r="J595" s="385"/>
      <c r="K595" s="295">
        <v>48268</v>
      </c>
      <c r="L595" s="295">
        <f t="shared" si="422"/>
        <v>48268</v>
      </c>
    </row>
    <row r="596" spans="1:12" ht="63" x14ac:dyDescent="0.2">
      <c r="A596" s="116" t="str">
        <f>IF(B596&gt;0,VLOOKUP(B596,КВСР!A424:B1589,2),IF(C596&gt;0,VLOOKUP(C596,КФСР!A424:B1936,2),IF(D596&gt;0,VLOOKUP(D596,Программа!A$1:B$5110,2),IF(F596&gt;0,VLOOKUP(F596,КВР!A$1:B$5001,2),IF(E596&gt;0,VLOOKUP(E596,Направление!A$1:B$4783,2))))))</f>
        <v xml:space="preserve">Закупка товаров, работ и услуг для обеспечения государственных (муниципальных) нужд
</v>
      </c>
      <c r="B596" s="135"/>
      <c r="C596" s="130"/>
      <c r="D596" s="129"/>
      <c r="E596" s="130"/>
      <c r="F596" s="132">
        <v>200</v>
      </c>
      <c r="G596" s="385"/>
      <c r="H596" s="385">
        <v>4827</v>
      </c>
      <c r="I596" s="385">
        <f t="shared" si="420"/>
        <v>4827</v>
      </c>
      <c r="J596" s="385"/>
      <c r="K596" s="295">
        <v>4827</v>
      </c>
      <c r="L596" s="295">
        <f t="shared" si="422"/>
        <v>4827</v>
      </c>
    </row>
    <row r="597" spans="1:12" ht="15.75" x14ac:dyDescent="0.2">
      <c r="A597" s="145" t="s">
        <v>150</v>
      </c>
      <c r="B597" s="146"/>
      <c r="C597" s="146"/>
      <c r="D597" s="146"/>
      <c r="E597" s="147"/>
      <c r="F597" s="146"/>
      <c r="G597" s="396"/>
      <c r="H597" s="396">
        <f>H10+H209+H243+H376+H489+H522+H585</f>
        <v>1561385296</v>
      </c>
      <c r="I597" s="396">
        <f>I10+I209+I243+I376+I489+I522+I585</f>
        <v>1561385296</v>
      </c>
      <c r="J597" s="396"/>
      <c r="K597" s="396">
        <f>K10+K209+K243+K376+K489+K522+K585</f>
        <v>1490927857</v>
      </c>
      <c r="L597" s="396">
        <f>L10+L209+L243+L376+L489+L522+L585</f>
        <v>1490927857</v>
      </c>
    </row>
    <row r="598" spans="1:12" s="142" customFormat="1" ht="15.75" x14ac:dyDescent="0.25">
      <c r="A598" s="148" t="s">
        <v>269</v>
      </c>
      <c r="B598" s="148"/>
      <c r="C598" s="148"/>
      <c r="D598" s="149"/>
      <c r="E598" s="150"/>
      <c r="F598" s="148"/>
      <c r="G598" s="395"/>
      <c r="H598" s="388">
        <v>18000000</v>
      </c>
      <c r="I598" s="388">
        <f>SUM(G598:H598)</f>
        <v>18000000</v>
      </c>
      <c r="J598" s="395"/>
      <c r="K598" s="384">
        <v>18000000</v>
      </c>
      <c r="L598" s="384">
        <f t="shared" si="422"/>
        <v>18000000</v>
      </c>
    </row>
    <row r="599" spans="1:12" s="142" customFormat="1" ht="15.75" x14ac:dyDescent="0.25">
      <c r="A599" s="148" t="s">
        <v>661</v>
      </c>
      <c r="B599" s="148"/>
      <c r="C599" s="148"/>
      <c r="D599" s="149"/>
      <c r="E599" s="150"/>
      <c r="F599" s="148"/>
      <c r="G599" s="388"/>
      <c r="H599" s="388">
        <f>H597+H598</f>
        <v>1579385296</v>
      </c>
      <c r="I599" s="388">
        <f t="shared" si="420"/>
        <v>1579385296</v>
      </c>
      <c r="J599" s="388"/>
      <c r="K599" s="384">
        <f t="shared" ref="K599" si="430">K597+K598</f>
        <v>1508927857</v>
      </c>
      <c r="L599" s="384">
        <f t="shared" si="422"/>
        <v>1508927857</v>
      </c>
    </row>
    <row r="600" spans="1:12" x14ac:dyDescent="0.2">
      <c r="A600" s="82"/>
      <c r="B600" s="82"/>
      <c r="C600" s="82"/>
      <c r="D600" s="151"/>
      <c r="E600" s="152"/>
      <c r="F600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74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50"/>
  <sheetViews>
    <sheetView showGridLines="0" view="pageBreakPreview" topLeftCell="B55" zoomScaleSheetLayoutView="100" workbookViewId="0">
      <selection activeCell="C92" sqref="C92"/>
    </sheetView>
  </sheetViews>
  <sheetFormatPr defaultColWidth="9.140625" defaultRowHeight="12.75" x14ac:dyDescent="0.2"/>
  <cols>
    <col min="1" max="1" width="6" style="153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customWidth="1"/>
    <col min="6" max="6" width="19.5703125" style="96" hidden="1" customWidth="1"/>
    <col min="7" max="16384" width="9.140625" style="96"/>
  </cols>
  <sheetData>
    <row r="1" spans="1:6" ht="15.75" x14ac:dyDescent="0.25">
      <c r="A1" s="988" t="s">
        <v>1878</v>
      </c>
      <c r="B1" s="988"/>
      <c r="C1" s="988"/>
      <c r="D1" s="988"/>
      <c r="E1" s="988"/>
      <c r="F1" s="988"/>
    </row>
    <row r="2" spans="1:6" ht="15.75" x14ac:dyDescent="0.25">
      <c r="A2" s="988" t="s">
        <v>1</v>
      </c>
      <c r="B2" s="988"/>
      <c r="C2" s="988"/>
      <c r="D2" s="988"/>
      <c r="E2" s="988"/>
      <c r="F2" s="988"/>
    </row>
    <row r="3" spans="1:6" ht="15.75" x14ac:dyDescent="0.25">
      <c r="A3" s="988" t="s">
        <v>2</v>
      </c>
      <c r="B3" s="988"/>
      <c r="C3" s="988"/>
      <c r="D3" s="988"/>
      <c r="E3" s="988"/>
      <c r="F3" s="988"/>
    </row>
    <row r="4" spans="1:6" ht="15.75" x14ac:dyDescent="0.25">
      <c r="A4" s="988" t="s">
        <v>1859</v>
      </c>
      <c r="B4" s="988"/>
      <c r="C4" s="988"/>
      <c r="D4" s="988"/>
      <c r="E4" s="988"/>
      <c r="F4" s="988"/>
    </row>
    <row r="5" spans="1:6" ht="15.75" x14ac:dyDescent="0.25">
      <c r="A5" s="654"/>
      <c r="B5" s="655"/>
      <c r="C5" s="655"/>
      <c r="D5" s="989"/>
      <c r="E5" s="989"/>
      <c r="F5" s="989"/>
    </row>
    <row r="6" spans="1:6" ht="31.7" customHeight="1" x14ac:dyDescent="0.25">
      <c r="A6" s="986" t="s">
        <v>1873</v>
      </c>
      <c r="B6" s="986"/>
      <c r="C6" s="986"/>
      <c r="D6" s="986"/>
      <c r="E6" s="986"/>
      <c r="F6" s="986"/>
    </row>
    <row r="7" spans="1:6" ht="16.5" thickBot="1" x14ac:dyDescent="0.3">
      <c r="A7" s="154"/>
      <c r="B7" s="1"/>
      <c r="C7" s="1"/>
      <c r="D7" s="987"/>
      <c r="E7" s="987"/>
      <c r="F7" s="987"/>
    </row>
    <row r="8" spans="1:6" ht="13.5" thickBot="1" x14ac:dyDescent="0.25">
      <c r="A8" s="979" t="s">
        <v>662</v>
      </c>
      <c r="B8" s="980" t="s">
        <v>663</v>
      </c>
      <c r="C8" s="982" t="s">
        <v>664</v>
      </c>
      <c r="D8" s="984" t="s">
        <v>162</v>
      </c>
      <c r="E8" s="975" t="s">
        <v>162</v>
      </c>
      <c r="F8" s="977" t="s">
        <v>162</v>
      </c>
    </row>
    <row r="9" spans="1:6" ht="13.5" thickBot="1" x14ac:dyDescent="0.25">
      <c r="A9" s="979"/>
      <c r="B9" s="981"/>
      <c r="C9" s="983"/>
      <c r="D9" s="985"/>
      <c r="E9" s="976"/>
      <c r="F9" s="978"/>
    </row>
    <row r="10" spans="1:6" s="155" customFormat="1" ht="48" thickBot="1" x14ac:dyDescent="0.25">
      <c r="A10" s="378">
        <v>1</v>
      </c>
      <c r="B10" s="64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42" t="s">
        <v>482</v>
      </c>
      <c r="D10" s="469">
        <f>SUMIFS(Пр.12!G$10:G$1515,Пр.12!$D$10:$D$1515,C10)</f>
        <v>0</v>
      </c>
      <c r="E10" s="470">
        <f>SUMIFS(Пр.12!H$10:H$1515,Пр.12!$D$10:$D$1515,C10)</f>
        <v>195130409</v>
      </c>
      <c r="F10" s="733">
        <f>SUMIFS(Пр.12!I$10:I$1515,Пр.12!$D$10:$D$1515,C10)</f>
        <v>195130409</v>
      </c>
    </row>
    <row r="11" spans="1:6" s="156" customFormat="1" ht="16.5" thickBot="1" x14ac:dyDescent="0.3">
      <c r="A11" s="172" t="s">
        <v>665</v>
      </c>
      <c r="B11" s="734" t="str">
        <f>IF(C11&gt;0,VLOOKUP(C11,Программа!A$2:B$5110,2))</f>
        <v>Ведомственная целевая программа «Молодежь»</v>
      </c>
      <c r="C11" s="764" t="s">
        <v>586</v>
      </c>
      <c r="D11" s="736">
        <f>SUMIFS(Пр.12!G$10:G$1515,Пр.12!$D$10:$D$1515,C11)</f>
        <v>0</v>
      </c>
      <c r="E11" s="737">
        <f>SUMIFS(Пр.12!H$10:H$1515,Пр.12!$D$10:$D$1515,C11)</f>
        <v>11807450</v>
      </c>
      <c r="F11" s="762">
        <f>SUMIFS(Пр.12!I$10:I$1515,Пр.12!$D$10:$D$1515,C11)</f>
        <v>11807450</v>
      </c>
    </row>
    <row r="12" spans="1:6" ht="48" thickBot="1" x14ac:dyDescent="0.3">
      <c r="A12" s="171" t="s">
        <v>666</v>
      </c>
      <c r="B12" s="739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65" t="s">
        <v>588</v>
      </c>
      <c r="D12" s="160">
        <f>SUMIFS(Пр.12!G$10:G$1515,Пр.12!$D$10:$D$1515,C12)</f>
        <v>0</v>
      </c>
      <c r="E12" s="740">
        <f>SUMIFS(Пр.12!H$10:H$1515,Пр.12!$D$10:$D$1515,C12)</f>
        <v>11669000</v>
      </c>
      <c r="F12" s="741">
        <f>SUMIFS(Пр.12!I$10:I$1515,Пр.12!$D$10:$D$1515,C12)</f>
        <v>11669000</v>
      </c>
    </row>
    <row r="13" spans="1:6" ht="32.25" thickBot="1" x14ac:dyDescent="0.3">
      <c r="A13" s="171"/>
      <c r="B13" s="739" t="str">
        <f>IF(C13&gt;0,VLOOKUP(C13,Программа!A$2:B$5110,2))</f>
        <v>Обеспечение качества и доступности услуг(работ) в сфере молодежной политики</v>
      </c>
      <c r="C13" s="765" t="s">
        <v>1194</v>
      </c>
      <c r="D13" s="160">
        <f>SUMIFS(Пр.12!G$10:G$1515,Пр.12!$D$10:$D$1515,C13)</f>
        <v>0</v>
      </c>
      <c r="E13" s="740">
        <f>SUMIFS(Пр.12!H$10:H$1515,Пр.12!$D$10:$D$1515,C13)</f>
        <v>138450</v>
      </c>
      <c r="F13" s="760">
        <f>SUMIFS(Пр.12!I$10:I$1515,Пр.12!$D$10:$D$1515,C13)</f>
        <v>138450</v>
      </c>
    </row>
    <row r="14" spans="1:6" s="156" customFormat="1" ht="63.75" thickBot="1" x14ac:dyDescent="0.3">
      <c r="A14" s="379" t="s">
        <v>667</v>
      </c>
      <c r="B14" s="742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59" t="s">
        <v>484</v>
      </c>
      <c r="D14" s="743">
        <f>SUMIFS(Пр.12!G$10:G$1515,Пр.12!$D$10:$D$1515,C14)</f>
        <v>0</v>
      </c>
      <c r="E14" s="744">
        <f>SUMIFS(Пр.12!H$10:H$1515,Пр.12!$D$10:$D$1515,C14)</f>
        <v>200000</v>
      </c>
      <c r="F14" s="760">
        <f>SUMIFS(Пр.12!I$10:I$1515,Пр.12!$D$10:$D$1515,C14)</f>
        <v>200000</v>
      </c>
    </row>
    <row r="15" spans="1:6" ht="48" thickBot="1" x14ac:dyDescent="0.3">
      <c r="A15" s="167" t="s">
        <v>668</v>
      </c>
      <c r="B15" s="739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8" t="s">
        <v>486</v>
      </c>
      <c r="D15" s="160">
        <f>SUMIFS(Пр.12!G$10:G$1515,Пр.12!$D$10:$D$1515,C15)</f>
        <v>0</v>
      </c>
      <c r="E15" s="740">
        <f>SUMIFS(Пр.12!H$10:H$1515,Пр.12!$D$10:$D$1515,C15)</f>
        <v>200000</v>
      </c>
      <c r="F15" s="741">
        <f>SUMIFS(Пр.12!I$10:I$1515,Пр.12!$D$10:$D$1515,C15)</f>
        <v>200000</v>
      </c>
    </row>
    <row r="16" spans="1:6" ht="51" hidden="1" customHeight="1" thickBot="1" x14ac:dyDescent="0.3">
      <c r="A16" s="167"/>
      <c r="B16" s="739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8" t="s">
        <v>1712</v>
      </c>
      <c r="D16" s="160">
        <f>SUMIFS(Пр.12!G$10:G$1515,Пр.12!$D$10:$D$1515,C16)</f>
        <v>0</v>
      </c>
      <c r="E16" s="740">
        <f>SUMIFS(Пр.12!H$10:H$1515,Пр.12!$D$10:$D$1515,C16)</f>
        <v>0</v>
      </c>
      <c r="F16" s="741">
        <f>SUMIFS(Пр.12!I$10:I$1515,Пр.12!$D$10:$D$1515,C16)</f>
        <v>0</v>
      </c>
    </row>
    <row r="17" spans="1:6" s="156" customFormat="1" ht="48" thickBot="1" x14ac:dyDescent="0.3">
      <c r="A17" s="299" t="s">
        <v>78</v>
      </c>
      <c r="B17" s="742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59" t="s">
        <v>489</v>
      </c>
      <c r="D17" s="743">
        <f>SUMIFS(Пр.12!G$10:G$1515,Пр.12!$D$10:$D$1515,C17)</f>
        <v>0</v>
      </c>
      <c r="E17" s="744">
        <f>SUMIFS(Пр.12!H$10:H$1515,Пр.12!$D$10:$D$1515,C17)</f>
        <v>130000</v>
      </c>
      <c r="F17" s="760">
        <f>SUMIFS(Пр.12!I$10:I$1515,Пр.12!$D$10:$D$1515,C17)</f>
        <v>130000</v>
      </c>
    </row>
    <row r="18" spans="1:6" ht="32.25" thickBot="1" x14ac:dyDescent="0.3">
      <c r="A18" s="171" t="s">
        <v>669</v>
      </c>
      <c r="B18" s="739" t="str">
        <f>IF(C18&gt;0,VLOOKUP(C18,Программа!A$2:B$5110,2))</f>
        <v>Развитие системы профилактики немедицинского потребления наркотиков</v>
      </c>
      <c r="C18" s="238" t="s">
        <v>491</v>
      </c>
      <c r="D18" s="160">
        <f>SUMIFS(Пр.12!G$10:G$1515,Пр.12!$D$10:$D$1515,C18)</f>
        <v>0</v>
      </c>
      <c r="E18" s="740">
        <f>SUMIFS(Пр.12!H$10:H$1515,Пр.12!$D$10:$D$1515,C18)</f>
        <v>130000</v>
      </c>
      <c r="F18" s="741">
        <f>SUMIFS(Пр.12!I$10:I$1515,Пр.12!$D$10:$D$1515,C18)</f>
        <v>130000</v>
      </c>
    </row>
    <row r="19" spans="1:6" s="156" customFormat="1" ht="32.25" thickBot="1" x14ac:dyDescent="0.3">
      <c r="A19" s="172" t="s">
        <v>670</v>
      </c>
      <c r="B19" s="742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59" t="s">
        <v>581</v>
      </c>
      <c r="D19" s="743">
        <f>SUMIFS(Пр.12!G$10:G$1515,Пр.12!$D$10:$D$1515,C19)</f>
        <v>0</v>
      </c>
      <c r="E19" s="744">
        <f>SUMIFS(Пр.12!H$10:H$1515,Пр.12!$D$10:$D$1515,C19)</f>
        <v>182992959</v>
      </c>
      <c r="F19" s="760">
        <f>SUMIFS(Пр.12!I$10:I$1515,Пр.12!$D$10:$D$1515,C19)</f>
        <v>182992959</v>
      </c>
    </row>
    <row r="20" spans="1:6" ht="32.25" thickBot="1" x14ac:dyDescent="0.3">
      <c r="A20" s="171" t="s">
        <v>671</v>
      </c>
      <c r="B20" s="739" t="str">
        <f>IF(C20&gt;0,VLOOKUP(C20,Программа!A$2:B$5110,2))</f>
        <v>Реализация дополнительных образовательных программ в сфере культуры</v>
      </c>
      <c r="C20" s="238" t="s">
        <v>583</v>
      </c>
      <c r="D20" s="160">
        <f>SUMIFS(Пр.12!G$10:G$1515,Пр.12!$D$10:$D$1515,C20)</f>
        <v>0</v>
      </c>
      <c r="E20" s="740">
        <f>SUMIFS(Пр.12!H$10:H$1515,Пр.12!$D$10:$D$1515,C20)</f>
        <v>32570312</v>
      </c>
      <c r="F20" s="741">
        <f>SUMIFS(Пр.12!I$10:I$1515,Пр.12!$D$10:$D$1515,C20)</f>
        <v>32570312</v>
      </c>
    </row>
    <row r="21" spans="1:6" ht="16.5" thickBot="1" x14ac:dyDescent="0.3">
      <c r="A21" s="171" t="s">
        <v>672</v>
      </c>
      <c r="B21" s="739" t="str">
        <f>IF(C21&gt;0,VLOOKUP(C21,Программа!A$2:B$5110,2))</f>
        <v>Содействие доступу граждан к культурным ценностям</v>
      </c>
      <c r="C21" s="238" t="s">
        <v>600</v>
      </c>
      <c r="D21" s="160">
        <f>SUMIFS(Пр.12!G$10:G$1515,Пр.12!$D$10:$D$1515,C21)</f>
        <v>0</v>
      </c>
      <c r="E21" s="740">
        <f>SUMIFS(Пр.12!H$10:H$1515,Пр.12!$D$10:$D$1515,C21)</f>
        <v>77210101</v>
      </c>
      <c r="F21" s="741">
        <f>SUMIFS(Пр.12!I$10:I$1515,Пр.12!$D$10:$D$1515,C21)</f>
        <v>77210101</v>
      </c>
    </row>
    <row r="22" spans="1:6" ht="32.25" thickBot="1" x14ac:dyDescent="0.3">
      <c r="A22" s="170" t="s">
        <v>673</v>
      </c>
      <c r="B22" s="739" t="str">
        <f>IF(C22&gt;0,VLOOKUP(C22,Программа!A$2:B$5110,2))</f>
        <v>Поддержка доступа граждан к информационно-библиотечным ресурсам</v>
      </c>
      <c r="C22" s="238" t="s">
        <v>605</v>
      </c>
      <c r="D22" s="160">
        <f>SUMIFS(Пр.12!G$10:G$1515,Пр.12!$D$10:$D$1515,C22)</f>
        <v>0</v>
      </c>
      <c r="E22" s="740">
        <f>SUMIFS(Пр.12!H$10:H$1515,Пр.12!$D$10:$D$1515,C22)</f>
        <v>22691352</v>
      </c>
      <c r="F22" s="741">
        <f>SUMIFS(Пр.12!I$10:I$1515,Пр.12!$D$10:$D$1515,C22)</f>
        <v>22691352</v>
      </c>
    </row>
    <row r="23" spans="1:6" ht="16.5" thickBot="1" x14ac:dyDescent="0.3">
      <c r="A23" s="171" t="s">
        <v>674</v>
      </c>
      <c r="B23" s="739" t="str">
        <f>IF(C23&gt;0,VLOOKUP(C23,Программа!A$2:B$5110,2))</f>
        <v>Обеспечение эффективности управления системой культуры</v>
      </c>
      <c r="C23" s="238" t="s">
        <v>608</v>
      </c>
      <c r="D23" s="160">
        <f>SUMIFS(Пр.12!G$10:G$1515,Пр.12!$D$10:$D$1515,C23)</f>
        <v>0</v>
      </c>
      <c r="E23" s="740">
        <f>SUMIFS(Пр.12!H$10:H$1515,Пр.12!$D$10:$D$1515,C23)</f>
        <v>32054977</v>
      </c>
      <c r="F23" s="741">
        <f>SUMIFS(Пр.12!I$10:I$1515,Пр.12!$D$10:$D$1515,C23)</f>
        <v>32054977</v>
      </c>
    </row>
    <row r="24" spans="1:6" ht="16.5" thickBot="1" x14ac:dyDescent="0.3">
      <c r="A24" s="171"/>
      <c r="B24" s="739" t="str">
        <f>IF(C24&gt;0,VLOOKUP(C24,Программа!A$2:B$5110,2))</f>
        <v>Федеральный проект "Культурная среда"</v>
      </c>
      <c r="C24" s="238" t="s">
        <v>1927</v>
      </c>
      <c r="D24" s="160"/>
      <c r="E24" s="740">
        <f>SUMIFS(Пр.12!H$10:H$1515,Пр.12!$D$10:$D$1515,C24)</f>
        <v>18466217</v>
      </c>
      <c r="F24" s="741">
        <f>SUMIFS(Пр.12!I$10:I$1515,Пр.12!$D$10:$D$1515,C24)</f>
        <v>18466217</v>
      </c>
    </row>
    <row r="25" spans="1:6" s="156" customFormat="1" ht="48" hidden="1" thickBot="1" x14ac:dyDescent="0.25">
      <c r="A25" s="299" t="s">
        <v>675</v>
      </c>
      <c r="B25" s="582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9" t="s">
        <v>576</v>
      </c>
      <c r="D25" s="180">
        <f>SUMIFS(Пр.12!G$10:G$1515,Пр.12!$D$10:$D$1515,C25)</f>
        <v>0</v>
      </c>
      <c r="E25" s="598">
        <f>SUMIFS(Пр.12!H$10:H$1515,Пр.12!$D$10:$D$1515,C25)</f>
        <v>0</v>
      </c>
      <c r="F25" s="580">
        <f>SUMIFS(Пр.12!I$10:I$1515,Пр.12!$D$10:$D$1515,C25)</f>
        <v>0</v>
      </c>
    </row>
    <row r="26" spans="1:6" ht="16.5" hidden="1" thickBot="1" x14ac:dyDescent="0.25">
      <c r="A26" s="171" t="s">
        <v>676</v>
      </c>
      <c r="B26" s="588" t="str">
        <f>IF(C26&gt;0,VLOOKUP(C26,Программа!A$2:B$5110,2))</f>
        <v>Создание благоприятных условий для развития туризма</v>
      </c>
      <c r="C26" s="173" t="s">
        <v>578</v>
      </c>
      <c r="D26" s="589">
        <f>SUMIFS(Пр.12!G$10:G$1515,Пр.12!$D$10:$D$1515,C26)</f>
        <v>0</v>
      </c>
      <c r="E26" s="463">
        <f>SUMIFS(Пр.12!H$10:H$1515,Пр.12!$D$10:$D$1515,C26)</f>
        <v>0</v>
      </c>
      <c r="F26" s="705">
        <f>SUMIFS(Пр.12!I$10:I$1515,Пр.12!$D$10:$D$1515,C26)</f>
        <v>0</v>
      </c>
    </row>
    <row r="27" spans="1:6" s="155" customFormat="1" ht="48" thickBot="1" x14ac:dyDescent="0.25">
      <c r="A27" s="378" t="s">
        <v>677</v>
      </c>
      <c r="B27" s="471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6" t="s">
        <v>452</v>
      </c>
      <c r="D27" s="455">
        <f>SUMIFS(Пр.12!G$10:G$1515,Пр.12!$D$10:$D$1515,C27)</f>
        <v>0</v>
      </c>
      <c r="E27" s="456">
        <f>SUMIFS(Пр.12!H$10:H$1515,Пр.12!$D$10:$D$1515,C27)</f>
        <v>1074956039</v>
      </c>
      <c r="F27" s="672">
        <f>SUMIFS(Пр.12!I$10:I$1515,Пр.12!$D$10:$D$1515,C27)</f>
        <v>1074956039</v>
      </c>
    </row>
    <row r="28" spans="1:6" s="156" customFormat="1" ht="38.25" customHeight="1" thickBot="1" x14ac:dyDescent="0.3">
      <c r="A28" s="299" t="s">
        <v>678</v>
      </c>
      <c r="B28" s="734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61" t="s">
        <v>454</v>
      </c>
      <c r="D28" s="736">
        <f>SUMIFS(Пр.12!G$10:G$1515,Пр.12!$D$10:$D$1515,C28)</f>
        <v>0</v>
      </c>
      <c r="E28" s="737">
        <f>SUMIFS(Пр.12!H$10:H$1515,Пр.12!$D$10:$D$1515,C28)</f>
        <v>1035173532</v>
      </c>
      <c r="F28" s="762">
        <f>SUMIFS(Пр.12!I$10:I$1515,Пр.12!$D$10:$D$1515,C28)</f>
        <v>1035173532</v>
      </c>
    </row>
    <row r="29" spans="1:6" ht="32.25" thickBot="1" x14ac:dyDescent="0.3">
      <c r="A29" s="170" t="s">
        <v>679</v>
      </c>
      <c r="B29" s="739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38" t="s">
        <v>455</v>
      </c>
      <c r="D29" s="160">
        <f>SUMIFS(Пр.12!G$10:G$1515,Пр.12!$D$10:$D$1515,C29)</f>
        <v>0</v>
      </c>
      <c r="E29" s="740">
        <f>SUMIFS(Пр.12!H$10:H$1515,Пр.12!$D$10:$D$1515,C29)</f>
        <v>407295068</v>
      </c>
      <c r="F29" s="741">
        <f>SUMIFS(Пр.12!I$10:I$1515,Пр.12!$D$10:$D$1515,C29)</f>
        <v>407295068</v>
      </c>
    </row>
    <row r="30" spans="1:6" ht="32.25" thickBot="1" x14ac:dyDescent="0.3">
      <c r="A30" s="170" t="s">
        <v>680</v>
      </c>
      <c r="B30" s="739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38" t="s">
        <v>495</v>
      </c>
      <c r="D30" s="160">
        <f>SUMIFS(Пр.12!G$10:G$1515,Пр.12!$D$10:$D$1515,C30)</f>
        <v>0</v>
      </c>
      <c r="E30" s="740">
        <f>SUMIFS(Пр.12!H$10:H$1515,Пр.12!$D$10:$D$1515,C30)</f>
        <v>468692848</v>
      </c>
      <c r="F30" s="741">
        <f>SUMIFS(Пр.12!I$10:I$1515,Пр.12!$D$10:$D$1515,C30)</f>
        <v>468692848</v>
      </c>
    </row>
    <row r="31" spans="1:6" ht="32.25" thickBot="1" x14ac:dyDescent="0.3">
      <c r="A31" s="170" t="s">
        <v>681</v>
      </c>
      <c r="B31" s="739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38" t="s">
        <v>518</v>
      </c>
      <c r="D31" s="160">
        <f>SUMIFS(Пр.12!G$10:G$1515,Пр.12!$D$10:$D$1515,C31)</f>
        <v>0</v>
      </c>
      <c r="E31" s="740">
        <f>SUMIFS(Пр.12!H$10:H$1515,Пр.12!$D$10:$D$1515,C31)</f>
        <v>62534347</v>
      </c>
      <c r="F31" s="741">
        <f>SUMIFS(Пр.12!I$10:I$1515,Пр.12!$D$10:$D$1515,C31)</f>
        <v>62534347</v>
      </c>
    </row>
    <row r="32" spans="1:6" ht="16.5" thickBot="1" x14ac:dyDescent="0.3">
      <c r="A32" s="171" t="s">
        <v>682</v>
      </c>
      <c r="B32" s="739" t="str">
        <f>IF(C32&gt;0,VLOOKUP(C32,Программа!A$2:B$5110,2))</f>
        <v>Повышение мотивации участников образовательного процесса</v>
      </c>
      <c r="C32" s="238" t="s">
        <v>497</v>
      </c>
      <c r="D32" s="160">
        <f>SUMIFS(Пр.12!G$10:G$1515,Пр.12!$D$10:$D$1515,C32)</f>
        <v>0</v>
      </c>
      <c r="E32" s="740">
        <f>SUMIFS(Пр.12!H$10:H$1515,Пр.12!$D$10:$D$1515,C32)</f>
        <v>382000</v>
      </c>
      <c r="F32" s="741">
        <f>SUMIFS(Пр.12!I$10:I$1515,Пр.12!$D$10:$D$1515,C32)</f>
        <v>382000</v>
      </c>
    </row>
    <row r="33" spans="1:6" ht="48" thickBot="1" x14ac:dyDescent="0.3">
      <c r="A33" s="170" t="s">
        <v>683</v>
      </c>
      <c r="B33" s="739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8" t="s">
        <v>474</v>
      </c>
      <c r="D33" s="160">
        <f>SUMIFS(Пр.12!G$10:G$1515,Пр.12!$D$10:$D$1515,C33)</f>
        <v>0</v>
      </c>
      <c r="E33" s="740">
        <f>SUMIFS(Пр.12!H$10:H$1515,Пр.12!$D$10:$D$1515,C33)</f>
        <v>12196723</v>
      </c>
      <c r="F33" s="741">
        <f>SUMIFS(Пр.12!I$10:I$1515,Пр.12!$D$10:$D$1515,C33)</f>
        <v>12196723</v>
      </c>
    </row>
    <row r="34" spans="1:6" ht="37.5" customHeight="1" thickBot="1" x14ac:dyDescent="0.3">
      <c r="A34" s="171" t="s">
        <v>684</v>
      </c>
      <c r="B34" s="739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38" t="s">
        <v>503</v>
      </c>
      <c r="D34" s="160">
        <f>SUMIFS(Пр.12!G$10:G$1515,Пр.12!$D$10:$D$1515,C34)</f>
        <v>0</v>
      </c>
      <c r="E34" s="740">
        <f>SUMIFS(Пр.12!H$10:H$1515,Пр.12!$D$10:$D$1515,C34)</f>
        <v>36123649</v>
      </c>
      <c r="F34" s="741">
        <f>SUMIFS(Пр.12!I$10:I$1515,Пр.12!$D$10:$D$1515,C34)</f>
        <v>36123649</v>
      </c>
    </row>
    <row r="35" spans="1:6" ht="32.25" thickBot="1" x14ac:dyDescent="0.3">
      <c r="A35" s="171"/>
      <c r="B35" s="739" t="str">
        <f>IF(C35&gt;0,VLOOKUP(C35,Программа!A$2:B$5110,2))</f>
        <v>Обеспечение детей организованными формами отдыха и оздоровления</v>
      </c>
      <c r="C35" s="238" t="s">
        <v>1151</v>
      </c>
      <c r="D35" s="160">
        <f>SUMIFS(Пр.12!G$10:G$1515,Пр.12!$D$10:$D$1515,C35)</f>
        <v>0</v>
      </c>
      <c r="E35" s="740">
        <f>SUMIFS(Пр.12!H$10:H$1515,Пр.12!$D$10:$D$1515,C35)</f>
        <v>5504138</v>
      </c>
      <c r="F35" s="741">
        <f>SUMIFS(Пр.12!I$10:I$1515,Пр.12!$D$10:$D$1515,C35)</f>
        <v>5504138</v>
      </c>
    </row>
    <row r="36" spans="1:6" ht="16.5" thickBot="1" x14ac:dyDescent="0.3">
      <c r="A36" s="171"/>
      <c r="B36" s="739" t="str">
        <f>IF(C36&gt;0,VLOOKUP(C36,Программа!A$2:B$5110,2))</f>
        <v>Обеспечение компенсационных выплат</v>
      </c>
      <c r="C36" s="238" t="s">
        <v>1156</v>
      </c>
      <c r="D36" s="160">
        <f>SUMIFS(Пр.12!G$10:G$1515,Пр.12!$D$10:$D$1515,C36)</f>
        <v>0</v>
      </c>
      <c r="E36" s="740">
        <f>SUMIFS(Пр.12!H$10:H$1515,Пр.12!$D$10:$D$1515,C36)</f>
        <v>11501665</v>
      </c>
      <c r="F36" s="741">
        <f>SUMIFS(Пр.12!I$10:I$1515,Пр.12!$D$10:$D$1515,C36)</f>
        <v>11501665</v>
      </c>
    </row>
    <row r="37" spans="1:6" ht="21.75" customHeight="1" thickBot="1" x14ac:dyDescent="0.3">
      <c r="A37" s="171"/>
      <c r="B37" s="739" t="str">
        <f>IF(C37&gt;0,VLOOKUP(C37,Программа!A$2:B$5110,2))</f>
        <v>Обеспечение эффективности управления системой образования</v>
      </c>
      <c r="C37" s="238" t="s">
        <v>1153</v>
      </c>
      <c r="D37" s="160">
        <f>SUMIFS(Пр.12!G$10:G$1515,Пр.12!$D$10:$D$1515,C37)</f>
        <v>0</v>
      </c>
      <c r="E37" s="740">
        <f>SUMIFS(Пр.12!H$10:H$1515,Пр.12!$D$10:$D$1515,C37)</f>
        <v>30943094</v>
      </c>
      <c r="F37" s="741">
        <f>SUMIFS(Пр.12!I$10:I$1515,Пр.12!$D$10:$D$1515,C37)</f>
        <v>30943094</v>
      </c>
    </row>
    <row r="38" spans="1:6" ht="21.75" hidden="1" customHeight="1" thickBot="1" x14ac:dyDescent="0.3">
      <c r="A38" s="171"/>
      <c r="B38" s="739" t="str">
        <f>IF(C38&gt;0,VLOOKUP(C38,Программа!A$2:B$5110,2))</f>
        <v>Региональный проект "Современная школа"</v>
      </c>
      <c r="C38" s="238" t="s">
        <v>1793</v>
      </c>
      <c r="D38" s="160">
        <f>SUMIFS(Пр.12!G$10:G$1515,Пр.12!$D$10:$D$1515,C38)</f>
        <v>0</v>
      </c>
      <c r="E38" s="740">
        <f>SUMIFS(Пр.12!H$10:H$1515,Пр.12!$D$10:$D$1515,C38)</f>
        <v>0</v>
      </c>
      <c r="F38" s="741">
        <f>SUMIFS(Пр.12!I$10:I$1515,Пр.12!$D$10:$D$1515,C38)</f>
        <v>0</v>
      </c>
    </row>
    <row r="39" spans="1:6" ht="16.5" hidden="1" thickBot="1" x14ac:dyDescent="0.3">
      <c r="A39" s="171"/>
      <c r="B39" s="739" t="str">
        <f>IF(C39&gt;0,VLOOKUP(C39,Программа!A$2:B$5110,2))</f>
        <v>Федеральный проект "Успех каждого ребенка"</v>
      </c>
      <c r="C39" s="238" t="s">
        <v>1702</v>
      </c>
      <c r="D39" s="160">
        <f>SUMIFS(Пр.12!G$10:G$1515,Пр.12!$D$10:$D$1515,C39)</f>
        <v>0</v>
      </c>
      <c r="E39" s="740">
        <f>SUMIFS(Пр.12!H$10:H$1515,Пр.12!$D$10:$D$1515,C39)</f>
        <v>0</v>
      </c>
      <c r="F39" s="741">
        <f>SUMIFS(Пр.12!I$10:I$1515,Пр.12!$D$10:$D$1515,C39)</f>
        <v>0</v>
      </c>
    </row>
    <row r="40" spans="1:6" s="156" customFormat="1" ht="48" hidden="1" thickBot="1" x14ac:dyDescent="0.3">
      <c r="A40" s="172" t="s">
        <v>685</v>
      </c>
      <c r="B40" s="742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59" t="s">
        <v>505</v>
      </c>
      <c r="D40" s="743">
        <f>SUMIFS(Пр.12!G$10:G$1515,Пр.12!$D$10:$D$1515,C40)</f>
        <v>0</v>
      </c>
      <c r="E40" s="744">
        <f>SUMIFS(Пр.12!H$10:H$1515,Пр.12!$D$10:$D$1515,C40)</f>
        <v>0</v>
      </c>
      <c r="F40" s="760">
        <f>SUMIFS(Пр.12!I$10:I$1515,Пр.12!$D$10:$D$1515,C40)</f>
        <v>0</v>
      </c>
    </row>
    <row r="41" spans="1:6" ht="32.25" hidden="1" thickBot="1" x14ac:dyDescent="0.3">
      <c r="A41" s="171"/>
      <c r="B41" s="739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38" t="s">
        <v>507</v>
      </c>
      <c r="D41" s="160">
        <f>SUMIFS(Пр.12!G$10:G$1515,Пр.12!$D$10:$D$1515,C41)</f>
        <v>0</v>
      </c>
      <c r="E41" s="740">
        <f>SUMIFS(Пр.12!H$10:H$1515,Пр.12!$D$10:$D$1515,C41)</f>
        <v>0</v>
      </c>
      <c r="F41" s="741">
        <f>SUMIFS(Пр.12!I$10:I$1515,Пр.12!$D$10:$D$1515,C41)</f>
        <v>0</v>
      </c>
    </row>
    <row r="42" spans="1:6" s="156" customFormat="1" ht="32.25" thickBot="1" x14ac:dyDescent="0.3">
      <c r="A42" s="172"/>
      <c r="B42" s="742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59" t="s">
        <v>472</v>
      </c>
      <c r="D42" s="743">
        <f>SUMIFS(Пр.12!G$10:G$1515,Пр.12!$D$10:$D$1515,C42)</f>
        <v>0</v>
      </c>
      <c r="E42" s="744">
        <f>SUMIFS(Пр.12!H$10:H$1515,Пр.12!$D$10:$D$1515,C42)</f>
        <v>39782507</v>
      </c>
      <c r="F42" s="760">
        <f>SUMIFS(Пр.12!I$10:I$1515,Пр.12!$D$10:$D$1515,C42)</f>
        <v>39782507</v>
      </c>
    </row>
    <row r="43" spans="1:6" ht="63.75" thickBot="1" x14ac:dyDescent="0.3">
      <c r="A43" s="171"/>
      <c r="B43" s="739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8" t="s">
        <v>528</v>
      </c>
      <c r="D43" s="160">
        <f>SUMIFS(Пр.12!G$10:G$1515,Пр.12!$D$10:$D$1515,C43)</f>
        <v>0</v>
      </c>
      <c r="E43" s="740">
        <f>SUMIFS(Пр.12!H$10:H$1515,Пр.12!$D$10:$D$1515,C43)</f>
        <v>39782507</v>
      </c>
      <c r="F43" s="741">
        <f>SUMIFS(Пр.12!I$10:I$1515,Пр.12!$D$10:$D$1515,C43)</f>
        <v>39782507</v>
      </c>
    </row>
    <row r="44" spans="1:6" ht="32.25" hidden="1" thickBot="1" x14ac:dyDescent="0.3">
      <c r="A44" s="171"/>
      <c r="B44" s="739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38" t="s">
        <v>473</v>
      </c>
      <c r="D44" s="160">
        <f>SUMIFS(Пр.12!G$10:G$1515,Пр.12!$D$10:$D$1515,C44)</f>
        <v>0</v>
      </c>
      <c r="E44" s="740">
        <f>SUMIFS(Пр.12!H$10:H$1515,Пр.12!$D$10:$D$1515,C44)</f>
        <v>0</v>
      </c>
      <c r="F44" s="741">
        <f>SUMIFS(Пр.12!I$10:I$1515,Пр.12!$D$10:$D$1515,C44)</f>
        <v>0</v>
      </c>
    </row>
    <row r="45" spans="1:6" ht="16.5" hidden="1" thickBot="1" x14ac:dyDescent="0.3">
      <c r="A45" s="171"/>
      <c r="B45" s="745" t="str">
        <f>IF(C45&gt;0,VLOOKUP(C45,Программа!A$2:B$5110,2))</f>
        <v>Развитие сети плоскостных спортивных сооружений</v>
      </c>
      <c r="C45" s="594" t="s">
        <v>509</v>
      </c>
      <c r="D45" s="752">
        <f>SUMIFS(Пр.12!G$10:G$1515,Пр.12!$D$10:$D$1515,C45)</f>
        <v>0</v>
      </c>
      <c r="E45" s="747">
        <f>SUMIFS(Пр.12!H$10:H$1515,Пр.12!$D$10:$D$1515,C45)</f>
        <v>0</v>
      </c>
      <c r="F45" s="763">
        <f>SUMIFS(Пр.12!I$10:I$1515,Пр.12!$D$10:$D$1515,C45)</f>
        <v>0</v>
      </c>
    </row>
    <row r="46" spans="1:6" s="155" customFormat="1" ht="32.25" thickBot="1" x14ac:dyDescent="0.25">
      <c r="A46" s="165"/>
      <c r="B46" s="471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39" t="s">
        <v>461</v>
      </c>
      <c r="D46" s="455">
        <f>SUMIFS(Пр.12!G$10:G$1515,Пр.12!$D$10:$D$1515,C46)</f>
        <v>0</v>
      </c>
      <c r="E46" s="456">
        <f>SUMIFS(Пр.12!H$10:H$1515,Пр.12!$D$10:$D$1515,C46)</f>
        <v>460665117</v>
      </c>
      <c r="F46" s="672">
        <f>SUMIFS(Пр.12!I$10:I$1515,Пр.12!$D$10:$D$1515,C46)</f>
        <v>460665117</v>
      </c>
    </row>
    <row r="47" spans="1:6" s="156" customFormat="1" ht="32.25" thickBot="1" x14ac:dyDescent="0.3">
      <c r="A47" s="172"/>
      <c r="B47" s="734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61" t="s">
        <v>533</v>
      </c>
      <c r="D47" s="736">
        <f>SUMIFS(Пр.12!G$10:G$1515,Пр.12!$D$10:$D$1515,C47)</f>
        <v>0</v>
      </c>
      <c r="E47" s="737">
        <f>SUMIFS(Пр.12!H$10:H$1515,Пр.12!$D$10:$D$1515,C47)</f>
        <v>460057617</v>
      </c>
      <c r="F47" s="762">
        <f>SUMIFS(Пр.12!I$10:I$1515,Пр.12!$D$10:$D$1515,C47)</f>
        <v>460057617</v>
      </c>
    </row>
    <row r="48" spans="1:6" ht="32.25" thickBot="1" x14ac:dyDescent="0.3">
      <c r="A48" s="171"/>
      <c r="B48" s="739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38" t="s">
        <v>535</v>
      </c>
      <c r="D48" s="160">
        <f>SUMIFS(Пр.12!G$10:G$1515,Пр.12!$D$10:$D$1515,C48)</f>
        <v>0</v>
      </c>
      <c r="E48" s="740">
        <f>SUMIFS(Пр.12!H$10:H$1515,Пр.12!$D$10:$D$1515,C48)</f>
        <v>308944957</v>
      </c>
      <c r="F48" s="741">
        <f>SUMIFS(Пр.12!I$10:I$1515,Пр.12!$D$10:$D$1515,C48)</f>
        <v>308944957</v>
      </c>
    </row>
    <row r="49" spans="1:6" ht="48" thickBot="1" x14ac:dyDescent="0.3">
      <c r="A49" s="171"/>
      <c r="B49" s="739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8" t="s">
        <v>538</v>
      </c>
      <c r="D49" s="160">
        <f>SUMIFS(Пр.12!G$10:G$1515,Пр.12!$D$10:$D$1515,C49)</f>
        <v>0</v>
      </c>
      <c r="E49" s="740">
        <f>SUMIFS(Пр.12!H$10:H$1515,Пр.12!$D$10:$D$1515,C49)</f>
        <v>86596900</v>
      </c>
      <c r="F49" s="741">
        <f>SUMIFS(Пр.12!I$10:I$1515,Пр.12!$D$10:$D$1515,C49)</f>
        <v>86596900</v>
      </c>
    </row>
    <row r="50" spans="1:6" ht="32.25" thickBot="1" x14ac:dyDescent="0.3">
      <c r="A50" s="171"/>
      <c r="B50" s="739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38" t="s">
        <v>553</v>
      </c>
      <c r="D50" s="160">
        <f>SUMIFS(Пр.12!G$10:G$1515,Пр.12!$D$10:$D$1515,C50)</f>
        <v>0</v>
      </c>
      <c r="E50" s="740">
        <f>SUMIFS(Пр.12!H$10:H$1515,Пр.12!$D$10:$D$1515,C50)</f>
        <v>8641050</v>
      </c>
      <c r="F50" s="741">
        <f>SUMIFS(Пр.12!I$10:I$1515,Пр.12!$D$10:$D$1515,C50)</f>
        <v>8641050</v>
      </c>
    </row>
    <row r="51" spans="1:6" ht="32.25" thickBot="1" x14ac:dyDescent="0.3">
      <c r="A51" s="171"/>
      <c r="B51" s="739" t="str">
        <f>IF(C51&gt;0,VLOOKUP(C51,Программа!A$2:B$5110,2))</f>
        <v>Информационное обеспечение реализации мероприятий программы</v>
      </c>
      <c r="C51" s="238" t="s">
        <v>1279</v>
      </c>
      <c r="D51" s="160">
        <f>SUMIFS(Пр.12!G$10:G$1515,Пр.12!$D$10:$D$1515,C51)</f>
        <v>0</v>
      </c>
      <c r="E51" s="740">
        <f>SUMIFS(Пр.12!H$10:H$1515,Пр.12!$D$10:$D$1515,C51)</f>
        <v>1456000</v>
      </c>
      <c r="F51" s="741">
        <f>SUMIFS(Пр.12!I$10:I$1515,Пр.12!$D$10:$D$1515,C51)</f>
        <v>1456000</v>
      </c>
    </row>
    <row r="52" spans="1:6" ht="32.25" thickBot="1" x14ac:dyDescent="0.3">
      <c r="A52" s="171"/>
      <c r="B52" s="739" t="str">
        <f>IF(C52&gt;0,VLOOKUP(C52,Программа!A$2:B$5110,2))</f>
        <v>Федеральный проект "Финансовая поддержка при рождении детей"</v>
      </c>
      <c r="C52" s="238" t="s">
        <v>1545</v>
      </c>
      <c r="D52" s="160">
        <f>SUMIFS(Пр.12!G$10:G$1515,Пр.12!$D$10:$D$1515,C52)</f>
        <v>0</v>
      </c>
      <c r="E52" s="740">
        <f>SUMIFS(Пр.12!H$10:H$1515,Пр.12!$D$10:$D$1515,C52)</f>
        <v>54418710</v>
      </c>
      <c r="F52" s="741">
        <f>SUMIFS(Пр.12!I$10:I$1515,Пр.12!$D$10:$D$1515,C52)</f>
        <v>54418710</v>
      </c>
    </row>
    <row r="53" spans="1:6" ht="16.5" hidden="1" thickBot="1" x14ac:dyDescent="0.3">
      <c r="A53" s="171"/>
      <c r="B53" s="739" t="str">
        <f>IF(C53&gt;0,VLOOKUP(C53,Программа!A$2:B$5110,2))</f>
        <v>Федеральный проект "Старшее поколение"</v>
      </c>
      <c r="C53" s="238" t="s">
        <v>1546</v>
      </c>
      <c r="D53" s="160">
        <f>SUMIFS(Пр.12!G$10:G$1515,Пр.12!$D$10:$D$1515,C53)</f>
        <v>0</v>
      </c>
      <c r="E53" s="740">
        <f>SUMIFS(Пр.12!H$10:H$1515,Пр.12!$D$10:$D$1515,C53)</f>
        <v>0</v>
      </c>
      <c r="F53" s="741">
        <f>SUMIFS(Пр.12!I$10:I$1515,Пр.12!$D$10:$D$1515,C53)</f>
        <v>0</v>
      </c>
    </row>
    <row r="54" spans="1:6" s="156" customFormat="1" ht="32.25" thickBot="1" x14ac:dyDescent="0.3">
      <c r="A54" s="172"/>
      <c r="B54" s="742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59" t="s">
        <v>463</v>
      </c>
      <c r="D54" s="743">
        <f>SUMIFS(Пр.12!G$10:G$1515,Пр.12!$D$10:$D$1515,C54)</f>
        <v>0</v>
      </c>
      <c r="E54" s="744">
        <f>SUMIFS(Пр.12!H$10:H$1515,Пр.12!$D$10:$D$1515,C54)</f>
        <v>607500</v>
      </c>
      <c r="F54" s="760">
        <f>SUMIFS(Пр.12!I$10:I$1515,Пр.12!$D$10:$D$1515,C54)</f>
        <v>607500</v>
      </c>
    </row>
    <row r="55" spans="1:6" s="156" customFormat="1" ht="48" thickBot="1" x14ac:dyDescent="0.3">
      <c r="A55" s="172"/>
      <c r="B55" s="739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8" t="s">
        <v>464</v>
      </c>
      <c r="D55" s="160">
        <f>SUMIFS(Пр.12!G$10:G$1515,Пр.12!$D$10:$D$1515,C55)</f>
        <v>0</v>
      </c>
      <c r="E55" s="740">
        <f>SUMIFS(Пр.12!H$10:H$1515,Пр.12!$D$10:$D$1515,C55)</f>
        <v>31500</v>
      </c>
      <c r="F55" s="741">
        <f>SUMIFS(Пр.12!I$10:I$1515,Пр.12!$D$10:$D$1515,C55)</f>
        <v>31500</v>
      </c>
    </row>
    <row r="56" spans="1:6" s="156" customFormat="1" ht="48" thickBot="1" x14ac:dyDescent="0.3">
      <c r="A56" s="172"/>
      <c r="B56" s="739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38" t="s">
        <v>1568</v>
      </c>
      <c r="D56" s="160">
        <f>SUMIFS(Пр.12!G$10:G$1515,Пр.12!$D$10:$D$1515,C56)</f>
        <v>0</v>
      </c>
      <c r="E56" s="740">
        <f>SUMIFS(Пр.12!H$10:H$1515,Пр.12!$D$10:$D$1515,C56)</f>
        <v>509500</v>
      </c>
      <c r="F56" s="741">
        <f>SUMIFS(Пр.12!I$10:I$1515,Пр.12!$D$10:$D$1515,C56)</f>
        <v>509500</v>
      </c>
    </row>
    <row r="57" spans="1:6" ht="32.25" thickBot="1" x14ac:dyDescent="0.3">
      <c r="A57" s="171"/>
      <c r="B57" s="745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594" t="s">
        <v>1131</v>
      </c>
      <c r="D57" s="752">
        <f>SUMIFS(Пр.12!G$10:G$1515,Пр.12!$D$10:$D$1515,C57)</f>
        <v>0</v>
      </c>
      <c r="E57" s="747">
        <f>SUMIFS(Пр.12!H$10:H$1515,Пр.12!$D$10:$D$1515,C57)</f>
        <v>66500</v>
      </c>
      <c r="F57" s="741">
        <f>SUMIFS(Пр.12!I$10:I$1515,Пр.12!$D$10:$D$1515,C57)</f>
        <v>66500</v>
      </c>
    </row>
    <row r="58" spans="1:6" s="155" customFormat="1" ht="16.5" hidden="1" thickBot="1" x14ac:dyDescent="0.25">
      <c r="A58" s="165"/>
      <c r="B58" s="586" t="str">
        <f>IF(C58&gt;0,VLOOKUP(C58,Программа!A$2:B$5110,2))</f>
        <v>Муниципальная программа "Доступная среда "</v>
      </c>
      <c r="C58" s="166" t="s">
        <v>595</v>
      </c>
      <c r="D58" s="587">
        <f>SUMIFS(Пр.12!G$10:G$1515,Пр.12!$D$10:$D$1515,C58)</f>
        <v>0</v>
      </c>
      <c r="E58" s="456">
        <f>SUMIFS(Пр.12!H$10:H$1515,Пр.12!$D$10:$D$1515,C58)</f>
        <v>0</v>
      </c>
      <c r="F58" s="579">
        <f>SUMIFS(Пр.12!I$10:I$1515,Пр.12!$D$10:$D$1515,C58)</f>
        <v>0</v>
      </c>
    </row>
    <row r="59" spans="1:6" ht="48" hidden="1" thickBot="1" x14ac:dyDescent="0.25">
      <c r="A59" s="171"/>
      <c r="B59" s="592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5" t="s">
        <v>597</v>
      </c>
      <c r="D59" s="593">
        <f>SUMIFS(Пр.12!G$10:G$1515,Пр.12!$D$10:$D$1515,C59)</f>
        <v>0</v>
      </c>
      <c r="E59" s="514">
        <f>SUMIFS(Пр.12!H$10:H$1515,Пр.12!$D$10:$D$1515,C59)</f>
        <v>0</v>
      </c>
      <c r="F59" s="667">
        <f>SUMIFS(Пр.12!I$10:I$1515,Пр.12!$D$10:$D$1515,C59)</f>
        <v>0</v>
      </c>
    </row>
    <row r="60" spans="1:6" s="155" customFormat="1" ht="48" thickBot="1" x14ac:dyDescent="0.25">
      <c r="A60" s="165"/>
      <c r="B60" s="471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6" t="s">
        <v>613</v>
      </c>
      <c r="D60" s="455">
        <f>SUMIFS(Пр.12!G$10:G$1515,Пр.12!$D$10:$D$1515,C60)</f>
        <v>0</v>
      </c>
      <c r="E60" s="456">
        <f>SUMIFS(Пр.12!H$10:H$1515,Пр.12!$D$10:$D$1515,C60)</f>
        <v>132000</v>
      </c>
      <c r="F60" s="672">
        <f>SUMIFS(Пр.12!I$10:I$1515,Пр.12!$D$10:$D$1515,C60)</f>
        <v>132000</v>
      </c>
    </row>
    <row r="61" spans="1:6" s="156" customFormat="1" ht="53.25" hidden="1" customHeight="1" thickBot="1" x14ac:dyDescent="0.25">
      <c r="A61" s="172"/>
      <c r="B61" s="584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4" t="s">
        <v>615</v>
      </c>
      <c r="D61" s="585">
        <f>SUMIFS(Пр.12!G$10:G$1515,Пр.12!$D$10:$D$1515,C61)</f>
        <v>0</v>
      </c>
      <c r="E61" s="461">
        <f>SUMIFS(Пр.12!H$10:H$1515,Пр.12!$D$10:$D$1515,C61)</f>
        <v>0</v>
      </c>
      <c r="F61" s="693">
        <f>SUMIFS(Пр.12!I$10:I$1515,Пр.12!$D$10:$D$1515,C61)</f>
        <v>0</v>
      </c>
    </row>
    <row r="62" spans="1:6" ht="63.75" hidden="1" thickBot="1" x14ac:dyDescent="0.25">
      <c r="A62" s="171"/>
      <c r="B62" s="583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641</v>
      </c>
      <c r="D62" s="178">
        <f>SUMIFS(Пр.12!G$10:G$1515,Пр.12!$D$10:$D$1515,C62)</f>
        <v>0</v>
      </c>
      <c r="E62" s="598">
        <f>SUMIFS(Пр.12!H$10:H$1515,Пр.12!$D$10:$D$1515,C62)</f>
        <v>0</v>
      </c>
      <c r="F62" s="581">
        <f>SUMIFS(Пр.12!I$10:I$1515,Пр.12!$D$10:$D$1515,C62)</f>
        <v>0</v>
      </c>
    </row>
    <row r="63" spans="1:6" ht="32.25" hidden="1" thickBot="1" x14ac:dyDescent="0.25">
      <c r="A63" s="171"/>
      <c r="B63" s="583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616</v>
      </c>
      <c r="D63" s="178">
        <f>SUMIFS(Пр.12!G$10:G$1515,Пр.12!$D$10:$D$1515,C63)</f>
        <v>0</v>
      </c>
      <c r="E63" s="598">
        <f>SUMIFS(Пр.12!H$10:H$1515,Пр.12!$D$10:$D$1515,C63)</f>
        <v>0</v>
      </c>
      <c r="F63" s="581">
        <f>SUMIFS(Пр.12!I$10:I$1515,Пр.12!$D$10:$D$1515,C63)</f>
        <v>0</v>
      </c>
    </row>
    <row r="64" spans="1:6" s="156" customFormat="1" ht="48" hidden="1" thickBot="1" x14ac:dyDescent="0.3">
      <c r="A64" s="172"/>
      <c r="B64" s="742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59" t="s">
        <v>644</v>
      </c>
      <c r="D64" s="743">
        <f>SUMIFS(Пр.12!G$10:G$1515,Пр.12!$D$10:$D$1515,C64)</f>
        <v>0</v>
      </c>
      <c r="E64" s="744">
        <f>SUMIFS(Пр.12!H$10:H$1515,Пр.12!$D$10:$D$1515,C64)</f>
        <v>0</v>
      </c>
      <c r="F64" s="760">
        <f>SUMIFS(Пр.12!I$10:I$1515,Пр.12!$D$10:$D$1515,C64)</f>
        <v>0</v>
      </c>
    </row>
    <row r="65" spans="1:6" ht="32.25" hidden="1" thickBot="1" x14ac:dyDescent="0.3">
      <c r="A65" s="171"/>
      <c r="B65" s="739" t="str">
        <f>IF(C65&gt;0,VLOOKUP(C65,Программа!A$2:B$5110,2))</f>
        <v>Повышение уровня газификации и модернизации объектов социальной сферы</v>
      </c>
      <c r="C65" s="238" t="s">
        <v>645</v>
      </c>
      <c r="D65" s="160">
        <f>SUMIFS(Пр.12!G$10:G$1515,Пр.12!$D$10:$D$1515,C65)</f>
        <v>0</v>
      </c>
      <c r="E65" s="740">
        <f>SUMIFS(Пр.12!H$10:H$1515,Пр.12!$D$10:$D$1515,C65)</f>
        <v>0</v>
      </c>
      <c r="F65" s="741">
        <f>SUMIFS(Пр.12!I$10:I$1515,Пр.12!$D$10:$D$1515,C65)</f>
        <v>0</v>
      </c>
    </row>
    <row r="66" spans="1:6" ht="48" hidden="1" thickBot="1" x14ac:dyDescent="0.3">
      <c r="A66" s="171"/>
      <c r="B66" s="739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8" t="s">
        <v>686</v>
      </c>
      <c r="D66" s="160">
        <f>SUMIFS(Пр.12!G$10:G$1515,Пр.12!$D$10:$D$1515,C66)</f>
        <v>0</v>
      </c>
      <c r="E66" s="740">
        <f>SUMIFS(Пр.12!H$10:H$1515,Пр.12!$D$10:$D$1515,C66)</f>
        <v>0</v>
      </c>
      <c r="F66" s="741">
        <f>SUMIFS(Пр.12!I$10:I$1515,Пр.12!$D$10:$D$1515,C66)</f>
        <v>0</v>
      </c>
    </row>
    <row r="67" spans="1:6" s="156" customFormat="1" ht="48" thickBot="1" x14ac:dyDescent="0.3">
      <c r="A67" s="172"/>
      <c r="B67" s="742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59" t="s">
        <v>648</v>
      </c>
      <c r="D67" s="743">
        <f>SUMIFS(Пр.12!G$10:G$1515,Пр.12!$D$10:$D$1515,C67)</f>
        <v>0</v>
      </c>
      <c r="E67" s="740">
        <f>SUMIFS(Пр.12!H$10:H$1515,Пр.12!$D$10:$D$1515,C67)</f>
        <v>132000</v>
      </c>
      <c r="F67" s="760">
        <f>SUMIFS(Пр.12!I$10:I$1515,Пр.12!$D$10:$D$1515,C67)</f>
        <v>132000</v>
      </c>
    </row>
    <row r="68" spans="1:6" ht="48" thickBot="1" x14ac:dyDescent="0.3">
      <c r="A68" s="171"/>
      <c r="B68" s="739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8" t="s">
        <v>649</v>
      </c>
      <c r="D68" s="160">
        <f>SUMIFS(Пр.12!G$10:G$1515,Пр.12!$D$10:$D$1515,C68)</f>
        <v>0</v>
      </c>
      <c r="E68" s="740">
        <f>SUMIFS(Пр.12!H$10:H$1515,Пр.12!$D$10:$D$1515,C68)</f>
        <v>132000</v>
      </c>
      <c r="F68" s="741">
        <f>SUMIFS(Пр.12!I$10:I$1515,Пр.12!$D$10:$D$1515,C68)</f>
        <v>132000</v>
      </c>
    </row>
    <row r="69" spans="1:6" ht="16.5" hidden="1" thickBot="1" x14ac:dyDescent="0.3">
      <c r="A69" s="171"/>
      <c r="B69" s="739" t="str">
        <f>IF(C69&gt;0,VLOOKUP(C69,Программа!A$2:B$5110,2))</f>
        <v>Федеральный проект "Оздоровление Волги"</v>
      </c>
      <c r="C69" s="238" t="s">
        <v>1610</v>
      </c>
      <c r="D69" s="160">
        <f>SUMIFS(Пр.12!G$10:G$1515,Пр.12!$D$10:$D$1515,C69)</f>
        <v>0</v>
      </c>
      <c r="E69" s="740">
        <f>SUMIFS(Пр.12!H$10:H$1515,Пр.12!$D$10:$D$1515,C69)</f>
        <v>0</v>
      </c>
      <c r="F69" s="741">
        <f>SUMIFS(Пр.12!I$10:I$1515,Пр.12!$D$10:$D$1515,C69)</f>
        <v>0</v>
      </c>
    </row>
    <row r="70" spans="1:6" s="156" customFormat="1" ht="48" hidden="1" thickBot="1" x14ac:dyDescent="0.3">
      <c r="A70" s="172"/>
      <c r="B70" s="742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59" t="s">
        <v>651</v>
      </c>
      <c r="D70" s="743">
        <f>SUMIFS(Пр.12!G$10:G$1515,Пр.12!$D$10:$D$1515,C70)</f>
        <v>0</v>
      </c>
      <c r="E70" s="744">
        <f>SUMIFS(Пр.12!H$10:H$1515,Пр.12!$D$10:$D$1515,C70)</f>
        <v>0</v>
      </c>
      <c r="F70" s="760">
        <f>SUMIFS(Пр.12!I$10:I$1515,Пр.12!$D$10:$D$1515,C70)</f>
        <v>0</v>
      </c>
    </row>
    <row r="71" spans="1:6" ht="32.25" hidden="1" thickBot="1" x14ac:dyDescent="0.3">
      <c r="A71" s="171"/>
      <c r="B71" s="739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38" t="s">
        <v>653</v>
      </c>
      <c r="D71" s="160">
        <f>SUMIFS(Пр.12!G$10:G$1515,Пр.12!$D$10:$D$1515,C71)</f>
        <v>0</v>
      </c>
      <c r="E71" s="740">
        <f>SUMIFS(Пр.12!H$10:H$1515,Пр.12!$D$10:$D$1515,C71)</f>
        <v>0</v>
      </c>
      <c r="F71" s="741">
        <f>SUMIFS(Пр.12!I$10:I$1515,Пр.12!$D$10:$D$1515,C71)</f>
        <v>0</v>
      </c>
    </row>
    <row r="72" spans="1:6" ht="48" hidden="1" thickBot="1" x14ac:dyDescent="0.3">
      <c r="A72" s="171"/>
      <c r="B72" s="739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8" t="s">
        <v>656</v>
      </c>
      <c r="D72" s="160">
        <f>SUMIFS(Пр.12!G$10:G$1515,Пр.12!$D$10:$D$1515,C72)</f>
        <v>0</v>
      </c>
      <c r="E72" s="740">
        <f>SUMIFS(Пр.12!H$10:H$1515,Пр.12!$D$10:$D$1515,C72)</f>
        <v>0</v>
      </c>
      <c r="F72" s="741">
        <f>SUMIFS(Пр.12!I$10:I$1515,Пр.12!$D$10:$D$1515,C72)</f>
        <v>0</v>
      </c>
    </row>
    <row r="73" spans="1:6" ht="32.25" hidden="1" thickBot="1" x14ac:dyDescent="0.3">
      <c r="A73" s="171"/>
      <c r="B73" s="739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38" t="s">
        <v>658</v>
      </c>
      <c r="D73" s="160">
        <f>SUMIFS(Пр.12!G$10:G$1515,Пр.12!$D$10:$D$1515,C73)</f>
        <v>0</v>
      </c>
      <c r="E73" s="740">
        <f>SUMIFS(Пр.12!H$10:H$1515,Пр.12!$D$10:$D$1515,C73)</f>
        <v>0</v>
      </c>
      <c r="F73" s="741">
        <f>SUMIFS(Пр.12!I$10:I$1515,Пр.12!$D$10:$D$1515,C73)</f>
        <v>0</v>
      </c>
    </row>
    <row r="74" spans="1:6" ht="32.25" hidden="1" thickBot="1" x14ac:dyDescent="0.3">
      <c r="A74" s="171"/>
      <c r="B74" s="745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594" t="s">
        <v>1616</v>
      </c>
      <c r="D74" s="752"/>
      <c r="E74" s="747"/>
      <c r="F74" s="741">
        <f>SUMIFS(Пр.12!I$10:I$1515,Пр.12!$D$10:$D$1515,C74)</f>
        <v>0</v>
      </c>
    </row>
    <row r="75" spans="1:6" s="155" customFormat="1" ht="48" hidden="1" thickBot="1" x14ac:dyDescent="0.25">
      <c r="A75" s="165"/>
      <c r="B75" s="586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6" t="s">
        <v>618</v>
      </c>
      <c r="D75" s="587">
        <f>SUMIFS(Пр.12!G$10:G$1515,Пр.12!$D$10:$D$1515,C75)</f>
        <v>0</v>
      </c>
      <c r="E75" s="456">
        <f>SUMIFS(Пр.12!H$10:H$1515,Пр.12!$D$10:$D$1515,C75)</f>
        <v>0</v>
      </c>
      <c r="F75" s="581">
        <f>SUMIFS(Пр.12!I$10:I$1515,Пр.12!$D$10:$D$1515,C75)</f>
        <v>0</v>
      </c>
    </row>
    <row r="76" spans="1:6" ht="63.75" hidden="1" thickBot="1" x14ac:dyDescent="0.3">
      <c r="A76" s="171"/>
      <c r="B76" s="755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58" t="s">
        <v>620</v>
      </c>
      <c r="D76" s="756">
        <f>SUMIFS(Пр.12!G$10:G$1515,Пр.12!$D$10:$D$1515,C76)</f>
        <v>0</v>
      </c>
      <c r="E76" s="757">
        <f>SUMIFS(Пр.12!H$10:H$1515,Пр.12!$D$10:$D$1515,C76)</f>
        <v>0</v>
      </c>
      <c r="F76" s="741">
        <f>SUMIFS(Пр.12!I$10:I$1515,Пр.12!$D$10:$D$1515,C76)</f>
        <v>0</v>
      </c>
    </row>
    <row r="77" spans="1:6" s="155" customFormat="1" ht="32.25" hidden="1" thickBot="1" x14ac:dyDescent="0.25">
      <c r="A77" s="165"/>
      <c r="B77" s="586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6" t="s">
        <v>630</v>
      </c>
      <c r="D77" s="587">
        <f>SUMIFS(Пр.12!G$10:G$1515,Пр.12!$D$10:$D$1515,C77)</f>
        <v>0</v>
      </c>
      <c r="E77" s="456">
        <f>SUMIFS(Пр.12!H$10:H$1515,Пр.12!$D$10:$D$1515,C77)</f>
        <v>0</v>
      </c>
      <c r="F77" s="579">
        <f>SUMIFS(Пр.12!I$10:I$1515,Пр.12!$D$10:$D$1515,C77)</f>
        <v>0</v>
      </c>
    </row>
    <row r="78" spans="1:6" s="156" customFormat="1" ht="48" hidden="1" thickBot="1" x14ac:dyDescent="0.25">
      <c r="A78" s="172"/>
      <c r="B78" s="584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4" t="s">
        <v>632</v>
      </c>
      <c r="D78" s="585">
        <f>SUMIFS(Пр.12!G$10:G$1515,Пр.12!$D$10:$D$1515,C78)</f>
        <v>0</v>
      </c>
      <c r="E78" s="461">
        <f>SUMIFS(Пр.12!H$10:H$1515,Пр.12!$D$10:$D$1515,C78)</f>
        <v>0</v>
      </c>
      <c r="F78" s="580">
        <f>SUMIFS(Пр.12!I$10:I$1515,Пр.12!$D$10:$D$1515,C78)</f>
        <v>0</v>
      </c>
    </row>
    <row r="79" spans="1:6" ht="32.25" hidden="1" thickBot="1" x14ac:dyDescent="0.25">
      <c r="A79" s="171"/>
      <c r="B79" s="583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634</v>
      </c>
      <c r="D79" s="178">
        <f>SUMIFS(Пр.12!G$10:G$1515,Пр.12!$D$10:$D$1515,C79)</f>
        <v>0</v>
      </c>
      <c r="E79" s="598">
        <f>SUMIFS(Пр.12!H$10:H$1515,Пр.12!$D$10:$D$1515,C79)</f>
        <v>0</v>
      </c>
      <c r="F79" s="581">
        <f>SUMIFS(Пр.12!I$10:I$1515,Пр.12!$D$10:$D$1515,C79)</f>
        <v>0</v>
      </c>
    </row>
    <row r="80" spans="1:6" s="156" customFormat="1" ht="48" hidden="1" thickBot="1" x14ac:dyDescent="0.25">
      <c r="A80" s="172"/>
      <c r="B80" s="582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9" t="s">
        <v>637</v>
      </c>
      <c r="D80" s="180">
        <f>SUMIFS(Пр.12!G$10:G$1515,Пр.12!$D$10:$D$1515,C80)</f>
        <v>0</v>
      </c>
      <c r="E80" s="598">
        <f>SUMIFS(Пр.12!H$10:H$1515,Пр.12!$D$10:$D$1515,C80)</f>
        <v>0</v>
      </c>
      <c r="F80" s="580">
        <f>SUMIFS(Пр.12!I$10:I$1515,Пр.12!$D$10:$D$1515,C80)</f>
        <v>0</v>
      </c>
    </row>
    <row r="81" spans="1:6" ht="32.25" hidden="1" thickBot="1" x14ac:dyDescent="0.25">
      <c r="A81" s="171"/>
      <c r="B81" s="588" t="str">
        <f>IF(C81&gt;0,VLOOKUP(C81,Программа!A$2:B$5110,2))</f>
        <v>Приведение  в нормативное состояние автомобильных дорог общего пользования</v>
      </c>
      <c r="C81" s="173" t="s">
        <v>639</v>
      </c>
      <c r="D81" s="589">
        <f>SUMIFS(Пр.12!G$10:G$1515,Пр.12!$D$10:$D$1515,C81)</f>
        <v>0</v>
      </c>
      <c r="E81" s="463">
        <f>SUMIFS(Пр.12!H$10:H$1515,Пр.12!$D$10:$D$1515,C81)</f>
        <v>0</v>
      </c>
      <c r="F81" s="667">
        <f>SUMIFS(Пр.12!I$10:I$1515,Пр.12!$D$10:$D$1515,C81)</f>
        <v>0</v>
      </c>
    </row>
    <row r="82" spans="1:6" s="155" customFormat="1" ht="48" hidden="1" thickBot="1" x14ac:dyDescent="0.25">
      <c r="A82" s="165"/>
      <c r="B82" s="586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6" t="s">
        <v>689</v>
      </c>
      <c r="D82" s="455">
        <f>SUMIFS(Пр.12!G$10:G$1515,Пр.12!$D$10:$D$1515,C82)</f>
        <v>0</v>
      </c>
      <c r="E82" s="456">
        <f>SUMIFS(Пр.12!H$10:H$1515,Пр.12!$D$10:$D$1515,C82)</f>
        <v>0</v>
      </c>
      <c r="F82" s="672">
        <f>SUMIFS(Пр.12!I$10:I$1515,Пр.12!$D$10:$D$1515,C82)</f>
        <v>0</v>
      </c>
    </row>
    <row r="83" spans="1:6" s="156" customFormat="1" ht="63.75" hidden="1" thickBot="1" x14ac:dyDescent="0.25">
      <c r="A83" s="172"/>
      <c r="B83" s="590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4" t="s">
        <v>691</v>
      </c>
      <c r="D83" s="591">
        <f>SUMIFS(Пр.12!G$10:G$1515,Пр.12!$D$10:$D$1515,C83)</f>
        <v>0</v>
      </c>
      <c r="E83" s="461">
        <f>SUMIFS(Пр.12!H$10:H$1515,Пр.12!$D$10:$D$1515,C83)</f>
        <v>0</v>
      </c>
      <c r="F83" s="693">
        <f>SUMIFS(Пр.12!I$10:I$1515,Пр.12!$D$10:$D$1515,C83)</f>
        <v>0</v>
      </c>
    </row>
    <row r="84" spans="1:6" ht="79.5" hidden="1" thickBot="1" x14ac:dyDescent="0.25">
      <c r="A84" s="171"/>
      <c r="B84" s="583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693</v>
      </c>
      <c r="D84" s="178">
        <f>SUMIFS(Пр.12!G$10:G$1515,Пр.12!$D$10:$D$1515,C84)</f>
        <v>0</v>
      </c>
      <c r="E84" s="598">
        <f>SUMIFS(Пр.12!H$10:H$1515,Пр.12!$D$10:$D$1515,C84)</f>
        <v>0</v>
      </c>
      <c r="F84" s="581">
        <f>SUMIFS(Пр.12!I$10:I$1515,Пр.12!$D$10:$D$1515,C84)</f>
        <v>0</v>
      </c>
    </row>
    <row r="85" spans="1:6" s="156" customFormat="1" ht="48" hidden="1" thickBot="1" x14ac:dyDescent="0.25">
      <c r="A85" s="172"/>
      <c r="B85" s="583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69" t="s">
        <v>695</v>
      </c>
      <c r="D85" s="178">
        <f>SUMIFS(Пр.12!G$10:G$1515,Пр.12!$D$10:$D$1515,C85)</f>
        <v>0</v>
      </c>
      <c r="E85" s="598">
        <f>SUMIFS(Пр.12!H$10:H$1515,Пр.12!$D$10:$D$1515,C85)</f>
        <v>0</v>
      </c>
      <c r="F85" s="581">
        <f>SUMIFS(Пр.12!I$10:I$1515,Пр.12!$D$10:$D$1515,C85)</f>
        <v>0</v>
      </c>
    </row>
    <row r="86" spans="1:6" ht="48" hidden="1" thickBot="1" x14ac:dyDescent="0.25">
      <c r="A86" s="171"/>
      <c r="B86" s="583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697</v>
      </c>
      <c r="D86" s="178">
        <f>SUMIFS(Пр.12!G$10:G$1515,Пр.12!$D$10:$D$1515,C86)</f>
        <v>0</v>
      </c>
      <c r="E86" s="598">
        <f>SUMIFS(Пр.12!H$10:H$1515,Пр.12!$D$10:$D$1515,C86)</f>
        <v>0</v>
      </c>
      <c r="F86" s="581">
        <f>SUMIFS(Пр.12!I$10:I$1515,Пр.12!$D$10:$D$1515,C86)</f>
        <v>0</v>
      </c>
    </row>
    <row r="87" spans="1:6" s="156" customFormat="1" ht="63.75" hidden="1" thickBot="1" x14ac:dyDescent="0.25">
      <c r="A87" s="172"/>
      <c r="B87" s="583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9" t="s">
        <v>699</v>
      </c>
      <c r="D87" s="178">
        <f>SUMIFS(Пр.12!G$10:G$1515,Пр.12!$D$10:$D$1515,C87)</f>
        <v>0</v>
      </c>
      <c r="E87" s="598">
        <f>SUMIFS(Пр.12!H$10:H$1515,Пр.12!$D$10:$D$1515,C87)</f>
        <v>0</v>
      </c>
      <c r="F87" s="581">
        <f>SUMIFS(Пр.12!I$10:I$1515,Пр.12!$D$10:$D$1515,C87)</f>
        <v>0</v>
      </c>
    </row>
    <row r="88" spans="1:6" ht="48" hidden="1" thickBot="1" x14ac:dyDescent="0.25">
      <c r="A88" s="171"/>
      <c r="B88" s="583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701</v>
      </c>
      <c r="D88" s="178">
        <f>SUMIFS(Пр.12!G$10:G$1515,Пр.12!$D$10:$D$1515,C88)</f>
        <v>0</v>
      </c>
      <c r="E88" s="598">
        <f>SUMIFS(Пр.12!H$10:H$1515,Пр.12!$D$10:$D$1515,C88)</f>
        <v>0</v>
      </c>
      <c r="F88" s="581">
        <f>SUMIFS(Пр.12!I$10:I$1515,Пр.12!$D$10:$D$1515,C88)</f>
        <v>0</v>
      </c>
    </row>
    <row r="89" spans="1:6" s="156" customFormat="1" ht="48" hidden="1" thickBot="1" x14ac:dyDescent="0.25">
      <c r="A89" s="172"/>
      <c r="B89" s="583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9" t="s">
        <v>703</v>
      </c>
      <c r="D89" s="178">
        <f>SUMIFS(Пр.12!G$10:G$1515,Пр.12!$D$10:$D$1515,C89)</f>
        <v>0</v>
      </c>
      <c r="E89" s="598">
        <f>SUMIFS(Пр.12!H$10:H$1515,Пр.12!$D$10:$D$1515,C89)</f>
        <v>0</v>
      </c>
      <c r="F89" s="581">
        <f>SUMIFS(Пр.12!I$10:I$1515,Пр.12!$D$10:$D$1515,C89)</f>
        <v>0</v>
      </c>
    </row>
    <row r="90" spans="1:6" ht="32.25" hidden="1" thickBot="1" x14ac:dyDescent="0.25">
      <c r="A90" s="171"/>
      <c r="B90" s="583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705</v>
      </c>
      <c r="D90" s="178">
        <f>SUMIFS(Пр.12!G$10:G$1515,Пр.12!$D$10:$D$1515,C90)</f>
        <v>0</v>
      </c>
      <c r="E90" s="598">
        <f>SUMIFS(Пр.12!H$10:H$1515,Пр.12!$D$10:$D$1515,C90)</f>
        <v>0</v>
      </c>
      <c r="F90" s="581">
        <f>SUMIFS(Пр.12!I$10:I$1515,Пр.12!$D$10:$D$1515,C90)</f>
        <v>0</v>
      </c>
    </row>
    <row r="91" spans="1:6" ht="16.5" hidden="1" thickBot="1" x14ac:dyDescent="0.25">
      <c r="A91" s="171"/>
      <c r="B91" s="588" t="str">
        <f>IF(C91&gt;0,VLOOKUP(C91,Программа!A$2:B$5110,2))</f>
        <v>Федеральный проект "Дорожная сеть"</v>
      </c>
      <c r="C91" s="173" t="s">
        <v>1603</v>
      </c>
      <c r="D91" s="589">
        <f>SUMIFS(Пр.12!G$10:G$1515,Пр.12!$D$10:$D$1515,C91)</f>
        <v>0</v>
      </c>
      <c r="E91" s="463">
        <f>SUMIFS(Пр.12!H$10:H$1515,Пр.12!$D$10:$D$1515,C91)</f>
        <v>0</v>
      </c>
      <c r="F91" s="667">
        <f>SUMIFS(Пр.12!I$10:I$1515,Пр.12!$D$10:$D$1515,C91)</f>
        <v>0</v>
      </c>
    </row>
    <row r="92" spans="1:6" s="155" customFormat="1" ht="63.75" thickBot="1" x14ac:dyDescent="0.25">
      <c r="A92" s="165"/>
      <c r="B92" s="471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6" t="s">
        <v>422</v>
      </c>
      <c r="D92" s="455">
        <f>SUMIFS(Пр.12!G$10:G$1515,Пр.12!$D$10:$D$1515,C92)</f>
        <v>0</v>
      </c>
      <c r="E92" s="456">
        <f>SUMIFS(Пр.12!H$10:H$1515,Пр.12!$D$10:$D$1515,C92)</f>
        <v>240590</v>
      </c>
      <c r="F92" s="672">
        <f>SUMIFS(Пр.12!I$10:I$1515,Пр.12!$D$10:$D$1515,C92)</f>
        <v>240590</v>
      </c>
    </row>
    <row r="93" spans="1:6" s="156" customFormat="1" ht="48" hidden="1" thickBot="1" x14ac:dyDescent="0.25">
      <c r="A93" s="172"/>
      <c r="B93" s="584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4" t="s">
        <v>432</v>
      </c>
      <c r="D93" s="585">
        <f>SUMIFS(Пр.12!G$10:G$1515,Пр.12!$D$10:$D$1515,C93)</f>
        <v>0</v>
      </c>
      <c r="E93" s="461">
        <f>SUMIFS(Пр.12!H$10:H$1515,Пр.12!$D$10:$D$1515,C93)</f>
        <v>0</v>
      </c>
      <c r="F93" s="693">
        <f>SUMIFS(Пр.12!I$10:I$1515,Пр.12!$D$10:$D$1515,C93)</f>
        <v>0</v>
      </c>
    </row>
    <row r="94" spans="1:6" ht="48" hidden="1" thickBot="1" x14ac:dyDescent="0.25">
      <c r="A94" s="171"/>
      <c r="B94" s="583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434</v>
      </c>
      <c r="D94" s="178">
        <f>SUMIFS(Пр.12!G$10:G$1515,Пр.12!$D$10:$D$1515,C94)</f>
        <v>0</v>
      </c>
      <c r="E94" s="598">
        <f>SUMIFS(Пр.12!H$10:H$1515,Пр.12!$D$10:$D$1515,C94)</f>
        <v>0</v>
      </c>
      <c r="F94" s="581">
        <f>SUMIFS(Пр.12!I$10:I$1515,Пр.12!$D$10:$D$1515,C94)</f>
        <v>0</v>
      </c>
    </row>
    <row r="95" spans="1:6" ht="32.25" hidden="1" thickBot="1" x14ac:dyDescent="0.25">
      <c r="A95" s="171"/>
      <c r="B95" s="583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436</v>
      </c>
      <c r="D95" s="178">
        <f>SUMIFS(Пр.12!G$10:G$1515,Пр.12!$D$10:$D$1515,C95)</f>
        <v>0</v>
      </c>
      <c r="E95" s="598">
        <f>SUMIFS(Пр.12!H$10:H$1515,Пр.12!$D$10:$D$1515,C95)</f>
        <v>0</v>
      </c>
      <c r="F95" s="581">
        <f>SUMIFS(Пр.12!I$10:I$1515,Пр.12!$D$10:$D$1515,C95)</f>
        <v>0</v>
      </c>
    </row>
    <row r="96" spans="1:6" s="156" customFormat="1" ht="48" hidden="1" thickBot="1" x14ac:dyDescent="0.3">
      <c r="A96" s="172"/>
      <c r="B96" s="742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59" t="s">
        <v>438</v>
      </c>
      <c r="D96" s="743">
        <f>SUMIFS(Пр.12!G$10:G$1515,Пр.12!$D$10:$D$1515,C96)</f>
        <v>0</v>
      </c>
      <c r="E96" s="744">
        <f>SUMIFS(Пр.12!H$10:H$1515,Пр.12!$D$10:$D$1515,C96)</f>
        <v>0</v>
      </c>
      <c r="F96" s="760">
        <f>SUMIFS(Пр.12!I$10:I$1515,Пр.12!$D$10:$D$1515,C96)</f>
        <v>0</v>
      </c>
    </row>
    <row r="97" spans="1:6" ht="32.25" hidden="1" thickBot="1" x14ac:dyDescent="0.3">
      <c r="A97" s="171"/>
      <c r="B97" s="739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38" t="s">
        <v>440</v>
      </c>
      <c r="D97" s="160">
        <f>SUMIFS(Пр.12!G$10:G$1515,Пр.12!$D$10:$D$1515,C97)</f>
        <v>0</v>
      </c>
      <c r="E97" s="740">
        <f>SUMIFS(Пр.12!H$10:H$1515,Пр.12!$D$10:$D$1515,C97)</f>
        <v>0</v>
      </c>
      <c r="F97" s="741">
        <f>SUMIFS(Пр.12!I$10:I$1515,Пр.12!$D$10:$D$1515,C97)</f>
        <v>0</v>
      </c>
    </row>
    <row r="98" spans="1:6" s="156" customFormat="1" ht="48" thickBot="1" x14ac:dyDescent="0.3">
      <c r="A98" s="172"/>
      <c r="B98" s="742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59" t="s">
        <v>423</v>
      </c>
      <c r="D98" s="743">
        <f>SUMIFS(Пр.12!G$10:G$1515,Пр.12!$D$10:$D$1515,C98)</f>
        <v>0</v>
      </c>
      <c r="E98" s="744">
        <f>SUMIFS(Пр.12!H$10:H$1515,Пр.12!$D$10:$D$1515,C98)</f>
        <v>240590</v>
      </c>
      <c r="F98" s="760">
        <f>SUMIFS(Пр.12!I$10:I$1515,Пр.12!$D$10:$D$1515,C98)</f>
        <v>240590</v>
      </c>
    </row>
    <row r="99" spans="1:6" ht="48" thickBot="1" x14ac:dyDescent="0.3">
      <c r="A99" s="171"/>
      <c r="B99" s="739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8" t="s">
        <v>425</v>
      </c>
      <c r="D99" s="160">
        <f>SUMIFS(Пр.12!G$10:G$1515,Пр.12!$D$10:$D$1515,C99)</f>
        <v>0</v>
      </c>
      <c r="E99" s="740">
        <f>SUMIFS(Пр.12!H$10:H$1515,Пр.12!$D$10:$D$1515,C99)</f>
        <v>4590</v>
      </c>
      <c r="F99" s="741">
        <f>SUMIFS(Пр.12!I$10:I$1515,Пр.12!$D$10:$D$1515,C99)</f>
        <v>4590</v>
      </c>
    </row>
    <row r="100" spans="1:6" ht="16.5" thickBot="1" x14ac:dyDescent="0.3">
      <c r="A100" s="171"/>
      <c r="B100" s="739" t="str">
        <f>IF(C100&gt;0,VLOOKUP(C100,Программа!A$2:B$5110,2))</f>
        <v xml:space="preserve">Кадровое обеспечение агропромышленного комплекса </v>
      </c>
      <c r="C100" s="238" t="s">
        <v>427</v>
      </c>
      <c r="D100" s="160">
        <f>SUMIFS(Пр.12!G$10:G$1515,Пр.12!$D$10:$D$1515,C100)</f>
        <v>0</v>
      </c>
      <c r="E100" s="740">
        <f>SUMIFS(Пр.12!H$10:H$1515,Пр.12!$D$10:$D$1515,C100)</f>
        <v>36000</v>
      </c>
      <c r="F100" s="741">
        <f>SUMIFS(Пр.12!I$10:I$1515,Пр.12!$D$10:$D$1515,C100)</f>
        <v>36000</v>
      </c>
    </row>
    <row r="101" spans="1:6" ht="63.75" thickBot="1" x14ac:dyDescent="0.3">
      <c r="A101" s="171"/>
      <c r="B101" s="239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8" t="s">
        <v>430</v>
      </c>
      <c r="D101" s="160">
        <f>SUMIFS(Пр.12!G$10:G$1515,Пр.12!$D$10:$D$1515,C101)</f>
        <v>0</v>
      </c>
      <c r="E101" s="160">
        <f>SUMIFS(Пр.12!H$10:H$1515,Пр.12!$D$10:$D$1515,C101)</f>
        <v>200000</v>
      </c>
      <c r="F101" s="160">
        <f>SUMIFS(Пр.12!I$10:I$1515,Пр.12!$D$10:$D$1515,C101)</f>
        <v>200000</v>
      </c>
    </row>
    <row r="102" spans="1:6" ht="48" hidden="1" thickBot="1" x14ac:dyDescent="0.3">
      <c r="A102" s="171"/>
      <c r="B102" s="742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59" t="s">
        <v>1739</v>
      </c>
      <c r="D102" s="743">
        <f>SUMIFS(Пр.12!G$10:G$1515,Пр.12!$D$10:$D$1515,C102)</f>
        <v>0</v>
      </c>
      <c r="E102" s="744">
        <f>SUMIFS(Пр.12!H$10:H$1515,Пр.12!$D$10:$D$1515,C102)</f>
        <v>0</v>
      </c>
      <c r="F102" s="760">
        <f>SUMIFS(Пр.12!I$10:I$1515,Пр.12!$D$10:$D$1515,C102)</f>
        <v>0</v>
      </c>
    </row>
    <row r="103" spans="1:6" ht="48" hidden="1" thickBot="1" x14ac:dyDescent="0.3">
      <c r="A103" s="171"/>
      <c r="B103" s="745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594" t="s">
        <v>1740</v>
      </c>
      <c r="D103" s="752">
        <f>SUMIFS(Пр.12!G$10:G$1515,Пр.12!$D$10:$D$1515,C103)</f>
        <v>0</v>
      </c>
      <c r="E103" s="747">
        <f>SUMIFS(Пр.12!H$10:H$1515,Пр.12!$D$10:$D$1515,C103)</f>
        <v>0</v>
      </c>
      <c r="F103" s="753">
        <f>SUMIFS(Пр.12!I$10:I$1515,Пр.12!$D$10:$D$1515,C103)</f>
        <v>0</v>
      </c>
    </row>
    <row r="104" spans="1:6" s="155" customFormat="1" ht="63.75" thickBot="1" x14ac:dyDescent="0.25">
      <c r="A104" s="165"/>
      <c r="B104" s="471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6" t="s">
        <v>401</v>
      </c>
      <c r="D104" s="455">
        <f>SUMIFS(Пр.12!G$10:G$1515,Пр.12!$D$10:$D$1515,C104)</f>
        <v>0</v>
      </c>
      <c r="E104" s="456">
        <f>SUMIFS(Пр.12!H$10:H$1515,Пр.12!$D$10:$D$1515,C104)</f>
        <v>300000</v>
      </c>
      <c r="F104" s="672">
        <f>SUMIFS(Пр.12!I$10:I$1515,Пр.12!$D$10:$D$1515,C104)</f>
        <v>300000</v>
      </c>
    </row>
    <row r="105" spans="1:6" ht="16.5" hidden="1" thickBot="1" x14ac:dyDescent="0.25">
      <c r="A105" s="171"/>
      <c r="B105" s="590">
        <f>IF(C105&gt;0,VLOOKUP(C105,Программа!A$2:B$5110,2))</f>
        <v>0</v>
      </c>
      <c r="C105" s="176" t="s">
        <v>571</v>
      </c>
      <c r="D105" s="591">
        <f>SUMIFS(Пр.12!G$10:G$1515,Пр.12!$D$10:$D$1515,C105)</f>
        <v>0</v>
      </c>
      <c r="E105" s="461">
        <f>SUMIFS(Пр.12!H$10:H$1515,Пр.12!$D$10:$D$1515,C105)</f>
        <v>0</v>
      </c>
      <c r="F105" s="693">
        <f>SUMIFS(Пр.12!I$10:I$1515,Пр.12!$D$10:$D$1515,C105)</f>
        <v>0</v>
      </c>
    </row>
    <row r="106" spans="1:6" ht="63.75" thickBot="1" x14ac:dyDescent="0.3">
      <c r="A106" s="171"/>
      <c r="B106" s="739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8" t="s">
        <v>568</v>
      </c>
      <c r="D106" s="160">
        <f>SUMIFS(Пр.12!G$10:G$1515,Пр.12!$D$10:$D$1515,C106)</f>
        <v>0</v>
      </c>
      <c r="E106" s="740">
        <f>SUMIFS(Пр.12!H$10:H$1515,Пр.12!$D$10:$D$1515,C106)</f>
        <v>300000</v>
      </c>
      <c r="F106" s="741">
        <f>SUMIFS(Пр.12!I$10:I$1515,Пр.12!$D$10:$D$1515,C106)</f>
        <v>300000</v>
      </c>
    </row>
    <row r="107" spans="1:6" s="156" customFormat="1" ht="63.75" hidden="1" thickBot="1" x14ac:dyDescent="0.3">
      <c r="A107" s="172"/>
      <c r="B107" s="582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9" t="s">
        <v>562</v>
      </c>
      <c r="D107" s="743">
        <f>SUMIFS(Пр.12!G$10:G$1515,Пр.12!$D$10:$D$1515,C107)</f>
        <v>0</v>
      </c>
      <c r="E107" s="740">
        <f>SUMIFS(Пр.12!H$10:H$1515,Пр.12!$D$10:$D$1515,C107)</f>
        <v>0</v>
      </c>
      <c r="F107" s="741">
        <f>SUMIFS(Пр.12!I$10:I$1515,Пр.12!$D$10:$D$1515,C107)</f>
        <v>0</v>
      </c>
    </row>
    <row r="108" spans="1:6" ht="63.75" hidden="1" thickBot="1" x14ac:dyDescent="0.3">
      <c r="A108" s="171"/>
      <c r="B108" s="588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3" t="s">
        <v>563</v>
      </c>
      <c r="D108" s="752">
        <f>SUMIFS(Пр.12!G$10:G$1515,Пр.12!$D$10:$D$1515,C108)</f>
        <v>0</v>
      </c>
      <c r="E108" s="747">
        <f>SUMIFS(Пр.12!H$10:H$1515,Пр.12!$D$10:$D$1515,C108)</f>
        <v>0</v>
      </c>
      <c r="F108" s="753">
        <f>SUMIFS(Пр.12!I$10:I$1515,Пр.12!$D$10:$D$1515,C108)</f>
        <v>0</v>
      </c>
    </row>
    <row r="109" spans="1:6" s="155" customFormat="1" ht="79.5" thickBot="1" x14ac:dyDescent="0.25">
      <c r="A109" s="165"/>
      <c r="B109" s="813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14" t="s">
        <v>405</v>
      </c>
      <c r="D109" s="815">
        <f>SUMIFS(Пр.12!G$10:G$1515,Пр.12!$D$10:$D$1515,C109)</f>
        <v>0</v>
      </c>
      <c r="E109" s="816">
        <f>SUMIFS(Пр.12!H$10:H$1515,Пр.12!$D$10:$D$1515,C109)</f>
        <v>270000</v>
      </c>
      <c r="F109" s="817">
        <f>SUMIFS(Пр.12!I$10:I$1515,Пр.12!$D$10:$D$1515,C109)</f>
        <v>270000</v>
      </c>
    </row>
    <row r="110" spans="1:6" ht="48" thickBot="1" x14ac:dyDescent="0.3">
      <c r="A110" s="171"/>
      <c r="B110" s="818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19" t="s">
        <v>406</v>
      </c>
      <c r="D110" s="820">
        <f>SUMIFS(Пр.12!G$10:G$1515,Пр.12!$D$10:$D$1515,C110)</f>
        <v>0</v>
      </c>
      <c r="E110" s="820">
        <f>SUMIFS(Пр.12!H$10:H$1515,Пр.12!$D$10:$D$1515,C110)</f>
        <v>270000</v>
      </c>
      <c r="F110" s="821">
        <f>SUMIFS(Пр.12!I$10:I$1515,Пр.12!$D$10:$D$1515,C110)</f>
        <v>270000</v>
      </c>
    </row>
    <row r="111" spans="1:6" ht="63.75" hidden="1" thickBot="1" x14ac:dyDescent="0.3">
      <c r="A111" s="171"/>
      <c r="B111" s="822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23" t="s">
        <v>1826</v>
      </c>
      <c r="D111" s="824">
        <f>SUMIFS(Пр.12!G$10:G$1515,Пр.12!$D$10:$D$1515,C111)</f>
        <v>0</v>
      </c>
      <c r="E111" s="824">
        <f>SUMIFS(Пр.12!H$10:H$1515,Пр.12!$D$10:$D$1515,C111)</f>
        <v>0</v>
      </c>
      <c r="F111" s="825">
        <f>SUMIFS(Пр.12!I$10:I$1515,Пр.12!$D$10:$D$1515,C111)</f>
        <v>0</v>
      </c>
    </row>
    <row r="112" spans="1:6" s="155" customFormat="1" ht="48" thickBot="1" x14ac:dyDescent="0.25">
      <c r="A112" s="165"/>
      <c r="B112" s="641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42" t="s">
        <v>409</v>
      </c>
      <c r="D112" s="469">
        <f>SUMIFS(Пр.12!G$10:G$1515,Пр.12!$D$10:$D$1515,C112)</f>
        <v>0</v>
      </c>
      <c r="E112" s="470">
        <f>SUMIFS(Пр.12!H$10:H$1515,Пр.12!$D$10:$D$1515,C112)</f>
        <v>2256700</v>
      </c>
      <c r="F112" s="733">
        <f>SUMIFS(Пр.12!I$10:I$1515,Пр.12!$D$10:$D$1515,C112)</f>
        <v>2256700</v>
      </c>
    </row>
    <row r="113" spans="1:6" ht="16.5" thickBot="1" x14ac:dyDescent="0.3">
      <c r="A113" s="171"/>
      <c r="B113" s="748" t="str">
        <f>IF(C113&gt;0,VLOOKUP(C113,Программа!A$2:B$5110,2))</f>
        <v>Бесперебойное функционирование информационных систем</v>
      </c>
      <c r="C113" s="749" t="s">
        <v>445</v>
      </c>
      <c r="D113" s="750">
        <f>SUMIFS(Пр.12!G$10:G$1515,Пр.12!$D$10:$D$1515,C113)</f>
        <v>0</v>
      </c>
      <c r="E113" s="751">
        <f>SUMIFS(Пр.12!H$10:H$1515,Пр.12!$D$10:$D$1515,C113)</f>
        <v>2256700</v>
      </c>
      <c r="F113" s="738">
        <f>SUMIFS(Пр.12!I$10:I$1515,Пр.12!$D$10:$D$1515,C113)</f>
        <v>2256700</v>
      </c>
    </row>
    <row r="114" spans="1:6" ht="48" hidden="1" thickBot="1" x14ac:dyDescent="0.3">
      <c r="A114" s="171"/>
      <c r="B114" s="745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4" t="s">
        <v>411</v>
      </c>
      <c r="D114" s="752">
        <f>SUMIFS(Пр.12!G$10:G$1515,Пр.12!$D$10:$D$1515,C114)</f>
        <v>0</v>
      </c>
      <c r="E114" s="747">
        <f>SUMIFS(Пр.12!H$10:H$1515,Пр.12!$D$10:$D$1515,C114)</f>
        <v>0</v>
      </c>
      <c r="F114" s="753">
        <f>SUMIFS(Пр.12!I$10:I$1515,Пр.12!$D$10:$D$1515,C114)</f>
        <v>0</v>
      </c>
    </row>
    <row r="115" spans="1:6" s="155" customFormat="1" ht="63.75" thickBot="1" x14ac:dyDescent="0.25">
      <c r="A115" s="165"/>
      <c r="B115" s="471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6" t="s">
        <v>413</v>
      </c>
      <c r="D115" s="455">
        <f>SUMIFS(Пр.12!G$10:G$1515,Пр.12!$D$10:$D$1515,C115)</f>
        <v>0</v>
      </c>
      <c r="E115" s="456">
        <f>SUMIFS(Пр.12!H$10:H$1515,Пр.12!$D$10:$D$1515,C115)</f>
        <v>250000</v>
      </c>
      <c r="F115" s="672">
        <f>SUMIFS(Пр.12!I$10:I$1515,Пр.12!$D$10:$D$1515,C115)</f>
        <v>250000</v>
      </c>
    </row>
    <row r="116" spans="1:6" ht="63.75" thickBot="1" x14ac:dyDescent="0.25">
      <c r="A116" s="171"/>
      <c r="B116" s="590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6" t="s">
        <v>414</v>
      </c>
      <c r="D116" s="591">
        <f>SUMIFS(Пр.12!G$10:G$1515,Пр.12!$D$10:$D$1515,C116)</f>
        <v>0</v>
      </c>
      <c r="E116" s="461">
        <f>SUMIFS(Пр.12!H$10:H$1515,Пр.12!$D$10:$D$1515,C116)</f>
        <v>250000</v>
      </c>
      <c r="F116" s="693">
        <f>SUMIFS(Пр.12!I$10:I$1515,Пр.12!$D$10:$D$1515,C116)</f>
        <v>250000</v>
      </c>
    </row>
    <row r="117" spans="1:6" ht="32.25" hidden="1" thickBot="1" x14ac:dyDescent="0.25">
      <c r="A117" s="170" t="s">
        <v>706</v>
      </c>
      <c r="B117" s="588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3" t="s">
        <v>707</v>
      </c>
      <c r="D117" s="589">
        <f>SUMIFS(Пр.12!G$10:G$1515,Пр.12!$D$10:$D$1515,C117)</f>
        <v>0</v>
      </c>
      <c r="E117" s="463">
        <f>SUMIFS(Пр.12!H$10:H$1515,Пр.12!$D$10:$D$1515,C117)</f>
        <v>0</v>
      </c>
      <c r="F117" s="667">
        <f>SUMIFS(Пр.12!I$10:I$1515,Пр.12!$D$10:$D$1515,C117)</f>
        <v>0</v>
      </c>
    </row>
    <row r="118" spans="1:6" s="155" customFormat="1" ht="48" thickBot="1" x14ac:dyDescent="0.25">
      <c r="A118" s="165" t="s">
        <v>708</v>
      </c>
      <c r="B118" s="586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6" t="s">
        <v>513</v>
      </c>
      <c r="D118" s="587">
        <f>SUMIFS(Пр.12!G$10:G$1515,Пр.12!$D$10:$D$1515,C118)</f>
        <v>0</v>
      </c>
      <c r="E118" s="456">
        <f>SUMIFS(Пр.12!H$10:H$1515,Пр.12!$D$10:$D$1515,C118)</f>
        <v>6000</v>
      </c>
      <c r="F118" s="673">
        <f>SUMIFS(Пр.12!I$10:I$1515,Пр.12!$D$10:$D$1515,C118)</f>
        <v>6000</v>
      </c>
    </row>
    <row r="119" spans="1:6" ht="16.5" thickBot="1" x14ac:dyDescent="0.25">
      <c r="A119" s="170" t="s">
        <v>709</v>
      </c>
      <c r="B119" s="592" t="str">
        <f>IF(C119&gt;0,VLOOKUP(C119,Программа!A$2:B$5110,2))</f>
        <v>Реализация мероприятий по профилактике правонарушений</v>
      </c>
      <c r="C119" s="175" t="s">
        <v>515</v>
      </c>
      <c r="D119" s="593">
        <f>SUMIFS(Пр.12!G$10:G$1515,Пр.12!$D$10:$D$1515,C119)</f>
        <v>0</v>
      </c>
      <c r="E119" s="514">
        <f>SUMIFS(Пр.12!H$10:H$1515,Пр.12!$D$10:$D$1515,C119)</f>
        <v>6000</v>
      </c>
      <c r="F119" s="671">
        <f>SUMIFS(Пр.12!I$10:I$1515,Пр.12!$D$10:$D$1515,C119)</f>
        <v>6000</v>
      </c>
    </row>
    <row r="120" spans="1:6" s="155" customFormat="1" ht="48" thickBot="1" x14ac:dyDescent="0.25">
      <c r="A120" s="165" t="s">
        <v>710</v>
      </c>
      <c r="B120" s="471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6" t="s">
        <v>623</v>
      </c>
      <c r="D120" s="455">
        <f>SUMIFS(Пр.12!G$10:G$1515,Пр.12!$D$10:$D$1515,C120)</f>
        <v>0</v>
      </c>
      <c r="E120" s="456">
        <f>SUMIFS(Пр.12!H$10:H$1515,Пр.12!$D$10:$D$1515,C120)</f>
        <v>19500000</v>
      </c>
      <c r="F120" s="672">
        <f>SUMIFS(Пр.12!I$10:I$1515,Пр.12!$D$10:$D$1515,C120)</f>
        <v>19500000</v>
      </c>
    </row>
    <row r="121" spans="1:6" ht="48" thickBot="1" x14ac:dyDescent="0.3">
      <c r="A121" s="171" t="s">
        <v>711</v>
      </c>
      <c r="B121" s="748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49" t="s">
        <v>629</v>
      </c>
      <c r="D121" s="750">
        <f>SUMIFS(Пр.12!G$10:G$1515,Пр.12!$D$10:$D$1515,C121)</f>
        <v>0</v>
      </c>
      <c r="E121" s="751">
        <f>SUMIFS(Пр.12!H$10:H$1515,Пр.12!$D$10:$D$1515,C121)</f>
        <v>19500000</v>
      </c>
      <c r="F121" s="738">
        <f>SUMIFS(Пр.12!I$10:I$1515,Пр.12!$D$10:$D$1515,C121)</f>
        <v>19500000</v>
      </c>
    </row>
    <row r="122" spans="1:6" ht="32.25" hidden="1" thickBot="1" x14ac:dyDescent="0.3">
      <c r="A122" s="171" t="s">
        <v>1493</v>
      </c>
      <c r="B122" s="745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594" t="s">
        <v>1374</v>
      </c>
      <c r="D122" s="752">
        <f>SUMIFS(Пр.12!G$10:G$1515,Пр.12!$D$10:$D$1515,C122)</f>
        <v>0</v>
      </c>
      <c r="E122" s="747">
        <f>SUMIFS(Пр.12!H$10:H$1515,Пр.12!$D$10:$D$1515,C122)</f>
        <v>0</v>
      </c>
      <c r="F122" s="741">
        <f>SUMIFS(Пр.12!I$10:I$1515,Пр.12!$D$10:$D$1515,C122)</f>
        <v>0</v>
      </c>
    </row>
    <row r="123" spans="1:6" s="155" customFormat="1" ht="32.25" hidden="1" thickBot="1" x14ac:dyDescent="0.25">
      <c r="A123" s="378" t="s">
        <v>70</v>
      </c>
      <c r="B123" s="586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19" t="s">
        <v>713</v>
      </c>
      <c r="D123" s="587">
        <f>SUMIFS(Пр.12!G$10:G$1515,Пр.12!$D$10:$D$1515,C123)</f>
        <v>0</v>
      </c>
      <c r="E123" s="456">
        <f>SUMIFS(Пр.12!H$10:H$1515,Пр.12!$D$10:$D$1515,C123)</f>
        <v>0</v>
      </c>
      <c r="F123" s="579">
        <f>SUMIFS(Пр.12!I$10:I$1515,Пр.12!$D$10:$D$1515,C123)</f>
        <v>0</v>
      </c>
    </row>
    <row r="124" spans="1:6" s="156" customFormat="1" ht="48" hidden="1" thickBot="1" x14ac:dyDescent="0.25">
      <c r="A124" s="172" t="s">
        <v>714</v>
      </c>
      <c r="B124" s="584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0" t="s">
        <v>716</v>
      </c>
      <c r="D124" s="585">
        <f>SUMIFS(Пр.12!G$10:G$1515,Пр.12!$D$10:$D$1515,C124)</f>
        <v>0</v>
      </c>
      <c r="E124" s="461">
        <f>SUMIFS(Пр.12!H$10:H$1515,Пр.12!$D$10:$D$1515,C124)</f>
        <v>0</v>
      </c>
      <c r="F124" s="581">
        <f>SUMIFS(Пр.12!I$10:I$1515,Пр.12!$D$10:$D$1515,C124)</f>
        <v>0</v>
      </c>
    </row>
    <row r="125" spans="1:6" ht="32.25" hidden="1" thickBot="1" x14ac:dyDescent="0.25">
      <c r="A125" s="171" t="s">
        <v>717</v>
      </c>
      <c r="B125" s="583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1" t="s">
        <v>719</v>
      </c>
      <c r="D125" s="178">
        <f>SUMIFS(Пр.12!G$10:G$1515,Пр.12!$D$10:$D$1515,C125)</f>
        <v>0</v>
      </c>
      <c r="E125" s="598">
        <f>SUMIFS(Пр.12!H$10:H$1515,Пр.12!$D$10:$D$1515,C125)</f>
        <v>0</v>
      </c>
      <c r="F125" s="581">
        <f>SUMIFS(Пр.12!I$10:I$1515,Пр.12!$D$10:$D$1515,C125)</f>
        <v>0</v>
      </c>
    </row>
    <row r="126" spans="1:6" s="156" customFormat="1" ht="48" hidden="1" thickBot="1" x14ac:dyDescent="0.25">
      <c r="A126" s="172" t="s">
        <v>720</v>
      </c>
      <c r="B126" s="582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4" t="s">
        <v>722</v>
      </c>
      <c r="D126" s="180">
        <f>SUMIFS(Пр.12!G$10:G$1515,Пр.12!$D$10:$D$1515,C126)</f>
        <v>0</v>
      </c>
      <c r="E126" s="598">
        <f>SUMIFS(Пр.12!H$10:H$1515,Пр.12!$D$10:$D$1515,C126)</f>
        <v>0</v>
      </c>
      <c r="F126" s="580">
        <f>SUMIFS(Пр.12!I$10:I$1515,Пр.12!$D$10:$D$1515,C126)</f>
        <v>0</v>
      </c>
    </row>
    <row r="127" spans="1:6" ht="32.25" hidden="1" thickBot="1" x14ac:dyDescent="0.25">
      <c r="A127" s="170" t="s">
        <v>43</v>
      </c>
      <c r="B127" s="583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1" t="s">
        <v>724</v>
      </c>
      <c r="D127" s="178">
        <f>SUMIFS(Пр.12!G$10:G$1515,Пр.12!$D$10:$D$1515,C127)</f>
        <v>0</v>
      </c>
      <c r="E127" s="598">
        <f>SUMIFS(Пр.12!H$10:H$1515,Пр.12!$D$10:$D$1515,C127)</f>
        <v>0</v>
      </c>
      <c r="F127" s="581">
        <f>SUMIFS(Пр.12!I$10:I$1515,Пр.12!$D$10:$D$1515,C127)</f>
        <v>0</v>
      </c>
    </row>
    <row r="128" spans="1:6" ht="32.25" hidden="1" thickBot="1" x14ac:dyDescent="0.25">
      <c r="A128" s="171" t="s">
        <v>725</v>
      </c>
      <c r="B128" s="583" t="str">
        <f>IF(C128&gt;0,VLOOKUP(C128,Программа!A$2:B$5110,2))</f>
        <v>Обеспечение мероприятий по ремонту общедомового имущества</v>
      </c>
      <c r="C128" s="421" t="s">
        <v>727</v>
      </c>
      <c r="D128" s="178">
        <f>SUMIFS(Пр.12!G$10:G$1515,Пр.12!$D$10:$D$1515,C128)</f>
        <v>0</v>
      </c>
      <c r="E128" s="598">
        <f>SUMIFS(Пр.12!H$10:H$1515,Пр.12!$D$10:$D$1515,C128)</f>
        <v>0</v>
      </c>
      <c r="F128" s="581">
        <f>SUMIFS(Пр.12!I$10:I$1515,Пр.12!$D$10:$D$1515,C128)</f>
        <v>0</v>
      </c>
    </row>
    <row r="129" spans="1:6" ht="32.25" hidden="1" thickBot="1" x14ac:dyDescent="0.25">
      <c r="A129" s="170" t="s">
        <v>53</v>
      </c>
      <c r="B129" s="583" t="str">
        <f>IF(C129&gt;0,VLOOKUP(C129,Программа!A$2:B$5110,2))</f>
        <v>Обеспечение мероприятий по ремонту муниципальных квартир</v>
      </c>
      <c r="C129" s="421" t="s">
        <v>728</v>
      </c>
      <c r="D129" s="178">
        <f>SUMIFS(Пр.12!G$10:G$1515,Пр.12!$D$10:$D$1515,C129)</f>
        <v>0</v>
      </c>
      <c r="E129" s="598">
        <f>SUMIFS(Пр.12!H$10:H$1515,Пр.12!$D$10:$D$1515,C129)</f>
        <v>0</v>
      </c>
      <c r="F129" s="581">
        <f>SUMIFS(Пр.12!I$10:I$1515,Пр.12!$D$10:$D$1515,C129)</f>
        <v>0</v>
      </c>
    </row>
    <row r="130" spans="1:6" ht="16.5" hidden="1" thickBot="1" x14ac:dyDescent="0.25">
      <c r="A130" s="170"/>
      <c r="B130" s="588" t="str">
        <f>IF(C130&gt;0,VLOOKUP(C130,Программа!A$2:B$5110,2))</f>
        <v>Обеспечение мероприятий по обследованию жилых домов</v>
      </c>
      <c r="C130" s="422" t="s">
        <v>1377</v>
      </c>
      <c r="D130" s="589">
        <f>SUMIFS(Пр.12!G$10:G$1515,Пр.12!$D$10:$D$1515,C130)</f>
        <v>0</v>
      </c>
      <c r="E130" s="463">
        <f>SUMIFS(Пр.12!H$10:H$1515,Пр.12!$D$10:$D$1515,C130)</f>
        <v>0</v>
      </c>
      <c r="F130" s="667">
        <f>SUMIFS(Пр.12!I$10:I$1515,Пр.12!$D$10:$D$1515,C130)</f>
        <v>0</v>
      </c>
    </row>
    <row r="131" spans="1:6" s="155" customFormat="1" ht="48" hidden="1" thickBot="1" x14ac:dyDescent="0.25">
      <c r="A131" s="165"/>
      <c r="B131" s="471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9" t="s">
        <v>731</v>
      </c>
      <c r="D131" s="455">
        <f>SUMIFS(Пр.12!G$10:G$1515,Пр.12!$D$10:$D$1515,C131)</f>
        <v>0</v>
      </c>
      <c r="E131" s="456">
        <f>SUMIFS(Пр.12!H$10:H$1515,Пр.12!$D$10:$D$1515,C131)</f>
        <v>0</v>
      </c>
      <c r="F131" s="672">
        <f>SUMIFS(Пр.12!I$10:I$1515,Пр.12!$D$10:$D$1515,C131)</f>
        <v>0</v>
      </c>
    </row>
    <row r="132" spans="1:6" s="156" customFormat="1" ht="48" hidden="1" thickBot="1" x14ac:dyDescent="0.3">
      <c r="A132" s="172"/>
      <c r="B132" s="734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35" t="s">
        <v>733</v>
      </c>
      <c r="D132" s="736">
        <f>SUMIFS(Пр.12!G$10:G$1515,Пр.12!$D$10:$D$1515,C132)</f>
        <v>0</v>
      </c>
      <c r="E132" s="737">
        <f>SUMIFS(Пр.12!H$10:H$1515,Пр.12!$D$10:$D$1515,C132)</f>
        <v>0</v>
      </c>
      <c r="F132" s="738">
        <f>SUMIFS(Пр.12!I$10:I$1515,Пр.12!$D$10:$D$1515,C132)</f>
        <v>0</v>
      </c>
    </row>
    <row r="133" spans="1:6" ht="32.25" hidden="1" thickBot="1" x14ac:dyDescent="0.3">
      <c r="A133" s="171"/>
      <c r="B133" s="739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7" t="s">
        <v>735</v>
      </c>
      <c r="D133" s="160">
        <f>SUMIFS(Пр.12!G$10:G$1515,Пр.12!$D$10:$D$1515,C133)</f>
        <v>0</v>
      </c>
      <c r="E133" s="740">
        <f>SUMIFS(Пр.12!H$10:H$1515,Пр.12!$D$10:$D$1515,C133)</f>
        <v>0</v>
      </c>
      <c r="F133" s="741">
        <f>SUMIFS(Пр.12!I$10:I$1515,Пр.12!$D$10:$D$1515,C133)</f>
        <v>0</v>
      </c>
    </row>
    <row r="134" spans="1:6" s="156" customFormat="1" ht="48" hidden="1" thickBot="1" x14ac:dyDescent="0.3">
      <c r="A134" s="172"/>
      <c r="B134" s="742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79" t="s">
        <v>736</v>
      </c>
      <c r="D134" s="743">
        <f>SUMIFS(Пр.12!G$10:G$1515,Пр.12!$D$10:$D$1515,C134)</f>
        <v>0</v>
      </c>
      <c r="E134" s="744">
        <f>SUMIFS(Пр.12!H$10:H$1515,Пр.12!$D$10:$D$1515,C134)</f>
        <v>0</v>
      </c>
      <c r="F134" s="741">
        <f>SUMIFS(Пр.12!I$10:I$1515,Пр.12!$D$10:$D$1515,C134)</f>
        <v>0</v>
      </c>
    </row>
    <row r="135" spans="1:6" ht="32.25" hidden="1" thickBot="1" x14ac:dyDescent="0.3">
      <c r="A135" s="171"/>
      <c r="B135" s="739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7" t="s">
        <v>738</v>
      </c>
      <c r="D135" s="160">
        <f>SUMIFS(Пр.12!G$10:G$1515,Пр.12!$D$10:$D$1515,C135)</f>
        <v>0</v>
      </c>
      <c r="E135" s="740">
        <f>SUMIFS(Пр.12!H$10:H$1515,Пр.12!$D$10:$D$1515,C135)</f>
        <v>0</v>
      </c>
      <c r="F135" s="741">
        <f>SUMIFS(Пр.12!I$10:I$1515,Пр.12!$D$10:$D$1515,C135)</f>
        <v>0</v>
      </c>
    </row>
    <row r="136" spans="1:6" ht="32.25" hidden="1" thickBot="1" x14ac:dyDescent="0.3">
      <c r="A136" s="171"/>
      <c r="B136" s="739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7" t="s">
        <v>740</v>
      </c>
      <c r="D136" s="160">
        <f>SUMIFS(Пр.12!G$10:G$1515,Пр.12!$D$10:$D$1515,C136)</f>
        <v>0</v>
      </c>
      <c r="E136" s="740">
        <f>SUMIFS(Пр.12!H$10:H$1515,Пр.12!$D$10:$D$1515,C136)</f>
        <v>0</v>
      </c>
      <c r="F136" s="741">
        <f>SUMIFS(Пр.12!I$10:I$1515,Пр.12!$D$10:$D$1515,C136)</f>
        <v>0</v>
      </c>
    </row>
    <row r="137" spans="1:6" ht="32.25" hidden="1" thickBot="1" x14ac:dyDescent="0.3">
      <c r="A137" s="171"/>
      <c r="B137" s="739" t="str">
        <f>IF(C137&gt;0,VLOOKUP(C137,Программа!A$2:B$5110,2))</f>
        <v>Обеспечение мероприятий по благоустройству воинских захоронений</v>
      </c>
      <c r="C137" s="177" t="s">
        <v>741</v>
      </c>
      <c r="D137" s="160">
        <f>SUMIFS(Пр.12!G$10:G$1515,Пр.12!$D$10:$D$1515,C137)</f>
        <v>0</v>
      </c>
      <c r="E137" s="740">
        <f>SUMIFS(Пр.12!H$10:H$1515,Пр.12!$D$10:$D$1515,C137)</f>
        <v>0</v>
      </c>
      <c r="F137" s="741">
        <f>SUMIFS(Пр.12!I$10:I$1515,Пр.12!$D$10:$D$1515,C137)</f>
        <v>0</v>
      </c>
    </row>
    <row r="138" spans="1:6" ht="79.5" hidden="1" thickBot="1" x14ac:dyDescent="0.3">
      <c r="A138" s="171"/>
      <c r="B138" s="742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79" t="s">
        <v>1645</v>
      </c>
      <c r="D138" s="160">
        <f>SUMIFS(Пр.12!G$10:G$1515,Пр.12!$D$10:$D$1515,C138)</f>
        <v>0</v>
      </c>
      <c r="E138" s="744">
        <f>SUMIFS(Пр.12!H$10:H$1515,Пр.12!$D$10:$D$1515,C138)</f>
        <v>0</v>
      </c>
      <c r="F138" s="741">
        <f>SUMIFS(Пр.12!I$10:I$1515,Пр.12!$D$10:$D$1515,C138)</f>
        <v>0</v>
      </c>
    </row>
    <row r="139" spans="1:6" ht="32.25" hidden="1" thickBot="1" x14ac:dyDescent="0.3">
      <c r="A139" s="171"/>
      <c r="B139" s="739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79" t="s">
        <v>1646</v>
      </c>
      <c r="D139" s="160">
        <f>SUMIFS(Пр.12!G$10:G$1515,Пр.12!$D$10:$D$1515,C139)</f>
        <v>0</v>
      </c>
      <c r="E139" s="740">
        <f>SUMIFS(Пр.12!H$10:H$1515,Пр.12!$D$10:$D$1515,C139)</f>
        <v>0</v>
      </c>
      <c r="F139" s="741">
        <f>SUMIFS(Пр.12!I$10:I$1515,Пр.12!$D$10:$D$1515,C139)</f>
        <v>0</v>
      </c>
    </row>
    <row r="140" spans="1:6" ht="48" hidden="1" thickBot="1" x14ac:dyDescent="0.3">
      <c r="A140" s="171"/>
      <c r="B140" s="742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79" t="s">
        <v>1647</v>
      </c>
      <c r="D140" s="160">
        <f>SUMIFS(Пр.12!G$10:G$1515,Пр.12!$D$10:$D$1515,C140)</f>
        <v>0</v>
      </c>
      <c r="E140" s="744">
        <f>SUMIFS(Пр.12!H$10:H$1515,Пр.12!$D$10:$D$1515,C140)</f>
        <v>0</v>
      </c>
      <c r="F140" s="741">
        <f>SUMIFS(Пр.12!I$10:I$1515,Пр.12!$D$10:$D$1515,C140)</f>
        <v>0</v>
      </c>
    </row>
    <row r="141" spans="1:6" ht="32.25" hidden="1" thickBot="1" x14ac:dyDescent="0.3">
      <c r="A141" s="171"/>
      <c r="B141" s="745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46" t="s">
        <v>1648</v>
      </c>
      <c r="D141" s="160">
        <f>SUMIFS(Пр.12!G$10:G$1515,Пр.12!$D$10:$D$1515,C141)</f>
        <v>0</v>
      </c>
      <c r="E141" s="747">
        <f>SUMIFS(Пр.12!H$10:H$1515,Пр.12!$D$10:$D$1515,C141)</f>
        <v>0</v>
      </c>
      <c r="F141" s="741">
        <f>SUMIFS(Пр.12!I$10:I$1515,Пр.12!$D$10:$D$1515,C141)</f>
        <v>0</v>
      </c>
    </row>
    <row r="142" spans="1:6" s="155" customFormat="1" ht="32.25" hidden="1" thickBot="1" x14ac:dyDescent="0.25">
      <c r="A142" s="165"/>
      <c r="B142" s="586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6" t="s">
        <v>743</v>
      </c>
      <c r="D142" s="587">
        <f>SUMIFS(Пр.12!G$10:G$1515,Пр.12!$D$10:$D$1515,C142)</f>
        <v>0</v>
      </c>
      <c r="E142" s="456">
        <f>SUMIFS(Пр.12!H$10:H$1515,Пр.12!$D$10:$D$1515,C142)</f>
        <v>0</v>
      </c>
      <c r="F142" s="579">
        <f>SUMIFS(Пр.12!I$10:I$1515,Пр.12!$D$10:$D$1515,C142)</f>
        <v>0</v>
      </c>
    </row>
    <row r="143" spans="1:6" ht="32.25" hidden="1" thickBot="1" x14ac:dyDescent="0.25">
      <c r="A143" s="171"/>
      <c r="B143" s="592" t="str">
        <f>IF(C143&gt;0,VLOOKUP(C143,Программа!A$2:B$5110,2))</f>
        <v>Обеспечение населения Тутаевского муниципального района банными услугами</v>
      </c>
      <c r="C143" s="638" t="s">
        <v>745</v>
      </c>
      <c r="D143" s="593">
        <f>SUMIFS(Пр.12!G$10:G$1515,Пр.12!$D$10:$D$1515,C143)</f>
        <v>0</v>
      </c>
      <c r="E143" s="514">
        <f>SUMIFS(Пр.12!H$10:H$1515,Пр.12!$D$10:$D$1515,C143)</f>
        <v>0</v>
      </c>
      <c r="F143" s="667">
        <f>SUMIFS(Пр.12!I$10:I$1515,Пр.12!$D$10:$D$1515,C143)</f>
        <v>0</v>
      </c>
    </row>
    <row r="144" spans="1:6" s="155" customFormat="1" ht="48" thickBot="1" x14ac:dyDescent="0.25">
      <c r="A144" s="165"/>
      <c r="B144" s="471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19" t="s">
        <v>1121</v>
      </c>
      <c r="D144" s="455">
        <f>SUMIFS(Пр.12!G$10:G$1515,Пр.12!$D$10:$D$1515,C144)</f>
        <v>0</v>
      </c>
      <c r="E144" s="456">
        <f>SUMIFS(Пр.12!H$10:H$1515,Пр.12!$D$10:$D$1515,C144)</f>
        <v>700000</v>
      </c>
      <c r="F144" s="672">
        <f>SUMIFS(Пр.12!I$10:I$1515,Пр.12!$D$10:$D$1515,C144)</f>
        <v>700000</v>
      </c>
    </row>
    <row r="145" spans="1:6" ht="32.25" hidden="1" thickBot="1" x14ac:dyDescent="0.25">
      <c r="A145" s="171"/>
      <c r="B145" s="590" t="str">
        <f>IF(C145&gt;0,VLOOKUP(C145,Программа!A$2:B$5110,2))</f>
        <v>Развитие водохозяйственного комплекса Тутаевского муниципального района</v>
      </c>
      <c r="C145" s="424" t="s">
        <v>1122</v>
      </c>
      <c r="D145" s="591">
        <f>SUMIFS(Пр.12!G$10:G$1515,Пр.12!$D$10:$D$1515,C145)</f>
        <v>0</v>
      </c>
      <c r="E145" s="461">
        <f>SUMIFS(Пр.12!H$10:H$1515,Пр.12!$D$10:$D$1515,C145)</f>
        <v>0</v>
      </c>
      <c r="F145" s="693">
        <f>SUMIFS(Пр.12!I$10:I$1515,Пр.12!$D$10:$D$1515,C145)</f>
        <v>0</v>
      </c>
    </row>
    <row r="146" spans="1:6" ht="48" thickBot="1" x14ac:dyDescent="0.3">
      <c r="A146" s="171"/>
      <c r="B146" s="745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1" t="s">
        <v>1163</v>
      </c>
      <c r="D146" s="752">
        <f>SUMIFS(Пр.12!G$10:G$1515,Пр.12!$D$10:$D$1515,C146)</f>
        <v>0</v>
      </c>
      <c r="E146" s="747">
        <f>SUMIFS(Пр.12!H$10:H$1515,Пр.12!$D$10:$D$1515,C146)</f>
        <v>700000</v>
      </c>
      <c r="F146" s="741">
        <f>SUMIFS(Пр.12!I$10:I$1515,Пр.12!$D$10:$D$1515,C146)</f>
        <v>700000</v>
      </c>
    </row>
    <row r="147" spans="1:6" s="155" customFormat="1" ht="48" hidden="1" thickBot="1" x14ac:dyDescent="0.25">
      <c r="A147" s="165"/>
      <c r="B147" s="586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19" t="s">
        <v>1133</v>
      </c>
      <c r="D147" s="587">
        <f>SUMIFS(Пр.12!G$10:G$1515,Пр.12!$D$10:$D$1515,C147)</f>
        <v>0</v>
      </c>
      <c r="E147" s="456">
        <f>SUMIFS(Пр.12!H$10:H$1515,Пр.12!$D$10:$D$1515,C147)</f>
        <v>0</v>
      </c>
      <c r="F147" s="579">
        <f>SUMIFS(Пр.12!I$10:I$1515,Пр.12!$D$10:$D$1515,C147)</f>
        <v>0</v>
      </c>
    </row>
    <row r="148" spans="1:6" ht="48" hidden="1" thickBot="1" x14ac:dyDescent="0.25">
      <c r="A148" s="171"/>
      <c r="B148" s="590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24" t="s">
        <v>1135</v>
      </c>
      <c r="D148" s="591">
        <f>SUMIFS(Пр.12!G$10:G$1515,Пр.12!$D$10:$D$1515,C148)</f>
        <v>0</v>
      </c>
      <c r="E148" s="461">
        <f>SUMIFS(Пр.12!H$10:H$1515,Пр.12!$D$10:$D$1515,C148)</f>
        <v>0</v>
      </c>
      <c r="F148" s="581">
        <f>SUMIFS(Пр.12!I$10:I$1515,Пр.12!$D$10:$D$1515,C148)</f>
        <v>0</v>
      </c>
    </row>
    <row r="149" spans="1:6" ht="63.75" hidden="1" thickBot="1" x14ac:dyDescent="0.25">
      <c r="A149" s="171"/>
      <c r="B149" s="588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22" t="s">
        <v>1137</v>
      </c>
      <c r="D149" s="589">
        <f>SUMIFS(Пр.12!G$10:G$1515,Пр.12!$D$10:$D$1515,C149)</f>
        <v>0</v>
      </c>
      <c r="E149" s="463">
        <f>SUMIFS(Пр.12!H$10:H$1515,Пр.12!$D$10:$D$1515,C149)</f>
        <v>0</v>
      </c>
      <c r="F149" s="581">
        <f>SUMIFS(Пр.12!I$10:I$1515,Пр.12!$D$10:$D$1515,C149)</f>
        <v>0</v>
      </c>
    </row>
    <row r="150" spans="1:6" ht="48" hidden="1" thickBot="1" x14ac:dyDescent="0.25">
      <c r="A150" s="171"/>
      <c r="B150" s="586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37" t="s">
        <v>1139</v>
      </c>
      <c r="D150" s="587">
        <f>SUMIFS(Пр.12!G$10:G$1515,Пр.12!$D$10:$D$1515,C150)</f>
        <v>0</v>
      </c>
      <c r="E150" s="456">
        <f>SUMIFS(Пр.12!H$10:H$1515,Пр.12!$D$10:$D$1515,C150)</f>
        <v>0</v>
      </c>
      <c r="F150" s="579">
        <f>SUMIFS(Пр.12!I$10:I$1515,Пр.12!$D$10:$D$1515,C150)</f>
        <v>0</v>
      </c>
    </row>
    <row r="151" spans="1:6" ht="32.25" hidden="1" thickBot="1" x14ac:dyDescent="0.25">
      <c r="A151" s="171"/>
      <c r="B151" s="590" t="str">
        <f>IF(C151&gt;0,VLOOKUP(C151,Программа!A$2:B$5110,2))</f>
        <v>Обеспечение условий для исполнения функций финансового органа</v>
      </c>
      <c r="C151" s="424" t="s">
        <v>1140</v>
      </c>
      <c r="D151" s="591">
        <f>SUMIFS(Пр.12!G$10:G$1515,Пр.12!$D$10:$D$1515,C151)</f>
        <v>0</v>
      </c>
      <c r="E151" s="461">
        <f>SUMIFS(Пр.12!H$10:H$1515,Пр.12!$D$10:$D$1515,C151)</f>
        <v>0</v>
      </c>
      <c r="F151" s="581">
        <f>SUMIFS(Пр.12!I$10:I$1515,Пр.12!$D$10:$D$1515,C151)</f>
        <v>0</v>
      </c>
    </row>
    <row r="152" spans="1:6" ht="32.25" hidden="1" thickBot="1" x14ac:dyDescent="0.25">
      <c r="A152" s="171"/>
      <c r="B152" s="583" t="str">
        <f>IF(C152&gt;0,VLOOKUP(C152,Программа!A$2:B$5110,2))</f>
        <v>Организационно-техническое обеспечение бюджетного процесса</v>
      </c>
      <c r="C152" s="421" t="s">
        <v>1240</v>
      </c>
      <c r="D152" s="178">
        <f>SUMIFS(Пр.12!G$10:G$1515,Пр.12!$D$10:$D$1515,C152)</f>
        <v>0</v>
      </c>
      <c r="E152" s="598">
        <f>SUMIFS(Пр.12!H$10:H$1515,Пр.12!$D$10:$D$1515,C152)</f>
        <v>0</v>
      </c>
      <c r="F152" s="581">
        <f>SUMIFS(Пр.12!I$10:I$1515,Пр.12!$D$10:$D$1515,C152)</f>
        <v>0</v>
      </c>
    </row>
    <row r="153" spans="1:6" ht="16.5" hidden="1" thickBot="1" x14ac:dyDescent="0.25">
      <c r="A153" s="413"/>
      <c r="B153" s="588" t="str">
        <f>IF(C153&gt;0,VLOOKUP(C153,Программа!A$2:B$5110,2))</f>
        <v>Нормативно-методическое обеспечение бюджетного процесса</v>
      </c>
      <c r="C153" s="422" t="s">
        <v>1242</v>
      </c>
      <c r="D153" s="589">
        <f>SUMIFS(Пр.12!G$10:G$1515,Пр.12!$D$10:$D$1515,C153)</f>
        <v>0</v>
      </c>
      <c r="E153" s="463">
        <f>SUMIFS(Пр.12!H$10:H$1515,Пр.12!$D$10:$D$1515,C153)</f>
        <v>0</v>
      </c>
      <c r="F153" s="667">
        <f>SUMIFS(Пр.12!I$10:I$1515,Пр.12!$D$10:$D$1515,C153)</f>
        <v>0</v>
      </c>
    </row>
    <row r="154" spans="1:6" s="155" customFormat="1" ht="32.25" hidden="1" thickBot="1" x14ac:dyDescent="0.25">
      <c r="A154" s="165"/>
      <c r="B154" s="471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19" t="s">
        <v>1244</v>
      </c>
      <c r="D154" s="455">
        <f>SUMIFS(Пр.12!G$10:G$1515,Пр.12!$D$10:$D$1515,C154)</f>
        <v>0</v>
      </c>
      <c r="E154" s="456">
        <f>SUMIFS(Пр.12!H$10:H$1515,Пр.12!$D$10:$D$1515,C154)</f>
        <v>0</v>
      </c>
      <c r="F154" s="672">
        <f>SUMIFS(Пр.12!I$10:I$1515,Пр.12!$D$10:$D$1515,C154)</f>
        <v>0</v>
      </c>
    </row>
    <row r="155" spans="1:6" ht="15.75" hidden="1" x14ac:dyDescent="0.25">
      <c r="A155" s="576"/>
      <c r="B155" s="748" t="str">
        <f>IF(C155&gt;0,VLOOKUP(C155,Программа!A$2:B$5110,2))</f>
        <v>Повышение уровня благоустройства дворовых территорий</v>
      </c>
      <c r="C155" s="294" t="s">
        <v>1264</v>
      </c>
      <c r="D155" s="750">
        <f>SUMIFS(Пр.12!G$10:G$1515,Пр.12!$D$10:$D$1515,C155)</f>
        <v>0</v>
      </c>
      <c r="E155" s="751">
        <f>SUMIFS(Пр.12!H$10:H$1515,Пр.12!$D$10:$D$1515,C155)</f>
        <v>0</v>
      </c>
      <c r="F155" s="738">
        <f>SUMIFS(Пр.12!I$10:I$1515,Пр.12!$D$10:$D$1515,C155)</f>
        <v>0</v>
      </c>
    </row>
    <row r="156" spans="1:6" ht="31.5" hidden="1" x14ac:dyDescent="0.25">
      <c r="A156" s="577"/>
      <c r="B156" s="739" t="str">
        <f>IF(C156&gt;0,VLOOKUP(C156,Программа!A$2:B$5110,2))</f>
        <v>Повышение  уровня благоустройства  мест массового отдыха людей</v>
      </c>
      <c r="C156" s="177" t="s">
        <v>1265</v>
      </c>
      <c r="D156" s="160">
        <f>SUMIFS(Пр.12!G$10:G$1515,Пр.12!$D$10:$D$1515,C156)</f>
        <v>0</v>
      </c>
      <c r="E156" s="740">
        <f>SUMIFS(Пр.12!H$10:H$1515,Пр.12!$D$10:$D$1515,C156)</f>
        <v>0</v>
      </c>
      <c r="F156" s="741">
        <f>SUMIFS(Пр.12!I$10:I$1515,Пр.12!$D$10:$D$1515,C156)</f>
        <v>0</v>
      </c>
    </row>
    <row r="157" spans="1:6" ht="31.5" hidden="1" x14ac:dyDescent="0.25">
      <c r="A157" s="577"/>
      <c r="B157" s="739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7" t="s">
        <v>1266</v>
      </c>
      <c r="D157" s="160">
        <f>SUMIFS(Пр.12!G$10:G$1515,Пр.12!$D$10:$D$1515,C157)</f>
        <v>0</v>
      </c>
      <c r="E157" s="740">
        <f>SUMIFS(Пр.12!H$10:H$1515,Пр.12!$D$10:$D$1515,C157)</f>
        <v>0</v>
      </c>
      <c r="F157" s="741">
        <f>SUMIFS(Пр.12!I$10:I$1515,Пр.12!$D$10:$D$1515,C157)</f>
        <v>0</v>
      </c>
    </row>
    <row r="158" spans="1:6" ht="32.25" hidden="1" thickBot="1" x14ac:dyDescent="0.3">
      <c r="A158" s="578"/>
      <c r="B158" s="745" t="str">
        <f>IF(C158&gt;0,VLOOKUP(C158,Программа!A$2:B$5110,2))</f>
        <v>Реализация   проекта "Формирование комфортной городской среды"</v>
      </c>
      <c r="C158" s="594" t="s">
        <v>1534</v>
      </c>
      <c r="D158" s="752">
        <f>SUMIFS(Пр.12!G$10:G$1515,Пр.12!$D$10:$D$1515,C158)</f>
        <v>0</v>
      </c>
      <c r="E158" s="747">
        <f>SUMIFS(Пр.12!H$10:H$1515,Пр.12!$D$10:$D$1515,C158)</f>
        <v>0</v>
      </c>
      <c r="F158" s="753">
        <f>SUMIFS(Пр.12!I$10:I$1515,Пр.12!$D$10:$D$1515,C158)</f>
        <v>0</v>
      </c>
    </row>
    <row r="159" spans="1:6" s="155" customFormat="1" ht="63.75" thickBot="1" x14ac:dyDescent="0.25">
      <c r="A159" s="444"/>
      <c r="B159" s="471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19" t="s">
        <v>1248</v>
      </c>
      <c r="D159" s="455">
        <f>D160</f>
        <v>0</v>
      </c>
      <c r="E159" s="456">
        <f t="shared" ref="E159:F159" si="0">E160</f>
        <v>30000</v>
      </c>
      <c r="F159" s="672">
        <f t="shared" si="0"/>
        <v>30000</v>
      </c>
    </row>
    <row r="160" spans="1:6" ht="16.5" thickBot="1" x14ac:dyDescent="0.3">
      <c r="A160" s="171"/>
      <c r="B160" s="592" t="str">
        <f>IF(C160&gt;0,VLOOKUP(C160,Программа!A$2:B$5110,2))</f>
        <v>Мероприятия по обеспечению безопасности жителей района</v>
      </c>
      <c r="C160" s="182" t="s">
        <v>1249</v>
      </c>
      <c r="D160" s="593">
        <f>SUMIFS(Пр.12!G$10:G$1515,Пр.12!$D$10:$D$1515,C160)</f>
        <v>0</v>
      </c>
      <c r="E160" s="514">
        <f>SUMIFS(Пр.12!H$10:H$1515,Пр.12!$D$10:$D$1515,C160)</f>
        <v>30000</v>
      </c>
      <c r="F160" s="671">
        <f>SUMIFS(Пр.12!I$10:I$1515,Пр.12!$D$10:$D$1515,C160)</f>
        <v>30000</v>
      </c>
    </row>
    <row r="161" spans="1:6" s="155" customFormat="1" ht="48" thickBot="1" x14ac:dyDescent="0.25">
      <c r="A161" s="165"/>
      <c r="B161" s="471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19" t="s">
        <v>1367</v>
      </c>
      <c r="D161" s="455">
        <f>SUMIFS(Пр.12!G$10:G$1515,Пр.12!$D$10:$D$1515,C161)</f>
        <v>0</v>
      </c>
      <c r="E161" s="456">
        <f>SUMIFS(Пр.12!H$10:H$1515,Пр.12!$D$10:$D$1515,C161)</f>
        <v>70000</v>
      </c>
      <c r="F161" s="672">
        <f>SUMIFS(Пр.12!I$10:I$1515,Пр.12!$D$10:$D$1515,C161)</f>
        <v>70000</v>
      </c>
    </row>
    <row r="162" spans="1:6" ht="32.25" hidden="1" thickBot="1" x14ac:dyDescent="0.25">
      <c r="A162" s="171"/>
      <c r="B162" s="590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24" t="s">
        <v>1368</v>
      </c>
      <c r="D162" s="591">
        <f>SUMIFS(Пр.12!G$10:G$1515,Пр.12!$D$10:$D$1515,C162)</f>
        <v>0</v>
      </c>
      <c r="E162" s="461">
        <f>SUMIFS(Пр.12!H$10:H$1515,Пр.12!$D$10:$D$1515,C162)</f>
        <v>0</v>
      </c>
      <c r="F162" s="693">
        <f>SUMIFS(Пр.12!I$10:I$1515,Пр.12!$D$10:$D$1515,C162)</f>
        <v>0</v>
      </c>
    </row>
    <row r="163" spans="1:6" ht="32.25" thickBot="1" x14ac:dyDescent="0.3">
      <c r="A163" s="171"/>
      <c r="B163" s="745" t="str">
        <f>IF(C163&gt;0,VLOOKUP(C163,Программа!A$2:B$5110,2))</f>
        <v>Проведение историко-культурной экспертизы объектов культурного наследия</v>
      </c>
      <c r="C163" s="181" t="s">
        <v>1371</v>
      </c>
      <c r="D163" s="752">
        <f>SUMIFS(Пр.12!G$10:G$1515,Пр.12!$D$10:$D$1515,C163)</f>
        <v>0</v>
      </c>
      <c r="E163" s="747">
        <f>SUMIFS(Пр.12!H$10:H$1515,Пр.12!$D$10:$D$1515,C163)</f>
        <v>70000</v>
      </c>
      <c r="F163" s="753">
        <f>SUMIFS(Пр.12!I$10:I$1515,Пр.12!$D$10:$D$1515,C163)</f>
        <v>70000</v>
      </c>
    </row>
    <row r="164" spans="1:6" ht="48" thickBot="1" x14ac:dyDescent="0.25">
      <c r="A164" s="171"/>
      <c r="B164" s="471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19" t="s">
        <v>1560</v>
      </c>
      <c r="D164" s="455">
        <f>SUMIFS(Пр.12!G$10:G$1515,Пр.12!$D$10:$D$1515,C164)</f>
        <v>0</v>
      </c>
      <c r="E164" s="456">
        <f>SUMIFS(Пр.12!H$10:H$1515,Пр.12!$D$10:$D$1515,C164)</f>
        <v>400000</v>
      </c>
      <c r="F164" s="672">
        <f>SUMIFS(Пр.12!I$10:I$1515,Пр.12!$D$10:$D$1515,C164)</f>
        <v>400000</v>
      </c>
    </row>
    <row r="165" spans="1:6" ht="32.25" thickBot="1" x14ac:dyDescent="0.3">
      <c r="A165" s="171"/>
      <c r="B165" s="748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4" t="s">
        <v>1561</v>
      </c>
      <c r="D165" s="750">
        <f>SUMIFS(Пр.12!G$10:G$1515,Пр.12!$D$10:$D$1515,C165)</f>
        <v>0</v>
      </c>
      <c r="E165" s="751">
        <f>SUMIFS(Пр.12!H$10:H$1515,Пр.12!$D$10:$D$1515,C165)</f>
        <v>400000</v>
      </c>
      <c r="F165" s="738">
        <f>SUMIFS(Пр.12!I$10:I$1515,Пр.12!$D$10:$D$1515,C165)</f>
        <v>400000</v>
      </c>
    </row>
    <row r="166" spans="1:6" ht="32.25" hidden="1" thickBot="1" x14ac:dyDescent="0.25">
      <c r="A166" s="171"/>
      <c r="B166" s="588" t="str">
        <f>IF(C166&gt;0,VLOOKUP(C166,Программа!A$2:B$5110,2))</f>
        <v>Разработка проектов планирования и (или) проектов межевания территории</v>
      </c>
      <c r="C166" s="422" t="s">
        <v>1562</v>
      </c>
      <c r="D166" s="593">
        <f>SUMIFS(Пр.12!G$10:G$1515,Пр.12!$D$10:$D$1515,C166)</f>
        <v>0</v>
      </c>
      <c r="E166" s="463">
        <f>SUMIFS(Пр.12!H$10:H$1515,Пр.12!$D$10:$D$1515,C166)</f>
        <v>0</v>
      </c>
      <c r="F166" s="667">
        <f>SUMIFS(Пр.12!I$10:I$1515,Пр.12!$D$10:$D$1515,C166)</f>
        <v>0</v>
      </c>
    </row>
    <row r="167" spans="1:6" s="670" customFormat="1" ht="32.25" thickBot="1" x14ac:dyDescent="0.25">
      <c r="A167" s="668"/>
      <c r="B167" s="669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37" t="s">
        <v>1682</v>
      </c>
      <c r="D167" s="455">
        <f>SUMIFS(Пр.12!G$10:G$1515,Пр.12!$D$10:$D$1515,C167)</f>
        <v>0</v>
      </c>
      <c r="E167" s="599">
        <f>SUMIFS(Пр.12!H$10:H$1515,Пр.12!$D$10:$D$1515,C167)</f>
        <v>26728077</v>
      </c>
      <c r="F167" s="672">
        <f>SUMIFS(Пр.12!I$10:I$1515,Пр.12!$D$10:$D$1515,C167)</f>
        <v>26728077</v>
      </c>
    </row>
    <row r="168" spans="1:6" ht="32.25" hidden="1" thickBot="1" x14ac:dyDescent="0.3">
      <c r="A168" s="171"/>
      <c r="B168" s="748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4" t="s">
        <v>1683</v>
      </c>
      <c r="D168" s="750">
        <f>SUMIFS(Пр.12!G$10:G$1515,Пр.12!$D$10:$D$1515,C168)</f>
        <v>0</v>
      </c>
      <c r="E168" s="751">
        <f>SUMIFS(Пр.12!H$10:H$1515,Пр.12!$D$10:$D$1515,C168)</f>
        <v>0</v>
      </c>
      <c r="F168" s="754">
        <f>SUMIFS(Пр.12!I$10:I$1515,Пр.12!$D$10:$D$1515,C168)</f>
        <v>0</v>
      </c>
    </row>
    <row r="169" spans="1:6" ht="48" thickBot="1" x14ac:dyDescent="0.3">
      <c r="A169" s="171"/>
      <c r="B169" s="748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2" t="s">
        <v>1684</v>
      </c>
      <c r="D169" s="160">
        <f>SUMIFS(Пр.12!G$10:G$1515,Пр.12!$D$10:$D$1515,C169)</f>
        <v>0</v>
      </c>
      <c r="E169" s="751">
        <f>SUMIFS(Пр.12!H$10:H$1515,Пр.12!$D$10:$D$1515,C169)</f>
        <v>26728077</v>
      </c>
      <c r="F169" s="753">
        <f>SUMIFS(Пр.12!I$10:I$1515,Пр.12!$D$10:$D$1515,C169)</f>
        <v>26728077</v>
      </c>
    </row>
    <row r="170" spans="1:6" ht="16.5" hidden="1" thickBot="1" x14ac:dyDescent="0.3">
      <c r="A170" s="171"/>
      <c r="B170" s="745" t="str">
        <f>IF(C170&gt;0,VLOOKUP(C170,Программа!A$2:B$5110,2))</f>
        <v>Реализация федерального проекта "Дорожная сеть"</v>
      </c>
      <c r="C170" s="181" t="s">
        <v>1685</v>
      </c>
      <c r="D170" s="752">
        <f>SUMIFS(Пр.12!G$10:G$1515,Пр.12!$D$10:$D$1515,C170)</f>
        <v>0</v>
      </c>
      <c r="E170" s="747">
        <f>SUMIFS(Пр.12!H$10:H$1515,Пр.12!$D$10:$D$1515,C170)</f>
        <v>0</v>
      </c>
      <c r="F170" s="753">
        <f>SUMIFS(Пр.12!I$10:I$1515,Пр.12!$D$10:$D$1515,C170)</f>
        <v>0</v>
      </c>
    </row>
    <row r="171" spans="1:6" ht="48" hidden="1" thickBot="1" x14ac:dyDescent="0.25">
      <c r="A171" s="171"/>
      <c r="B171" s="471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19" t="s">
        <v>1687</v>
      </c>
      <c r="D171" s="455">
        <f>SUMIFS(Пр.12!G$10:G$1515,Пр.12!$D$10:$D$1515,C171)</f>
        <v>0</v>
      </c>
      <c r="E171" s="456">
        <f>SUMIFS(Пр.12!H$10:H$1515,Пр.12!$D$10:$D$1515,C171)</f>
        <v>0</v>
      </c>
      <c r="F171" s="672">
        <f>SUMIFS(Пр.12!I$10:I$1515,Пр.12!$D$10:$D$1515,C171)</f>
        <v>0</v>
      </c>
    </row>
    <row r="172" spans="1:6" ht="32.25" hidden="1" thickBot="1" x14ac:dyDescent="0.3">
      <c r="A172" s="171"/>
      <c r="B172" s="755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2" t="s">
        <v>1689</v>
      </c>
      <c r="D172" s="756">
        <f>SUMIFS(Пр.12!G$10:G$1515,Пр.12!$D$10:$D$1515,C172)</f>
        <v>0</v>
      </c>
      <c r="E172" s="757">
        <f>SUMIFS(Пр.12!H$10:H$1515,Пр.12!$D$10:$D$1515,C172)</f>
        <v>0</v>
      </c>
      <c r="F172" s="754">
        <f>SUMIFS(Пр.12!I$10:I$1515,Пр.12!$D$10:$D$1515,C172)</f>
        <v>0</v>
      </c>
    </row>
    <row r="173" spans="1:6" s="155" customFormat="1" ht="16.5" hidden="1" thickBot="1" x14ac:dyDescent="0.25">
      <c r="A173" s="165"/>
      <c r="B173" s="471"/>
      <c r="C173" s="419"/>
      <c r="D173" s="455"/>
      <c r="E173" s="456"/>
      <c r="F173" s="672"/>
    </row>
    <row r="174" spans="1:6" ht="16.5" hidden="1" thickBot="1" x14ac:dyDescent="0.3">
      <c r="A174" s="171"/>
      <c r="B174" s="755"/>
      <c r="C174" s="182"/>
      <c r="D174" s="756"/>
      <c r="E174" s="757"/>
      <c r="F174" s="754"/>
    </row>
    <row r="175" spans="1:6" s="155" customFormat="1" ht="16.5" thickBot="1" x14ac:dyDescent="0.25">
      <c r="A175" s="165"/>
      <c r="B175" s="586" t="s">
        <v>150</v>
      </c>
      <c r="C175" s="694"/>
      <c r="D175" s="456">
        <f>D142+D131+D123+D120+D118+D115+D112+D109+D104+D92+D82+D77+D75+D60+D58+D46+D27+D10+D144+D147+D150+D154+D159+D161+D164+D167+D173+D171</f>
        <v>0</v>
      </c>
      <c r="E175" s="456">
        <f t="shared" ref="E175:F175" si="1">E142+E131+E123+E120+E118+E115+E112+E109+E104+E92+E82+E77+E75+E60+E58+E46+E27+E10+E144+E147+E150+E154+E159+E161+E164+E167+E173+E171</f>
        <v>1781634932</v>
      </c>
      <c r="F175" s="456">
        <f t="shared" si="1"/>
        <v>1781634932</v>
      </c>
    </row>
    <row r="176" spans="1:6" ht="16.5" thickBot="1" x14ac:dyDescent="0.25">
      <c r="A176" s="170" t="s">
        <v>746</v>
      </c>
      <c r="B176" s="696" t="str">
        <f>IF(C176&gt;0,VLOOKUP(C176,Программа!A$2:B$5110,2))</f>
        <v>Непрограммные расходы бюджета</v>
      </c>
      <c r="C176" s="697" t="s">
        <v>394</v>
      </c>
      <c r="D176" s="698">
        <f>SUMIFS(Пр.12!G$10:G$1515,Пр.12!$D$10:$D$1515,C176)</f>
        <v>0</v>
      </c>
      <c r="E176" s="699">
        <f>SUMIFS(Пр.12!H$10:H$1515,Пр.12!$D$10:$D$1515,C176)</f>
        <v>153703908</v>
      </c>
      <c r="F176" s="700">
        <f>SUMIFS(Пр.12!I$10:I$1515,Пр.12!$D$10:$D$1515,C176)</f>
        <v>153703908</v>
      </c>
    </row>
    <row r="177" spans="1:6" ht="16.5" hidden="1" thickBot="1" x14ac:dyDescent="0.25">
      <c r="A177" s="170"/>
      <c r="B177" s="696" t="str">
        <f>IF(C177&gt;0,VLOOKUP(C177,Программа!A$2:B$5110,2))</f>
        <v>Непрограммные расходы бюджета</v>
      </c>
      <c r="C177" s="850" t="s">
        <v>1848</v>
      </c>
      <c r="D177" s="698">
        <f>SUMIFS(Пр.12!G$10:G$1515,Пр.12!$D$10:$D$1515,C177)</f>
        <v>0</v>
      </c>
      <c r="E177" s="699">
        <f>SUMIFS(Пр.12!H$10:H$1515,Пр.12!$D$10:$D$1515,C177)</f>
        <v>0</v>
      </c>
      <c r="F177" s="700">
        <f>SUMIFS(Пр.12!I$10:I$1515,Пр.12!$D$10:$D$1515,C177)</f>
        <v>0</v>
      </c>
    </row>
    <row r="178" spans="1:6" ht="16.5" thickBot="1" x14ac:dyDescent="0.25">
      <c r="A178" s="170" t="s">
        <v>747</v>
      </c>
      <c r="B178" s="701" t="str">
        <f>IF(C178&gt;0,VLOOKUP(C178,Программа!A$2:B$5110,2))</f>
        <v>Межбюджетные трансферты  поселениям района</v>
      </c>
      <c r="C178" s="702" t="s">
        <v>565</v>
      </c>
      <c r="D178" s="703">
        <f>SUMIFS(Пр.12!G$10:G$1515,Пр.12!$D$10:$D$1515,C178)</f>
        <v>0</v>
      </c>
      <c r="E178" s="468">
        <f>SUMIFS(Пр.12!H$10:H$1515,Пр.12!$D$10:$D$1515,C178)</f>
        <v>6745868</v>
      </c>
      <c r="F178" s="704">
        <f>SUMIFS(Пр.12!I$10:I$1515,Пр.12!$D$10:$D$1515,C178)</f>
        <v>6745868</v>
      </c>
    </row>
    <row r="179" spans="1:6" s="155" customFormat="1" ht="16.5" thickBot="1" x14ac:dyDescent="0.25">
      <c r="A179" s="378"/>
      <c r="B179" s="665" t="s">
        <v>748</v>
      </c>
      <c r="C179" s="695"/>
      <c r="D179" s="666">
        <f>D175+D176+D178+D177</f>
        <v>0</v>
      </c>
      <c r="E179" s="666">
        <f t="shared" ref="E179:F179" si="2">E175+E176+E178+E177</f>
        <v>1942084708</v>
      </c>
      <c r="F179" s="666">
        <f t="shared" si="2"/>
        <v>1942084708</v>
      </c>
    </row>
    <row r="180" spans="1:6" x14ac:dyDescent="0.2">
      <c r="C180" s="157"/>
    </row>
    <row r="181" spans="1:6" x14ac:dyDescent="0.2">
      <c r="C181" s="157"/>
    </row>
    <row r="182" spans="1:6" x14ac:dyDescent="0.2">
      <c r="C182" s="157"/>
    </row>
    <row r="183" spans="1:6" x14ac:dyDescent="0.2">
      <c r="C183" s="157"/>
    </row>
    <row r="184" spans="1:6" x14ac:dyDescent="0.2">
      <c r="C184" s="157"/>
    </row>
    <row r="185" spans="1:6" x14ac:dyDescent="0.2">
      <c r="C185" s="157"/>
    </row>
    <row r="186" spans="1:6" x14ac:dyDescent="0.2">
      <c r="C186" s="157"/>
    </row>
    <row r="187" spans="1:6" x14ac:dyDescent="0.2">
      <c r="C187" s="157"/>
    </row>
    <row r="188" spans="1:6" x14ac:dyDescent="0.2">
      <c r="C188" s="157"/>
    </row>
    <row r="189" spans="1:6" x14ac:dyDescent="0.2">
      <c r="C189" s="157"/>
    </row>
    <row r="190" spans="1:6" x14ac:dyDescent="0.2">
      <c r="C190" s="157"/>
    </row>
    <row r="191" spans="1:6" x14ac:dyDescent="0.2">
      <c r="C191" s="157"/>
    </row>
    <row r="192" spans="1:6" x14ac:dyDescent="0.2">
      <c r="C192" s="157"/>
    </row>
    <row r="193" spans="3:3" x14ac:dyDescent="0.2">
      <c r="C193" s="157"/>
    </row>
    <row r="194" spans="3:3" x14ac:dyDescent="0.2">
      <c r="C194" s="157"/>
    </row>
    <row r="195" spans="3:3" x14ac:dyDescent="0.2">
      <c r="C195" s="157"/>
    </row>
    <row r="196" spans="3:3" x14ac:dyDescent="0.2">
      <c r="C196" s="157"/>
    </row>
    <row r="197" spans="3:3" x14ac:dyDescent="0.2">
      <c r="C197" s="157"/>
    </row>
    <row r="198" spans="3:3" x14ac:dyDescent="0.2">
      <c r="C198" s="157"/>
    </row>
    <row r="199" spans="3:3" x14ac:dyDescent="0.2">
      <c r="C199" s="157"/>
    </row>
    <row r="200" spans="3:3" x14ac:dyDescent="0.2">
      <c r="C200" s="157"/>
    </row>
    <row r="201" spans="3:3" x14ac:dyDescent="0.2">
      <c r="C201" s="157"/>
    </row>
    <row r="202" spans="3:3" x14ac:dyDescent="0.2">
      <c r="C202" s="157"/>
    </row>
    <row r="203" spans="3:3" x14ac:dyDescent="0.2">
      <c r="C203" s="157"/>
    </row>
    <row r="204" spans="3:3" x14ac:dyDescent="0.2">
      <c r="C204" s="157"/>
    </row>
    <row r="205" spans="3:3" x14ac:dyDescent="0.2">
      <c r="C205" s="157"/>
    </row>
    <row r="206" spans="3:3" x14ac:dyDescent="0.2">
      <c r="C206" s="157"/>
    </row>
    <row r="207" spans="3:3" x14ac:dyDescent="0.2">
      <c r="C207" s="157"/>
    </row>
    <row r="208" spans="3:3" x14ac:dyDescent="0.2">
      <c r="C208" s="157"/>
    </row>
    <row r="209" spans="3:3" x14ac:dyDescent="0.2">
      <c r="C209" s="157"/>
    </row>
    <row r="210" spans="3:3" x14ac:dyDescent="0.2">
      <c r="C210" s="157"/>
    </row>
    <row r="211" spans="3:3" x14ac:dyDescent="0.2">
      <c r="C211" s="157"/>
    </row>
    <row r="212" spans="3:3" x14ac:dyDescent="0.2">
      <c r="C212" s="157"/>
    </row>
    <row r="213" spans="3:3" x14ac:dyDescent="0.2">
      <c r="C213" s="157"/>
    </row>
    <row r="214" spans="3:3" x14ac:dyDescent="0.2">
      <c r="C214" s="157"/>
    </row>
    <row r="215" spans="3:3" x14ac:dyDescent="0.2">
      <c r="C215" s="157"/>
    </row>
    <row r="216" spans="3:3" x14ac:dyDescent="0.2">
      <c r="C216" s="157"/>
    </row>
    <row r="217" spans="3:3" x14ac:dyDescent="0.2">
      <c r="C217" s="157"/>
    </row>
    <row r="218" spans="3:3" x14ac:dyDescent="0.2">
      <c r="C218" s="157"/>
    </row>
    <row r="219" spans="3:3" x14ac:dyDescent="0.2">
      <c r="C219" s="157"/>
    </row>
    <row r="220" spans="3:3" x14ac:dyDescent="0.2">
      <c r="C220" s="157"/>
    </row>
    <row r="221" spans="3:3" x14ac:dyDescent="0.2">
      <c r="C221" s="157"/>
    </row>
    <row r="222" spans="3:3" x14ac:dyDescent="0.2">
      <c r="C222" s="157"/>
    </row>
    <row r="223" spans="3:3" x14ac:dyDescent="0.2">
      <c r="C223" s="157"/>
    </row>
    <row r="224" spans="3:3" x14ac:dyDescent="0.2">
      <c r="C224" s="157"/>
    </row>
    <row r="225" spans="3:3" x14ac:dyDescent="0.2">
      <c r="C225" s="157"/>
    </row>
    <row r="226" spans="3:3" x14ac:dyDescent="0.2">
      <c r="C226" s="157"/>
    </row>
    <row r="227" spans="3:3" x14ac:dyDescent="0.2">
      <c r="C227" s="157"/>
    </row>
    <row r="228" spans="3:3" x14ac:dyDescent="0.2">
      <c r="C228" s="157"/>
    </row>
    <row r="229" spans="3:3" x14ac:dyDescent="0.2">
      <c r="C229" s="157"/>
    </row>
    <row r="230" spans="3:3" x14ac:dyDescent="0.2">
      <c r="C230" s="157"/>
    </row>
    <row r="231" spans="3:3" x14ac:dyDescent="0.2">
      <c r="C231" s="157"/>
    </row>
    <row r="232" spans="3:3" x14ac:dyDescent="0.2">
      <c r="C232" s="157"/>
    </row>
    <row r="233" spans="3:3" x14ac:dyDescent="0.2">
      <c r="C233" s="157"/>
    </row>
    <row r="234" spans="3:3" x14ac:dyDescent="0.2">
      <c r="C234" s="157"/>
    </row>
    <row r="235" spans="3:3" x14ac:dyDescent="0.2">
      <c r="C235" s="157"/>
    </row>
    <row r="236" spans="3:3" x14ac:dyDescent="0.2">
      <c r="C236" s="157"/>
    </row>
    <row r="237" spans="3:3" x14ac:dyDescent="0.2">
      <c r="C237" s="157"/>
    </row>
    <row r="238" spans="3:3" x14ac:dyDescent="0.2">
      <c r="C238" s="157"/>
    </row>
    <row r="239" spans="3:3" x14ac:dyDescent="0.2">
      <c r="C239" s="157"/>
    </row>
    <row r="240" spans="3:3" x14ac:dyDescent="0.2">
      <c r="C240" s="157"/>
    </row>
    <row r="241" spans="3:3" x14ac:dyDescent="0.2">
      <c r="C241" s="157"/>
    </row>
    <row r="242" spans="3:3" x14ac:dyDescent="0.2">
      <c r="C242" s="157"/>
    </row>
    <row r="243" spans="3:3" x14ac:dyDescent="0.2">
      <c r="C243" s="157"/>
    </row>
    <row r="244" spans="3:3" x14ac:dyDescent="0.2">
      <c r="C244" s="157"/>
    </row>
    <row r="245" spans="3:3" x14ac:dyDescent="0.2">
      <c r="C245" s="157"/>
    </row>
    <row r="246" spans="3:3" x14ac:dyDescent="0.2">
      <c r="C246" s="157"/>
    </row>
    <row r="247" spans="3:3" x14ac:dyDescent="0.2">
      <c r="C247" s="157"/>
    </row>
    <row r="248" spans="3:3" x14ac:dyDescent="0.2">
      <c r="C248" s="157"/>
    </row>
    <row r="249" spans="3:3" x14ac:dyDescent="0.2">
      <c r="C249" s="157"/>
    </row>
    <row r="250" spans="3:3" x14ac:dyDescent="0.2">
      <c r="C250" s="157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6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I155" sqref="I155"/>
    </sheetView>
  </sheetViews>
  <sheetFormatPr defaultColWidth="9.140625" defaultRowHeight="15.75" x14ac:dyDescent="0.2"/>
  <cols>
    <col min="1" max="1" width="92.28515625" style="427" hidden="1" customWidth="1"/>
    <col min="2" max="2" width="55.85546875" style="427" customWidth="1"/>
    <col min="3" max="3" width="13.140625" style="427" customWidth="1"/>
    <col min="4" max="4" width="16.42578125" style="427" hidden="1" customWidth="1"/>
    <col min="5" max="5" width="15.5703125" style="427" hidden="1" customWidth="1"/>
    <col min="6" max="6" width="16.5703125" style="427" customWidth="1"/>
    <col min="7" max="7" width="17.5703125" style="427" hidden="1" customWidth="1"/>
    <col min="8" max="8" width="21" style="427" hidden="1" customWidth="1"/>
    <col min="9" max="9" width="16.5703125" style="427" customWidth="1"/>
    <col min="10" max="16384" width="9.140625" style="427"/>
  </cols>
  <sheetData>
    <row r="1" spans="1:10" x14ac:dyDescent="0.2">
      <c r="B1" s="995" t="s">
        <v>1879</v>
      </c>
      <c r="C1" s="995"/>
      <c r="D1" s="996"/>
      <c r="E1" s="996"/>
      <c r="F1" s="995"/>
      <c r="G1" s="996"/>
      <c r="H1" s="996"/>
      <c r="I1" s="995"/>
      <c r="J1" s="428"/>
    </row>
    <row r="2" spans="1:10" x14ac:dyDescent="0.2">
      <c r="B2" s="995" t="s">
        <v>1</v>
      </c>
      <c r="C2" s="995"/>
      <c r="D2" s="996"/>
      <c r="E2" s="996"/>
      <c r="F2" s="995"/>
      <c r="G2" s="996"/>
      <c r="H2" s="996"/>
      <c r="I2" s="995"/>
      <c r="J2" s="428"/>
    </row>
    <row r="3" spans="1:10" x14ac:dyDescent="0.2">
      <c r="B3" s="995" t="s">
        <v>2</v>
      </c>
      <c r="C3" s="995"/>
      <c r="D3" s="996"/>
      <c r="E3" s="996"/>
      <c r="F3" s="995"/>
      <c r="G3" s="996"/>
      <c r="H3" s="996"/>
      <c r="I3" s="995"/>
      <c r="J3" s="428"/>
    </row>
    <row r="4" spans="1:10" x14ac:dyDescent="0.2">
      <c r="B4" s="995" t="s">
        <v>1859</v>
      </c>
      <c r="C4" s="995"/>
      <c r="D4" s="996"/>
      <c r="E4" s="996"/>
      <c r="F4" s="995"/>
      <c r="G4" s="996"/>
      <c r="H4" s="996"/>
      <c r="I4" s="995"/>
      <c r="J4" s="428"/>
    </row>
    <row r="5" spans="1:10" x14ac:dyDescent="0.2">
      <c r="B5" s="486"/>
      <c r="C5" s="525"/>
      <c r="D5" s="418"/>
      <c r="E5" s="418"/>
      <c r="F5" s="525"/>
      <c r="G5" s="418"/>
      <c r="H5" s="418"/>
      <c r="I5" s="525"/>
      <c r="J5" s="418"/>
    </row>
    <row r="6" spans="1:10" ht="28.5" customHeight="1" x14ac:dyDescent="0.2">
      <c r="B6" s="997" t="s">
        <v>1874</v>
      </c>
      <c r="C6" s="997"/>
      <c r="D6" s="893"/>
      <c r="E6" s="893"/>
      <c r="F6" s="997"/>
      <c r="G6" s="893"/>
      <c r="H6" s="893"/>
      <c r="I6" s="997"/>
    </row>
    <row r="7" spans="1:10" ht="16.5" thickBot="1" x14ac:dyDescent="0.25">
      <c r="A7" s="158"/>
      <c r="B7" s="486"/>
      <c r="C7" s="486"/>
      <c r="D7" s="158"/>
      <c r="E7" s="994"/>
      <c r="F7" s="994"/>
      <c r="G7" s="994"/>
      <c r="H7" s="994"/>
      <c r="I7" s="994"/>
    </row>
    <row r="8" spans="1:10" ht="16.5" thickBot="1" x14ac:dyDescent="0.25">
      <c r="A8" s="998" t="s">
        <v>662</v>
      </c>
      <c r="B8" s="980" t="s">
        <v>663</v>
      </c>
      <c r="C8" s="975" t="s">
        <v>664</v>
      </c>
      <c r="D8" s="977" t="s">
        <v>1283</v>
      </c>
      <c r="E8" s="992" t="s">
        <v>749</v>
      </c>
      <c r="F8" s="990" t="s">
        <v>1641</v>
      </c>
      <c r="G8" s="977" t="s">
        <v>1641</v>
      </c>
      <c r="H8" s="992" t="s">
        <v>749</v>
      </c>
      <c r="I8" s="990" t="s">
        <v>1875</v>
      </c>
    </row>
    <row r="9" spans="1:10" ht="16.5" thickBot="1" x14ac:dyDescent="0.25">
      <c r="A9" s="998"/>
      <c r="B9" s="981"/>
      <c r="C9" s="999"/>
      <c r="D9" s="978"/>
      <c r="E9" s="993"/>
      <c r="F9" s="991"/>
      <c r="G9" s="978"/>
      <c r="H9" s="993"/>
      <c r="I9" s="991"/>
    </row>
    <row r="10" spans="1:10" s="430" customFormat="1" ht="48" thickBot="1" x14ac:dyDescent="0.25">
      <c r="A10" s="429" t="s">
        <v>666</v>
      </c>
      <c r="B10" s="47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06" t="s">
        <v>482</v>
      </c>
      <c r="D10" s="672">
        <f>SUMIFS(Пр.13!G$10:G$1431,Пр.13!$D$10:$D$1431,C10)</f>
        <v>0</v>
      </c>
      <c r="E10" s="611">
        <f>SUMIFS(Пр.13!H$10:H$1431,Пр.13!$D$10:$D$1431,C10)</f>
        <v>148055670</v>
      </c>
      <c r="F10" s="522">
        <f>SUMIFS(Пр.13!I$10:I$1431,Пр.13!$D$10:$D$1431,C10)</f>
        <v>148055670</v>
      </c>
      <c r="G10" s="672">
        <f>SUMIFS(Пр.13!J$10:J$1431,Пр.13!$D$10:$D$1431,C10)</f>
        <v>0</v>
      </c>
      <c r="H10" s="611">
        <f>SUMIFS(Пр.13!K$10:K$1431,Пр.13!$D$10:$D$1431,C10)</f>
        <v>108334387</v>
      </c>
      <c r="I10" s="522">
        <f>SUMIFS(Пр.13!L$10:L$1431,Пр.13!$D$10:$D$1431,C10)</f>
        <v>108334387</v>
      </c>
    </row>
    <row r="11" spans="1:10" ht="16.5" thickBot="1" x14ac:dyDescent="0.25">
      <c r="A11" s="431" t="s">
        <v>750</v>
      </c>
      <c r="B11" s="689" t="str">
        <f>IF(C11&gt;0,VLOOKUP(C11,Программа!A$2:B$5110,2))</f>
        <v>Ведомственная целевая программа «Молодежь»</v>
      </c>
      <c r="C11" s="631" t="s">
        <v>586</v>
      </c>
      <c r="D11" s="707">
        <f>SUMIFS(Пр.13!G$10:G$1431,Пр.13!$D$10:$D$1431,C11)</f>
        <v>0</v>
      </c>
      <c r="E11" s="690">
        <f>SUMIFS(Пр.13!H$10:H$1431,Пр.13!$D$10:$D$1431,C11)</f>
        <v>8080000</v>
      </c>
      <c r="F11" s="690">
        <f>SUMIFS(Пр.13!I$10:I$1431,Пр.13!$D$10:$D$1431,C11)</f>
        <v>8080000</v>
      </c>
      <c r="G11" s="707">
        <f>SUMIFS(Пр.13!J$10:J$1431,Пр.13!$D$10:$D$1431,C11)</f>
        <v>0</v>
      </c>
      <c r="H11" s="690">
        <f>SUMIFS(Пр.13!K$10:K$1431,Пр.13!$D$10:$D$1431,C11)</f>
        <v>5800000</v>
      </c>
      <c r="I11" s="690">
        <f>SUMIFS(Пр.13!L$10:L$1431,Пр.13!$D$10:$D$1431,C11)</f>
        <v>5800000</v>
      </c>
    </row>
    <row r="12" spans="1:10" ht="48" thickBot="1" x14ac:dyDescent="0.25">
      <c r="A12" s="431"/>
      <c r="B12" s="480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6" t="s">
        <v>588</v>
      </c>
      <c r="D12" s="708">
        <f>SUMIFS(Пр.13!G$10:G$1431,Пр.13!$D$10:$D$1431,C12)</f>
        <v>0</v>
      </c>
      <c r="E12" s="168">
        <f>SUMIFS(Пр.13!H$10:H$1431,Пр.13!$D$10:$D$1431,C12)</f>
        <v>8080000</v>
      </c>
      <c r="F12" s="168">
        <f>SUMIFS(Пр.13!I$10:I$1431,Пр.13!$D$10:$D$1431,C12)</f>
        <v>8080000</v>
      </c>
      <c r="G12" s="708">
        <f>SUMIFS(Пр.13!J$10:J$1431,Пр.13!$D$10:$D$1431,C12)</f>
        <v>0</v>
      </c>
      <c r="H12" s="168">
        <f>SUMIFS(Пр.13!K$10:K$1431,Пр.13!$D$10:$D$1431,C12)</f>
        <v>5800000</v>
      </c>
      <c r="I12" s="168">
        <f>SUMIFS(Пр.13!L$10:L$1431,Пр.13!$D$10:$D$1431,C12)</f>
        <v>5800000</v>
      </c>
    </row>
    <row r="13" spans="1:10" ht="32.25" hidden="1" thickBot="1" x14ac:dyDescent="0.25">
      <c r="A13" s="431"/>
      <c r="B13" s="510" t="str">
        <f>IF(C13&gt;0,VLOOKUP(C13,Программа!A$2:B$5110,2))</f>
        <v>Обеспечение качества и доступности услуг(работ) в сфере молодежной политики</v>
      </c>
      <c r="C13" s="512" t="s">
        <v>1194</v>
      </c>
      <c r="D13" s="442">
        <f>SUMIFS(Пр.13!G$10:G$1431,Пр.13!$D$10:$D$1431,C13)</f>
        <v>0</v>
      </c>
      <c r="E13" s="442">
        <f>SUMIFS(Пр.13!H$10:H$1431,Пр.13!$D$10:$D$1431,C13)</f>
        <v>0</v>
      </c>
      <c r="F13" s="513">
        <f>SUMIFS(Пр.13!I$10:I$1431,Пр.13!$D$10:$D$1431,C13)</f>
        <v>0</v>
      </c>
      <c r="G13" s="513">
        <f>SUMIFS(Пр.13!J$10:J$1431,Пр.13!$D$10:$D$1431,C13)</f>
        <v>0</v>
      </c>
      <c r="H13" s="513">
        <f>SUMIFS(Пр.13!K$10:K$1431,Пр.13!$D$10:$D$1431,C13)</f>
        <v>0</v>
      </c>
      <c r="I13" s="514">
        <f>SUMIFS(Пр.13!L$10:L$1431,Пр.13!$D$10:$D$1431,C13)</f>
        <v>0</v>
      </c>
    </row>
    <row r="14" spans="1:10" ht="63.75" hidden="1" thickBot="1" x14ac:dyDescent="0.25">
      <c r="A14" s="431"/>
      <c r="B14" s="479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9" t="s">
        <v>484</v>
      </c>
      <c r="D14" s="709">
        <f>SUMIFS(Пр.13!G$10:G$1431,Пр.13!$D$10:$D$1431,C14)</f>
        <v>0</v>
      </c>
      <c r="E14" s="686">
        <f>SUMIFS(Пр.13!H$10:H$1431,Пр.13!$D$10:$D$1431,C14)</f>
        <v>0</v>
      </c>
      <c r="F14" s="168">
        <f>SUMIFS(Пр.13!I$10:I$1431,Пр.13!$D$10:$D$1431,C14)</f>
        <v>0</v>
      </c>
      <c r="G14" s="709">
        <f>SUMIFS(Пр.13!J$10:J$1431,Пр.13!$D$10:$D$1431,C14)</f>
        <v>0</v>
      </c>
      <c r="H14" s="168">
        <f>SUMIFS(Пр.13!K$10:K$1431,Пр.13!$D$10:$D$1431,C14)</f>
        <v>0</v>
      </c>
      <c r="I14" s="168">
        <f>SUMIFS(Пр.13!L$10:L$1431,Пр.13!$D$10:$D$1431,C14)</f>
        <v>0</v>
      </c>
    </row>
    <row r="15" spans="1:10" ht="63.75" hidden="1" thickBot="1" x14ac:dyDescent="0.25">
      <c r="A15" s="436" t="s">
        <v>78</v>
      </c>
      <c r="B15" s="480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1712</v>
      </c>
      <c r="D15" s="708">
        <f>SUMIFS(Пр.13!G$10:G$1431,Пр.13!$D$10:$D$1431,C15)</f>
        <v>0</v>
      </c>
      <c r="E15" s="168">
        <f>SUMIFS(Пр.13!H$10:H$1431,Пр.13!$D$10:$D$1431,C15)</f>
        <v>0</v>
      </c>
      <c r="F15" s="168">
        <f>SUMIFS(Пр.13!I$10:I$1431,Пр.13!$D$10:$D$1431,C15)</f>
        <v>0</v>
      </c>
      <c r="G15" s="708">
        <f>SUMIFS(Пр.13!J$10:J$1431,Пр.13!$D$10:$D$1431,C15)</f>
        <v>0</v>
      </c>
      <c r="H15" s="168">
        <f>SUMIFS(Пр.13!K$10:K$1431,Пр.13!$D$10:$D$1431,C15)</f>
        <v>0</v>
      </c>
      <c r="I15" s="168">
        <f>SUMIFS(Пр.13!L$10:L$1431,Пр.13!$D$10:$D$1431,C15)</f>
        <v>0</v>
      </c>
    </row>
    <row r="16" spans="1:10" ht="48" hidden="1" thickBot="1" x14ac:dyDescent="0.25">
      <c r="A16" s="436" t="s">
        <v>669</v>
      </c>
      <c r="B16" s="472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4" t="s">
        <v>489</v>
      </c>
      <c r="D16" s="432">
        <f>SUMIFS(Пр.13!G$10:G$1431,Пр.13!$D$10:$D$1431,C16)</f>
        <v>0</v>
      </c>
      <c r="E16" s="432">
        <f>SUMIFS(Пр.13!H$10:H$1431,Пр.13!$D$10:$D$1431,C16)</f>
        <v>0</v>
      </c>
      <c r="F16" s="460">
        <f>SUMIFS(Пр.13!I$10:I$1431,Пр.13!$D$10:$D$1431,C16)</f>
        <v>0</v>
      </c>
      <c r="G16" s="460">
        <f>SUMIFS(Пр.13!J$10:J$1431,Пр.13!$D$10:$D$1431,C16)</f>
        <v>0</v>
      </c>
      <c r="H16" s="460">
        <f>SUMIFS(Пр.13!K$10:K$1431,Пр.13!$D$10:$D$1431,C16)</f>
        <v>0</v>
      </c>
      <c r="I16" s="461">
        <f>SUMIFS(Пр.13!L$10:L$1431,Пр.13!$D$10:$D$1431,C16)</f>
        <v>0</v>
      </c>
    </row>
    <row r="17" spans="1:9" ht="32.25" hidden="1" thickBot="1" x14ac:dyDescent="0.25">
      <c r="A17" s="436" t="s">
        <v>670</v>
      </c>
      <c r="B17" s="478" t="str">
        <f>IF(C17&gt;0,VLOOKUP(C17,Программа!A$2:B$5110,2))</f>
        <v>Развитие системы профилактики немедицинского потребления наркотиков</v>
      </c>
      <c r="C17" s="173" t="s">
        <v>491</v>
      </c>
      <c r="D17" s="441">
        <f>SUMIFS(Пр.13!G$10:G$1431,Пр.13!$D$10:$D$1431,C17)</f>
        <v>0</v>
      </c>
      <c r="E17" s="441">
        <f>SUMIFS(Пр.13!H$10:H$1431,Пр.13!$D$10:$D$1431,C17)</f>
        <v>0</v>
      </c>
      <c r="F17" s="462">
        <f>SUMIFS(Пр.13!I$10:I$1431,Пр.13!$D$10:$D$1431,C17)</f>
        <v>0</v>
      </c>
      <c r="G17" s="462">
        <f>SUMIFS(Пр.13!J$10:J$1431,Пр.13!$D$10:$D$1431,C17)</f>
        <v>0</v>
      </c>
      <c r="H17" s="462">
        <f>SUMIFS(Пр.13!K$10:K$1431,Пр.13!$D$10:$D$1431,C17)</f>
        <v>0</v>
      </c>
      <c r="I17" s="463">
        <f>SUMIFS(Пр.13!L$10:L$1431,Пр.13!$D$10:$D$1431,C17)</f>
        <v>0</v>
      </c>
    </row>
    <row r="18" spans="1:9" s="438" customFormat="1" ht="48" thickBot="1" x14ac:dyDescent="0.25">
      <c r="A18" s="437"/>
      <c r="B18" s="479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69" t="s">
        <v>581</v>
      </c>
      <c r="D18" s="709">
        <f>SUMIFS(Пр.13!G$10:G$1431,Пр.13!$D$10:$D$1431,C18)</f>
        <v>0</v>
      </c>
      <c r="E18" s="686">
        <f>SUMIFS(Пр.13!H$10:H$1431,Пр.13!$D$10:$D$1431,C18)</f>
        <v>139975670</v>
      </c>
      <c r="F18" s="686">
        <f>SUMIFS(Пр.13!I$10:I$1431,Пр.13!$D$10:$D$1431,C18)</f>
        <v>139975670</v>
      </c>
      <c r="G18" s="709">
        <f>SUMIFS(Пр.13!J$10:J$1431,Пр.13!$D$10:$D$1431,C18)</f>
        <v>0</v>
      </c>
      <c r="H18" s="686">
        <f>SUMIFS(Пр.13!K$10:K$1431,Пр.13!$D$10:$D$1431,C18)</f>
        <v>102534387</v>
      </c>
      <c r="I18" s="686">
        <f>SUMIFS(Пр.13!L$10:L$1431,Пр.13!$D$10:$D$1431,C18)</f>
        <v>102534387</v>
      </c>
    </row>
    <row r="19" spans="1:9" ht="32.25" thickBot="1" x14ac:dyDescent="0.25">
      <c r="A19" s="436"/>
      <c r="B19" s="480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583</v>
      </c>
      <c r="D19" s="708">
        <f>SUMIFS(Пр.13!G$10:G$1431,Пр.13!$D$10:$D$1431,C19)</f>
        <v>0</v>
      </c>
      <c r="E19" s="168">
        <f>SUMIFS(Пр.13!H$10:H$1431,Пр.13!$D$10:$D$1431,C19)</f>
        <v>23490928</v>
      </c>
      <c r="F19" s="168">
        <f>SUMIFS(Пр.13!I$10:I$1431,Пр.13!$D$10:$D$1431,C19)</f>
        <v>23490928</v>
      </c>
      <c r="G19" s="708">
        <f>SUMIFS(Пр.13!J$10:J$1431,Пр.13!$D$10:$D$1431,C19)</f>
        <v>0</v>
      </c>
      <c r="H19" s="168">
        <f>SUMIFS(Пр.13!K$10:K$1431,Пр.13!$D$10:$D$1431,C19)</f>
        <v>18414928</v>
      </c>
      <c r="I19" s="168">
        <f>SUMIFS(Пр.13!L$10:L$1431,Пр.13!$D$10:$D$1431,C19)</f>
        <v>18414928</v>
      </c>
    </row>
    <row r="20" spans="1:9" ht="16.5" thickBot="1" x14ac:dyDescent="0.25">
      <c r="A20" s="436"/>
      <c r="B20" s="480" t="str">
        <f>IF(C20&gt;0,VLOOKUP(C20,Программа!A$2:B$5110,2))</f>
        <v>Содействие доступу граждан к культурным ценностям</v>
      </c>
      <c r="C20" s="126" t="s">
        <v>600</v>
      </c>
      <c r="D20" s="708">
        <f>SUMIFS(Пр.13!G$10:G$1431,Пр.13!$D$10:$D$1431,C20)</f>
        <v>0</v>
      </c>
      <c r="E20" s="168">
        <f>SUMIFS(Пр.13!H$10:H$1431,Пр.13!$D$10:$D$1431,C20)</f>
        <v>51405776</v>
      </c>
      <c r="F20" s="168">
        <f>SUMIFS(Пр.13!I$10:I$1431,Пр.13!$D$10:$D$1431,C20)</f>
        <v>51405776</v>
      </c>
      <c r="G20" s="708">
        <f>SUMIFS(Пр.13!J$10:J$1431,Пр.13!$D$10:$D$1431,C20)</f>
        <v>0</v>
      </c>
      <c r="H20" s="168">
        <f>SUMIFS(Пр.13!K$10:K$1431,Пр.13!$D$10:$D$1431,C20)</f>
        <v>41385886</v>
      </c>
      <c r="I20" s="168">
        <f>SUMIFS(Пр.13!L$10:L$1431,Пр.13!$D$10:$D$1431,C20)</f>
        <v>41385886</v>
      </c>
    </row>
    <row r="21" spans="1:9" ht="32.25" thickBot="1" x14ac:dyDescent="0.25">
      <c r="A21" s="436" t="s">
        <v>673</v>
      </c>
      <c r="B21" s="480" t="str">
        <f>IF(C21&gt;0,VLOOKUP(C21,Программа!A$2:B$5110,2))</f>
        <v>Поддержка доступа граждан к информационно-библиотечным ресурсам</v>
      </c>
      <c r="C21" s="126" t="s">
        <v>605</v>
      </c>
      <c r="D21" s="708">
        <f>SUMIFS(Пр.13!G$10:G$1431,Пр.13!$D$10:$D$1431,C21)</f>
        <v>0</v>
      </c>
      <c r="E21" s="168">
        <f>SUMIFS(Пр.13!H$10:H$1431,Пр.13!$D$10:$D$1431,C21)</f>
        <v>15237736</v>
      </c>
      <c r="F21" s="168">
        <f>SUMIFS(Пр.13!I$10:I$1431,Пр.13!$D$10:$D$1431,C21)</f>
        <v>15237736</v>
      </c>
      <c r="G21" s="708">
        <f>SUMIFS(Пр.13!J$10:J$1431,Пр.13!$D$10:$D$1431,C21)</f>
        <v>0</v>
      </c>
      <c r="H21" s="168">
        <f>SUMIFS(Пр.13!K$10:K$1431,Пр.13!$D$10:$D$1431,C21)</f>
        <v>12877736</v>
      </c>
      <c r="I21" s="168">
        <f>SUMIFS(Пр.13!L$10:L$1431,Пр.13!$D$10:$D$1431,C21)</f>
        <v>12877736</v>
      </c>
    </row>
    <row r="22" spans="1:9" ht="32.25" thickBot="1" x14ac:dyDescent="0.25">
      <c r="A22" s="436" t="s">
        <v>674</v>
      </c>
      <c r="B22" s="480" t="str">
        <f>IF(C22&gt;0,VLOOKUP(C22,Программа!A$2:B$5110,2))</f>
        <v>Обеспечение эффективности управления системой культуры</v>
      </c>
      <c r="C22" s="126" t="s">
        <v>608</v>
      </c>
      <c r="D22" s="710">
        <f>SUMIFS(Пр.13!G$10:G$1431,Пр.13!$D$10:$D$1431,C22)</f>
        <v>0</v>
      </c>
      <c r="E22" s="460">
        <f>SUMIFS(Пр.13!H$10:H$1431,Пр.13!$D$10:$D$1431,C22)</f>
        <v>32054977</v>
      </c>
      <c r="F22" s="168">
        <f>SUMIFS(Пр.13!I$10:I$1431,Пр.13!$D$10:$D$1431,C22)</f>
        <v>32054977</v>
      </c>
      <c r="G22" s="710">
        <f>SUMIFS(Пр.13!J$10:J$1431,Пр.13!$D$10:$D$1431,C22)</f>
        <v>0</v>
      </c>
      <c r="H22" s="460">
        <f>SUMIFS(Пр.13!K$10:K$1431,Пр.13!$D$10:$D$1431,C22)</f>
        <v>21366882</v>
      </c>
      <c r="I22" s="168">
        <f>SUMIFS(Пр.13!L$10:L$1431,Пр.13!$D$10:$D$1431,C22)</f>
        <v>21366882</v>
      </c>
    </row>
    <row r="23" spans="1:9" ht="16.5" thickBot="1" x14ac:dyDescent="0.25">
      <c r="A23" s="436"/>
      <c r="B23" s="480" t="str">
        <f>IF(C23&gt;0,VLOOKUP(C23,Программа!A$2:B$5110,2))</f>
        <v>Федеральный проект "Культурная среда"</v>
      </c>
      <c r="C23" s="126" t="s">
        <v>1695</v>
      </c>
      <c r="D23" s="708">
        <f>SUMIFS(Пр.13!G$10:G$1431,Пр.13!$D$10:$D$1431,C23)</f>
        <v>0</v>
      </c>
      <c r="E23" s="168"/>
      <c r="F23" s="168">
        <f>SUMIFS(Пр.13!I$10:I$1431,Пр.13!$D$10:$D$1431,C23)</f>
        <v>17786253</v>
      </c>
      <c r="G23" s="708">
        <f>SUMIFS(Пр.13!J$10:J$1431,Пр.13!$D$10:$D$1431,C23)</f>
        <v>0</v>
      </c>
      <c r="H23" s="168"/>
      <c r="I23" s="168">
        <f>SUMIFS(Пр.13!L$10:L$1431,Пр.13!$D$10:$D$1431,C23)</f>
        <v>8488955</v>
      </c>
    </row>
    <row r="24" spans="1:9" ht="48" hidden="1" thickBot="1" x14ac:dyDescent="0.25">
      <c r="A24" s="436" t="s">
        <v>751</v>
      </c>
      <c r="B24" s="472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4" t="s">
        <v>576</v>
      </c>
      <c r="D24" s="688">
        <f>SUMIFS(Пр.13!G$10:G$1431,Пр.13!$D$10:$D$1431,C24)</f>
        <v>0</v>
      </c>
      <c r="E24" s="507">
        <f>SUMIFS(Пр.13!H$10:H$1431,Пр.13!$D$10:$D$1431,C24)</f>
        <v>0</v>
      </c>
      <c r="F24" s="515">
        <f>SUMIFS(Пр.13!I$10:I$1431,Пр.13!$D$10:$D$1431,C24)</f>
        <v>0</v>
      </c>
      <c r="G24" s="650">
        <f>SUMIFS(Пр.13!J$10:J$1431,Пр.13!$D$10:$D$1431,C24)</f>
        <v>0</v>
      </c>
      <c r="H24" s="508">
        <f>SUMIFS(Пр.13!K$10:K$1431,Пр.13!$D$10:$D$1431,C24)</f>
        <v>0</v>
      </c>
      <c r="I24" s="457">
        <f>SUMIFS(Пр.13!L$10:L$1431,Пр.13!$D$10:$D$1431,C24)</f>
        <v>0</v>
      </c>
    </row>
    <row r="25" spans="1:9" ht="32.25" hidden="1" thickBot="1" x14ac:dyDescent="0.25">
      <c r="A25" s="436" t="s">
        <v>675</v>
      </c>
      <c r="B25" s="478" t="str">
        <f>IF(C25&gt;0,VLOOKUP(C25,Программа!A$2:B$5110,2))</f>
        <v>Создание благоприятных условий для развития туризма</v>
      </c>
      <c r="C25" s="173" t="s">
        <v>578</v>
      </c>
      <c r="D25" s="601">
        <f>SUMIFS(Пр.13!G$10:G$1431,Пр.13!$D$10:$D$1431,C25)</f>
        <v>0</v>
      </c>
      <c r="E25" s="506">
        <f>SUMIFS(Пр.13!H$10:H$1431,Пр.13!$D$10:$D$1431,C25)</f>
        <v>0</v>
      </c>
      <c r="F25" s="605">
        <f>SUMIFS(Пр.13!I$10:I$1431,Пр.13!$D$10:$D$1431,C25)</f>
        <v>0</v>
      </c>
      <c r="G25" s="634">
        <f>SUMIFS(Пр.13!J$10:J$1431,Пр.13!$D$10:$D$1431,C25)</f>
        <v>0</v>
      </c>
      <c r="H25" s="619">
        <f>SUMIFS(Пр.13!K$10:K$1431,Пр.13!$D$10:$D$1431,C25)</f>
        <v>0</v>
      </c>
      <c r="I25" s="458">
        <f>SUMIFS(Пр.13!L$10:L$1431,Пр.13!$D$10:$D$1431,C25)</f>
        <v>0</v>
      </c>
    </row>
    <row r="26" spans="1:9" ht="48" thickBot="1" x14ac:dyDescent="0.25">
      <c r="A26" s="436" t="s">
        <v>676</v>
      </c>
      <c r="B26" s="471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06" t="s">
        <v>452</v>
      </c>
      <c r="D26" s="672">
        <f>SUMIFS(Пр.13!G$10:G$1431,Пр.13!$D$10:$D$1431,C26)</f>
        <v>0</v>
      </c>
      <c r="E26" s="611">
        <f>SUMIFS(Пр.13!H$10:H$1431,Пр.13!$D$10:$D$1431,C26)</f>
        <v>835424167</v>
      </c>
      <c r="F26" s="522">
        <f>SUMIFS(Пр.13!I$10:I$1431,Пр.13!$D$10:$D$1431,C26)</f>
        <v>835424167</v>
      </c>
      <c r="G26" s="672">
        <f>SUMIFS(Пр.13!J$10:J$1431,Пр.13!$D$10:$D$1431,C26)</f>
        <v>0</v>
      </c>
      <c r="H26" s="611">
        <f>SUMIFS(Пр.13!K$10:K$1431,Пр.13!$D$10:$D$1431,C26)</f>
        <v>851199999</v>
      </c>
      <c r="I26" s="522">
        <f>SUMIFS(Пр.13!L$10:L$1431,Пр.13!$D$10:$D$1431,C26)</f>
        <v>851199999</v>
      </c>
    </row>
    <row r="27" spans="1:9" ht="48" thickBot="1" x14ac:dyDescent="0.25">
      <c r="A27" s="436" t="s">
        <v>677</v>
      </c>
      <c r="B27" s="689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4" t="s">
        <v>454</v>
      </c>
      <c r="D27" s="711">
        <f>SUMIFS(Пр.13!G$10:G$1431,Пр.13!$D$10:$D$1431,C27)</f>
        <v>0</v>
      </c>
      <c r="E27" s="612">
        <f>SUMIFS(Пр.13!H$10:H$1431,Пр.13!$D$10:$D$1431,C27)</f>
        <v>810424167</v>
      </c>
      <c r="F27" s="690">
        <f>SUMIFS(Пр.13!I$10:I$1431,Пр.13!$D$10:$D$1431,C27)</f>
        <v>810424167</v>
      </c>
      <c r="G27" s="711">
        <f>SUMIFS(Пр.13!J$10:J$1431,Пр.13!$D$10:$D$1431,C27)</f>
        <v>0</v>
      </c>
      <c r="H27" s="612">
        <f>SUMIFS(Пр.13!K$10:K$1431,Пр.13!$D$10:$D$1431,C27)</f>
        <v>831199999</v>
      </c>
      <c r="I27" s="690">
        <f>SUMIFS(Пр.13!L$10:L$1431,Пр.13!$D$10:$D$1431,C27)</f>
        <v>831199999</v>
      </c>
    </row>
    <row r="28" spans="1:9" ht="48" thickBot="1" x14ac:dyDescent="0.25">
      <c r="A28" s="436" t="s">
        <v>678</v>
      </c>
      <c r="B28" s="480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455</v>
      </c>
      <c r="D28" s="712">
        <f>SUMIFS(Пр.13!G$10:G$1431,Пр.13!$D$10:$D$1431,C28)</f>
        <v>0</v>
      </c>
      <c r="E28" s="613">
        <f>SUMIFS(Пр.13!H$10:H$1431,Пр.13!$D$10:$D$1431,C28)</f>
        <v>311419618</v>
      </c>
      <c r="F28" s="168">
        <f>SUMIFS(Пр.13!I$10:I$1431,Пр.13!$D$10:$D$1431,C28)</f>
        <v>311419618</v>
      </c>
      <c r="G28" s="712">
        <f>SUMIFS(Пр.13!J$10:J$1431,Пр.13!$D$10:$D$1431,C28)</f>
        <v>0</v>
      </c>
      <c r="H28" s="613">
        <f>SUMIFS(Пр.13!K$10:K$1431,Пр.13!$D$10:$D$1431,C28)</f>
        <v>308833107</v>
      </c>
      <c r="I28" s="168">
        <f>SUMIFS(Пр.13!L$10:L$1431,Пр.13!$D$10:$D$1431,C28)</f>
        <v>308833107</v>
      </c>
    </row>
    <row r="29" spans="1:9" ht="32.25" thickBot="1" x14ac:dyDescent="0.25">
      <c r="A29" s="436"/>
      <c r="B29" s="480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495</v>
      </c>
      <c r="D29" s="713">
        <f>SUMIFS(Пр.13!G$10:G$1431,Пр.13!$D$10:$D$1431,C29)</f>
        <v>0</v>
      </c>
      <c r="E29" s="620">
        <f>SUMIFS(Пр.13!H$10:H$1431,Пр.13!$D$10:$D$1431,C29)</f>
        <v>374080578</v>
      </c>
      <c r="F29" s="168">
        <f>SUMIFS(Пр.13!I$10:I$1431,Пр.13!$D$10:$D$1431,C29)</f>
        <v>374080578</v>
      </c>
      <c r="G29" s="713">
        <f>SUMIFS(Пр.13!J$10:J$1431,Пр.13!$D$10:$D$1431,C29)</f>
        <v>0</v>
      </c>
      <c r="H29" s="620">
        <f>SUMIFS(Пр.13!K$10:K$1431,Пр.13!$D$10:$D$1431,C29)</f>
        <v>402907834</v>
      </c>
      <c r="I29" s="168">
        <f>SUMIFS(Пр.13!L$10:L$1431,Пр.13!$D$10:$D$1431,C29)</f>
        <v>402907834</v>
      </c>
    </row>
    <row r="30" spans="1:9" ht="48" thickBot="1" x14ac:dyDescent="0.25">
      <c r="A30" s="436"/>
      <c r="B30" s="480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518</v>
      </c>
      <c r="D30" s="708">
        <f>SUMIFS(Пр.13!G$10:G$1431,Пр.13!$D$10:$D$1431,C30)</f>
        <v>0</v>
      </c>
      <c r="E30" s="168">
        <f>SUMIFS(Пр.13!H$10:H$1431,Пр.13!$D$10:$D$1431,C30)</f>
        <v>35798429</v>
      </c>
      <c r="F30" s="168">
        <f>SUMIFS(Пр.13!I$10:I$1431,Пр.13!$D$10:$D$1431,C30)</f>
        <v>35798429</v>
      </c>
      <c r="G30" s="708">
        <f>SUMIFS(Пр.13!J$10:J$1431,Пр.13!$D$10:$D$1431,C30)</f>
        <v>0</v>
      </c>
      <c r="H30" s="168">
        <f>SUMIFS(Пр.13!K$10:K$1431,Пр.13!$D$10:$D$1431,C30)</f>
        <v>30698429</v>
      </c>
      <c r="I30" s="168">
        <f>SUMIFS(Пр.13!L$10:L$1431,Пр.13!$D$10:$D$1431,C30)</f>
        <v>30698429</v>
      </c>
    </row>
    <row r="31" spans="1:9" ht="32.25" hidden="1" thickBot="1" x14ac:dyDescent="0.25">
      <c r="A31" s="436" t="s">
        <v>681</v>
      </c>
      <c r="B31" s="510" t="str">
        <f>IF(C31&gt;0,VLOOKUP(C31,Программа!A$2:B$5110,2))</f>
        <v>Повышение мотивации участников образовательного процесса</v>
      </c>
      <c r="C31" s="175" t="s">
        <v>497</v>
      </c>
      <c r="D31" s="442">
        <f>SUMIFS(Пр.13!G$10:G$1431,Пр.13!$D$10:$D$1431,C31)</f>
        <v>0</v>
      </c>
      <c r="E31" s="433">
        <f>SUMIFS(Пр.13!H$10:H$1431,Пр.13!$D$10:$D$1431,C31)</f>
        <v>0</v>
      </c>
      <c r="F31" s="513">
        <f>SUMIFS(Пр.13!I$10:I$1431,Пр.13!$D$10:$D$1431,C31)</f>
        <v>0</v>
      </c>
      <c r="G31" s="513">
        <f>SUMIFS(Пр.13!J$10:J$1431,Пр.13!$D$10:$D$1431,C31)</f>
        <v>0</v>
      </c>
      <c r="H31" s="460">
        <f>SUMIFS(Пр.13!K$10:K$1431,Пр.13!$D$10:$D$1431,C31)</f>
        <v>0</v>
      </c>
      <c r="I31" s="514">
        <f>SUMIFS(Пр.13!L$10:L$1431,Пр.13!$D$10:$D$1431,C31)</f>
        <v>0</v>
      </c>
    </row>
    <row r="32" spans="1:9" ht="63.75" thickBot="1" x14ac:dyDescent="0.25">
      <c r="A32" s="436" t="s">
        <v>682</v>
      </c>
      <c r="B32" s="480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474</v>
      </c>
      <c r="D32" s="714">
        <f>SUMIFS(Пр.13!G$10:G$1431,Пр.13!$D$10:$D$1431,C32)</f>
        <v>0</v>
      </c>
      <c r="E32" s="613">
        <f>SUMIFS(Пр.13!H$10:H$1431,Пр.13!$D$10:$D$1431,C32)</f>
        <v>5084600</v>
      </c>
      <c r="F32" s="168">
        <f>SUMIFS(Пр.13!I$10:I$1431,Пр.13!$D$10:$D$1431,C32)</f>
        <v>5084600</v>
      </c>
      <c r="G32" s="714">
        <f>SUMIFS(Пр.13!J$10:J$1431,Пр.13!$D$10:$D$1431,C32)</f>
        <v>0</v>
      </c>
      <c r="H32" s="613">
        <f>SUMIFS(Пр.13!K$10:K$1431,Пр.13!$D$10:$D$1431,C32)</f>
        <v>3084600</v>
      </c>
      <c r="I32" s="168">
        <f>SUMIFS(Пр.13!L$10:L$1431,Пр.13!$D$10:$D$1431,C32)</f>
        <v>3084600</v>
      </c>
    </row>
    <row r="33" spans="1:9" ht="48" thickBot="1" x14ac:dyDescent="0.25">
      <c r="A33" s="436" t="s">
        <v>683</v>
      </c>
      <c r="B33" s="480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503</v>
      </c>
      <c r="D33" s="712">
        <f>SUMIFS(Пр.13!G$10:G$1431,Пр.13!$D$10:$D$1431,C33)</f>
        <v>0</v>
      </c>
      <c r="E33" s="613">
        <f>SUMIFS(Пр.13!H$10:H$1431,Пр.13!$D$10:$D$1431,C33)</f>
        <v>36148845</v>
      </c>
      <c r="F33" s="168">
        <f>SUMIFS(Пр.13!I$10:I$1431,Пр.13!$D$10:$D$1431,C33)</f>
        <v>36148845</v>
      </c>
      <c r="G33" s="712">
        <f>SUMIFS(Пр.13!J$10:J$1431,Пр.13!$D$10:$D$1431,C33)</f>
        <v>0</v>
      </c>
      <c r="H33" s="613">
        <f>SUMIFS(Пр.13!K$10:K$1431,Пр.13!$D$10:$D$1431,C33)</f>
        <v>36175049</v>
      </c>
      <c r="I33" s="168">
        <f>SUMIFS(Пр.13!L$10:L$1431,Пр.13!$D$10:$D$1431,C33)</f>
        <v>36175049</v>
      </c>
    </row>
    <row r="34" spans="1:9" ht="32.25" thickBot="1" x14ac:dyDescent="0.25">
      <c r="A34" s="436"/>
      <c r="B34" s="480" t="str">
        <f>IF(C34&gt;0,VLOOKUP(C34,Программа!A$2:B$5110,2))</f>
        <v>Обеспечение детей организованными формами отдыха и оздоровления</v>
      </c>
      <c r="C34" s="126" t="s">
        <v>1151</v>
      </c>
      <c r="D34" s="712">
        <f>SUMIFS(Пр.13!G$10:G$1431,Пр.13!$D$10:$D$1431,C34)</f>
        <v>0</v>
      </c>
      <c r="E34" s="613">
        <f>SUMIFS(Пр.13!H$10:H$1431,Пр.13!$D$10:$D$1431,C34)</f>
        <v>5447338</v>
      </c>
      <c r="F34" s="168">
        <f>SUMIFS(Пр.13!I$10:I$1431,Пр.13!$D$10:$D$1431,C34)</f>
        <v>5447338</v>
      </c>
      <c r="G34" s="712">
        <f>SUMIFS(Пр.13!J$10:J$1431,Пр.13!$D$10:$D$1431,C34)</f>
        <v>0</v>
      </c>
      <c r="H34" s="613">
        <f>SUMIFS(Пр.13!K$10:K$1431,Пр.13!$D$10:$D$1431,C34)</f>
        <v>5447338</v>
      </c>
      <c r="I34" s="168">
        <f>SUMIFS(Пр.13!L$10:L$1431,Пр.13!$D$10:$D$1431,C34)</f>
        <v>5447338</v>
      </c>
    </row>
    <row r="35" spans="1:9" ht="16.5" thickBot="1" x14ac:dyDescent="0.25">
      <c r="A35" s="436"/>
      <c r="B35" s="480" t="str">
        <f>IF(C35&gt;0,VLOOKUP(C35,Программа!A$2:B$5110,2))</f>
        <v>Обеспечение компенсационных выплат</v>
      </c>
      <c r="C35" s="126" t="s">
        <v>1156</v>
      </c>
      <c r="D35" s="712">
        <f>SUMIFS(Пр.13!G$10:G$1431,Пр.13!$D$10:$D$1431,C35)</f>
        <v>0</v>
      </c>
      <c r="E35" s="613">
        <f>SUMIFS(Пр.13!H$10:H$1431,Пр.13!$D$10:$D$1431,C35)</f>
        <v>11501665</v>
      </c>
      <c r="F35" s="168">
        <f>SUMIFS(Пр.13!I$10:I$1431,Пр.13!$D$10:$D$1431,C35)</f>
        <v>11501665</v>
      </c>
      <c r="G35" s="712">
        <f>SUMIFS(Пр.13!J$10:J$1431,Пр.13!$D$10:$D$1431,C35)</f>
        <v>0</v>
      </c>
      <c r="H35" s="613">
        <f>SUMIFS(Пр.13!K$10:K$1431,Пр.13!$D$10:$D$1431,C35)</f>
        <v>11501665</v>
      </c>
      <c r="I35" s="168">
        <f>SUMIFS(Пр.13!L$10:L$1431,Пр.13!$D$10:$D$1431,C35)</f>
        <v>11501665</v>
      </c>
    </row>
    <row r="36" spans="1:9" ht="32.25" thickBot="1" x14ac:dyDescent="0.25">
      <c r="A36" s="436"/>
      <c r="B36" s="480" t="str">
        <f>IF(C36&gt;0,VLOOKUP(C36,Программа!A$2:B$5110,2))</f>
        <v>Обеспечение эффективности управления системой образования</v>
      </c>
      <c r="C36" s="126" t="s">
        <v>1153</v>
      </c>
      <c r="D36" s="712">
        <f>SUMIFS(Пр.13!G$10:G$1431,Пр.13!$D$10:$D$1431,C36)</f>
        <v>0</v>
      </c>
      <c r="E36" s="613">
        <f>SUMIFS(Пр.13!H$10:H$1431,Пр.13!$D$10:$D$1431,C36)</f>
        <v>30943094</v>
      </c>
      <c r="F36" s="168">
        <f>SUMIFS(Пр.13!I$10:I$1431,Пр.13!$D$10:$D$1431,C36)</f>
        <v>30943094</v>
      </c>
      <c r="G36" s="712">
        <f>SUMIFS(Пр.13!J$10:J$1431,Пр.13!$D$10:$D$1431,C36)</f>
        <v>0</v>
      </c>
      <c r="H36" s="613">
        <f>SUMIFS(Пр.13!K$10:K$1431,Пр.13!$D$10:$D$1431,C36)</f>
        <v>30943094</v>
      </c>
      <c r="I36" s="168">
        <f>SUMIFS(Пр.13!L$10:L$1431,Пр.13!$D$10:$D$1431,C36)</f>
        <v>30943094</v>
      </c>
    </row>
    <row r="37" spans="1:9" ht="32.25" thickBot="1" x14ac:dyDescent="0.25">
      <c r="A37" s="436"/>
      <c r="B37" s="480" t="str">
        <f>IF(C37&gt;0,VLOOKUP(C37,Программа!A$2:B$5110,2))</f>
        <v>Обеспечение эффективности управления системой образования</v>
      </c>
      <c r="C37" s="126" t="s">
        <v>1700</v>
      </c>
      <c r="D37" s="712"/>
      <c r="E37" s="613"/>
      <c r="F37" s="168">
        <f>SUMIFS(Пр.13!I$10:I$1431,Пр.13!$D$10:$D$1431,C37)</f>
        <v>0</v>
      </c>
      <c r="G37" s="712"/>
      <c r="H37" s="613"/>
      <c r="I37" s="168">
        <f>SUMIFS(Пр.13!L$10:L$1431,Пр.13!$D$10:$D$1431,C37)</f>
        <v>1608883</v>
      </c>
    </row>
    <row r="38" spans="1:9" s="438" customFormat="1" ht="48" thickBot="1" x14ac:dyDescent="0.25">
      <c r="A38" s="437"/>
      <c r="B38" s="479" t="str">
        <f>IF(C38&gt;0,VLOOKUP(C38,Программа!A$2:B$5110,2))</f>
        <v>Муниципальная целевая программа "Развитие физической культуры и спорта в Тутаевском муниципальном районе"</v>
      </c>
      <c r="C38" s="169" t="s">
        <v>472</v>
      </c>
      <c r="D38" s="715">
        <f>SUMIFS(Пр.13!G$10:G$1431,Пр.13!$D$10:$D$1431,C38)</f>
        <v>0</v>
      </c>
      <c r="E38" s="617">
        <f>SUMIFS(Пр.13!H$10:H$1431,Пр.13!$D$10:$D$1431,C38)</f>
        <v>25000000</v>
      </c>
      <c r="F38" s="686">
        <f>SUMIFS(Пр.13!I$10:I$1431,Пр.13!$D$10:$D$1431,C38)</f>
        <v>25000000</v>
      </c>
      <c r="G38" s="715">
        <f>SUMIFS(Пр.13!J$10:J$1431,Пр.13!$D$10:$D$1431,C38)</f>
        <v>0</v>
      </c>
      <c r="H38" s="617">
        <f>SUMIFS(Пр.13!K$10:K$1431,Пр.13!$D$10:$D$1431,C38)</f>
        <v>20000000</v>
      </c>
      <c r="I38" s="686">
        <f>SUMIFS(Пр.13!L$10:L$1431,Пр.13!$D$10:$D$1431,C38)</f>
        <v>20000000</v>
      </c>
    </row>
    <row r="39" spans="1:9" ht="63.75" thickBot="1" x14ac:dyDescent="0.25">
      <c r="A39" s="436"/>
      <c r="B39" s="480" t="str">
        <f>IF(C39&gt;0,VLOOKUP(C39,Программа!A$2:B$5110,2))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126" t="s">
        <v>528</v>
      </c>
      <c r="D39" s="716">
        <f>SUMIFS(Пр.13!G$10:G$1431,Пр.13!$D$10:$D$1431,C39)</f>
        <v>0</v>
      </c>
      <c r="E39" s="618">
        <f>SUMIFS(Пр.13!H$10:H$1431,Пр.13!$D$10:$D$1431,C39)</f>
        <v>25000000</v>
      </c>
      <c r="F39" s="168">
        <f>SUMIFS(Пр.13!I$10:I$1431,Пр.13!$D$10:$D$1431,C39)</f>
        <v>25000000</v>
      </c>
      <c r="G39" s="716">
        <f>SUMIFS(Пр.13!J$10:J$1431,Пр.13!$D$10:$D$1431,C39)</f>
        <v>0</v>
      </c>
      <c r="H39" s="618">
        <f>SUMIFS(Пр.13!K$10:K$1431,Пр.13!$D$10:$D$1431,C39)</f>
        <v>20000000</v>
      </c>
      <c r="I39" s="168">
        <f>SUMIFS(Пр.13!L$10:L$1431,Пр.13!$D$10:$D$1431,C39)</f>
        <v>20000000</v>
      </c>
    </row>
    <row r="40" spans="1:9" ht="16.5" hidden="1" thickBot="1" x14ac:dyDescent="0.25">
      <c r="A40" s="436"/>
      <c r="B40" s="477" t="str">
        <f>IF(C40&gt;0,VLOOKUP(C40,Программа!A$2:B$5110,2))</f>
        <v>Развитие сети плоскостных спортивных сооружений</v>
      </c>
      <c r="C40" s="175" t="s">
        <v>509</v>
      </c>
      <c r="D40" s="442">
        <f>SUMIFS(Пр.13!G$10:G$1431,Пр.13!$D$10:$D$1431,C40)</f>
        <v>0</v>
      </c>
      <c r="E40" s="442">
        <f>SUMIFS(Пр.13!H$10:H$1431,Пр.13!$D$10:$D$1431,C40)</f>
        <v>0</v>
      </c>
      <c r="F40" s="459">
        <f>SUMIFS(Пр.13!I$10:I$1431,Пр.13!$D$10:$D$1431,C40)</f>
        <v>0</v>
      </c>
      <c r="G40" s="459">
        <f>SUMIFS(Пр.13!J$10:J$1431,Пр.13!$D$10:$D$1431,C40)</f>
        <v>0</v>
      </c>
      <c r="H40" s="459">
        <f>SUMIFS(Пр.13!K$10:K$1431,Пр.13!$D$10:$D$1431,C40)</f>
        <v>0</v>
      </c>
      <c r="I40" s="459">
        <f>SUMIFS(Пр.13!L$10:L$1431,Пр.13!$D$10:$D$1431,C40)</f>
        <v>0</v>
      </c>
    </row>
    <row r="41" spans="1:9" ht="48" thickBot="1" x14ac:dyDescent="0.25">
      <c r="A41" s="436" t="s">
        <v>710</v>
      </c>
      <c r="B41" s="471" t="str">
        <f>IF(C41&gt;0,VLOOKUP(C41,Программа!A$2:B$5110,2))</f>
        <v>Муниципальная программа "Социальная поддержка населения Тутаевского муниципального района"</v>
      </c>
      <c r="C41" s="706" t="s">
        <v>461</v>
      </c>
      <c r="D41" s="672">
        <f>SUMIFS(Пр.13!G$10:G$1431,Пр.13!$D$10:$D$1431,C41)</f>
        <v>0</v>
      </c>
      <c r="E41" s="611">
        <f>SUMIFS(Пр.13!H$10:H$1431,Пр.13!$D$10:$D$1431,C41)</f>
        <v>406587366</v>
      </c>
      <c r="F41" s="522">
        <f>SUMIFS(Пр.13!I$10:I$1431,Пр.13!$D$10:$D$1431,C41)</f>
        <v>406587366</v>
      </c>
      <c r="G41" s="672">
        <f>SUMIFS(Пр.13!J$10:J$1431,Пр.13!$D$10:$D$1431,C41)</f>
        <v>0</v>
      </c>
      <c r="H41" s="611">
        <f>SUMIFS(Пр.13!K$10:K$1431,Пр.13!$D$10:$D$1431,C41)</f>
        <v>440439273</v>
      </c>
      <c r="I41" s="522">
        <f>SUMIFS(Пр.13!L$10:L$1431,Пр.13!$D$10:$D$1431,C41)</f>
        <v>440439273</v>
      </c>
    </row>
    <row r="42" spans="1:9" ht="48" thickBot="1" x14ac:dyDescent="0.25">
      <c r="A42" s="436"/>
      <c r="B42" s="689" t="str">
        <f>IF(C42&gt;0,VLOOKUP(C42,Программа!A$2:B$5110,2))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2" s="174" t="s">
        <v>533</v>
      </c>
      <c r="D42" s="711">
        <f>SUMIFS(Пр.13!G$10:G$1431,Пр.13!$D$10:$D$1431,C42)</f>
        <v>0</v>
      </c>
      <c r="E42" s="612">
        <f>SUMIFS(Пр.13!H$10:H$1431,Пр.13!$D$10:$D$1431,C42)</f>
        <v>406587366</v>
      </c>
      <c r="F42" s="690">
        <f>SUMIFS(Пр.13!I$10:I$1431,Пр.13!$D$10:$D$1431,C42)</f>
        <v>406587366</v>
      </c>
      <c r="G42" s="711">
        <f>SUMIFS(Пр.13!J$10:J$1431,Пр.13!$D$10:$D$1431,C42)</f>
        <v>0</v>
      </c>
      <c r="H42" s="612">
        <f>SUMIFS(Пр.13!K$10:K$1431,Пр.13!$D$10:$D$1431,C42)</f>
        <v>440439273</v>
      </c>
      <c r="I42" s="690">
        <f>SUMIFS(Пр.13!L$10:L$1431,Пр.13!$D$10:$D$1431,C42)</f>
        <v>440439273</v>
      </c>
    </row>
    <row r="43" spans="1:9" ht="32.25" thickBot="1" x14ac:dyDescent="0.25">
      <c r="A43" s="436"/>
      <c r="B43" s="480" t="str">
        <f>IF(C43&gt;0,VLOOKUP(C43,Программа!A$2:B$5110,2))</f>
        <v>Исполнение публичных обязательств по предоставлению выплат, пособий и компенсаций</v>
      </c>
      <c r="C43" s="126" t="s">
        <v>535</v>
      </c>
      <c r="D43" s="712">
        <f>SUMIFS(Пр.13!G$10:G$1431,Пр.13!$D$10:$D$1431,C43)</f>
        <v>0</v>
      </c>
      <c r="E43" s="613">
        <f>SUMIFS(Пр.13!H$10:H$1431,Пр.13!$D$10:$D$1431,C43)</f>
        <v>259861270</v>
      </c>
      <c r="F43" s="168">
        <f>SUMIFS(Пр.13!I$10:I$1431,Пр.13!$D$10:$D$1431,C43)</f>
        <v>259861270</v>
      </c>
      <c r="G43" s="712">
        <f>SUMIFS(Пр.13!J$10:J$1431,Пр.13!$D$10:$D$1431,C43)</f>
        <v>0</v>
      </c>
      <c r="H43" s="613">
        <f>SUMIFS(Пр.13!K$10:K$1431,Пр.13!$D$10:$D$1431,C43)</f>
        <v>292167271</v>
      </c>
      <c r="I43" s="168">
        <f>SUMIFS(Пр.13!L$10:L$1431,Пр.13!$D$10:$D$1431,C43)</f>
        <v>292167271</v>
      </c>
    </row>
    <row r="44" spans="1:9" ht="48" thickBot="1" x14ac:dyDescent="0.25">
      <c r="A44" s="436"/>
      <c r="B44" s="480" t="str">
        <f>IF(C44&gt;0,VLOOKUP(C44,Программа!A$2:B$5110,2))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126" t="s">
        <v>538</v>
      </c>
      <c r="D44" s="712">
        <f>SUMIFS(Пр.13!G$10:G$1431,Пр.13!$D$10:$D$1431,C44)</f>
        <v>0</v>
      </c>
      <c r="E44" s="613">
        <f>SUMIFS(Пр.13!H$10:H$1431,Пр.13!$D$10:$D$1431,C44)</f>
        <v>84501896</v>
      </c>
      <c r="F44" s="168">
        <f>SUMIFS(Пр.13!I$10:I$1431,Пр.13!$D$10:$D$1431,C44)</f>
        <v>84501896</v>
      </c>
      <c r="G44" s="712">
        <f>SUMIFS(Пр.13!J$10:J$1431,Пр.13!$D$10:$D$1431,C44)</f>
        <v>0</v>
      </c>
      <c r="H44" s="613">
        <f>SUMIFS(Пр.13!K$10:K$1431,Пр.13!$D$10:$D$1431,C44)</f>
        <v>84501896</v>
      </c>
      <c r="I44" s="168">
        <f>SUMIFS(Пр.13!L$10:L$1431,Пр.13!$D$10:$D$1431,C44)</f>
        <v>84501896</v>
      </c>
    </row>
    <row r="45" spans="1:9" ht="48" thickBot="1" x14ac:dyDescent="0.25">
      <c r="A45" s="436" t="s">
        <v>70</v>
      </c>
      <c r="B45" s="480" t="str">
        <f>IF(C45&gt;0,VLOOKUP(C45,Программа!A$2:B$5110,2))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5" s="126" t="s">
        <v>553</v>
      </c>
      <c r="D45" s="712">
        <f>SUMIFS(Пр.13!G$10:G$1431,Пр.13!$D$10:$D$1431,C45)</f>
        <v>0</v>
      </c>
      <c r="E45" s="613">
        <f>SUMIFS(Пр.13!H$10:H$1431,Пр.13!$D$10:$D$1431,C45)</f>
        <v>7081306</v>
      </c>
      <c r="F45" s="168">
        <f>SUMIFS(Пр.13!I$10:I$1431,Пр.13!$D$10:$D$1431,C45)</f>
        <v>7081306</v>
      </c>
      <c r="G45" s="712">
        <f>SUMIFS(Пр.13!J$10:J$1431,Пр.13!$D$10:$D$1431,C45)</f>
        <v>0</v>
      </c>
      <c r="H45" s="613">
        <f>SUMIFS(Пр.13!K$10:K$1431,Пр.13!$D$10:$D$1431,C45)</f>
        <v>8086256</v>
      </c>
      <c r="I45" s="168">
        <f>SUMIFS(Пр.13!L$10:L$1431,Пр.13!$D$10:$D$1431,C45)</f>
        <v>8086256</v>
      </c>
    </row>
    <row r="46" spans="1:9" ht="32.25" thickBot="1" x14ac:dyDescent="0.25">
      <c r="A46" s="436"/>
      <c r="B46" s="480" t="str">
        <f>IF(C46&gt;0,VLOOKUP(C46,Программа!A$2:B$5110,2))</f>
        <v>Информационное обеспечение реализации мероприятий программы</v>
      </c>
      <c r="C46" s="126" t="s">
        <v>1279</v>
      </c>
      <c r="D46" s="712">
        <f>SUMIFS(Пр.13!G$10:G$1431,Пр.13!$D$10:$D$1431,C46)</f>
        <v>0</v>
      </c>
      <c r="E46" s="620">
        <f>SUMIFS(Пр.13!H$10:H$1431,Пр.13!$D$10:$D$1431,C46)</f>
        <v>1456000</v>
      </c>
      <c r="F46" s="168">
        <f>SUMIFS(Пр.13!I$10:I$1431,Пр.13!$D$10:$D$1431,C46)</f>
        <v>1456000</v>
      </c>
      <c r="G46" s="712">
        <f>SUMIFS(Пр.13!J$10:J$1431,Пр.13!$D$10:$D$1431,C46)</f>
        <v>0</v>
      </c>
      <c r="H46" s="620">
        <f>SUMIFS(Пр.13!K$10:K$1431,Пр.13!$D$10:$D$1431,C46)</f>
        <v>1456000</v>
      </c>
      <c r="I46" s="168">
        <f>SUMIFS(Пр.13!L$10:L$1431,Пр.13!$D$10:$D$1431,C46)</f>
        <v>1456000</v>
      </c>
    </row>
    <row r="47" spans="1:9" ht="32.25" thickBot="1" x14ac:dyDescent="0.25">
      <c r="A47" s="436"/>
      <c r="B47" s="480" t="str">
        <f>IF(C47&gt;0,VLOOKUP(C47,Программа!A$2:B$5110,2))</f>
        <v>Федеральный проект "Финансовая поддержка при рождении детей"</v>
      </c>
      <c r="C47" s="126" t="s">
        <v>1545</v>
      </c>
      <c r="D47" s="712">
        <f>SUMIFS(Пр.13!G$10:G$1431,Пр.13!$D$10:$D$1431,C47)</f>
        <v>0</v>
      </c>
      <c r="E47" s="613"/>
      <c r="F47" s="168">
        <f>SUMIFS(Пр.13!I$10:I$1431,Пр.13!$D$10:$D$1431,C47)</f>
        <v>53686894</v>
      </c>
      <c r="G47" s="712">
        <f>SUMIFS(Пр.13!J$10:J$1431,Пр.13!$D$10:$D$1431,C47)</f>
        <v>0</v>
      </c>
      <c r="H47" s="613"/>
      <c r="I47" s="168">
        <f>SUMIFS(Пр.13!L$10:L$1431,Пр.13!$D$10:$D$1431,C47)</f>
        <v>54227850</v>
      </c>
    </row>
    <row r="48" spans="1:9" ht="16.5" hidden="1" thickBot="1" x14ac:dyDescent="0.25">
      <c r="A48" s="436"/>
      <c r="B48" s="510" t="str">
        <f>IF(C48&gt;0,VLOOKUP(C48,Программа!A$2:B$5110,2))</f>
        <v>Федеральный проект "Старшее поколение"</v>
      </c>
      <c r="C48" s="175" t="s">
        <v>1546</v>
      </c>
      <c r="D48" s="524">
        <f>SUMIFS(Пр.13!G$10:G$1431,Пр.13!$D$10:$D$1431,C48)</f>
        <v>0</v>
      </c>
      <c r="E48" s="441"/>
      <c r="F48" s="513">
        <f>SUMIFS(Пр.13!I$10:I$1431,Пр.13!$D$10:$D$1431,C48)</f>
        <v>0</v>
      </c>
      <c r="G48" s="520">
        <f>SUMIFS(Пр.13!J$10:J$1431,Пр.13!$D$10:$D$1431,C48)</f>
        <v>0</v>
      </c>
      <c r="H48" s="462"/>
      <c r="I48" s="514">
        <f>SUMIFS(Пр.13!L$10:L$1431,Пр.13!$D$10:$D$1431,C48)</f>
        <v>0</v>
      </c>
    </row>
    <row r="49" spans="1:9" ht="48" hidden="1" thickBot="1" x14ac:dyDescent="0.25">
      <c r="A49" s="436" t="s">
        <v>714</v>
      </c>
      <c r="B49" s="479" t="str">
        <f>IF(C49&gt;0,VLOOKUP(C49,Программа!A$2:B$5110,2))</f>
        <v>Муниципальная целевая программа "Улучшение условий и охраны труда" по Тутаевскому муниципальному району</v>
      </c>
      <c r="C49" s="169" t="s">
        <v>463</v>
      </c>
      <c r="D49" s="435">
        <f>SUMIFS(Пр.13!G$10:G$1431,Пр.13!$D$10:$D$1431,C49)</f>
        <v>0</v>
      </c>
      <c r="E49" s="435">
        <f>SUMIFS(Пр.13!H$10:H$1431,Пр.13!$D$10:$D$1431,C49)</f>
        <v>0</v>
      </c>
      <c r="F49" s="464">
        <f>SUMIFS(Пр.13!I$10:I$1431,Пр.13!$D$10:$D$1431,C49)</f>
        <v>0</v>
      </c>
      <c r="G49" s="464">
        <f>SUMIFS(Пр.13!J$10:J$1431,Пр.13!$D$10:$D$1431,C49)</f>
        <v>0</v>
      </c>
      <c r="H49" s="464">
        <f>SUMIFS(Пр.13!K$10:K$1431,Пр.13!$D$10:$D$1431,C49)</f>
        <v>0</v>
      </c>
      <c r="I49" s="464">
        <f>SUMIFS(Пр.13!L$10:L$1431,Пр.13!$D$10:$D$1431,C49)</f>
        <v>0</v>
      </c>
    </row>
    <row r="50" spans="1:9" ht="48" hidden="1" thickBot="1" x14ac:dyDescent="0.25">
      <c r="A50" s="436"/>
      <c r="B50" s="480" t="str">
        <f>IF(C50&gt;0,VLOOKUP(C50,Программа!A$2:B$5110,2))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6" t="s">
        <v>464</v>
      </c>
      <c r="D50" s="434">
        <f>SUMIFS(Пр.13!G$10:G$1431,Пр.13!$D$10:$D$1431,C50)</f>
        <v>0</v>
      </c>
      <c r="E50" s="434">
        <f>SUMIFS(Пр.13!H$10:H$1431,Пр.13!$D$10:$D$1431,C50)</f>
        <v>0</v>
      </c>
      <c r="F50" s="464">
        <f>SUMIFS(Пр.13!I$10:I$1431,Пр.13!$D$10:$D$1431,C50)</f>
        <v>0</v>
      </c>
      <c r="G50" s="464">
        <f>SUMIFS(Пр.13!J$10:J$1431,Пр.13!$D$10:$D$1431,C50)</f>
        <v>0</v>
      </c>
      <c r="H50" s="464">
        <f>SUMIFS(Пр.13!K$10:K$1431,Пр.13!$D$10:$D$1431,C50)</f>
        <v>0</v>
      </c>
      <c r="I50" s="464">
        <f>SUMIFS(Пр.13!L$10:L$1431,Пр.13!$D$10:$D$1431,C50)</f>
        <v>0</v>
      </c>
    </row>
    <row r="51" spans="1:9" ht="16.5" hidden="1" thickBot="1" x14ac:dyDescent="0.25">
      <c r="A51" s="436"/>
      <c r="B51" s="480" t="str">
        <f>IF(C51&gt;0,VLOOKUP(C51,Программа!A$2:B$5110,2))</f>
        <v>Муниципальная программа "Доступная среда "</v>
      </c>
      <c r="C51" s="414" t="s">
        <v>595</v>
      </c>
      <c r="D51" s="443">
        <f>SUMIFS(Пр.13!G$10:G$1431,Пр.13!$D$10:$D$1431,C51)</f>
        <v>0</v>
      </c>
      <c r="E51" s="443">
        <f>SUMIFS(Пр.13!H$10:H$1431,Пр.13!$D$10:$D$1431,C51)</f>
        <v>0</v>
      </c>
      <c r="F51" s="464">
        <f>SUMIFS(Пр.13!I$10:I$1431,Пр.13!$D$10:$D$1431,C51)</f>
        <v>0</v>
      </c>
      <c r="G51" s="464">
        <f>SUMIFS(Пр.13!J$10:J$1431,Пр.13!$D$10:$D$1431,C51)</f>
        <v>0</v>
      </c>
      <c r="H51" s="464">
        <f>SUMIFS(Пр.13!K$10:K$1431,Пр.13!$D$10:$D$1431,C51)</f>
        <v>0</v>
      </c>
      <c r="I51" s="464">
        <f>SUMIFS(Пр.13!L$10:L$1431,Пр.13!$D$10:$D$1431,C51)</f>
        <v>0</v>
      </c>
    </row>
    <row r="52" spans="1:9" ht="63.75" hidden="1" thickBot="1" x14ac:dyDescent="0.25">
      <c r="A52" s="436" t="s">
        <v>43</v>
      </c>
      <c r="B52" s="476" t="str">
        <f>IF(C52&gt;0,VLOOKUP(C52,Программа!A$2:B$5110,2))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3" t="s">
        <v>597</v>
      </c>
      <c r="D52" s="441">
        <f>SUMIFS(Пр.13!G$10:G$1431,Пр.13!$D$10:$D$1431,C52)</f>
        <v>0</v>
      </c>
      <c r="E52" s="441">
        <f>SUMIFS(Пр.13!H$10:H$1431,Пр.13!$D$10:$D$1431,C52)</f>
        <v>0</v>
      </c>
      <c r="F52" s="458">
        <f>SUMIFS(Пр.13!I$10:I$1431,Пр.13!$D$10:$D$1431,C52)</f>
        <v>0</v>
      </c>
      <c r="G52" s="458">
        <f>SUMIFS(Пр.13!J$10:J$1431,Пр.13!$D$10:$D$1431,C52)</f>
        <v>0</v>
      </c>
      <c r="H52" s="458">
        <f>SUMIFS(Пр.13!K$10:K$1431,Пр.13!$D$10:$D$1431,C52)</f>
        <v>0</v>
      </c>
      <c r="I52" s="458">
        <f>SUMIFS(Пр.13!L$10:L$1431,Пр.13!$D$10:$D$1431,C52)</f>
        <v>0</v>
      </c>
    </row>
    <row r="53" spans="1:9" ht="48" thickBot="1" x14ac:dyDescent="0.25">
      <c r="A53" s="436" t="s">
        <v>725</v>
      </c>
      <c r="B53" s="471" t="str">
        <f>IF(C53&gt;0,VLOOKUP(C53,Программа!A$2:B$5110,2))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706" t="s">
        <v>613</v>
      </c>
      <c r="D53" s="672">
        <f>SUMIFS(Пр.13!G$10:G$1431,Пр.13!$D$10:$D$1431,C53)</f>
        <v>0</v>
      </c>
      <c r="E53" s="611">
        <f>SUMIFS(Пр.13!H$10:H$1431,Пр.13!$D$10:$D$1431,C53)</f>
        <v>0</v>
      </c>
      <c r="F53" s="522">
        <f>SUMIFS(Пр.13!I$10:I$1431,Пр.13!$D$10:$D$1431,C53)</f>
        <v>0</v>
      </c>
      <c r="G53" s="672">
        <f>SUMIFS(Пр.13!J$10:J$1431,Пр.13!$D$10:$D$1431,C53)</f>
        <v>0</v>
      </c>
      <c r="H53" s="611">
        <f>SUMIFS(Пр.13!K$10:K$1431,Пр.13!$D$10:$D$1431,C53)</f>
        <v>15163000</v>
      </c>
      <c r="I53" s="522">
        <f>SUMIFS(Пр.13!L$10:L$1431,Пр.13!$D$10:$D$1431,C53)</f>
        <v>15163000</v>
      </c>
    </row>
    <row r="54" spans="1:9" ht="63.75" hidden="1" thickBot="1" x14ac:dyDescent="0.25">
      <c r="A54" s="436" t="s">
        <v>53</v>
      </c>
      <c r="B54" s="472" t="str">
        <f>IF(C54&gt;0,VLOOKUP(C54,Программа!A$2:B$5110,2))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4" t="s">
        <v>615</v>
      </c>
      <c r="D54" s="432">
        <f>SUMIFS(Пр.13!G$10:G$1431,Пр.13!$D$10:$D$1431,C54)</f>
        <v>0</v>
      </c>
      <c r="E54" s="432">
        <f>SUMIFS(Пр.13!H$10:H$1431,Пр.13!$D$10:$D$1431,C54)</f>
        <v>0</v>
      </c>
      <c r="F54" s="457">
        <f>SUMIFS(Пр.13!I$10:I$1431,Пр.13!$D$10:$D$1431,C54)</f>
        <v>0</v>
      </c>
      <c r="G54" s="457">
        <f>SUMIFS(Пр.13!J$10:J$1431,Пр.13!$D$10:$D$1431,C54)</f>
        <v>0</v>
      </c>
      <c r="H54" s="457">
        <f>SUMIFS(Пр.13!K$10:K$1431,Пр.13!$D$10:$D$1431,C54)</f>
        <v>0</v>
      </c>
      <c r="I54" s="465">
        <f>SUMIFS(Пр.13!L$10:L$1431,Пр.13!$D$10:$D$1431,C54)</f>
        <v>0</v>
      </c>
    </row>
    <row r="55" spans="1:9" ht="79.5" hidden="1" thickBot="1" x14ac:dyDescent="0.25">
      <c r="A55" s="436" t="s">
        <v>729</v>
      </c>
      <c r="B55" s="473" t="str">
        <f>IF(C55&gt;0,VLOOKUP(C55,Программа!A$2:B$5110,2))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6" t="s">
        <v>641</v>
      </c>
      <c r="D55" s="434">
        <f>SUMIFS(Пр.13!G$10:G$1431,Пр.13!$D$10:$D$1431,C55)</f>
        <v>0</v>
      </c>
      <c r="E55" s="434">
        <f>SUMIFS(Пр.13!H$10:H$1431,Пр.13!$D$10:$D$1431,C55)</f>
        <v>0</v>
      </c>
      <c r="F55" s="464">
        <f>SUMIFS(Пр.13!I$10:I$1431,Пр.13!$D$10:$D$1431,C55)</f>
        <v>0</v>
      </c>
      <c r="G55" s="464">
        <f>SUMIFS(Пр.13!J$10:J$1431,Пр.13!$D$10:$D$1431,C55)</f>
        <v>0</v>
      </c>
      <c r="H55" s="464">
        <f>SUMIFS(Пр.13!K$10:K$1431,Пр.13!$D$10:$D$1431,C55)</f>
        <v>0</v>
      </c>
      <c r="I55" s="466">
        <f>SUMIFS(Пр.13!L$10:L$1431,Пр.13!$D$10:$D$1431,C55)</f>
        <v>0</v>
      </c>
    </row>
    <row r="56" spans="1:9" ht="48" hidden="1" thickBot="1" x14ac:dyDescent="0.25">
      <c r="A56" s="436" t="s">
        <v>58</v>
      </c>
      <c r="B56" s="478" t="str">
        <f>IF(C56&gt;0,VLOOKUP(C56,Программа!A$2:B$5110,2))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6" s="173" t="s">
        <v>616</v>
      </c>
      <c r="D56" s="441">
        <f>SUMIFS(Пр.13!G$10:G$1431,Пр.13!$D$10:$D$1431,C56)</f>
        <v>0</v>
      </c>
      <c r="E56" s="434">
        <f>SUMIFS(Пр.13!H$10:H$1431,Пр.13!$D$10:$D$1431,C56)</f>
        <v>0</v>
      </c>
      <c r="F56" s="458">
        <f>SUMIFS(Пр.13!I$10:I$1431,Пр.13!$D$10:$D$1431,C56)</f>
        <v>0</v>
      </c>
      <c r="G56" s="458">
        <f>SUMIFS(Пр.13!J$10:J$1431,Пр.13!$D$10:$D$1431,C56)</f>
        <v>0</v>
      </c>
      <c r="H56" s="464">
        <f>SUMIFS(Пр.13!K$10:K$1431,Пр.13!$D$10:$D$1431,C56)</f>
        <v>0</v>
      </c>
      <c r="I56" s="509">
        <f>SUMIFS(Пр.13!L$10:L$1431,Пр.13!$D$10:$D$1431,C56)</f>
        <v>0</v>
      </c>
    </row>
    <row r="57" spans="1:9" ht="63.75" thickBot="1" x14ac:dyDescent="0.25">
      <c r="A57" s="436" t="s">
        <v>752</v>
      </c>
      <c r="B57" s="479" t="str">
        <f>IF(C57&gt;0,VLOOKUP(C57,Программа!A$2:B$5110,2))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169" t="s">
        <v>644</v>
      </c>
      <c r="D57" s="717">
        <f>SUMIFS(Пр.13!G$10:G$1431,Пр.13!$D$10:$D$1431,C57)</f>
        <v>0</v>
      </c>
      <c r="E57" s="617">
        <f>SUMIFS(Пр.13!H$10:H$1431,Пр.13!$D$10:$D$1431,C57)</f>
        <v>0</v>
      </c>
      <c r="F57" s="686">
        <f>SUMIFS(Пр.13!I$10:I$1431,Пр.13!$D$10:$D$1431,C57)</f>
        <v>0</v>
      </c>
      <c r="G57" s="717">
        <f>SUMIFS(Пр.13!J$10:J$1431,Пр.13!$D$10:$D$1431,C57)</f>
        <v>0</v>
      </c>
      <c r="H57" s="617">
        <f>SUMIFS(Пр.13!K$10:K$1431,Пр.13!$D$10:$D$1431,C57)</f>
        <v>15163000</v>
      </c>
      <c r="I57" s="686">
        <f>SUMIFS(Пр.13!L$10:L$1431,Пр.13!$D$10:$D$1431,C57)</f>
        <v>15163000</v>
      </c>
    </row>
    <row r="58" spans="1:9" ht="32.25" hidden="1" thickBot="1" x14ac:dyDescent="0.25">
      <c r="A58" s="436" t="s">
        <v>63</v>
      </c>
      <c r="B58" s="473" t="str">
        <f>IF(C58&gt;0,VLOOKUP(C58,Программа!A$2:B$5110,2))</f>
        <v>Повышение уровня газификации и модернизации объектов социальной сферы</v>
      </c>
      <c r="C58" s="126" t="s">
        <v>645</v>
      </c>
      <c r="D58" s="524">
        <f>SUMIFS(Пр.13!G$10:G$1431,Пр.13!$D$10:$D$1431,C58)</f>
        <v>0</v>
      </c>
      <c r="E58" s="610">
        <f>SUMIFS(Пр.13!H$10:H$1431,Пр.13!$D$10:$D$1431,C58)</f>
        <v>0</v>
      </c>
      <c r="F58" s="600">
        <f>SUMIFS(Пр.13!I$10:I$1431,Пр.13!$D$10:$D$1431,C58)</f>
        <v>0</v>
      </c>
      <c r="G58" s="520">
        <f>SUMIFS(Пр.13!J$10:J$1431,Пр.13!$D$10:$D$1431,C58)</f>
        <v>0</v>
      </c>
      <c r="H58" s="613">
        <f>SUMIFS(Пр.13!K$10:K$1431,Пр.13!$D$10:$D$1431,C58)</f>
        <v>0</v>
      </c>
      <c r="I58" s="520">
        <f>SUMIFS(Пр.13!L$10:L$1431,Пр.13!$D$10:$D$1431,C58)</f>
        <v>0</v>
      </c>
    </row>
    <row r="59" spans="1:9" ht="63.75" thickBot="1" x14ac:dyDescent="0.25">
      <c r="A59" s="436" t="s">
        <v>753</v>
      </c>
      <c r="B59" s="480" t="str">
        <f>IF(C59&gt;0,VLOOKUP(C59,Программа!A$2:B$5110,2))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126" t="s">
        <v>686</v>
      </c>
      <c r="D59" s="712">
        <f>SUMIFS(Пр.13!G$10:G$1431,Пр.13!$D$10:$D$1431,C59)</f>
        <v>0</v>
      </c>
      <c r="E59" s="613">
        <f>SUMIFS(Пр.13!H$10:H$1431,Пр.13!$D$10:$D$1431,C59)</f>
        <v>0</v>
      </c>
      <c r="F59" s="168">
        <f>SUMIFS(Пр.13!I$10:I$1431,Пр.13!$D$10:$D$1431,C59)</f>
        <v>0</v>
      </c>
      <c r="G59" s="712">
        <f>SUMIFS(Пр.13!J$10:J$1431,Пр.13!$D$10:$D$1431,C59)</f>
        <v>0</v>
      </c>
      <c r="H59" s="613">
        <f>SUMIFS(Пр.13!K$10:K$1431,Пр.13!$D$10:$D$1431,C59)</f>
        <v>15163000</v>
      </c>
      <c r="I59" s="168">
        <f>SUMIFS(Пр.13!L$10:L$1431,Пр.13!$D$10:$D$1431,C59)</f>
        <v>15163000</v>
      </c>
    </row>
    <row r="60" spans="1:9" ht="63.75" hidden="1" thickBot="1" x14ac:dyDescent="0.25">
      <c r="A60" s="436" t="s">
        <v>754</v>
      </c>
      <c r="B60" s="474" t="str">
        <f>IF(C60&gt;0,VLOOKUP(C60,Программа!A$2:B$5110,2))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9" t="s">
        <v>648</v>
      </c>
      <c r="D60" s="625">
        <f>SUMIFS(Пр.13!G$10:G$1431,Пр.13!$D$10:$D$1431,C60)</f>
        <v>0</v>
      </c>
      <c r="E60" s="614">
        <f>SUMIFS(Пр.13!H$10:H$1431,Пр.13!$D$10:$D$1431,C60)</f>
        <v>0</v>
      </c>
      <c r="F60" s="602">
        <f>SUMIFS(Пр.13!I$10:I$1431,Пр.13!$D$10:$D$1431,C60)</f>
        <v>0</v>
      </c>
      <c r="G60" s="516">
        <f>SUMIFS(Пр.13!J$10:J$1431,Пр.13!$D$10:$D$1431,C60)</f>
        <v>0</v>
      </c>
      <c r="H60" s="617">
        <f>SUMIFS(Пр.13!K$10:K$1431,Пр.13!$D$10:$D$1431,C60)</f>
        <v>0</v>
      </c>
      <c r="I60" s="516">
        <f>SUMIFS(Пр.13!L$10:L$1431,Пр.13!$D$10:$D$1431,C60)</f>
        <v>0</v>
      </c>
    </row>
    <row r="61" spans="1:9" ht="48" hidden="1" thickBot="1" x14ac:dyDescent="0.25">
      <c r="A61" s="436" t="s">
        <v>755</v>
      </c>
      <c r="B61" s="475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5" t="s">
        <v>649</v>
      </c>
      <c r="D61" s="626">
        <f>SUMIFS(Пр.13!G$10:G$1431,Пр.13!$D$10:$D$1431,C61)</f>
        <v>0</v>
      </c>
      <c r="E61" s="615">
        <f>SUMIFS(Пр.13!H$10:H$1431,Пр.13!$D$10:$D$1431,C61)</f>
        <v>0</v>
      </c>
      <c r="F61" s="603">
        <f>SUMIFS(Пр.13!I$10:I$1431,Пр.13!$D$10:$D$1431,C61)</f>
        <v>0</v>
      </c>
      <c r="G61" s="517">
        <f>SUMIFS(Пр.13!J$10:J$1431,Пр.13!$D$10:$D$1431,C61)</f>
        <v>0</v>
      </c>
      <c r="H61" s="618">
        <f>SUMIFS(Пр.13!K$10:K$1431,Пр.13!$D$10:$D$1431,C61)</f>
        <v>0</v>
      </c>
      <c r="I61" s="517">
        <f>SUMIFS(Пр.13!L$10:L$1431,Пр.13!$D$10:$D$1431,C61)</f>
        <v>0</v>
      </c>
    </row>
    <row r="62" spans="1:9" ht="48" hidden="1" thickBot="1" x14ac:dyDescent="0.25">
      <c r="A62" s="436"/>
      <c r="B62" s="481" t="str">
        <f>IF(C62&gt;0,VLOOKUP(C62,Программа!A$2:B$5110,2))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6" t="s">
        <v>687</v>
      </c>
      <c r="D62" s="433">
        <f>SUMIFS(Пр.13!G$10:G$1431,Пр.13!$D$10:$D$1431,C62)</f>
        <v>0</v>
      </c>
      <c r="E62" s="433">
        <f>SUMIFS(Пр.13!H$10:H$1431,Пр.13!$D$10:$D$1431,C62)</f>
        <v>0</v>
      </c>
      <c r="F62" s="457">
        <f>SUMIFS(Пр.13!I$10:I$1431,Пр.13!$D$10:$D$1431,C62)</f>
        <v>0</v>
      </c>
      <c r="G62" s="457">
        <f>SUMIFS(Пр.13!J$10:J$1431,Пр.13!$D$10:$D$1431,C62)</f>
        <v>0</v>
      </c>
      <c r="H62" s="457">
        <f>SUMIFS(Пр.13!K$10:K$1431,Пр.13!$D$10:$D$1431,C62)</f>
        <v>0</v>
      </c>
      <c r="I62" s="457">
        <f>SUMIFS(Пр.13!L$10:L$1431,Пр.13!$D$10:$D$1431,C62)</f>
        <v>0</v>
      </c>
    </row>
    <row r="63" spans="1:9" ht="63" hidden="1" x14ac:dyDescent="0.2">
      <c r="B63" s="479" t="str">
        <f>IF(C63&gt;0,VLOOKUP(C63,Программа!A$2:B$5110,2))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9" t="s">
        <v>651</v>
      </c>
      <c r="D63" s="435">
        <f>SUMIFS(Пр.13!G$10:G$1431,Пр.13!$D$10:$D$1431,C63)</f>
        <v>0</v>
      </c>
      <c r="E63" s="435">
        <f>SUMIFS(Пр.13!H$10:H$1431,Пр.13!$D$10:$D$1431,C63)</f>
        <v>0</v>
      </c>
      <c r="F63" s="464">
        <f>SUMIFS(Пр.13!I$10:I$1431,Пр.13!$D$10:$D$1431,C63)</f>
        <v>0</v>
      </c>
      <c r="G63" s="464">
        <f>SUMIFS(Пр.13!J$10:J$1431,Пр.13!$D$10:$D$1431,C63)</f>
        <v>0</v>
      </c>
      <c r="H63" s="464">
        <f>SUMIFS(Пр.13!K$10:K$1431,Пр.13!$D$10:$D$1431,C63)</f>
        <v>0</v>
      </c>
      <c r="I63" s="464">
        <f>SUMIFS(Пр.13!L$10:L$1431,Пр.13!$D$10:$D$1431,C63)</f>
        <v>0</v>
      </c>
    </row>
    <row r="64" spans="1:9" ht="31.5" hidden="1" x14ac:dyDescent="0.2">
      <c r="B64" s="480" t="str">
        <f>IF(C64&gt;0,VLOOKUP(C64,Программа!A$2:B$5110,2))</f>
        <v>Проведение комплекса работ по ремонту, замене и реконструкции объектов теплоснабжения</v>
      </c>
      <c r="C64" s="126" t="s">
        <v>653</v>
      </c>
      <c r="D64" s="434">
        <f>SUMIFS(Пр.13!G$10:G$1431,Пр.13!$D$10:$D$1431,C64)</f>
        <v>0</v>
      </c>
      <c r="E64" s="434">
        <f>SUMIFS(Пр.13!H$10:H$1431,Пр.13!$D$10:$D$1431,C64)</f>
        <v>0</v>
      </c>
      <c r="F64" s="464">
        <f>SUMIFS(Пр.13!I$10:I$1431,Пр.13!$D$10:$D$1431,C64)</f>
        <v>0</v>
      </c>
      <c r="G64" s="464">
        <f>SUMIFS(Пр.13!J$10:J$1431,Пр.13!$D$10:$D$1431,C64)</f>
        <v>0</v>
      </c>
      <c r="H64" s="464">
        <f>SUMIFS(Пр.13!K$10:K$1431,Пр.13!$D$10:$D$1431,C64)</f>
        <v>0</v>
      </c>
      <c r="I64" s="464">
        <f>SUMIFS(Пр.13!L$10:L$1431,Пр.13!$D$10:$D$1431,C64)</f>
        <v>0</v>
      </c>
    </row>
    <row r="65" spans="2:9" ht="47.25" hidden="1" x14ac:dyDescent="0.2">
      <c r="B65" s="480" t="str">
        <f>IF(C65&gt;0,VLOOKUP(C65,Программа!A$2:B$5110,2))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6" t="s">
        <v>656</v>
      </c>
      <c r="D65" s="434">
        <f>SUMIFS(Пр.13!G$10:G$1431,Пр.13!$D$10:$D$1431,C65)</f>
        <v>0</v>
      </c>
      <c r="E65" s="434">
        <f>SUMIFS(Пр.13!H$10:H$1431,Пр.13!$D$10:$D$1431,C65)</f>
        <v>0</v>
      </c>
      <c r="F65" s="464">
        <f>SUMIFS(Пр.13!I$10:I$1431,Пр.13!$D$10:$D$1431,C65)</f>
        <v>0</v>
      </c>
      <c r="G65" s="464">
        <f>SUMIFS(Пр.13!J$10:J$1431,Пр.13!$D$10:$D$1431,C65)</f>
        <v>0</v>
      </c>
      <c r="H65" s="464">
        <f>SUMIFS(Пр.13!K$10:K$1431,Пр.13!$D$10:$D$1431,C65)</f>
        <v>0</v>
      </c>
      <c r="I65" s="464">
        <f>SUMIFS(Пр.13!L$10:L$1431,Пр.13!$D$10:$D$1431,C65)</f>
        <v>0</v>
      </c>
    </row>
    <row r="66" spans="2:9" ht="31.5" hidden="1" x14ac:dyDescent="0.2">
      <c r="B66" s="480" t="str">
        <f>IF(C66&gt;0,VLOOKUP(C66,Программа!A$2:B$5110,2))</f>
        <v>Проведение комплекса работ по ремонту, замене и реконструкции объектов электроснабжения</v>
      </c>
      <c r="C66" s="126" t="s">
        <v>658</v>
      </c>
      <c r="D66" s="434">
        <f>SUMIFS(Пр.13!G$10:G$1431,Пр.13!$D$10:$D$1431,C66)</f>
        <v>0</v>
      </c>
      <c r="E66" s="434">
        <f>SUMIFS(Пр.13!H$10:H$1431,Пр.13!$D$10:$D$1431,C66)</f>
        <v>0</v>
      </c>
      <c r="F66" s="464">
        <f>SUMIFS(Пр.13!I$10:I$1431,Пр.13!$D$10:$D$1431,C66)</f>
        <v>0</v>
      </c>
      <c r="G66" s="464">
        <f>SUMIFS(Пр.13!J$10:J$1431,Пр.13!$D$10:$D$1431,C66)</f>
        <v>0</v>
      </c>
      <c r="H66" s="464">
        <f>SUMIFS(Пр.13!K$10:K$1431,Пр.13!$D$10:$D$1431,C66)</f>
        <v>0</v>
      </c>
      <c r="I66" s="464">
        <f>SUMIFS(Пр.13!L$10:L$1431,Пр.13!$D$10:$D$1431,C66)</f>
        <v>0</v>
      </c>
    </row>
    <row r="67" spans="2:9" ht="63" hidden="1" x14ac:dyDescent="0.2">
      <c r="B67" s="482" t="str">
        <f>IF(C67&gt;0,VLOOKUP(C67,Программа!A$2:B$5110,2))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4" t="s">
        <v>618</v>
      </c>
      <c r="D67" s="443">
        <f>SUMIFS(Пр.13!G$10:G$1431,Пр.13!$D$10:$D$1431,C67)</f>
        <v>0</v>
      </c>
      <c r="E67" s="443">
        <f>SUMIFS(Пр.13!H$10:H$1431,Пр.13!$D$10:$D$1431,C67)</f>
        <v>0</v>
      </c>
      <c r="F67" s="464">
        <f>SUMIFS(Пр.13!I$10:I$1431,Пр.13!$D$10:$D$1431,C67)</f>
        <v>0</v>
      </c>
      <c r="G67" s="464">
        <f>SUMIFS(Пр.13!J$10:J$1431,Пр.13!$D$10:$D$1431,C67)</f>
        <v>0</v>
      </c>
      <c r="H67" s="464">
        <f>SUMIFS(Пр.13!K$10:K$1431,Пр.13!$D$10:$D$1431,C67)</f>
        <v>0</v>
      </c>
      <c r="I67" s="464">
        <f>SUMIFS(Пр.13!L$10:L$1431,Пр.13!$D$10:$D$1431,C67)</f>
        <v>0</v>
      </c>
    </row>
    <row r="68" spans="2:9" ht="63.75" hidden="1" thickBot="1" x14ac:dyDescent="0.25">
      <c r="B68" s="476" t="str">
        <f>IF(C68&gt;0,VLOOKUP(C68,Программа!A$2:B$5110,2))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3" t="s">
        <v>620</v>
      </c>
      <c r="D68" s="441">
        <f>SUMIFS(Пр.13!G$10:G$1431,Пр.13!$D$10:$D$1431,C68)</f>
        <v>0</v>
      </c>
      <c r="E68" s="441">
        <f>SUMIFS(Пр.13!H$10:H$1431,Пр.13!$D$10:$D$1431,C68)</f>
        <v>0</v>
      </c>
      <c r="F68" s="458">
        <f>SUMIFS(Пр.13!I$10:I$1431,Пр.13!$D$10:$D$1431,C68)</f>
        <v>0</v>
      </c>
      <c r="G68" s="458">
        <f>SUMIFS(Пр.13!J$10:J$1431,Пр.13!$D$10:$D$1431,C68)</f>
        <v>0</v>
      </c>
      <c r="H68" s="458">
        <f>SUMIFS(Пр.13!K$10:K$1431,Пр.13!$D$10:$D$1431,C68)</f>
        <v>0</v>
      </c>
      <c r="I68" s="458">
        <f>SUMIFS(Пр.13!L$10:L$1431,Пр.13!$D$10:$D$1431,C68)</f>
        <v>0</v>
      </c>
    </row>
    <row r="69" spans="2:9" ht="32.25" hidden="1" thickBot="1" x14ac:dyDescent="0.25">
      <c r="B69" s="471" t="str">
        <f>IF(C69&gt;0,VLOOKUP(C69,Программа!A$2:B$5110,2))</f>
        <v>Муниципальная программа "Развитие дорожного хозяйства в Тутаевском муниципальном районе"</v>
      </c>
      <c r="C69" s="166" t="s">
        <v>630</v>
      </c>
      <c r="D69" s="628">
        <f>SUMIFS(Пр.13!G$10:G$1431,Пр.13!$D$10:$D$1431,C69)</f>
        <v>0</v>
      </c>
      <c r="E69" s="608">
        <f>SUMIFS(Пр.13!H$10:H$1431,Пр.13!$D$10:$D$1431,C69)</f>
        <v>0</v>
      </c>
      <c r="F69" s="606">
        <f>SUMIFS(Пр.13!I$10:I$1431,Пр.13!$D$10:$D$1431,C69)</f>
        <v>0</v>
      </c>
      <c r="G69" s="522">
        <f>SUMIFS(Пр.13!J$10:J$1431,Пр.13!$D$10:$D$1431,C69)</f>
        <v>0</v>
      </c>
      <c r="H69" s="611">
        <f>SUMIFS(Пр.13!K$10:K$1431,Пр.13!$D$10:$D$1431,C69)</f>
        <v>0</v>
      </c>
      <c r="I69" s="521">
        <f>SUMIFS(Пр.13!L$10:L$1431,Пр.13!$D$10:$D$1431,C69)</f>
        <v>0</v>
      </c>
    </row>
    <row r="70" spans="2:9" ht="47.25" hidden="1" x14ac:dyDescent="0.2">
      <c r="B70" s="472" t="str">
        <f>IF(C70&gt;0,VLOOKUP(C70,Программа!A$2:B$5110,2))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4" t="s">
        <v>632</v>
      </c>
      <c r="D70" s="632">
        <f>SUMIFS(Пр.13!G$10:G$1431,Пр.13!$D$10:$D$1431,C70)</f>
        <v>0</v>
      </c>
      <c r="E70" s="609">
        <f>SUMIFS(Пр.13!H$10:H$1431,Пр.13!$D$10:$D$1431,C70)</f>
        <v>0</v>
      </c>
      <c r="F70" s="602">
        <f>SUMIFS(Пр.13!I$10:I$1431,Пр.13!$D$10:$D$1431,C70)</f>
        <v>0</v>
      </c>
      <c r="G70" s="633">
        <f>SUMIFS(Пр.13!J$10:J$1431,Пр.13!$D$10:$D$1431,C70)</f>
        <v>0</v>
      </c>
      <c r="H70" s="612">
        <f>SUMIFS(Пр.13!K$10:K$1431,Пр.13!$D$10:$D$1431,C70)</f>
        <v>0</v>
      </c>
      <c r="I70" s="516">
        <f>SUMIFS(Пр.13!L$10:L$1431,Пр.13!$D$10:$D$1431,C70)</f>
        <v>0</v>
      </c>
    </row>
    <row r="71" spans="2:9" ht="31.5" hidden="1" x14ac:dyDescent="0.2">
      <c r="B71" s="473" t="str">
        <f>IF(C71&gt;0,VLOOKUP(C71,Программа!A$2:B$5110,2))</f>
        <v>Повышение безопасности дорожного движения на автомобильных дорогах</v>
      </c>
      <c r="C71" s="126" t="s">
        <v>634</v>
      </c>
      <c r="D71" s="524">
        <f>SUMIFS(Пр.13!G$10:G$1431,Пр.13!$D$10:$D$1431,C71)</f>
        <v>0</v>
      </c>
      <c r="E71" s="610">
        <f>SUMIFS(Пр.13!H$10:H$1431,Пр.13!$D$10:$D$1431,C71)</f>
        <v>0</v>
      </c>
      <c r="F71" s="600">
        <f>SUMIFS(Пр.13!I$10:I$1431,Пр.13!$D$10:$D$1431,C71)</f>
        <v>0</v>
      </c>
      <c r="G71" s="520">
        <f>SUMIFS(Пр.13!J$10:J$1431,Пр.13!$D$10:$D$1431,C71)</f>
        <v>0</v>
      </c>
      <c r="H71" s="613">
        <f>SUMIFS(Пр.13!K$10:K$1431,Пр.13!$D$10:$D$1431,C71)</f>
        <v>0</v>
      </c>
      <c r="I71" s="520">
        <f>SUMIFS(Пр.13!L$10:L$1431,Пр.13!$D$10:$D$1431,C71)</f>
        <v>0</v>
      </c>
    </row>
    <row r="72" spans="2:9" ht="47.25" hidden="1" x14ac:dyDescent="0.2">
      <c r="B72" s="474" t="str">
        <f>IF(C72&gt;0,VLOOKUP(C72,Программа!A$2:B$5110,2))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9" t="s">
        <v>637</v>
      </c>
      <c r="D72" s="625">
        <f>SUMIFS(Пр.13!G$10:G$1431,Пр.13!$D$10:$D$1431,C72)</f>
        <v>0</v>
      </c>
      <c r="E72" s="614">
        <f>SUMIFS(Пр.13!H$10:H$1431,Пр.13!$D$10:$D$1431,C72)</f>
        <v>0</v>
      </c>
      <c r="F72" s="602">
        <f>SUMIFS(Пр.13!I$10:I$1431,Пр.13!$D$10:$D$1431,C72)</f>
        <v>0</v>
      </c>
      <c r="G72" s="516">
        <f>SUMIFS(Пр.13!J$10:J$1431,Пр.13!$D$10:$D$1431,C72)</f>
        <v>0</v>
      </c>
      <c r="H72" s="617">
        <f>SUMIFS(Пр.13!K$10:K$1431,Пр.13!$D$10:$D$1431,C72)</f>
        <v>0</v>
      </c>
      <c r="I72" s="516">
        <f>SUMIFS(Пр.13!L$10:L$1431,Пр.13!$D$10:$D$1431,C72)</f>
        <v>0</v>
      </c>
    </row>
    <row r="73" spans="2:9" ht="32.25" hidden="1" thickBot="1" x14ac:dyDescent="0.25">
      <c r="B73" s="475" t="str">
        <f>IF(C73&gt;0,VLOOKUP(C73,Программа!A$2:B$5110,2))</f>
        <v>Приведение  в нормативное состояние автомобильных дорог общего пользования</v>
      </c>
      <c r="C73" s="415" t="s">
        <v>639</v>
      </c>
      <c r="D73" s="626">
        <f>SUMIFS(Пр.13!G$10:G$1431,Пр.13!$D$10:$D$1431,C73)</f>
        <v>0</v>
      </c>
      <c r="E73" s="615">
        <f>SUMIFS(Пр.13!H$10:H$1431,Пр.13!$D$10:$D$1431,C73)</f>
        <v>0</v>
      </c>
      <c r="F73" s="603">
        <f>SUMIFS(Пр.13!I$10:I$1431,Пр.13!$D$10:$D$1431,C73)</f>
        <v>0</v>
      </c>
      <c r="G73" s="517">
        <f>SUMIFS(Пр.13!J$10:J$1431,Пр.13!$D$10:$D$1431,C73)</f>
        <v>0</v>
      </c>
      <c r="H73" s="618">
        <f>SUMIFS(Пр.13!K$10:K$1431,Пр.13!$D$10:$D$1431,C73)</f>
        <v>0</v>
      </c>
      <c r="I73" s="517">
        <f>SUMIFS(Пр.13!L$10:L$1431,Пр.13!$D$10:$D$1431,C73)</f>
        <v>0</v>
      </c>
    </row>
    <row r="74" spans="2:9" ht="48" hidden="1" thickBot="1" x14ac:dyDescent="0.25">
      <c r="B74" s="483" t="str">
        <f>IF(C74&gt;0,VLOOKUP(C74,Программа!A$2:B$5110,2))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6" t="s">
        <v>689</v>
      </c>
      <c r="D74" s="440">
        <f>SUMIFS(Пр.13!G$10:G$1431,Пр.13!$D$10:$D$1431,C74)</f>
        <v>0</v>
      </c>
      <c r="E74" s="440">
        <f>SUMIFS(Пр.13!H$10:H$1431,Пр.13!$D$10:$D$1431,C74)</f>
        <v>0</v>
      </c>
      <c r="F74" s="457">
        <f>SUMIFS(Пр.13!I$10:I$1431,Пр.13!$D$10:$D$1431,C74)</f>
        <v>0</v>
      </c>
      <c r="G74" s="457">
        <f>SUMIFS(Пр.13!J$10:J$1431,Пр.13!$D$10:$D$1431,C74)</f>
        <v>0</v>
      </c>
      <c r="H74" s="457">
        <f>SUMIFS(Пр.13!K$10:K$1431,Пр.13!$D$10:$D$1431,C74)</f>
        <v>0</v>
      </c>
      <c r="I74" s="457">
        <f>SUMIFS(Пр.13!L$10:L$1431,Пр.13!$D$10:$D$1431,C74)</f>
        <v>0</v>
      </c>
    </row>
    <row r="75" spans="2:9" ht="79.5" hidden="1" thickBot="1" x14ac:dyDescent="0.25">
      <c r="B75" s="479" t="str">
        <f>IF(C75&gt;0,VLOOKUP(C75,Программа!A$2:B$5110,2))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9" t="s">
        <v>691</v>
      </c>
      <c r="D75" s="435">
        <f>SUMIFS(Пр.13!G$10:G$1431,Пр.13!$D$10:$D$1431,C75)</f>
        <v>0</v>
      </c>
      <c r="E75" s="435">
        <f>SUMIFS(Пр.13!H$10:H$1431,Пр.13!$D$10:$D$1431,C75)</f>
        <v>0</v>
      </c>
      <c r="F75" s="464">
        <f>SUMIFS(Пр.13!I$10:I$1431,Пр.13!$D$10:$D$1431,C75)</f>
        <v>0</v>
      </c>
      <c r="G75" s="464">
        <f>SUMIFS(Пр.13!J$10:J$1431,Пр.13!$D$10:$D$1431,C75)</f>
        <v>0</v>
      </c>
      <c r="H75" s="464">
        <f>SUMIFS(Пр.13!K$10:K$1431,Пр.13!$D$10:$D$1431,C75)</f>
        <v>0</v>
      </c>
      <c r="I75" s="464">
        <f>SUMIFS(Пр.13!L$10:L$1431,Пр.13!$D$10:$D$1431,C75)</f>
        <v>0</v>
      </c>
    </row>
    <row r="76" spans="2:9" ht="79.5" hidden="1" thickBot="1" x14ac:dyDescent="0.25">
      <c r="B76" s="480" t="str">
        <f>IF(C76&gt;0,VLOOKUP(C76,Программа!A$2:B$5110,2))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6" t="s">
        <v>693</v>
      </c>
      <c r="D76" s="434">
        <f>SUMIFS(Пр.13!G$10:G$1431,Пр.13!$D$10:$D$1431,C76)</f>
        <v>0</v>
      </c>
      <c r="E76" s="434">
        <f>SUMIFS(Пр.13!H$10:H$1431,Пр.13!$D$10:$D$1431,C76)</f>
        <v>0</v>
      </c>
      <c r="F76" s="464">
        <f>SUMIFS(Пр.13!I$10:I$1431,Пр.13!$D$10:$D$1431,C76)</f>
        <v>0</v>
      </c>
      <c r="G76" s="464">
        <f>SUMIFS(Пр.13!J$10:J$1431,Пр.13!$D$10:$D$1431,C76)</f>
        <v>0</v>
      </c>
      <c r="H76" s="464">
        <f>SUMIFS(Пр.13!K$10:K$1431,Пр.13!$D$10:$D$1431,C76)</f>
        <v>0</v>
      </c>
      <c r="I76" s="464">
        <f>SUMIFS(Пр.13!L$10:L$1431,Пр.13!$D$10:$D$1431,C76)</f>
        <v>0</v>
      </c>
    </row>
    <row r="77" spans="2:9" ht="48" hidden="1" thickBot="1" x14ac:dyDescent="0.25">
      <c r="B77" s="479" t="str">
        <f>IF(C77&gt;0,VLOOKUP(C77,Программа!A$2:B$5110,2))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7" s="169" t="s">
        <v>695</v>
      </c>
      <c r="D77" s="435">
        <f>SUMIFS(Пр.13!G$10:G$1431,Пр.13!$D$10:$D$1431,C77)</f>
        <v>0</v>
      </c>
      <c r="E77" s="435">
        <f>SUMIFS(Пр.13!H$10:H$1431,Пр.13!$D$10:$D$1431,C77)</f>
        <v>0</v>
      </c>
      <c r="F77" s="464">
        <f>SUMIFS(Пр.13!I$10:I$1431,Пр.13!$D$10:$D$1431,C77)</f>
        <v>0</v>
      </c>
      <c r="G77" s="464">
        <f>SUMIFS(Пр.13!J$10:J$1431,Пр.13!$D$10:$D$1431,C77)</f>
        <v>0</v>
      </c>
      <c r="H77" s="464">
        <f>SUMIFS(Пр.13!K$10:K$1431,Пр.13!$D$10:$D$1431,C77)</f>
        <v>0</v>
      </c>
      <c r="I77" s="464">
        <f>SUMIFS(Пр.13!L$10:L$1431,Пр.13!$D$10:$D$1431,C77)</f>
        <v>0</v>
      </c>
    </row>
    <row r="78" spans="2:9" ht="63.75" hidden="1" thickBot="1" x14ac:dyDescent="0.25">
      <c r="B78" s="480" t="str">
        <f>IF(C78&gt;0,VLOOKUP(C78,Программа!A$2:B$5110,2))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6" t="s">
        <v>697</v>
      </c>
      <c r="D78" s="434">
        <f>SUMIFS(Пр.13!G$10:G$1431,Пр.13!$D$10:$D$1431,C78)</f>
        <v>0</v>
      </c>
      <c r="E78" s="434">
        <f>SUMIFS(Пр.13!H$10:H$1431,Пр.13!$D$10:$D$1431,C78)</f>
        <v>0</v>
      </c>
      <c r="F78" s="464">
        <f>SUMIFS(Пр.13!I$10:I$1431,Пр.13!$D$10:$D$1431,C78)</f>
        <v>0</v>
      </c>
      <c r="G78" s="464">
        <f>SUMIFS(Пр.13!J$10:J$1431,Пр.13!$D$10:$D$1431,C78)</f>
        <v>0</v>
      </c>
      <c r="H78" s="464">
        <f>SUMIFS(Пр.13!K$10:K$1431,Пр.13!$D$10:$D$1431,C78)</f>
        <v>0</v>
      </c>
      <c r="I78" s="464">
        <f>SUMIFS(Пр.13!L$10:L$1431,Пр.13!$D$10:$D$1431,C78)</f>
        <v>0</v>
      </c>
    </row>
    <row r="79" spans="2:9" ht="79.5" hidden="1" thickBot="1" x14ac:dyDescent="0.25">
      <c r="B79" s="479" t="str">
        <f>IF(C79&gt;0,VLOOKUP(C79,Программа!A$2:B$5110,2))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9" t="s">
        <v>699</v>
      </c>
      <c r="D79" s="435">
        <f>SUMIFS(Пр.13!G$10:G$1431,Пр.13!$D$10:$D$1431,C79)</f>
        <v>0</v>
      </c>
      <c r="E79" s="435">
        <f>SUMIFS(Пр.13!H$10:H$1431,Пр.13!$D$10:$D$1431,C79)</f>
        <v>0</v>
      </c>
      <c r="F79" s="464">
        <f>SUMIFS(Пр.13!I$10:I$1431,Пр.13!$D$10:$D$1431,C79)</f>
        <v>0</v>
      </c>
      <c r="G79" s="464">
        <f>SUMIFS(Пр.13!J$10:J$1431,Пр.13!$D$10:$D$1431,C79)</f>
        <v>0</v>
      </c>
      <c r="H79" s="464">
        <f>SUMIFS(Пр.13!K$10:K$1431,Пр.13!$D$10:$D$1431,C79)</f>
        <v>0</v>
      </c>
      <c r="I79" s="464">
        <f>SUMIFS(Пр.13!L$10:L$1431,Пр.13!$D$10:$D$1431,C79)</f>
        <v>0</v>
      </c>
    </row>
    <row r="80" spans="2:9" ht="63.75" hidden="1" thickBot="1" x14ac:dyDescent="0.25">
      <c r="B80" s="480" t="str">
        <f>IF(C80&gt;0,VLOOKUP(C80,Программа!A$2:B$5110,2))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6" t="s">
        <v>701</v>
      </c>
      <c r="D80" s="434">
        <f>SUMIFS(Пр.13!G$10:G$1431,Пр.13!$D$10:$D$1431,C80)</f>
        <v>0</v>
      </c>
      <c r="E80" s="434">
        <f>SUMIFS(Пр.13!H$10:H$1431,Пр.13!$D$10:$D$1431,C80)</f>
        <v>0</v>
      </c>
      <c r="F80" s="464">
        <f>SUMIFS(Пр.13!I$10:I$1431,Пр.13!$D$10:$D$1431,C80)</f>
        <v>0</v>
      </c>
      <c r="G80" s="464">
        <f>SUMIFS(Пр.13!J$10:J$1431,Пр.13!$D$10:$D$1431,C80)</f>
        <v>0</v>
      </c>
      <c r="H80" s="464">
        <f>SUMIFS(Пр.13!K$10:K$1431,Пр.13!$D$10:$D$1431,C80)</f>
        <v>0</v>
      </c>
      <c r="I80" s="464">
        <f>SUMIFS(Пр.13!L$10:L$1431,Пр.13!$D$10:$D$1431,C80)</f>
        <v>0</v>
      </c>
    </row>
    <row r="81" spans="2:9" ht="48" hidden="1" thickBot="1" x14ac:dyDescent="0.25">
      <c r="B81" s="479" t="str">
        <f>IF(C81&gt;0,VLOOKUP(C81,Программа!A$2:B$5110,2))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9" t="s">
        <v>703</v>
      </c>
      <c r="D81" s="435">
        <f>SUMIFS(Пр.13!G$10:G$1431,Пр.13!$D$10:$D$1431,C81)</f>
        <v>0</v>
      </c>
      <c r="E81" s="435">
        <f>SUMIFS(Пр.13!H$10:H$1431,Пр.13!$D$10:$D$1431,C81)</f>
        <v>0</v>
      </c>
      <c r="F81" s="464">
        <f>SUMIFS(Пр.13!I$10:I$1431,Пр.13!$D$10:$D$1431,C81)</f>
        <v>0</v>
      </c>
      <c r="G81" s="464">
        <f>SUMIFS(Пр.13!J$10:J$1431,Пр.13!$D$10:$D$1431,C81)</f>
        <v>0</v>
      </c>
      <c r="H81" s="464">
        <f>SUMIFS(Пр.13!K$10:K$1431,Пр.13!$D$10:$D$1431,C81)</f>
        <v>0</v>
      </c>
      <c r="I81" s="464">
        <f>SUMIFS(Пр.13!L$10:L$1431,Пр.13!$D$10:$D$1431,C81)</f>
        <v>0</v>
      </c>
    </row>
    <row r="82" spans="2:9" ht="32.25" hidden="1" thickBot="1" x14ac:dyDescent="0.25">
      <c r="B82" s="476" t="str">
        <f>IF(C82&gt;0,VLOOKUP(C82,Программа!A$2:B$5110,2))</f>
        <v>Создание условий для поддержки  молодых семей в приобретении (строительстве) жилья</v>
      </c>
      <c r="C82" s="173" t="s">
        <v>705</v>
      </c>
      <c r="D82" s="441">
        <f>SUMIFS(Пр.13!G$10:G$1431,Пр.13!$D$10:$D$1431,C82)</f>
        <v>0</v>
      </c>
      <c r="E82" s="441">
        <f>SUMIFS(Пр.13!H$10:H$1431,Пр.13!$D$10:$D$1431,C82)</f>
        <v>0</v>
      </c>
      <c r="F82" s="458">
        <f>SUMIFS(Пр.13!I$10:I$1431,Пр.13!$D$10:$D$1431,C82)</f>
        <v>0</v>
      </c>
      <c r="G82" s="458">
        <f>SUMIFS(Пр.13!J$10:J$1431,Пр.13!$D$10:$D$1431,C82)</f>
        <v>0</v>
      </c>
      <c r="H82" s="458">
        <f>SUMIFS(Пр.13!K$10:K$1431,Пр.13!$D$10:$D$1431,C82)</f>
        <v>0</v>
      </c>
      <c r="I82" s="458">
        <f>SUMIFS(Пр.13!L$10:L$1431,Пр.13!$D$10:$D$1431,C82)</f>
        <v>0</v>
      </c>
    </row>
    <row r="83" spans="2:9" ht="63.75" thickBot="1" x14ac:dyDescent="0.25">
      <c r="B83" s="482" t="str">
        <f>IF(C83&gt;0,VLOOKUP(C83,Программа!A$2:B$5110,2))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414" t="s">
        <v>422</v>
      </c>
      <c r="D83" s="672">
        <f>SUMIFS(Пр.13!G$10:G$1431,Пр.13!$D$10:$D$1431,C83)</f>
        <v>0</v>
      </c>
      <c r="E83" s="611">
        <f>SUMIFS(Пр.13!H$10:H$1431,Пр.13!$D$10:$D$1431,C83)</f>
        <v>200000</v>
      </c>
      <c r="F83" s="464">
        <f>SUMIFS(Пр.13!I$10:I$1431,Пр.13!$D$10:$D$1431,C83)</f>
        <v>200000</v>
      </c>
      <c r="G83" s="672">
        <f>SUMIFS(Пр.13!J$10:J$1431,Пр.13!$D$10:$D$1431,C83)</f>
        <v>0</v>
      </c>
      <c r="H83" s="611">
        <f>SUMIFS(Пр.13!K$10:K$1431,Пр.13!$D$10:$D$1431,C83)</f>
        <v>200000</v>
      </c>
      <c r="I83" s="464">
        <f>SUMIFS(Пр.13!L$10:L$1431,Пр.13!$D$10:$D$1431,C83)</f>
        <v>200000</v>
      </c>
    </row>
    <row r="84" spans="2:9" ht="47.25" hidden="1" x14ac:dyDescent="0.2">
      <c r="B84" s="472" t="str">
        <f>IF(C84&gt;0,VLOOKUP(C84,Программа!A$2:B$5110,2))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4" t="s">
        <v>432</v>
      </c>
      <c r="D84" s="432">
        <f>SUMIFS(Пр.13!G$10:G$1431,Пр.13!$D$10:$D$1431,C84)</f>
        <v>0</v>
      </c>
      <c r="E84" s="432">
        <f>SUMIFS(Пр.13!H$10:H$1431,Пр.13!$D$10:$D$1431,C84)</f>
        <v>0</v>
      </c>
      <c r="F84" s="457">
        <f>SUMIFS(Пр.13!I$10:I$1431,Пр.13!$D$10:$D$1431,C84)</f>
        <v>0</v>
      </c>
      <c r="G84" s="457">
        <f>SUMIFS(Пр.13!J$10:J$1431,Пр.13!$D$10:$D$1431,C84)</f>
        <v>0</v>
      </c>
      <c r="H84" s="457">
        <f>SUMIFS(Пр.13!K$10:K$1431,Пр.13!$D$10:$D$1431,C84)</f>
        <v>0</v>
      </c>
      <c r="I84" s="465">
        <f>SUMIFS(Пр.13!L$10:L$1431,Пр.13!$D$10:$D$1431,C84)</f>
        <v>0</v>
      </c>
    </row>
    <row r="85" spans="2:9" ht="63" hidden="1" x14ac:dyDescent="0.2">
      <c r="B85" s="473" t="str">
        <f>IF(C85&gt;0,VLOOKUP(C85,Программа!A$2:B$5110,2))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6" t="s">
        <v>434</v>
      </c>
      <c r="D85" s="434">
        <f>SUMIFS(Пр.13!G$10:G$1431,Пр.13!$D$10:$D$1431,C85)</f>
        <v>0</v>
      </c>
      <c r="E85" s="434">
        <f>SUMIFS(Пр.13!H$10:H$1431,Пр.13!$D$10:$D$1431,C85)</f>
        <v>0</v>
      </c>
      <c r="F85" s="464">
        <f>SUMIFS(Пр.13!I$10:I$1431,Пр.13!$D$10:$D$1431,C85)</f>
        <v>0</v>
      </c>
      <c r="G85" s="464">
        <f>SUMIFS(Пр.13!J$10:J$1431,Пр.13!$D$10:$D$1431,C85)</f>
        <v>0</v>
      </c>
      <c r="H85" s="464">
        <f>SUMIFS(Пр.13!K$10:K$1431,Пр.13!$D$10:$D$1431,C85)</f>
        <v>0</v>
      </c>
      <c r="I85" s="466">
        <f>SUMIFS(Пр.13!L$10:L$1431,Пр.13!$D$10:$D$1431,C85)</f>
        <v>0</v>
      </c>
    </row>
    <row r="86" spans="2:9" ht="31.5" hidden="1" x14ac:dyDescent="0.2">
      <c r="B86" s="478" t="str">
        <f>IF(C86&gt;0,VLOOKUP(C86,Программа!A$2:B$5110,2))</f>
        <v>Развитие системы финансовой поддержки субъектов малого и среднего предпринимательства</v>
      </c>
      <c r="C86" s="173" t="s">
        <v>436</v>
      </c>
      <c r="D86" s="441">
        <f>SUMIFS(Пр.13!G$10:G$1431,Пр.13!$D$10:$D$1431,C86)</f>
        <v>0</v>
      </c>
      <c r="E86" s="434">
        <f>SUMIFS(Пр.13!H$10:H$1431,Пр.13!$D$10:$D$1431,C86)</f>
        <v>0</v>
      </c>
      <c r="F86" s="458">
        <f>SUMIFS(Пр.13!I$10:I$1431,Пр.13!$D$10:$D$1431,C86)</f>
        <v>0</v>
      </c>
      <c r="G86" s="458">
        <f>SUMIFS(Пр.13!J$10:J$1431,Пр.13!$D$10:$D$1431,C86)</f>
        <v>0</v>
      </c>
      <c r="H86" s="464">
        <f>SUMIFS(Пр.13!K$10:K$1431,Пр.13!$D$10:$D$1431,C86)</f>
        <v>0</v>
      </c>
      <c r="I86" s="509">
        <f>SUMIFS(Пр.13!L$10:L$1431,Пр.13!$D$10:$D$1431,C86)</f>
        <v>0</v>
      </c>
    </row>
    <row r="87" spans="2:9" ht="47.25" hidden="1" x14ac:dyDescent="0.2">
      <c r="B87" s="479" t="str">
        <f>IF(C87&gt;0,VLOOKUP(C87,Программа!A$2:B$5110,2))</f>
        <v>Муниципальная целевая программа "Развитие потребительского рынка Тутаевского муниципального района "</v>
      </c>
      <c r="C87" s="169" t="s">
        <v>438</v>
      </c>
      <c r="D87" s="717">
        <f>SUMIFS(Пр.13!G$10:G$1431,Пр.13!$D$10:$D$1431,C87)</f>
        <v>0</v>
      </c>
      <c r="E87" s="617">
        <f>SUMIFS(Пр.13!H$10:H$1431,Пр.13!$D$10:$D$1431,C87)</f>
        <v>0</v>
      </c>
      <c r="F87" s="686">
        <f>SUMIFS(Пр.13!I$10:I$1431,Пр.13!$D$10:$D$1431,C87)</f>
        <v>0</v>
      </c>
      <c r="G87" s="717">
        <f>SUMIFS(Пр.13!J$10:J$1431,Пр.13!$D$10:$D$1431,C87)</f>
        <v>0</v>
      </c>
      <c r="H87" s="617">
        <f>SUMIFS(Пр.13!K$10:K$1431,Пр.13!$D$10:$D$1431,C87)</f>
        <v>0</v>
      </c>
      <c r="I87" s="686">
        <f>SUMIFS(Пр.13!L$10:L$1431,Пр.13!$D$10:$D$1431,C87)</f>
        <v>0</v>
      </c>
    </row>
    <row r="88" spans="2:9" ht="47.25" hidden="1" x14ac:dyDescent="0.2">
      <c r="B88" s="480" t="str">
        <f>IF(C88&gt;0,VLOOKUP(C88,Программа!A$2:B$5110,2))</f>
        <v>Обеспечение доступности товаров для сельского населения путем оказания государственной поддержки</v>
      </c>
      <c r="C88" s="126" t="s">
        <v>440</v>
      </c>
      <c r="D88" s="712">
        <f>SUMIFS(Пр.13!G$10:G$1431,Пр.13!$D$10:$D$1431,C88)</f>
        <v>0</v>
      </c>
      <c r="E88" s="613">
        <f>SUMIFS(Пр.13!H$10:H$1431,Пр.13!$D$10:$D$1431,C88)</f>
        <v>0</v>
      </c>
      <c r="F88" s="168">
        <f>SUMIFS(Пр.13!I$10:I$1431,Пр.13!$D$10:$D$1431,C88)</f>
        <v>0</v>
      </c>
      <c r="G88" s="712">
        <f>SUMIFS(Пр.13!J$10:J$1431,Пр.13!$D$10:$D$1431,C88)</f>
        <v>0</v>
      </c>
      <c r="H88" s="613">
        <f>SUMIFS(Пр.13!K$10:K$1431,Пр.13!$D$10:$D$1431,C88)</f>
        <v>0</v>
      </c>
      <c r="I88" s="168">
        <f>SUMIFS(Пр.13!L$10:L$1431,Пр.13!$D$10:$D$1431,C88)</f>
        <v>0</v>
      </c>
    </row>
    <row r="89" spans="2:9" ht="47.25" x14ac:dyDescent="0.2">
      <c r="B89" s="479" t="str">
        <f>IF(C89&gt;0,VLOOKUP(C89,Программа!A$2:B$5110,2))</f>
        <v>Муниципальная целевая программа "Развитие агропромышленного комплекса Тутаевского муниципального района"</v>
      </c>
      <c r="C89" s="169" t="s">
        <v>423</v>
      </c>
      <c r="D89" s="715">
        <f>SUMIFS(Пр.13!G$10:G$1431,Пр.13!$D$10:$D$1431,C89)</f>
        <v>0</v>
      </c>
      <c r="E89" s="617">
        <f>SUMIFS(Пр.13!H$10:H$1431,Пр.13!$D$10:$D$1431,C89)</f>
        <v>200000</v>
      </c>
      <c r="F89" s="686">
        <f>SUMIFS(Пр.13!I$10:I$1431,Пр.13!$D$10:$D$1431,C89)</f>
        <v>200000</v>
      </c>
      <c r="G89" s="715">
        <f>SUMIFS(Пр.13!J$10:J$1431,Пр.13!$D$10:$D$1431,C89)</f>
        <v>0</v>
      </c>
      <c r="H89" s="617">
        <f>SUMIFS(Пр.13!K$10:K$1431,Пр.13!$D$10:$D$1431,C89)</f>
        <v>200000</v>
      </c>
      <c r="I89" s="686">
        <f>SUMIFS(Пр.13!L$10:L$1431,Пр.13!$D$10:$D$1431,C89)</f>
        <v>200000</v>
      </c>
    </row>
    <row r="90" spans="2:9" ht="47.25" hidden="1" x14ac:dyDescent="0.2">
      <c r="B90" s="480" t="str">
        <f>IF(C90&gt;0,VLOOKUP(C90,Программа!A$2:B$5110,2))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6" t="s">
        <v>425</v>
      </c>
      <c r="D90" s="708">
        <f>SUMIFS(Пр.13!G$10:G$1431,Пр.13!$D$10:$D$1431,C90)</f>
        <v>0</v>
      </c>
      <c r="E90" s="168">
        <f>SUMIFS(Пр.13!H$10:H$1431,Пр.13!$D$10:$D$1431,C90)</f>
        <v>0</v>
      </c>
      <c r="F90" s="168">
        <f>SUMIFS(Пр.13!I$10:I$1431,Пр.13!$D$10:$D$1431,C90)</f>
        <v>0</v>
      </c>
      <c r="G90" s="708">
        <f>SUMIFS(Пр.13!J$10:J$1431,Пр.13!$D$10:$D$1431,C90)</f>
        <v>0</v>
      </c>
      <c r="H90" s="168">
        <f>SUMIFS(Пр.13!K$10:K$1431,Пр.13!$D$10:$D$1431,C90)</f>
        <v>0</v>
      </c>
      <c r="I90" s="168">
        <f>SUMIFS(Пр.13!L$10:L$1431,Пр.13!$D$10:$D$1431,C90)</f>
        <v>0</v>
      </c>
    </row>
    <row r="91" spans="2:9" ht="27.95" hidden="1" customHeight="1" x14ac:dyDescent="0.2">
      <c r="B91" s="480" t="str">
        <f>IF(C91&gt;0,VLOOKUP(C91,Программа!A$2:B$5110,2))</f>
        <v xml:space="preserve">Кадровое обеспечение агропромышленного комплекса </v>
      </c>
      <c r="C91" s="126" t="s">
        <v>427</v>
      </c>
      <c r="D91" s="708">
        <f>SUMIFS(Пр.13!G$10:G$1431,Пр.13!$D$10:$D$1431,C91)</f>
        <v>0</v>
      </c>
      <c r="E91" s="168">
        <f>SUMIFS(Пр.13!H$10:H$1431,Пр.13!$D$10:$D$1431,C91)</f>
        <v>0</v>
      </c>
      <c r="F91" s="168">
        <f>SUMIFS(Пр.13!I$10:I$1431,Пр.13!$D$10:$D$1431,C91)</f>
        <v>0</v>
      </c>
      <c r="G91" s="708">
        <f>SUMIFS(Пр.13!J$10:J$1431,Пр.13!$D$10:$D$1431,C91)</f>
        <v>0</v>
      </c>
      <c r="H91" s="168">
        <f>SUMIFS(Пр.13!K$10:K$1431,Пр.13!$D$10:$D$1431,C91)</f>
        <v>0</v>
      </c>
      <c r="I91" s="168">
        <f>SUMIFS(Пр.13!L$10:L$1431,Пр.13!$D$10:$D$1431,C91)</f>
        <v>0</v>
      </c>
    </row>
    <row r="92" spans="2:9" ht="63.75" thickBot="1" x14ac:dyDescent="0.25">
      <c r="B92" s="480" t="str">
        <f>IF(C92&gt;0,VLOOKUP(C92,Программа!A$2:B$5110,2))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126" t="s">
        <v>430</v>
      </c>
      <c r="D92" s="708">
        <f>SUMIFS(Пр.13!G$10:G$1431,Пр.13!$D$10:$D$1431,C92)</f>
        <v>0</v>
      </c>
      <c r="E92" s="168">
        <f>SUMIFS(Пр.13!H$10:H$1431,Пр.13!$D$10:$D$1431,C92)</f>
        <v>200000</v>
      </c>
      <c r="F92" s="168">
        <f>SUMIFS(Пр.13!I$10:I$1431,Пр.13!$D$10:$D$1431,C92)</f>
        <v>200000</v>
      </c>
      <c r="G92" s="708">
        <f>SUMIFS(Пр.13!J$10:J$1431,Пр.13!$D$10:$D$1431,C92)</f>
        <v>0</v>
      </c>
      <c r="H92" s="168">
        <f>SUMIFS(Пр.13!K$10:K$1431,Пр.13!$D$10:$D$1431,C92)</f>
        <v>200000</v>
      </c>
      <c r="I92" s="168">
        <f>SUMIFS(Пр.13!L$10:L$1431,Пр.13!$D$10:$D$1431,C92)</f>
        <v>200000</v>
      </c>
    </row>
    <row r="93" spans="2:9" ht="63.75" hidden="1" thickBot="1" x14ac:dyDescent="0.25">
      <c r="B93" s="641" t="str">
        <f>IF(C93&gt;0,VLOOKUP(C93,Программа!A$2:B$5110,2))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42" t="s">
        <v>401</v>
      </c>
      <c r="D93" s="643">
        <f>SUMIFS(Пр.13!G$10:G$1431,Пр.13!$D$10:$D$1431,C93)</f>
        <v>0</v>
      </c>
      <c r="E93" s="643">
        <f>SUMIFS(Пр.13!H$10:H$1431,Пр.13!$D$10:$D$1431,C93)</f>
        <v>0</v>
      </c>
      <c r="F93" s="469">
        <f>SUMIFS(Пр.13!I$10:I$1431,Пр.13!$D$10:$D$1431,C93)</f>
        <v>0</v>
      </c>
      <c r="G93" s="469">
        <f>SUMIFS(Пр.13!J$10:J$1431,Пр.13!$D$10:$D$1431,C93)</f>
        <v>0</v>
      </c>
      <c r="H93" s="469">
        <f>SUMIFS(Пр.13!K$10:K$1431,Пр.13!$D$10:$D$1431,C93)</f>
        <v>0</v>
      </c>
      <c r="I93" s="470">
        <f>SUMIFS(Пр.13!L$10:L$1431,Пр.13!$D$10:$D$1431,C93)</f>
        <v>0</v>
      </c>
    </row>
    <row r="94" spans="2:9" s="438" customFormat="1" hidden="1" x14ac:dyDescent="0.2">
      <c r="B94" s="472">
        <f>IF(C94&gt;0,VLOOKUP(C94,Программа!A$2:B$5110,2))</f>
        <v>0</v>
      </c>
      <c r="C94" s="174" t="s">
        <v>571</v>
      </c>
      <c r="D94" s="432">
        <f>SUMIFS(Пр.13!G$10:G$1431,Пр.13!$D$10:$D$1431,C94)</f>
        <v>0</v>
      </c>
      <c r="E94" s="432">
        <f>SUMIFS(Пр.13!H$10:H$1431,Пр.13!$D$10:$D$1431,C94)</f>
        <v>0</v>
      </c>
      <c r="F94" s="457">
        <f>SUMIFS(Пр.13!I$10:I$1431,Пр.13!$D$10:$D$1431,C94)</f>
        <v>0</v>
      </c>
      <c r="G94" s="457">
        <f>SUMIFS(Пр.13!J$10:J$1431,Пр.13!$D$10:$D$1431,C94)</f>
        <v>0</v>
      </c>
      <c r="H94" s="457">
        <f>SUMIFS(Пр.13!K$10:K$1431,Пр.13!$D$10:$D$1431,C94)</f>
        <v>0</v>
      </c>
      <c r="I94" s="465">
        <f>SUMIFS(Пр.13!L$10:L$1431,Пр.13!$D$10:$D$1431,C94)</f>
        <v>0</v>
      </c>
    </row>
    <row r="95" spans="2:9" s="438" customFormat="1" ht="63" hidden="1" x14ac:dyDescent="0.2">
      <c r="B95" s="474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9" t="s">
        <v>568</v>
      </c>
      <c r="D95" s="435">
        <f>SUMIFS(Пр.13!G$10:G$1431,Пр.13!$D$10:$D$1431,C95)</f>
        <v>0</v>
      </c>
      <c r="E95" s="435">
        <f>SUMIFS(Пр.13!H$10:H$1431,Пр.13!$D$10:$D$1431,C95)</f>
        <v>0</v>
      </c>
      <c r="F95" s="464">
        <f>SUMIFS(Пр.13!I$10:I$1431,Пр.13!$D$10:$D$1431,C95)</f>
        <v>0</v>
      </c>
      <c r="G95" s="464">
        <f>SUMIFS(Пр.13!J$10:J$1431,Пр.13!$D$10:$D$1431,C95)</f>
        <v>0</v>
      </c>
      <c r="H95" s="464">
        <f>SUMIFS(Пр.13!K$10:K$1431,Пр.13!$D$10:$D$1431,C95)</f>
        <v>0</v>
      </c>
      <c r="I95" s="466">
        <f>SUMIFS(Пр.13!L$10:L$1431,Пр.13!$D$10:$D$1431,C95)</f>
        <v>0</v>
      </c>
    </row>
    <row r="96" spans="2:9" ht="63" hidden="1" x14ac:dyDescent="0.2">
      <c r="B96" s="474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9" t="s">
        <v>562</v>
      </c>
      <c r="D96" s="435">
        <f>SUMIFS(Пр.13!G$10:G$1431,Пр.13!$D$10:$D$1431,C96)</f>
        <v>0</v>
      </c>
      <c r="E96" s="435">
        <f>SUMIFS(Пр.13!H$10:H$1431,Пр.13!$D$10:$D$1431,C96)</f>
        <v>0</v>
      </c>
      <c r="F96" s="464">
        <f>SUMIFS(Пр.13!I$10:I$1431,Пр.13!$D$10:$D$1431,C96)</f>
        <v>0</v>
      </c>
      <c r="G96" s="464">
        <f>SUMIFS(Пр.13!J$10:J$1431,Пр.13!$D$10:$D$1431,C96)</f>
        <v>0</v>
      </c>
      <c r="H96" s="464">
        <f>SUMIFS(Пр.13!K$10:K$1431,Пр.13!$D$10:$D$1431,C96)</f>
        <v>0</v>
      </c>
      <c r="I96" s="466">
        <f>SUMIFS(Пр.13!L$10:L$1431,Пр.13!$D$10:$D$1431,C96)</f>
        <v>0</v>
      </c>
    </row>
    <row r="97" spans="2:9" ht="63" hidden="1" x14ac:dyDescent="0.2">
      <c r="B97" s="473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6" t="s">
        <v>563</v>
      </c>
      <c r="D97" s="434">
        <f>SUMIFS(Пр.13!G$10:G$1431,Пр.13!$D$10:$D$1431,C97)</f>
        <v>0</v>
      </c>
      <c r="E97" s="434">
        <f>SUMIFS(Пр.13!H$10:H$1431,Пр.13!$D$10:$D$1431,C97)</f>
        <v>0</v>
      </c>
      <c r="F97" s="464">
        <f>SUMIFS(Пр.13!I$10:I$1431,Пр.13!$D$10:$D$1431,C97)</f>
        <v>0</v>
      </c>
      <c r="G97" s="464">
        <f>SUMIFS(Пр.13!J$10:J$1431,Пр.13!$D$10:$D$1431,C97)</f>
        <v>0</v>
      </c>
      <c r="H97" s="464">
        <f>SUMIFS(Пр.13!K$10:K$1431,Пр.13!$D$10:$D$1431,C97)</f>
        <v>0</v>
      </c>
      <c r="I97" s="466">
        <f>SUMIFS(Пр.13!L$10:L$1431,Пр.13!$D$10:$D$1431,C97)</f>
        <v>0</v>
      </c>
    </row>
    <row r="98" spans="2:9" ht="63" hidden="1" x14ac:dyDescent="0.2">
      <c r="B98" s="474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9" t="s">
        <v>402</v>
      </c>
      <c r="D98" s="435">
        <f>SUMIFS(Пр.13!G$10:G$1431,Пр.13!$D$10:$D$1431,C98)</f>
        <v>0</v>
      </c>
      <c r="E98" s="435">
        <f>SUMIFS(Пр.13!H$10:H$1431,Пр.13!$D$10:$D$1431,C98)</f>
        <v>0</v>
      </c>
      <c r="F98" s="464">
        <f>SUMIFS(Пр.13!I$10:I$1431,Пр.13!$D$10:$D$1431,C98)</f>
        <v>0</v>
      </c>
      <c r="G98" s="464">
        <f>SUMIFS(Пр.13!J$10:J$1431,Пр.13!$D$10:$D$1431,C98)</f>
        <v>0</v>
      </c>
      <c r="H98" s="464">
        <f>SUMIFS(Пр.13!K$10:K$1431,Пр.13!$D$10:$D$1431,C98)</f>
        <v>0</v>
      </c>
      <c r="I98" s="466">
        <f>SUMIFS(Пр.13!L$10:L$1431,Пр.13!$D$10:$D$1431,C98)</f>
        <v>0</v>
      </c>
    </row>
    <row r="99" spans="2:9" ht="63.75" hidden="1" thickBot="1" x14ac:dyDescent="0.25">
      <c r="B99" s="475" t="str">
        <f>IF(C99&gt;0,VLOOKUP(C99,Программа!A$2:B$5110,2))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5" t="s">
        <v>403</v>
      </c>
      <c r="D99" s="439">
        <f>SUMIFS(Пр.13!G$10:G$1431,Пр.13!$D$10:$D$1431,C99)</f>
        <v>0</v>
      </c>
      <c r="E99" s="439">
        <f>SUMIFS(Пр.13!H$10:H$1431,Пр.13!$D$10:$D$1431,C99)</f>
        <v>0</v>
      </c>
      <c r="F99" s="467">
        <f>SUMIFS(Пр.13!I$10:I$1431,Пр.13!$D$10:$D$1431,C99)</f>
        <v>0</v>
      </c>
      <c r="G99" s="467">
        <f>SUMIFS(Пр.13!J$10:J$1431,Пр.13!$D$10:$D$1431,C99)</f>
        <v>0</v>
      </c>
      <c r="H99" s="467">
        <f>SUMIFS(Пр.13!K$10:K$1431,Пр.13!$D$10:$D$1431,C99)</f>
        <v>0</v>
      </c>
      <c r="I99" s="468">
        <f>SUMIFS(Пр.13!L$10:L$1431,Пр.13!$D$10:$D$1431,C99)</f>
        <v>0</v>
      </c>
    </row>
    <row r="100" spans="2:9" ht="79.5" hidden="1" thickBot="1" x14ac:dyDescent="0.25">
      <c r="B100" s="471" t="str">
        <f>IF(C100&gt;0,VLOOKUP(C100,Программа!A$2:B$5110,2))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6" t="s">
        <v>405</v>
      </c>
      <c r="D100" s="425">
        <f>SUMIFS(Пр.13!G$10:G$1431,Пр.13!$D$10:$D$1431,C100)</f>
        <v>0</v>
      </c>
      <c r="E100" s="425">
        <f>SUMIFS(Пр.13!H$10:H$1431,Пр.13!$D$10:$D$1431,C100)</f>
        <v>0</v>
      </c>
      <c r="F100" s="455">
        <f>SUMIFS(Пр.13!I$10:I$1431,Пр.13!$D$10:$D$1431,C100)</f>
        <v>0</v>
      </c>
      <c r="G100" s="455">
        <f>SUMIFS(Пр.13!J$10:J$1431,Пр.13!$D$10:$D$1431,C100)</f>
        <v>0</v>
      </c>
      <c r="H100" s="455">
        <f>SUMIFS(Пр.13!K$10:K$1431,Пр.13!$D$10:$D$1431,C100)</f>
        <v>0</v>
      </c>
      <c r="I100" s="456">
        <f>SUMIFS(Пр.13!L$10:L$1431,Пр.13!$D$10:$D$1431,C100)</f>
        <v>0</v>
      </c>
    </row>
    <row r="101" spans="2:9" ht="48" hidden="1" thickBot="1" x14ac:dyDescent="0.25">
      <c r="B101" s="510" t="str">
        <f>IF(C101&gt;0,VLOOKUP(C101,Программа!A$2:B$5110,2))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5" t="s">
        <v>406</v>
      </c>
      <c r="D101" s="442">
        <f>SUMIFS(Пр.13!G$10:G$1431,Пр.13!$D$10:$D$1431,C101)</f>
        <v>0</v>
      </c>
      <c r="E101" s="426">
        <f>SUMIFS(Пр.13!H$10:H$1431,Пр.13!$D$10:$D$1431,C101)</f>
        <v>0</v>
      </c>
      <c r="F101" s="459">
        <f>SUMIFS(Пр.13!I$10:I$1431,Пр.13!$D$10:$D$1431,C101)</f>
        <v>0</v>
      </c>
      <c r="G101" s="459">
        <f>SUMIFS(Пр.13!J$10:J$1431,Пр.13!$D$10:$D$1431,C101)</f>
        <v>0</v>
      </c>
      <c r="H101" s="469">
        <f>SUMIFS(Пр.13!K$10:K$1431,Пр.13!$D$10:$D$1431,C101)</f>
        <v>0</v>
      </c>
      <c r="I101" s="511">
        <f>SUMIFS(Пр.13!L$10:L$1431,Пр.13!$D$10:$D$1431,C101)</f>
        <v>0</v>
      </c>
    </row>
    <row r="102" spans="2:9" ht="48" thickBot="1" x14ac:dyDescent="0.25">
      <c r="B102" s="471" t="str">
        <f>IF(C102&gt;0,VLOOKUP(C102,Программа!A$2:B$5110,2))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2" s="706" t="s">
        <v>409</v>
      </c>
      <c r="D102" s="672">
        <f>SUMIFS(Пр.13!G$10:G$1431,Пр.13!$D$10:$D$1431,C102)</f>
        <v>0</v>
      </c>
      <c r="E102" s="611">
        <f>SUMIFS(Пр.13!H$10:H$1431,Пр.13!$D$10:$D$1431,C102)</f>
        <v>1050000</v>
      </c>
      <c r="F102" s="522">
        <f>SUMIFS(Пр.13!I$10:I$1431,Пр.13!$D$10:$D$1431,C102)</f>
        <v>1050000</v>
      </c>
      <c r="G102" s="672">
        <f>SUMIFS(Пр.13!J$10:J$1431,Пр.13!$D$10:$D$1431,C102)</f>
        <v>0</v>
      </c>
      <c r="H102" s="611">
        <f>SUMIFS(Пр.13!K$10:K$1431,Пр.13!$D$10:$D$1431,C102)</f>
        <v>0</v>
      </c>
      <c r="I102" s="522">
        <f>SUMIFS(Пр.13!L$10:L$1431,Пр.13!$D$10:$D$1431,C102)</f>
        <v>0</v>
      </c>
    </row>
    <row r="103" spans="2:9" ht="32.25" thickBot="1" x14ac:dyDescent="0.25">
      <c r="B103" s="481" t="str">
        <f>IF(C103&gt;0,VLOOKUP(C103,Программа!A$2:B$5110,2))</f>
        <v>Бесперебойное функционирование информационных систем</v>
      </c>
      <c r="C103" s="176" t="s">
        <v>445</v>
      </c>
      <c r="D103" s="718">
        <f>SUMIFS(Пр.13!G$10:G$1431,Пр.13!$D$10:$D$1431,C103)</f>
        <v>0</v>
      </c>
      <c r="E103" s="621">
        <f>SUMIFS(Пр.13!H$10:H$1431,Пр.13!$D$10:$D$1431,C103)</f>
        <v>1050000</v>
      </c>
      <c r="F103" s="460">
        <f>SUMIFS(Пр.13!I$10:I$1431,Пр.13!$D$10:$D$1431,C103)</f>
        <v>1050000</v>
      </c>
      <c r="G103" s="718">
        <f>SUMIFS(Пр.13!J$10:J$1431,Пр.13!$D$10:$D$1431,C103)</f>
        <v>0</v>
      </c>
      <c r="H103" s="621">
        <f>SUMIFS(Пр.13!K$10:K$1431,Пр.13!$D$10:$D$1431,C103)</f>
        <v>0</v>
      </c>
      <c r="I103" s="460">
        <f>SUMIFS(Пр.13!L$10:L$1431,Пр.13!$D$10:$D$1431,C103)</f>
        <v>0</v>
      </c>
    </row>
    <row r="104" spans="2:9" ht="37.5" hidden="1" customHeight="1" thickBot="1" x14ac:dyDescent="0.25">
      <c r="B104" s="484" t="str">
        <f>IF(C104&gt;0,VLOOKUP(C104,Программа!A$2:B$5110,2))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7" t="s">
        <v>411</v>
      </c>
      <c r="D104" s="426">
        <f>SUMIFS(Пр.13!G$10:G$1431,Пр.13!$D$10:$D$1431,C104)</f>
        <v>0</v>
      </c>
      <c r="E104" s="439">
        <f>SUMIFS(Пр.13!H$10:H$1431,Пр.13!$D$10:$D$1431,C104)</f>
        <v>0</v>
      </c>
      <c r="F104" s="469">
        <f>SUMIFS(Пр.13!I$10:I$1431,Пр.13!$D$10:$D$1431,C104)</f>
        <v>0</v>
      </c>
      <c r="G104" s="469">
        <f>SUMIFS(Пр.13!J$10:J$1431,Пр.13!$D$10:$D$1431,C104)</f>
        <v>0</v>
      </c>
      <c r="H104" s="467">
        <f>SUMIFS(Пр.13!K$10:K$1431,Пр.13!$D$10:$D$1431,C104)</f>
        <v>0</v>
      </c>
      <c r="I104" s="470">
        <f>SUMIFS(Пр.13!L$10:L$1431,Пр.13!$D$10:$D$1431,C104)</f>
        <v>0</v>
      </c>
    </row>
    <row r="105" spans="2:9" ht="79.5" hidden="1" thickBot="1" x14ac:dyDescent="0.25">
      <c r="B105" s="471" t="str">
        <f>IF(C105&gt;0,VLOOKUP(C105,Программа!A$2:B$5110,2))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706" t="s">
        <v>413</v>
      </c>
      <c r="D105" s="719">
        <f>SUMIFS(Пр.13!G$10:G$1431,Пр.13!$D$10:$D$1431,C105)</f>
        <v>0</v>
      </c>
      <c r="E105" s="724">
        <f>SUMIFS(Пр.13!H$10:H$1431,Пр.13!$D$10:$D$1431,C105)</f>
        <v>0</v>
      </c>
      <c r="F105" s="522">
        <f>SUMIFS(Пр.13!I$10:I$1431,Пр.13!$D$10:$D$1431,C105)</f>
        <v>0</v>
      </c>
      <c r="G105" s="719">
        <f>SUMIFS(Пр.13!J$10:J$1431,Пр.13!$D$10:$D$1431,C105)</f>
        <v>0</v>
      </c>
      <c r="H105" s="724">
        <f>SUMIFS(Пр.13!K$10:K$1431,Пр.13!$D$10:$D$1431,C105)</f>
        <v>0</v>
      </c>
      <c r="I105" s="522">
        <f>SUMIFS(Пр.13!L$10:L$1431,Пр.13!$D$10:$D$1431,C105)</f>
        <v>0</v>
      </c>
    </row>
    <row r="106" spans="2:9" ht="63.75" hidden="1" thickBot="1" x14ac:dyDescent="0.25">
      <c r="B106" s="481" t="str">
        <f>IF(C106&gt;0,VLOOKUP(C106,Программа!A$2:B$5110,2))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6" t="s">
        <v>414</v>
      </c>
      <c r="D106" s="710">
        <f>SUMIFS(Пр.13!G$10:G$1431,Пр.13!$D$10:$D$1431,C106)</f>
        <v>0</v>
      </c>
      <c r="E106" s="460">
        <f>SUMIFS(Пр.13!H$10:H$1431,Пр.13!$D$10:$D$1431,C106)</f>
        <v>0</v>
      </c>
      <c r="F106" s="457">
        <f>SUMIFS(Пр.13!I$10:I$1431,Пр.13!$D$10:$D$1431,C106)</f>
        <v>0</v>
      </c>
      <c r="G106" s="710">
        <f>SUMIFS(Пр.13!J$10:J$1431,Пр.13!$D$10:$D$1431,C106)</f>
        <v>0</v>
      </c>
      <c r="H106" s="457">
        <f>SUMIFS(Пр.13!K$10:K$1431,Пр.13!$D$10:$D$1431,C106)</f>
        <v>0</v>
      </c>
      <c r="I106" s="457">
        <f>SUMIFS(Пр.13!L$10:L$1431,Пр.13!$D$10:$D$1431,C106)</f>
        <v>0</v>
      </c>
    </row>
    <row r="107" spans="2:9" ht="48" hidden="1" thickBot="1" x14ac:dyDescent="0.25">
      <c r="B107" s="478" t="str">
        <f>IF(C107&gt;0,VLOOKUP(C107,Программа!A$2:B$5110,2))</f>
        <v>Развитие взаимодействия органов местного самоуправления Тутаевского муниципального района, СОНКО и ТОС</v>
      </c>
      <c r="C107" s="173" t="s">
        <v>707</v>
      </c>
      <c r="D107" s="441">
        <f>SUMIFS(Пр.13!G$10:G$1431,Пр.13!$D$10:$D$1431,C107)</f>
        <v>0</v>
      </c>
      <c r="E107" s="439">
        <f>SUMIFS(Пр.13!H$10:H$1431,Пр.13!$D$10:$D$1431,C107)</f>
        <v>0</v>
      </c>
      <c r="F107" s="458">
        <f>SUMIFS(Пр.13!I$10:I$1431,Пр.13!$D$10:$D$1431,C107)</f>
        <v>0</v>
      </c>
      <c r="G107" s="458">
        <f>SUMIFS(Пр.13!J$10:J$1431,Пр.13!$D$10:$D$1431,C107)</f>
        <v>0</v>
      </c>
      <c r="H107" s="467">
        <f>SUMIFS(Пр.13!K$10:K$1431,Пр.13!$D$10:$D$1431,C107)</f>
        <v>0</v>
      </c>
      <c r="I107" s="509">
        <f>SUMIFS(Пр.13!L$10:L$1431,Пр.13!$D$10:$D$1431,C107)</f>
        <v>0</v>
      </c>
    </row>
    <row r="108" spans="2:9" ht="53.25" hidden="1" customHeight="1" thickBot="1" x14ac:dyDescent="0.25">
      <c r="B108" s="471" t="str">
        <f>IF(C108&gt;0,VLOOKUP(C108,Программа!A$2:B$5110,2))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706" t="s">
        <v>513</v>
      </c>
      <c r="D108" s="672">
        <f>SUMIFS(Пр.13!G$10:G$1431,Пр.13!$D$10:$D$1431,C108)</f>
        <v>0</v>
      </c>
      <c r="E108" s="611">
        <f>SUMIFS(Пр.13!H$10:H$1431,Пр.13!$D$10:$D$1431,C108)</f>
        <v>0</v>
      </c>
      <c r="F108" s="522">
        <f>SUMIFS(Пр.13!I$10:I$1431,Пр.13!$D$10:$D$1431,C108)</f>
        <v>0</v>
      </c>
      <c r="G108" s="672">
        <f>SUMIFS(Пр.13!J$10:J$1431,Пр.13!$D$10:$D$1431,C108)</f>
        <v>0</v>
      </c>
      <c r="H108" s="611">
        <f>SUMIFS(Пр.13!K$10:K$1431,Пр.13!$D$10:$D$1431,C108)</f>
        <v>0</v>
      </c>
      <c r="I108" s="522">
        <f>SUMIFS(Пр.13!L$10:L$1431,Пр.13!$D$10:$D$1431,C108)</f>
        <v>0</v>
      </c>
    </row>
    <row r="109" spans="2:9" ht="32.25" hidden="1" thickBot="1" x14ac:dyDescent="0.25">
      <c r="B109" s="477" t="str">
        <f>IF(C109&gt;0,VLOOKUP(C109,Программа!A$2:B$5110,2))</f>
        <v>Реализация мероприятий по профилактике правонарушений</v>
      </c>
      <c r="C109" s="175" t="s">
        <v>515</v>
      </c>
      <c r="D109" s="720">
        <f>SUMIFS(Пр.13!G$10:G$1431,Пр.13!$D$10:$D$1431,C109)</f>
        <v>0</v>
      </c>
      <c r="E109" s="575">
        <f>SUMIFS(Пр.13!H$10:H$1431,Пр.13!$D$10:$D$1431,C109)</f>
        <v>0</v>
      </c>
      <c r="F109" s="513">
        <f>SUMIFS(Пр.13!I$10:I$1431,Пр.13!$D$10:$D$1431,C109)</f>
        <v>0</v>
      </c>
      <c r="G109" s="720">
        <f>SUMIFS(Пр.13!J$10:J$1431,Пр.13!$D$10:$D$1431,C109)</f>
        <v>0</v>
      </c>
      <c r="H109" s="575">
        <f>SUMIFS(Пр.13!K$10:K$1431,Пр.13!$D$10:$D$1431,C109)</f>
        <v>0</v>
      </c>
      <c r="I109" s="513">
        <f>SUMIFS(Пр.13!L$10:L$1431,Пр.13!$D$10:$D$1431,C109)</f>
        <v>0</v>
      </c>
    </row>
    <row r="110" spans="2:9" ht="63.75" thickBot="1" x14ac:dyDescent="0.25">
      <c r="B110" s="471" t="str">
        <f>IF(C110&gt;0,VLOOKUP(C110,Программа!A$2:B$5110,2))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706" t="s">
        <v>623</v>
      </c>
      <c r="D110" s="672">
        <f>SUMIFS(Пр.13!G$10:G$1431,Пр.13!$D$10:$D$1431,C110)</f>
        <v>0</v>
      </c>
      <c r="E110" s="611">
        <f>SUMIFS(Пр.13!H$10:H$1431,Пр.13!$D$10:$D$1431,C110)</f>
        <v>10000000</v>
      </c>
      <c r="F110" s="522">
        <f>SUMIFS(Пр.13!I$10:I$1431,Пр.13!$D$10:$D$1431,C110)</f>
        <v>10000000</v>
      </c>
      <c r="G110" s="672">
        <f>SUMIFS(Пр.13!J$10:J$1431,Пр.13!$D$10:$D$1431,C110)</f>
        <v>0</v>
      </c>
      <c r="H110" s="611">
        <f>SUMIFS(Пр.13!K$10:K$1431,Пр.13!$D$10:$D$1431,C110)</f>
        <v>9000000</v>
      </c>
      <c r="I110" s="522">
        <f>SUMIFS(Пр.13!L$10:L$1431,Пр.13!$D$10:$D$1431,C110)</f>
        <v>9000000</v>
      </c>
    </row>
    <row r="111" spans="2:9" ht="63" hidden="1" x14ac:dyDescent="0.2">
      <c r="B111" s="485" t="str">
        <f>IF(C111&gt;0,VLOOKUP(C111,Программа!A$2:B$5110,2))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6" t="s">
        <v>625</v>
      </c>
      <c r="D111" s="433">
        <f>SUMIFS(Пр.13!G$10:G$1431,Пр.13!$D$10:$D$1431,C111)</f>
        <v>0</v>
      </c>
      <c r="E111" s="433">
        <f>SUMIFS(Пр.13!H$10:H$1431,Пр.13!$D$10:$D$1431,C111)</f>
        <v>0</v>
      </c>
      <c r="F111" s="460">
        <f>SUMIFS(Пр.13!I$10:I$1431,Пр.13!$D$10:$D$1431,C111)</f>
        <v>0</v>
      </c>
      <c r="G111" s="460">
        <f>SUMIFS(Пр.13!J$10:J$1431,Пр.13!$D$10:$D$1431,C111)</f>
        <v>0</v>
      </c>
      <c r="H111" s="460">
        <f>SUMIFS(Пр.13!K$10:K$1431,Пр.13!$D$10:$D$1431,C111)</f>
        <v>0</v>
      </c>
      <c r="I111" s="461">
        <f>SUMIFS(Пр.13!L$10:L$1431,Пр.13!$D$10:$D$1431,C111)</f>
        <v>0</v>
      </c>
    </row>
    <row r="112" spans="2:9" ht="63.75" hidden="1" thickBot="1" x14ac:dyDescent="0.25">
      <c r="B112" s="478" t="str">
        <f>IF(C112&gt;0,VLOOKUP(C112,Программа!A$2:B$5110,2))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3" t="s">
        <v>627</v>
      </c>
      <c r="D112" s="441">
        <f>SUMIFS(Пр.13!G$10:G$1431,Пр.13!$D$10:$D$1431,C112)</f>
        <v>0</v>
      </c>
      <c r="E112" s="434">
        <f>SUMIFS(Пр.13!H$10:H$1431,Пр.13!$D$10:$D$1431,C112)</f>
        <v>0</v>
      </c>
      <c r="F112" s="462">
        <f>SUMIFS(Пр.13!I$10:I$1431,Пр.13!$D$10:$D$1431,C112)</f>
        <v>0</v>
      </c>
      <c r="G112" s="462">
        <f>SUMIFS(Пр.13!J$10:J$1431,Пр.13!$D$10:$D$1431,C112)</f>
        <v>0</v>
      </c>
      <c r="H112" s="168">
        <f>SUMIFS(Пр.13!K$10:K$1431,Пр.13!$D$10:$D$1431,C112)</f>
        <v>0</v>
      </c>
      <c r="I112" s="463">
        <f>SUMIFS(Пр.13!L$10:L$1431,Пр.13!$D$10:$D$1431,C112)</f>
        <v>0</v>
      </c>
    </row>
    <row r="113" spans="2:9" ht="48" thickBot="1" x14ac:dyDescent="0.25">
      <c r="B113" s="480" t="str">
        <f>IF(C113&gt;0,VLOOKUP(C113,Программа!A$2:B$5110,2))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126" t="s">
        <v>629</v>
      </c>
      <c r="D113" s="714">
        <f>SUMIFS(Пр.13!G$10:G$1431,Пр.13!$D$10:$D$1431,C113)</f>
        <v>0</v>
      </c>
      <c r="E113" s="613">
        <f>SUMIFS(Пр.13!H$10:H$1431,Пр.13!$D$10:$D$1431,C113)</f>
        <v>10000000</v>
      </c>
      <c r="F113" s="168">
        <f>SUMIFS(Пр.13!I$10:I$1431,Пр.13!$D$10:$D$1431,C113)</f>
        <v>10000000</v>
      </c>
      <c r="G113" s="714">
        <f>SUMIFS(Пр.13!J$10:J$1431,Пр.13!$D$10:$D$1431,C113)</f>
        <v>0</v>
      </c>
      <c r="H113" s="613">
        <f>SUMIFS(Пр.13!K$10:K$1431,Пр.13!$D$10:$D$1431,C113)</f>
        <v>9000000</v>
      </c>
      <c r="I113" s="168">
        <f>SUMIFS(Пр.13!L$10:L$1431,Пр.13!$D$10:$D$1431,C113)</f>
        <v>9000000</v>
      </c>
    </row>
    <row r="114" spans="2:9" ht="32.25" hidden="1" thickBot="1" x14ac:dyDescent="0.25">
      <c r="B114" s="480" t="str">
        <f>IF(C114&gt;0,VLOOKUP(C114,Программа!A$2:B$5110,2))</f>
        <v>Организация предоставления транспортных услуг по перевозке пассажиров речным транспортом</v>
      </c>
      <c r="C114" s="126" t="s">
        <v>1374</v>
      </c>
      <c r="D114" s="713">
        <f>SUMIFS(Пр.13!G$10:G$1431,Пр.13!$D$10:$D$1431,C114)</f>
        <v>0</v>
      </c>
      <c r="E114" s="623"/>
      <c r="F114" s="168">
        <f>SUMIFS(Пр.13!I$10:I$1431,Пр.13!$D$10:$D$1431,C114)</f>
        <v>0</v>
      </c>
      <c r="G114" s="713">
        <f>SUMIFS(Пр.13!J$10:J$1431,Пр.13!$D$10:$D$1431,C114)</f>
        <v>0</v>
      </c>
      <c r="H114" s="623"/>
      <c r="I114" s="168">
        <f>SUMIFS(Пр.13!L$10:L$1431,Пр.13!$D$10:$D$1431,C114)</f>
        <v>0</v>
      </c>
    </row>
    <row r="115" spans="2:9" ht="32.25" hidden="1" thickBot="1" x14ac:dyDescent="0.25">
      <c r="B115" s="471" t="str">
        <f>IF(C115&gt;0,VLOOKUP(C115,Программа!A$2:B$5110,2))</f>
        <v>Муниципальная программа  "Развитие жилищного хозяйства Тутаевского муниципального района"</v>
      </c>
      <c r="C115" s="419" t="s">
        <v>713</v>
      </c>
      <c r="D115" s="628">
        <f>SUMIFS(Пр.13!G$10:G$1431,Пр.13!$D$10:$D$1431,C115)</f>
        <v>0</v>
      </c>
      <c r="E115" s="608">
        <f>SUMIFS(Пр.13!H$10:H$1431,Пр.13!$D$10:$D$1431,C115)</f>
        <v>0</v>
      </c>
      <c r="F115" s="607">
        <f>SUMIFS(Пр.13!I$10:I$1431,Пр.13!$D$10:$D$1431,C115)</f>
        <v>0</v>
      </c>
      <c r="G115" s="522">
        <f>SUMIFS(Пр.13!J$10:J$1431,Пр.13!$D$10:$D$1431,C115)</f>
        <v>0</v>
      </c>
      <c r="H115" s="611">
        <f>SUMIFS(Пр.13!K$10:K$1431,Пр.13!$D$10:$D$1431,C115)</f>
        <v>0</v>
      </c>
      <c r="I115" s="523">
        <f>SUMIFS(Пр.13!L$10:L$1431,Пр.13!$D$10:$D$1431,C115)</f>
        <v>0</v>
      </c>
    </row>
    <row r="116" spans="2:9" ht="63" hidden="1" x14ac:dyDescent="0.2">
      <c r="B116" s="472" t="str">
        <f>IF(C116&gt;0,VLOOKUP(C116,Программа!A$2:B$5110,2))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20" t="s">
        <v>716</v>
      </c>
      <c r="D116" s="432">
        <f>SUMIFS(Пр.13!G$10:G$1431,Пр.13!$D$10:$D$1431,C116)</f>
        <v>0</v>
      </c>
      <c r="E116" s="432">
        <f>SUMIFS(Пр.13!H$10:H$1431,Пр.13!$D$10:$D$1431,C116)</f>
        <v>0</v>
      </c>
      <c r="F116" s="457">
        <f>SUMIFS(Пр.13!I$10:I$1431,Пр.13!$D$10:$D$1431,C116)</f>
        <v>0</v>
      </c>
      <c r="G116" s="457">
        <f>SUMIFS(Пр.13!J$10:J$1431,Пр.13!$D$10:$D$1431,C116)</f>
        <v>0</v>
      </c>
      <c r="H116" s="457">
        <f>SUMIFS(Пр.13!K$10:K$1431,Пр.13!$D$10:$D$1431,C116)</f>
        <v>0</v>
      </c>
      <c r="I116" s="465">
        <f>SUMIFS(Пр.13!L$10:L$1431,Пр.13!$D$10:$D$1431,C116)</f>
        <v>0</v>
      </c>
    </row>
    <row r="117" spans="2:9" ht="31.5" hidden="1" x14ac:dyDescent="0.2">
      <c r="B117" s="478" t="str">
        <f>IF(C117&gt;0,VLOOKUP(C117,Программа!A$2:B$5110,2))</f>
        <v>Обеспечение мероприятий по восстановлению лифтового хозяйства многоквартирных домов</v>
      </c>
      <c r="C117" s="422" t="s">
        <v>719</v>
      </c>
      <c r="D117" s="441">
        <f>SUMIFS(Пр.13!G$10:G$1431,Пр.13!$D$10:$D$1431,C117)</f>
        <v>0</v>
      </c>
      <c r="E117" s="434">
        <f>SUMIFS(Пр.13!H$10:H$1431,Пр.13!$D$10:$D$1431,C117)</f>
        <v>0</v>
      </c>
      <c r="F117" s="458">
        <f>SUMIFS(Пр.13!I$10:I$1431,Пр.13!$D$10:$D$1431,C117)</f>
        <v>0</v>
      </c>
      <c r="G117" s="458">
        <f>SUMIFS(Пр.13!J$10:J$1431,Пр.13!$D$10:$D$1431,C117)</f>
        <v>0</v>
      </c>
      <c r="H117" s="464">
        <f>SUMIFS(Пр.13!K$10:K$1431,Пр.13!$D$10:$D$1431,C117)</f>
        <v>0</v>
      </c>
      <c r="I117" s="509">
        <f>SUMIFS(Пр.13!L$10:L$1431,Пр.13!$D$10:$D$1431,C117)</f>
        <v>0</v>
      </c>
    </row>
    <row r="118" spans="2:9" ht="47.25" hidden="1" x14ac:dyDescent="0.2">
      <c r="B118" s="518" t="str">
        <f>IF(C118&gt;0,VLOOKUP(C118,Программа!A$2:B$5110,2))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9" t="s">
        <v>722</v>
      </c>
      <c r="D118" s="627">
        <f>SUMIFS(Пр.13!G$10:G$1431,Пр.13!$D$10:$D$1431,C118)</f>
        <v>0</v>
      </c>
      <c r="E118" s="614">
        <f>SUMIFS(Пр.13!H$10:H$1431,Пр.13!$D$10:$D$1431,C118)</f>
        <v>0</v>
      </c>
      <c r="F118" s="604">
        <f>SUMIFS(Пр.13!I$10:I$1431,Пр.13!$D$10:$D$1431,C118)</f>
        <v>0</v>
      </c>
      <c r="G118" s="519">
        <f>SUMIFS(Пр.13!J$10:J$1431,Пр.13!$D$10:$D$1431,C118)</f>
        <v>0</v>
      </c>
      <c r="H118" s="617">
        <f>SUMIFS(Пр.13!K$10:K$1431,Пр.13!$D$10:$D$1431,C118)</f>
        <v>0</v>
      </c>
      <c r="I118" s="519">
        <f>SUMIFS(Пр.13!L$10:L$1431,Пр.13!$D$10:$D$1431,C118)</f>
        <v>0</v>
      </c>
    </row>
    <row r="119" spans="2:9" ht="32.25" hidden="1" thickBot="1" x14ac:dyDescent="0.25">
      <c r="B119" s="475" t="str">
        <f>IF(C119&gt;0,VLOOKUP(C119,Программа!A$2:B$5110,2))</f>
        <v>Обеспечение мероприятий по замене приборов учета в муниципальном жилищном фонде</v>
      </c>
      <c r="C119" s="630" t="s">
        <v>724</v>
      </c>
      <c r="D119" s="626">
        <f>SUMIFS(Пр.13!G$10:G$1431,Пр.13!$D$10:$D$1431,C119)</f>
        <v>0</v>
      </c>
      <c r="E119" s="610">
        <f>SUMIFS(Пр.13!H$10:H$1431,Пр.13!$D$10:$D$1431,C119)</f>
        <v>0</v>
      </c>
      <c r="F119" s="603">
        <f>SUMIFS(Пр.13!I$10:I$1431,Пр.13!$D$10:$D$1431,C119)</f>
        <v>0</v>
      </c>
      <c r="G119" s="517">
        <f>SUMIFS(Пр.13!J$10:J$1431,Пр.13!$D$10:$D$1431,C119)</f>
        <v>0</v>
      </c>
      <c r="H119" s="613">
        <f>SUMIFS(Пр.13!K$10:K$1431,Пр.13!$D$10:$D$1431,C119)</f>
        <v>0</v>
      </c>
      <c r="I119" s="517">
        <f>SUMIFS(Пр.13!L$10:L$1431,Пр.13!$D$10:$D$1431,C119)</f>
        <v>0</v>
      </c>
    </row>
    <row r="120" spans="2:9" ht="32.25" hidden="1" thickBot="1" x14ac:dyDescent="0.25">
      <c r="B120" s="485" t="str">
        <f>IF(C120&gt;0,VLOOKUP(C120,Программа!A$2:B$5110,2))</f>
        <v>Обеспечение мероприятий по ремонту общедомового имущества</v>
      </c>
      <c r="C120" s="424" t="s">
        <v>727</v>
      </c>
      <c r="D120" s="433">
        <f>SUMIFS(Пр.13!G$10:G$1431,Пр.13!$D$10:$D$1431,C120)</f>
        <v>0</v>
      </c>
      <c r="E120" s="434">
        <f>SUMIFS(Пр.13!H$10:H$1431,Пр.13!$D$10:$D$1431,C120)</f>
        <v>0</v>
      </c>
      <c r="F120" s="457">
        <f>SUMIFS(Пр.13!I$10:I$1431,Пр.13!$D$10:$D$1431,C120)</f>
        <v>0</v>
      </c>
      <c r="G120" s="457">
        <f>SUMIFS(Пр.13!J$10:J$1431,Пр.13!$D$10:$D$1431,C120)</f>
        <v>0</v>
      </c>
      <c r="H120" s="464">
        <f>SUMIFS(Пр.13!K$10:K$1431,Пр.13!$D$10:$D$1431,C120)</f>
        <v>0</v>
      </c>
      <c r="I120" s="465">
        <f>SUMIFS(Пр.13!L$10:L$1431,Пр.13!$D$10:$D$1431,C120)</f>
        <v>0</v>
      </c>
    </row>
    <row r="121" spans="2:9" ht="32.25" hidden="1" thickBot="1" x14ac:dyDescent="0.25">
      <c r="B121" s="478" t="str">
        <f>IF(C121&gt;0,VLOOKUP(C121,Программа!A$2:B$5110,2))</f>
        <v>Обеспечение мероприятий по ремонту муниципальных квартир</v>
      </c>
      <c r="C121" s="422" t="s">
        <v>728</v>
      </c>
      <c r="D121" s="441">
        <f>SUMIFS(Пр.13!G$10:G$1431,Пр.13!$D$10:$D$1431,C121)</f>
        <v>0</v>
      </c>
      <c r="E121" s="439">
        <f>SUMIFS(Пр.13!H$10:H$1431,Пр.13!$D$10:$D$1431,C121)</f>
        <v>0</v>
      </c>
      <c r="F121" s="458">
        <f>SUMIFS(Пр.13!I$10:I$1431,Пр.13!$D$10:$D$1431,C121)</f>
        <v>0</v>
      </c>
      <c r="G121" s="458">
        <f>SUMIFS(Пр.13!J$10:J$1431,Пр.13!$D$10:$D$1431,C121)</f>
        <v>0</v>
      </c>
      <c r="H121" s="467">
        <f>SUMIFS(Пр.13!K$10:K$1431,Пр.13!$D$10:$D$1431,C121)</f>
        <v>0</v>
      </c>
      <c r="I121" s="509">
        <f>SUMIFS(Пр.13!L$10:L$1431,Пр.13!$D$10:$D$1431,C121)</f>
        <v>0</v>
      </c>
    </row>
    <row r="122" spans="2:9" ht="48" hidden="1" thickBot="1" x14ac:dyDescent="0.25">
      <c r="B122" s="471" t="str">
        <f>IF(C122&gt;0,VLOOKUP(C122,Программа!A$2:B$5110,2))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25" t="s">
        <v>731</v>
      </c>
      <c r="D122" s="672">
        <f>SUMIFS(Пр.13!G$10:G$1431,Пр.13!$D$10:$D$1431,C122)</f>
        <v>0</v>
      </c>
      <c r="E122" s="611">
        <f>SUMIFS(Пр.13!H$10:H$1431,Пр.13!$D$10:$D$1431,C122)</f>
        <v>0</v>
      </c>
      <c r="F122" s="522">
        <f>SUMIFS(Пр.13!I$10:I$1431,Пр.13!$D$10:$D$1431,C122)</f>
        <v>0</v>
      </c>
      <c r="G122" s="672">
        <f>SUMIFS(Пр.13!J$10:J$1431,Пр.13!$D$10:$D$1431,C122)</f>
        <v>0</v>
      </c>
      <c r="H122" s="611">
        <f>SUMIFS(Пр.13!K$10:K$1431,Пр.13!$D$10:$D$1431,C122)</f>
        <v>0</v>
      </c>
      <c r="I122" s="522">
        <f>SUMIFS(Пр.13!L$10:L$1431,Пр.13!$D$10:$D$1431,C122)</f>
        <v>0</v>
      </c>
    </row>
    <row r="123" spans="2:9" ht="47.25" hidden="1" x14ac:dyDescent="0.2">
      <c r="B123" s="472" t="str">
        <f>IF(C123&gt;0,VLOOKUP(C123,Программа!A$2:B$5110,2))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20" t="s">
        <v>733</v>
      </c>
      <c r="D123" s="632">
        <f>SUMIFS(Пр.13!G$10:G$1431,Пр.13!$D$10:$D$1431,C123)</f>
        <v>0</v>
      </c>
      <c r="E123" s="609">
        <f>SUMIFS(Пр.13!H$10:H$1431,Пр.13!$D$10:$D$1431,C123)</f>
        <v>0</v>
      </c>
      <c r="F123" s="687">
        <f>SUMIFS(Пр.13!I$10:I$1431,Пр.13!$D$10:$D$1431,C123)</f>
        <v>0</v>
      </c>
      <c r="G123" s="633">
        <f>SUMIFS(Пр.13!J$10:J$1431,Пр.13!$D$10:$D$1431,C123)</f>
        <v>0</v>
      </c>
      <c r="H123" s="612">
        <f>SUMIFS(Пр.13!K$10:K$1431,Пр.13!$D$10:$D$1431,C123)</f>
        <v>0</v>
      </c>
      <c r="I123" s="633">
        <f>SUMIFS(Пр.13!L$10:L$1431,Пр.13!$D$10:$D$1431,C123)</f>
        <v>0</v>
      </c>
    </row>
    <row r="124" spans="2:9" ht="31.5" hidden="1" x14ac:dyDescent="0.2">
      <c r="B124" s="473" t="str">
        <f>IF(C124&gt;0,VLOOKUP(C124,Программа!A$2:B$5110,2))</f>
        <v>Обеспечение комплекса работ по повышению уровня благоустройства мест погребений</v>
      </c>
      <c r="C124" s="421" t="s">
        <v>735</v>
      </c>
      <c r="D124" s="524">
        <f>SUMIFS(Пр.13!G$10:G$1431,Пр.13!$D$10:$D$1431,C124)</f>
        <v>0</v>
      </c>
      <c r="E124" s="610">
        <f>SUMIFS(Пр.13!H$10:H$1431,Пр.13!$D$10:$D$1431,C124)</f>
        <v>0</v>
      </c>
      <c r="F124" s="600">
        <f>SUMIFS(Пр.13!I$10:I$1431,Пр.13!$D$10:$D$1431,C124)</f>
        <v>0</v>
      </c>
      <c r="G124" s="520">
        <f>SUMIFS(Пр.13!J$10:J$1431,Пр.13!$D$10:$D$1431,C124)</f>
        <v>0</v>
      </c>
      <c r="H124" s="613">
        <f>SUMIFS(Пр.13!K$10:K$1431,Пр.13!$D$10:$D$1431,C124)</f>
        <v>0</v>
      </c>
      <c r="I124" s="520">
        <f>SUMIFS(Пр.13!L$10:L$1431,Пр.13!$D$10:$D$1431,C124)</f>
        <v>0</v>
      </c>
    </row>
    <row r="125" spans="2:9" ht="47.25" hidden="1" x14ac:dyDescent="0.2">
      <c r="B125" s="479" t="str">
        <f>IF(C125&gt;0,VLOOKUP(C125,Программа!A$2:B$5110,2))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5" s="624" t="s">
        <v>736</v>
      </c>
      <c r="D125" s="617">
        <f>SUMIFS(Пр.13!G$10:G$1431,Пр.13!$D$10:$D$1431,C125)</f>
        <v>0</v>
      </c>
      <c r="E125" s="686">
        <f>SUMIFS(Пр.13!H$10:H$1431,Пр.13!$D$10:$D$1431,C125)</f>
        <v>0</v>
      </c>
      <c r="F125" s="686">
        <f>SUMIFS(Пр.13!I$10:I$1431,Пр.13!$D$10:$D$1431,C125)</f>
        <v>0</v>
      </c>
      <c r="G125" s="709">
        <f>SUMIFS(Пр.13!J$10:J$1431,Пр.13!$D$10:$D$1431,C125)</f>
        <v>0</v>
      </c>
      <c r="H125" s="686">
        <f>SUMIFS(Пр.13!K$10:K$1431,Пр.13!$D$10:$D$1431,C125)</f>
        <v>0</v>
      </c>
      <c r="I125" s="686">
        <f>SUMIFS(Пр.13!L$10:L$1431,Пр.13!$D$10:$D$1431,C125)</f>
        <v>0</v>
      </c>
    </row>
    <row r="126" spans="2:9" ht="47.25" hidden="1" x14ac:dyDescent="0.2">
      <c r="B126" s="480" t="str">
        <f>IF(C126&gt;0,VLOOKUP(C126,Программа!A$2:B$5110,2))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6" s="421" t="s">
        <v>738</v>
      </c>
      <c r="D126" s="613">
        <f>SUMIFS(Пр.13!G$10:G$1431,Пр.13!$D$10:$D$1431,C126)</f>
        <v>0</v>
      </c>
      <c r="E126" s="168">
        <f>SUMIFS(Пр.13!H$10:H$1431,Пр.13!$D$10:$D$1431,C126)</f>
        <v>0</v>
      </c>
      <c r="F126" s="168">
        <f>SUMIFS(Пр.13!I$10:I$1431,Пр.13!$D$10:$D$1431,C126)</f>
        <v>0</v>
      </c>
      <c r="G126" s="708">
        <f>SUMIFS(Пр.13!J$10:J$1431,Пр.13!$D$10:$D$1431,C126)</f>
        <v>0</v>
      </c>
      <c r="H126" s="168">
        <f>SUMIFS(Пр.13!K$10:K$1431,Пр.13!$D$10:$D$1431,C126)</f>
        <v>0</v>
      </c>
      <c r="I126" s="168">
        <f>SUMIFS(Пр.13!L$10:L$1431,Пр.13!$D$10:$D$1431,C126)</f>
        <v>0</v>
      </c>
    </row>
    <row r="127" spans="2:9" ht="31.5" hidden="1" x14ac:dyDescent="0.2">
      <c r="B127" s="473" t="str">
        <f>IF(C127&gt;0,VLOOKUP(C127,Программа!A$2:B$5110,2))</f>
        <v xml:space="preserve">Обеспечение мероприятий по совершенствованию  эстетического  состояния территорий </v>
      </c>
      <c r="C127" s="421" t="s">
        <v>740</v>
      </c>
      <c r="D127" s="524">
        <f>SUMIFS(Пр.13!G$10:G$1431,Пр.13!$D$10:$D$1431,C127)</f>
        <v>0</v>
      </c>
      <c r="E127" s="507">
        <f>SUMIFS(Пр.13!H$10:H$1431,Пр.13!$D$10:$D$1431,C127)</f>
        <v>0</v>
      </c>
      <c r="F127" s="515">
        <f>SUMIFS(Пр.13!I$10:I$1431,Пр.13!$D$10:$D$1431,C127)</f>
        <v>0</v>
      </c>
      <c r="G127" s="635">
        <f>SUMIFS(Пр.13!J$10:J$1431,Пр.13!$D$10:$D$1431,C127)</f>
        <v>0</v>
      </c>
      <c r="H127" s="508">
        <f>SUMIFS(Пр.13!K$10:K$1431,Пр.13!$D$10:$D$1431,C127)</f>
        <v>0</v>
      </c>
      <c r="I127" s="457">
        <f>SUMIFS(Пр.13!L$10:L$1431,Пр.13!$D$10:$D$1431,C127)</f>
        <v>0</v>
      </c>
    </row>
    <row r="128" spans="2:9" ht="31.5" hidden="1" x14ac:dyDescent="0.2">
      <c r="B128" s="473" t="str">
        <f>IF(C128&gt;0,VLOOKUP(C128,Программа!A$2:B$5110,2))</f>
        <v>Обеспечение мероприятий по благоустройству воинских захоронений</v>
      </c>
      <c r="C128" s="421" t="s">
        <v>741</v>
      </c>
      <c r="D128" s="524">
        <f>SUMIFS(Пр.13!G$10:G$1431,Пр.13!$D$10:$D$1431,C128)</f>
        <v>0</v>
      </c>
      <c r="E128" s="506">
        <f>SUMIFS(Пр.13!H$10:H$1431,Пр.13!$D$10:$D$1431,C128)</f>
        <v>0</v>
      </c>
      <c r="F128" s="605">
        <f>SUMIFS(Пр.13!I$10:I$1431,Пр.13!$D$10:$D$1431,C128)</f>
        <v>0</v>
      </c>
      <c r="G128" s="520">
        <f>SUMIFS(Пр.13!J$10:J$1431,Пр.13!$D$10:$D$1431,C128)</f>
        <v>0</v>
      </c>
      <c r="H128" s="619">
        <f>SUMIFS(Пр.13!K$10:K$1431,Пр.13!$D$10:$D$1431,C128)</f>
        <v>0</v>
      </c>
      <c r="I128" s="458">
        <f>SUMIFS(Пр.13!L$10:L$1431,Пр.13!$D$10:$D$1431,C128)</f>
        <v>0</v>
      </c>
    </row>
    <row r="129" spans="1:9" s="438" customFormat="1" ht="94.5" hidden="1" x14ac:dyDescent="0.2">
      <c r="A129" s="427"/>
      <c r="B129" s="479" t="str">
        <f>IF(C129&gt;0,VLOOKUP(C129,Программа!A$2:B$5110,2))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4" t="s">
        <v>1645</v>
      </c>
      <c r="D129" s="617">
        <f>SUMIFS(Пр.13!G$10:G$1431,Пр.13!$D$10:$D$1431,C129)</f>
        <v>0</v>
      </c>
      <c r="E129" s="168">
        <f>SUMIFS(Пр.13!H$10:H$1431,Пр.13!$D$10:$D$1431,C129)</f>
        <v>0</v>
      </c>
      <c r="F129" s="168">
        <f>SUMIFS(Пр.13!I$10:I$1431,Пр.13!$D$10:$D$1431,C129)</f>
        <v>0</v>
      </c>
      <c r="G129" s="708">
        <f>SUMIFS(Пр.13!J$10:J$1431,Пр.13!$D$10:$D$1431,C129)</f>
        <v>0</v>
      </c>
      <c r="H129" s="168">
        <f>SUMIFS(Пр.13!K$10:K$1431,Пр.13!$D$10:$D$1431,C129)</f>
        <v>0</v>
      </c>
      <c r="I129" s="168">
        <f>SUMIFS(Пр.13!L$10:L$1431,Пр.13!$D$10:$D$1431,C129)</f>
        <v>0</v>
      </c>
    </row>
    <row r="130" spans="1:9" ht="47.25" hidden="1" x14ac:dyDescent="0.2">
      <c r="B130" s="480" t="str">
        <f>IF(C130&gt;0,VLOOKUP(C130,Программа!A$2:B$5110,2))</f>
        <v>Создание механизма управления потреблением энергетических ресурсов и сокращение бюджетных затрат</v>
      </c>
      <c r="C130" s="421" t="s">
        <v>1646</v>
      </c>
      <c r="D130" s="613">
        <f>SUMIFS(Пр.13!G$10:G$1431,Пр.13!$D$10:$D$1431,C130)</f>
        <v>0</v>
      </c>
      <c r="E130" s="168">
        <f>SUMIFS(Пр.13!H$10:H$1431,Пр.13!$D$10:$D$1431,C130)</f>
        <v>0</v>
      </c>
      <c r="F130" s="168">
        <f>SUMIFS(Пр.13!I$10:I$1431,Пр.13!$D$10:$D$1431,C130)</f>
        <v>0</v>
      </c>
      <c r="G130" s="708">
        <f>SUMIFS(Пр.13!J$10:J$1431,Пр.13!$D$10:$D$1431,C130)</f>
        <v>0</v>
      </c>
      <c r="H130" s="168">
        <f>SUMIFS(Пр.13!K$10:K$1431,Пр.13!$D$10:$D$1431,C130)</f>
        <v>0</v>
      </c>
      <c r="I130" s="168">
        <f>SUMIFS(Пр.13!L$10:L$1431,Пр.13!$D$10:$D$1431,C130)</f>
        <v>0</v>
      </c>
    </row>
    <row r="131" spans="1:9" s="438" customFormat="1" ht="47.25" hidden="1" x14ac:dyDescent="0.2">
      <c r="A131" s="427"/>
      <c r="B131" s="479" t="str">
        <f>IF(C131&gt;0,VLOOKUP(C131,Программа!A$2:B$5110,2))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1" s="624" t="s">
        <v>1647</v>
      </c>
      <c r="D131" s="617">
        <f>SUMIFS(Пр.13!G$10:G$1431,Пр.13!$D$10:$D$1431,C131)</f>
        <v>0</v>
      </c>
      <c r="E131" s="168">
        <f>SUMIFS(Пр.13!H$10:H$1431,Пр.13!$D$10:$D$1431,C131)</f>
        <v>0</v>
      </c>
      <c r="F131" s="168">
        <f>SUMIFS(Пр.13!I$10:I$1431,Пр.13!$D$10:$D$1431,C131)</f>
        <v>0</v>
      </c>
      <c r="G131" s="708">
        <f>SUMIFS(Пр.13!J$10:J$1431,Пр.13!$D$10:$D$1431,C131)</f>
        <v>0</v>
      </c>
      <c r="H131" s="168">
        <f>SUMIFS(Пр.13!K$10:K$1431,Пр.13!$D$10:$D$1431,C131)</f>
        <v>0</v>
      </c>
      <c r="I131" s="168">
        <f>SUMIFS(Пр.13!L$10:L$1431,Пр.13!$D$10:$D$1431,C131)</f>
        <v>0</v>
      </c>
    </row>
    <row r="132" spans="1:9" ht="32.25" hidden="1" thickBot="1" x14ac:dyDescent="0.25">
      <c r="B132" s="480" t="str">
        <f>IF(C132&gt;0,VLOOKUP(C132,Программа!A$2:B$5110,2))</f>
        <v xml:space="preserve">Реконструкция, ремонт и строительство новых сетей уличного освещения </v>
      </c>
      <c r="C132" s="421" t="s">
        <v>1648</v>
      </c>
      <c r="D132" s="618">
        <f>SUMIFS(Пр.13!G$10:G$1431,Пр.13!$D$10:$D$1431,C132)</f>
        <v>0</v>
      </c>
      <c r="E132" s="168">
        <f>SUMIFS(Пр.13!H$10:H$1431,Пр.13!$D$10:$D$1431,C132)</f>
        <v>0</v>
      </c>
      <c r="F132" s="168">
        <f>SUMIFS(Пр.13!I$10:I$1431,Пр.13!$D$10:$D$1431,C132)</f>
        <v>0</v>
      </c>
      <c r="G132" s="708">
        <f>SUMIFS(Пр.13!J$10:J$1431,Пр.13!$D$10:$D$1431,C132)</f>
        <v>0</v>
      </c>
      <c r="H132" s="168">
        <f>SUMIFS(Пр.13!K$10:K$1431,Пр.13!$D$10:$D$1431,C132)</f>
        <v>0</v>
      </c>
      <c r="I132" s="168">
        <f>SUMIFS(Пр.13!L$10:L$1431,Пр.13!$D$10:$D$1431,C132)</f>
        <v>0</v>
      </c>
    </row>
    <row r="133" spans="1:9" ht="48" hidden="1" thickBot="1" x14ac:dyDescent="0.25">
      <c r="B133" s="648" t="str">
        <f>IF(C133&gt;0,VLOOKUP(C133,Программа!A$2:B$5110,2))</f>
        <v>Муниципальная программа "Обеспечение населения Тутаевского муниципального района банными услугами"</v>
      </c>
      <c r="C133" s="416" t="s">
        <v>743</v>
      </c>
      <c r="D133" s="649">
        <f>SUMIFS(Пр.13!G$10:G$1431,Пр.13!$D$10:$D$1431,C133)</f>
        <v>0</v>
      </c>
      <c r="E133" s="685">
        <f>SUMIFS(Пр.13!H$10:H$1431,Пр.13!$D$10:$D$1431,C133)</f>
        <v>0</v>
      </c>
      <c r="F133" s="644">
        <f>SUMIFS(Пр.13!I$10:I$1431,Пр.13!$D$10:$D$1431,C133)</f>
        <v>0</v>
      </c>
      <c r="G133" s="650">
        <f>SUMIFS(Пр.13!J$10:J$1431,Пр.13!$D$10:$D$1431,C133)</f>
        <v>0</v>
      </c>
      <c r="H133" s="647">
        <f>SUMIFS(Пр.13!K$10:K$1431,Пр.13!$D$10:$D$1431,C133)</f>
        <v>0</v>
      </c>
      <c r="I133" s="470">
        <f>SUMIFS(Пр.13!L$10:L$1431,Пр.13!$D$10:$D$1431,C133)</f>
        <v>0</v>
      </c>
    </row>
    <row r="134" spans="1:9" ht="32.25" hidden="1" thickBot="1" x14ac:dyDescent="0.25">
      <c r="B134" s="475" t="str">
        <f>IF(C134&gt;0,VLOOKUP(C134,Программа!A$2:B$5110,2))</f>
        <v>Обеспечение населения Тутаевского муниципального района банными услугами</v>
      </c>
      <c r="C134" s="630" t="s">
        <v>745</v>
      </c>
      <c r="D134" s="626">
        <f>SUMIFS(Пр.13!G$10:G$1431,Пр.13!$D$10:$D$1431,C134)</f>
        <v>0</v>
      </c>
      <c r="E134" s="646">
        <f>SUMIFS(Пр.13!H$10:H$1431,Пр.13!$D$10:$D$1431,C134)</f>
        <v>0</v>
      </c>
      <c r="F134" s="644">
        <f>SUMIFS(Пр.13!I$10:I$1431,Пр.13!$D$10:$D$1431,C134)</f>
        <v>0</v>
      </c>
      <c r="G134" s="523">
        <f>SUMIFS(Пр.13!J$10:J$1431,Пр.13!$D$10:$D$1431,C134)</f>
        <v>0</v>
      </c>
      <c r="H134" s="647">
        <f>SUMIFS(Пр.13!K$10:K$1431,Пр.13!$D$10:$D$1431,C134)</f>
        <v>0</v>
      </c>
      <c r="I134" s="470">
        <f>SUMIFS(Пр.13!L$10:L$1431,Пр.13!$D$10:$D$1431,C134)</f>
        <v>0</v>
      </c>
    </row>
    <row r="135" spans="1:9" s="430" customFormat="1" ht="48" hidden="1" thickBot="1" x14ac:dyDescent="0.25">
      <c r="B135" s="641" t="str">
        <f>IF(C135&gt;0,VLOOKUP(C135,Программа!A$2:B$5110,2))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5" t="s">
        <v>1121</v>
      </c>
      <c r="D135" s="643">
        <f>SUMIFS(Пр.13!G$10:G$1431,Пр.13!$D$10:$D$1431,C135)</f>
        <v>0</v>
      </c>
      <c r="E135" s="425">
        <f>SUMIFS(Пр.13!H$10:H$1431,Пр.13!$D$10:$D$1431,C135)</f>
        <v>0</v>
      </c>
      <c r="F135" s="455">
        <f>SUMIFS(Пр.13!I$10:I$1431,Пр.13!$D$10:$D$1431,C135)</f>
        <v>0</v>
      </c>
      <c r="G135" s="469">
        <f>SUMIFS(Пр.13!J$10:J$1431,Пр.13!$D$10:$D$1431,C135)</f>
        <v>0</v>
      </c>
      <c r="H135" s="455">
        <f>SUMIFS(Пр.13!K$10:K$1431,Пр.13!$D$10:$D$1431,C135)</f>
        <v>0</v>
      </c>
      <c r="I135" s="456">
        <f>SUMIFS(Пр.13!L$10:L$1431,Пр.13!$D$10:$D$1431,C135)</f>
        <v>0</v>
      </c>
    </row>
    <row r="136" spans="1:9" ht="32.25" hidden="1" thickBot="1" x14ac:dyDescent="0.25">
      <c r="B136" s="484" t="str">
        <f>IF(C136&gt;0,VLOOKUP(C136,Программа!A$2:B$5110,2))</f>
        <v>Развитие водохозяйственного комплекса Тутаевского муниципального района</v>
      </c>
      <c r="C136" s="423" t="s">
        <v>1122</v>
      </c>
      <c r="D136" s="426">
        <f>SUMIFS(Пр.13!G$10:G$1431,Пр.13!$D$10:$D$1431,C136)</f>
        <v>0</v>
      </c>
      <c r="E136" s="426">
        <f>SUMIFS(Пр.13!H$10:H$1431,Пр.13!$D$10:$D$1431,D136)</f>
        <v>0</v>
      </c>
      <c r="F136" s="469">
        <f>SUMIFS(Пр.13!I$10:I$1431,Пр.13!$D$10:$D$1431,C136)</f>
        <v>0</v>
      </c>
      <c r="G136" s="469">
        <f>SUMIFS(Пр.13!J$10:J$1431,Пр.13!$D$10:$D$1431,C136)</f>
        <v>0</v>
      </c>
      <c r="H136" s="469">
        <f>SUMIFS(Пр.13!K$10:K$1431,Пр.13!$D$10:$D$1431,C136)</f>
        <v>0</v>
      </c>
      <c r="I136" s="470">
        <f>SUMIFS(Пр.13!L$10:L$1431,Пр.13!$D$10:$D$1431,C136)</f>
        <v>0</v>
      </c>
    </row>
    <row r="137" spans="1:9" s="430" customFormat="1" ht="48" hidden="1" thickBot="1" x14ac:dyDescent="0.25">
      <c r="B137" s="471" t="str">
        <f>IF(C137&gt;0,VLOOKUP(C137,Программа!A$2:B$5110,2))</f>
        <v>Муниципальная программа "Обеспечение муниципальных закупок в Тутаевском муниципальном районе"</v>
      </c>
      <c r="C137" s="419" t="s">
        <v>1133</v>
      </c>
      <c r="D137" s="425">
        <f>SUMIFS(Пр.13!G$10:G$1431,Пр.13!$D$10:$D$1431,C137)</f>
        <v>0</v>
      </c>
      <c r="E137" s="425">
        <f>SUMIFS(Пр.13!H$10:H$1431,Пр.13!$D$10:$D$1431,C137)</f>
        <v>0</v>
      </c>
      <c r="F137" s="455">
        <f>SUMIFS(Пр.13!I$10:I$1431,Пр.13!$D$10:$D$1431,C137)</f>
        <v>0</v>
      </c>
      <c r="G137" s="455">
        <f>SUMIFS(Пр.13!J$10:J$1431,Пр.13!$D$10:$D$1431,C137)</f>
        <v>0</v>
      </c>
      <c r="H137" s="455">
        <f>SUMIFS(Пр.13!K$10:K$1431,Пр.13!$D$10:$D$1431,C137)</f>
        <v>0</v>
      </c>
      <c r="I137" s="456">
        <f>SUMIFS(Пр.13!L$10:L$1431,Пр.13!$D$10:$D$1431,C137)</f>
        <v>0</v>
      </c>
    </row>
    <row r="138" spans="1:9" ht="47.25" hidden="1" x14ac:dyDescent="0.2">
      <c r="B138" s="485" t="str">
        <f>IF(C138&gt;0,VLOOKUP(C138,Программа!A$2:B$5110,2))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8" s="424" t="s">
        <v>1135</v>
      </c>
      <c r="D138" s="433">
        <f>SUMIFS(Пр.13!G$10:G$1431,Пр.13!$D$10:$D$1431,C138)</f>
        <v>0</v>
      </c>
      <c r="E138" s="433">
        <f>SUMIFS(Пр.13!H$10:H$1431,Пр.13!$D$10:$D$1431,C138)</f>
        <v>0</v>
      </c>
      <c r="F138" s="457">
        <f>SUMIFS(Пр.13!I$10:I$1431,Пр.13!$D$10:$D$1431,C138)</f>
        <v>0</v>
      </c>
      <c r="G138" s="457">
        <f>SUMIFS(Пр.13!J$10:J$1431,Пр.13!$D$10:$D$1431,C138)</f>
        <v>0</v>
      </c>
      <c r="H138" s="457">
        <f>SUMIFS(Пр.13!K$10:K$1431,Пр.13!$D$10:$D$1431,C138)</f>
        <v>0</v>
      </c>
      <c r="I138" s="465">
        <f>SUMIFS(Пр.13!L$10:L$1431,Пр.13!$D$10:$D$1431,C138)</f>
        <v>0</v>
      </c>
    </row>
    <row r="139" spans="1:9" ht="79.5" hidden="1" thickBot="1" x14ac:dyDescent="0.25">
      <c r="B139" s="478" t="str">
        <f>IF(C139&gt;0,VLOOKUP(C139,Программа!A$2:B$5110,2))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2" t="s">
        <v>1137</v>
      </c>
      <c r="D139" s="441">
        <f>SUMIFS(Пр.13!G$10:G$1431,Пр.13!$D$10:$D$1431,C139)</f>
        <v>0</v>
      </c>
      <c r="E139" s="439">
        <f>SUMIFS(Пр.13!H$10:H$1431,Пр.13!$D$10:$D$1431,C139)</f>
        <v>0</v>
      </c>
      <c r="F139" s="458">
        <f>SUMIFS(Пр.13!I$10:I$1431,Пр.13!$D$10:$D$1431,C139)</f>
        <v>0</v>
      </c>
      <c r="G139" s="458">
        <f>SUMIFS(Пр.13!J$10:J$1431,Пр.13!$D$10:$D$1431,C139)</f>
        <v>0</v>
      </c>
      <c r="H139" s="467">
        <f>SUMIFS(Пр.13!K$10:K$1431,Пр.13!$D$10:$D$1431,C139)</f>
        <v>0</v>
      </c>
      <c r="I139" s="509">
        <f>SUMIFS(Пр.13!L$10:L$1431,Пр.13!$D$10:$D$1431,C139)</f>
        <v>0</v>
      </c>
    </row>
    <row r="140" spans="1:9" ht="48" hidden="1" thickBot="1" x14ac:dyDescent="0.25">
      <c r="B140" s="471" t="str">
        <f>IF(C140&gt;0,VLOOKUP(C140,Программа!A$2:B$5110,2))</f>
        <v>Муниципальная программа "Формирование  современной городской среды"  Тутаевского муниципального района</v>
      </c>
      <c r="C140" s="725" t="s">
        <v>1244</v>
      </c>
      <c r="D140" s="672">
        <f>SUMIFS(Пр.13!G$10:G$1431,Пр.13!$D$10:$D$1431,C140)</f>
        <v>0</v>
      </c>
      <c r="E140" s="658">
        <f>SUMIFS(Пр.13!H$10:H$1431,Пр.13!$D$10:$D$1431,C140)</f>
        <v>0</v>
      </c>
      <c r="F140" s="522">
        <f>SUMIFS(Пр.13!I$10:I$1431,Пр.13!$D$10:$D$1431,C140)</f>
        <v>0</v>
      </c>
      <c r="G140" s="672">
        <f>SUMIFS(Пр.13!J$10:J$1431,Пр.13!$D$10:$D$1431,C140)</f>
        <v>0</v>
      </c>
      <c r="H140" s="611">
        <f>SUMIFS(Пр.13!K$10:K$1431,Пр.13!$D$10:$D$1431,C140)</f>
        <v>0</v>
      </c>
      <c r="I140" s="522">
        <f>SUMIFS(Пр.13!L$10:L$1431,Пр.13!$D$10:$D$1431,C140)</f>
        <v>0</v>
      </c>
    </row>
    <row r="141" spans="1:9" ht="32.25" hidden="1" thickBot="1" x14ac:dyDescent="0.25">
      <c r="B141" s="481" t="str">
        <f>IF(C141&gt;0,VLOOKUP(C141,Программа!A$2:B$5110,2))</f>
        <v>Повышение уровня благоустройства дворовых территорий</v>
      </c>
      <c r="C141" s="424" t="s">
        <v>1264</v>
      </c>
      <c r="D141" s="718">
        <f>SUMIFS(Пр.13!G$10:G$1431,Пр.13!$D$10:$D$1431,C141)</f>
        <v>0</v>
      </c>
      <c r="E141" s="621">
        <f>SUMIFS(Пр.13!H$10:H$1431,Пр.13!$D$10:$D$1431,C141)</f>
        <v>0</v>
      </c>
      <c r="F141" s="460">
        <f>SUMIFS(Пр.13!I$10:I$1431,Пр.13!$D$10:$D$1431,C141)</f>
        <v>0</v>
      </c>
      <c r="G141" s="718">
        <f>SUMIFS(Пр.13!J$10:J$1431,Пр.13!$D$10:$D$1431,C141)</f>
        <v>0</v>
      </c>
      <c r="H141" s="621">
        <f>SUMIFS(Пр.13!K$10:K$1431,Пр.13!$D$10:$D$1431,C141)</f>
        <v>0</v>
      </c>
      <c r="I141" s="460">
        <f>SUMIFS(Пр.13!L$10:L$1431,Пр.13!$D$10:$D$1431,C141)</f>
        <v>0</v>
      </c>
    </row>
    <row r="142" spans="1:9" ht="32.25" hidden="1" thickBot="1" x14ac:dyDescent="0.25">
      <c r="B142" s="485" t="str">
        <f>IF(C142&gt;0,VLOOKUP(C142,Программа!A$2:B$5110,2))</f>
        <v>Повышение  уровня благоустройства  мест массового отдыха людей</v>
      </c>
      <c r="C142" s="424" t="s">
        <v>1265</v>
      </c>
      <c r="D142" s="433">
        <f>SUMIFS(Пр.13!G$10:G$1431,Пр.13!$D$10:$D$1431,C142)</f>
        <v>0</v>
      </c>
      <c r="E142" s="434">
        <f>SUMIFS(Пр.13!H$10:H$1431,Пр.13!$D$10:$D$1431,C142)</f>
        <v>0</v>
      </c>
      <c r="F142" s="457">
        <f>SUMIFS(Пр.13!I$10:I$1431,Пр.13!$D$10:$D$1431,C142)</f>
        <v>0</v>
      </c>
      <c r="G142" s="457">
        <f>SUMIFS(Пр.13!J$10:J$1431,Пр.13!$D$10:$D$1431,C142)</f>
        <v>0</v>
      </c>
      <c r="H142" s="464">
        <f>SUMIFS(Пр.13!K$10:K$1431,Пр.13!$D$10:$D$1431,C142)</f>
        <v>0</v>
      </c>
      <c r="I142" s="465">
        <f>SUMIFS(Пр.13!L$10:L$1431,Пр.13!$D$10:$D$1431,C142)</f>
        <v>0</v>
      </c>
    </row>
    <row r="143" spans="1:9" ht="32.25" hidden="1" thickBot="1" x14ac:dyDescent="0.25">
      <c r="B143" s="473" t="str">
        <f>IF(C143&gt;0,VLOOKUP(C143,Программа!A$2:B$5110,2))</f>
        <v>Реализация проектов создания комфортной городской среды в малых городах и исторических поселениях</v>
      </c>
      <c r="C143" s="421" t="s">
        <v>1266</v>
      </c>
      <c r="D143" s="434">
        <f>SUMIFS(Пр.13!G$10:G$1431,Пр.13!$D$10:$D$1431,C143)</f>
        <v>0</v>
      </c>
      <c r="E143" s="434">
        <f>SUMIFS(Пр.13!H$10:H$1431,Пр.13!$D$10:$D$1431,C143)</f>
        <v>0</v>
      </c>
      <c r="F143" s="464">
        <f>SUMIFS(Пр.13!I$10:I$1431,Пр.13!$D$10:$D$1431,C143)</f>
        <v>0</v>
      </c>
      <c r="G143" s="464">
        <f>SUMIFS(Пр.13!J$10:J$1431,Пр.13!$D$10:$D$1431,C143)</f>
        <v>0</v>
      </c>
      <c r="H143" s="464">
        <f>SUMIFS(Пр.13!K$10:K$1431,Пр.13!$D$10:$D$1431,C143)</f>
        <v>0</v>
      </c>
      <c r="I143" s="466">
        <f>SUMIFS(Пр.13!L$10:L$1431,Пр.13!$D$10:$D$1431,C143)</f>
        <v>0</v>
      </c>
    </row>
    <row r="144" spans="1:9" ht="36.950000000000003" hidden="1" customHeight="1" thickBot="1" x14ac:dyDescent="0.25">
      <c r="B144" s="478" t="s">
        <v>1533</v>
      </c>
      <c r="C144" s="173" t="s">
        <v>1534</v>
      </c>
      <c r="D144" s="441">
        <f>SUMIFS(Пр.13!G$10:G$1431,Пр.13!$D$10:$D$1431,C144)</f>
        <v>0</v>
      </c>
      <c r="E144" s="439">
        <f>SUMIFS(Пр.13!H$10:H$1431,Пр.13!$D$10:$D$1431,C144)</f>
        <v>0</v>
      </c>
      <c r="F144" s="458">
        <f>SUMIFS(Пр.13!I$10:I$1431,Пр.13!$D$10:$D$1431,C144)</f>
        <v>0</v>
      </c>
      <c r="G144" s="458">
        <f>SUMIFS(Пр.13!J$10:J$1431,Пр.13!$D$10:$D$1431,C144)</f>
        <v>0</v>
      </c>
      <c r="H144" s="467">
        <f>SUMIFS(Пр.13!K$10:K$1431,Пр.13!$D$10:$D$1431,C144)</f>
        <v>0</v>
      </c>
      <c r="I144" s="509">
        <f>SUMIFS(Пр.13!L$10:L$1431,Пр.13!$D$10:$D$1431,C144)</f>
        <v>0</v>
      </c>
    </row>
    <row r="145" spans="1:9" s="430" customFormat="1" ht="63.75" hidden="1" thickBot="1" x14ac:dyDescent="0.25">
      <c r="B145" s="471" t="str">
        <f>IF(C145&gt;0,VLOOKUP(C145,Программа!A$2:B$5110,2))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5" t="s">
        <v>1248</v>
      </c>
      <c r="D145" s="456">
        <f>SUMIFS(Пр.13!G$10:G$1431,Пр.13!$D$10:$D$1431,C145)</f>
        <v>0</v>
      </c>
      <c r="E145" s="608">
        <f>SUMIFS(Пр.13!H$10:H$1431,Пр.13!$D$10:$D$1431,C145)</f>
        <v>0</v>
      </c>
      <c r="F145" s="606">
        <f>SUMIFS(Пр.13!I$10:I$1431,Пр.13!$D$10:$D$1431,C145)</f>
        <v>0</v>
      </c>
      <c r="G145" s="522">
        <f>SUMIFS(Пр.13!J$10:J$1431,Пр.13!$D$10:$D$1431,C145)</f>
        <v>0</v>
      </c>
      <c r="H145" s="611">
        <f>SUMIFS(Пр.13!K$10:K$1431,Пр.13!$D$10:$D$1431,C145)</f>
        <v>0</v>
      </c>
      <c r="I145" s="521">
        <f>SUMIFS(Пр.13!L$10:L$1431,Пр.13!$D$10:$D$1431,C145)</f>
        <v>0</v>
      </c>
    </row>
    <row r="146" spans="1:9" ht="32.25" hidden="1" thickBot="1" x14ac:dyDescent="0.25">
      <c r="B146" s="510" t="str">
        <f>IF(C146&gt;0,VLOOKUP(C146,Программа!A$2:B$5110,2))</f>
        <v>Мероприятия по обеспечению безопасности жителей района</v>
      </c>
      <c r="C146" s="442" t="s">
        <v>1249</v>
      </c>
      <c r="D146" s="513">
        <f>SUMIFS(Пр.13!G$10:G$1431,Пр.13!$D$10:$D$1431,C146)</f>
        <v>0</v>
      </c>
      <c r="E146" s="622">
        <f>SUMIFS(Пр.13!H$10:H$1431,Пр.13!$D$10:$D$1431,C146)</f>
        <v>0</v>
      </c>
      <c r="F146" s="600">
        <f>SUMIFS(Пр.13!I$10:I$1431,Пр.13!$D$10:$D$1431,C146)</f>
        <v>0</v>
      </c>
      <c r="G146" s="513">
        <f>SUMIFS(Пр.13!J$10:J$1431,Пр.13!$D$10:$D$1431,C146)</f>
        <v>0</v>
      </c>
      <c r="H146" s="623">
        <f>SUMIFS(Пр.13!K$10:K$1431,Пр.13!$D$10:$D$1431,C146)</f>
        <v>0</v>
      </c>
      <c r="I146" s="520">
        <f>SUMIFS(Пр.13!L$10:L$1431,Пр.13!$D$10:$D$1431,C146)</f>
        <v>0</v>
      </c>
    </row>
    <row r="147" spans="1:9" ht="63.75" hidden="1" thickBot="1" x14ac:dyDescent="0.25">
      <c r="B147" s="471" t="str">
        <f>IF(C147&gt;0,VLOOKUP(C147,Программа!A$2:B$5110,2))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6" t="s">
        <v>1367</v>
      </c>
      <c r="D147" s="628">
        <f>SUMIFS(Пр.13!G$10:G$1431,Пр.13!$D$10:$D$1431,C147)</f>
        <v>0</v>
      </c>
      <c r="E147" s="616"/>
      <c r="F147" s="600"/>
      <c r="G147" s="522">
        <f>SUMIFS(Пр.13!J$10:J$1431,Пр.13!$D$10:$D$1431,C147)</f>
        <v>0</v>
      </c>
      <c r="H147" s="575"/>
      <c r="I147" s="520"/>
    </row>
    <row r="148" spans="1:9" ht="31.5" hidden="1" x14ac:dyDescent="0.25">
      <c r="B148" s="485" t="str">
        <f>IF(C148&gt;0,VLOOKUP(C148,Программа!A$2:B$5110,2))</f>
        <v>Разработка, согласование, утверждение проекта зон охраны объектов культурного наследия</v>
      </c>
      <c r="C148" s="294" t="s">
        <v>1368</v>
      </c>
      <c r="D148" s="433">
        <f>SUMIFS(Пр.13!G$10:G$1431,Пр.13!$D$10:$D$1431,C148)</f>
        <v>0</v>
      </c>
      <c r="E148" s="616"/>
      <c r="F148" s="600"/>
      <c r="G148" s="460">
        <f>SUMIFS(Пр.13!J$10:J$1431,Пр.13!$D$10:$D$1431,C148)</f>
        <v>0</v>
      </c>
      <c r="H148" s="575"/>
      <c r="I148" s="520"/>
    </row>
    <row r="149" spans="1:9" ht="32.25" hidden="1" thickBot="1" x14ac:dyDescent="0.25">
      <c r="B149" s="478" t="str">
        <f>IF(C149&gt;0,VLOOKUP(C149,Программа!A$2:B$5110,2))</f>
        <v>Проведение историко-культурной экспертизы объектов культурного наследия</v>
      </c>
      <c r="C149" s="595" t="s">
        <v>1371</v>
      </c>
      <c r="D149" s="441">
        <f>SUMIFS(Пр.13!G$10:G$1431,Пр.13!$D$10:$D$1431,C149)</f>
        <v>0</v>
      </c>
      <c r="E149" s="616"/>
      <c r="F149" s="600"/>
      <c r="G149" s="462">
        <f>SUMIFS(Пр.13!J$10:J$1431,Пр.13!$D$10:$D$1431,C149)</f>
        <v>0</v>
      </c>
      <c r="H149" s="575"/>
      <c r="I149" s="520"/>
    </row>
    <row r="150" spans="1:9" ht="48" hidden="1" thickBot="1" x14ac:dyDescent="0.25">
      <c r="B150" s="471" t="str">
        <f>IF(C150&gt;0,VLOOKUP(C150,Программа!A$2:B$5110,2))</f>
        <v>Муниципальная программа "Градостроительная деятельность на территории Тутаевского муниципального района "</v>
      </c>
      <c r="C150" s="596" t="s">
        <v>1560</v>
      </c>
      <c r="D150" s="628">
        <f>SUMIFS(Пр.13!G$10:G$1431,Пр.13!$D$10:$D$1431,C150)</f>
        <v>0</v>
      </c>
      <c r="E150" s="616"/>
      <c r="F150" s="600"/>
      <c r="G150" s="522">
        <f>SUMIFS(Пр.13!J$10:J$1431,Пр.13!$D$10:$D$1431,C150)</f>
        <v>0</v>
      </c>
      <c r="H150" s="575"/>
      <c r="I150" s="520"/>
    </row>
    <row r="151" spans="1:9" ht="31.5" hidden="1" x14ac:dyDescent="0.2">
      <c r="B151" s="485" t="str">
        <f>IF(C151&gt;0,VLOOKUP(C151,Программа!A$2:B$5110,2))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1" s="597" t="s">
        <v>1561</v>
      </c>
      <c r="D151" s="433">
        <f>SUMIFS(Пр.13!G$10:G$1431,Пр.13!$D$10:$D$1431,C151)</f>
        <v>0</v>
      </c>
      <c r="E151" s="616"/>
      <c r="F151" s="600"/>
      <c r="G151" s="460">
        <f>SUMIFS(Пр.13!J$10:J$1431,Пр.13!$D$10:$D$1431,C151)</f>
        <v>0</v>
      </c>
      <c r="H151" s="575"/>
      <c r="I151" s="520"/>
    </row>
    <row r="152" spans="1:9" ht="32.25" hidden="1" thickBot="1" x14ac:dyDescent="0.3">
      <c r="B152" s="478" t="str">
        <f>IF(C152&gt;0,VLOOKUP(C152,Программа!A$2:B$5110,2))</f>
        <v>Разработка проектов планирования и (или) проектов межевания территории</v>
      </c>
      <c r="C152" s="181" t="s">
        <v>1562</v>
      </c>
      <c r="D152" s="441">
        <f>SUMIFS(Пр.13!G$10:G$1431,Пр.13!$D$10:$D$1431,C152)</f>
        <v>0</v>
      </c>
      <c r="E152" s="616"/>
      <c r="F152" s="675"/>
      <c r="G152" s="462">
        <f>SUMIFS(Пр.13!J$10:J$1431,Пр.13!$D$10:$D$1431,C152)</f>
        <v>0</v>
      </c>
      <c r="H152" s="575"/>
      <c r="I152" s="636"/>
    </row>
    <row r="153" spans="1:9" s="430" customFormat="1" ht="32.25" thickBot="1" x14ac:dyDescent="0.3">
      <c r="A153" s="427"/>
      <c r="B153" s="471" t="str">
        <f>IF(C153&gt;0,VLOOKUP(C153,Программа!A$2:B$5110,2))</f>
        <v>Муниципальная программа "Развитие дорожного хозяйства в Тутаевском муниципальном районе"</v>
      </c>
      <c r="C153" s="726" t="s">
        <v>1682</v>
      </c>
      <c r="D153" s="672">
        <f>SUMIFS(Пр.13!G$10:G$1431,Пр.13!$D$10:$D$1431,C153)</f>
        <v>0</v>
      </c>
      <c r="E153" s="611">
        <f>SUMIFS(Пр.13!H$10:H$1431,Пр.13!$D$10:$D$1431,C153)</f>
        <v>27567337</v>
      </c>
      <c r="F153" s="522">
        <f>SUMIFS(Пр.13!I$10:I$1431,Пр.13!$D$10:$D$1431,C153)</f>
        <v>27567337</v>
      </c>
      <c r="G153" s="672">
        <f>SUMIFS(Пр.13!J$10:J$1431,Пр.13!$D$10:$D$1431,C153)</f>
        <v>0</v>
      </c>
      <c r="H153" s="611">
        <f>SUMIFS(Пр.13!K$10:K$1431,Пр.13!$D$10:$D$1431,C153)</f>
        <v>28360847</v>
      </c>
      <c r="I153" s="522">
        <f>SUMIFS(Пр.13!L$10:L$1431,Пр.13!$D$10:$D$1431,C153)</f>
        <v>28360847</v>
      </c>
    </row>
    <row r="154" spans="1:9" ht="47.25" hidden="1" x14ac:dyDescent="0.25">
      <c r="B154" s="481" t="str">
        <f>IF(C154&gt;0,VLOOKUP(C154,Программа!A$2:B$5110,2))</f>
        <v>Реализация мероприятий по повышению безопасности дорожного движения на автомобильных дорогах</v>
      </c>
      <c r="C154" s="294" t="s">
        <v>1683</v>
      </c>
      <c r="D154" s="721">
        <f>SUMIFS(Пр.13!G$10:G$1431,Пр.13!$D$10:$D$1431,C154)</f>
        <v>0</v>
      </c>
      <c r="E154" s="575">
        <f>SUMIFS(Пр.13!H$10:H$1431,Пр.13!$D$10:$D$1431,C154)</f>
        <v>0</v>
      </c>
      <c r="F154" s="460">
        <f>SUMIFS(Пр.13!I$10:I$1431,Пр.13!$D$10:$D$1431,C154)</f>
        <v>0</v>
      </c>
      <c r="G154" s="720">
        <f>SUMIFS(Пр.13!J$10:J$1431,Пр.13!$D$10:$D$1431,C154)</f>
        <v>0</v>
      </c>
      <c r="H154" s="575">
        <f>SUMIFS(Пр.13!K$10:K$1431,Пр.13!$D$10:$D$1431,C154)</f>
        <v>0</v>
      </c>
      <c r="I154" s="460">
        <f>SUMIFS(Пр.13!L$10:L$1431,Пр.13!$D$10:$D$1431,C154)</f>
        <v>0</v>
      </c>
    </row>
    <row r="155" spans="1:9" ht="63" x14ac:dyDescent="0.25">
      <c r="B155" s="480" t="str">
        <f>IF(C155&gt;0,VLOOKUP(C155,Программа!A$2:B$5110,2))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7" t="s">
        <v>1684</v>
      </c>
      <c r="D155" s="708">
        <f>SUMIFS(Пр.13!G$10:G$1431,Пр.13!$D$10:$D$1431,C155)</f>
        <v>0</v>
      </c>
      <c r="E155" s="168">
        <f>SUMIFS(Пр.13!H$10:H$1431,Пр.13!$D$10:$D$1431,C155)</f>
        <v>27567337</v>
      </c>
      <c r="F155" s="168">
        <f>SUMIFS(Пр.13!I$10:I$1431,Пр.13!$D$10:$D$1431,C155)</f>
        <v>27567337</v>
      </c>
      <c r="G155" s="708">
        <f>SUMIFS(Пр.13!J$10:J$1431,Пр.13!$D$10:$D$1431,C155)</f>
        <v>0</v>
      </c>
      <c r="H155" s="168">
        <f>SUMIFS(Пр.13!K$10:K$1431,Пр.13!$D$10:$D$1431,C155)</f>
        <v>28360847</v>
      </c>
      <c r="I155" s="168">
        <f>SUMIFS(Пр.13!L$10:L$1431,Пр.13!$D$10:$D$1431,C155)</f>
        <v>28360847</v>
      </c>
    </row>
    <row r="156" spans="1:9" hidden="1" x14ac:dyDescent="0.25">
      <c r="B156" s="480" t="str">
        <f>IF(C156&gt;0,VLOOKUP(C156,Программа!A$2:B$5110,2))</f>
        <v>Реализация федерального проекта "Дорожная сеть"</v>
      </c>
      <c r="C156" s="177" t="s">
        <v>1685</v>
      </c>
      <c r="D156" s="708">
        <f>SUMIFS(Пр.13!G$10:G$1431,Пр.13!$D$10:$D$1431,C156)</f>
        <v>0</v>
      </c>
      <c r="E156" s="168">
        <f>SUMIFS(Пр.13!H$10:H$1431,Пр.13!$D$10:$D$1431,C156)</f>
        <v>0</v>
      </c>
      <c r="F156" s="168">
        <f>SUMIFS(Пр.13!I$10:I$1431,Пр.13!$D$10:$D$1431,C156)</f>
        <v>0</v>
      </c>
      <c r="G156" s="708">
        <f>SUMIFS(Пр.13!J$10:J$1431,Пр.13!$D$10:$D$1431,C156)</f>
        <v>0</v>
      </c>
      <c r="H156" s="168">
        <f>SUMIFS(Пр.13!K$10:K$1431,Пр.13!$D$10:$D$1431,C156)</f>
        <v>0</v>
      </c>
      <c r="I156" s="168">
        <f>SUMIFS(Пр.13!L$10:L$1431,Пр.13!$D$10:$D$1431,C156)</f>
        <v>0</v>
      </c>
    </row>
    <row r="157" spans="1:9" ht="48" hidden="1" thickBot="1" x14ac:dyDescent="0.3">
      <c r="B157" s="641" t="str">
        <f>IF(C157&gt;0,VLOOKUP(C157,Программа!A$2:B$5110,2))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76" t="s">
        <v>1687</v>
      </c>
      <c r="D157" s="677">
        <f>SUMIFS(Пр.13!G$10:G$1431,Пр.13!$D$10:$D$1431,C157)</f>
        <v>0</v>
      </c>
      <c r="E157" s="616"/>
      <c r="F157" s="678"/>
      <c r="G157" s="674">
        <f>SUMIFS(Пр.13!J$10:J$1431,Пр.13!$D$10:$D$1431,C157)</f>
        <v>0</v>
      </c>
      <c r="H157" s="575"/>
      <c r="I157" s="635"/>
    </row>
    <row r="158" spans="1:9" ht="31.5" hidden="1" x14ac:dyDescent="0.25">
      <c r="B158" s="510" t="str">
        <f>IF(C158&gt;0,VLOOKUP(C158,Программа!A$2:B$5110,2))</f>
        <v xml:space="preserve">Реализация  мероприятий  по  развитию, ремонту и содержанию муниципального жилищного фонда   </v>
      </c>
      <c r="C158" s="182" t="s">
        <v>1689</v>
      </c>
      <c r="D158" s="442">
        <f>SUMIFS(Пр.13!G$10:G$1431,Пр.13!$D$10:$D$1431,C158)</f>
        <v>0</v>
      </c>
      <c r="E158" s="616"/>
      <c r="F158" s="675"/>
      <c r="G158" s="513">
        <f>SUMIFS(Пр.13!J$10:J$1431,Пр.13!$D$10:$D$1431,C158)</f>
        <v>0</v>
      </c>
      <c r="H158" s="575"/>
      <c r="I158" s="636"/>
    </row>
    <row r="159" spans="1:9" s="430" customFormat="1" ht="16.5" thickBot="1" x14ac:dyDescent="0.25">
      <c r="B159" s="641" t="s">
        <v>150</v>
      </c>
      <c r="C159" s="768"/>
      <c r="D159" s="722">
        <f t="shared" ref="D159:I159" si="0">D133+D122+D115+D110+D108+D105+D102+D100+D93+D83+D74+D69+D67+D53+D51+D41+D26+D10+D135+D137+D140+D145+D147+D150+D153+D157</f>
        <v>0</v>
      </c>
      <c r="E159" s="727">
        <f t="shared" si="0"/>
        <v>1428884540</v>
      </c>
      <c r="F159" s="769">
        <f t="shared" si="0"/>
        <v>1428884540</v>
      </c>
      <c r="G159" s="722">
        <f t="shared" si="0"/>
        <v>0</v>
      </c>
      <c r="H159" s="727">
        <f t="shared" si="0"/>
        <v>1452697506</v>
      </c>
      <c r="I159" s="674">
        <f t="shared" si="0"/>
        <v>1452697506</v>
      </c>
    </row>
    <row r="160" spans="1:9" ht="16.5" thickBot="1" x14ac:dyDescent="0.25">
      <c r="B160" s="471" t="str">
        <f>IF(C160&gt;0,VLOOKUP(C160,Программа!A$2:B$5110,2))</f>
        <v>Непрограммные расходы бюджета</v>
      </c>
      <c r="C160" s="706" t="s">
        <v>394</v>
      </c>
      <c r="D160" s="722">
        <f>SUMIFS(Пр.13!G$10:G$1431,Пр.13!$D$10:$D$1431,C160)</f>
        <v>0</v>
      </c>
      <c r="E160" s="727">
        <f>SUMIFS(Пр.13!H$10:H$1431,Пр.13!$D$10:$D$1431,C160)</f>
        <v>126300756</v>
      </c>
      <c r="F160" s="522">
        <f>SUMIFS(Пр.13!I$10:I$1431,Пр.13!$D$10:$D$1431,C160)</f>
        <v>126300756</v>
      </c>
      <c r="G160" s="722">
        <f>SUMIFS(Пр.13!J$10:J$1431,Пр.13!$D$10:$D$1431,C160)</f>
        <v>0</v>
      </c>
      <c r="H160" s="727">
        <f>SUMIFS(Пр.13!K$10:K$1431,Пр.13!$D$10:$D$1431,C160)</f>
        <v>31830351</v>
      </c>
      <c r="I160" s="522">
        <f>SUMIFS(Пр.13!L$10:L$1431,Пр.13!$D$10:$D$1431,C160)</f>
        <v>31830351</v>
      </c>
    </row>
    <row r="161" spans="2:9" hidden="1" x14ac:dyDescent="0.2">
      <c r="B161" s="679" t="str">
        <f>IF(C161&gt;0,VLOOKUP(C161,Программа!A$2:B$5110,2))</f>
        <v>Межбюджетные трансферты  поселениям района</v>
      </c>
      <c r="C161" s="680" t="s">
        <v>565</v>
      </c>
      <c r="D161" s="511">
        <f>SUMIFS(Пр.13!G$10:G$1431,Пр.13!$D$10:$D$1431,C161)</f>
        <v>0</v>
      </c>
      <c r="E161" s="681">
        <f>SUMIFS(Пр.13!H$10:H$1431,Пр.13!$D$10:$D$1431,C161)</f>
        <v>6200000</v>
      </c>
      <c r="F161" s="682">
        <f>SUMIFS(Пр.13!I$10:I$1431,Пр.13!$D$10:$D$1431,C161)</f>
        <v>6200000</v>
      </c>
      <c r="G161" s="683">
        <f>SUMIFS(Пр.13!J$10:J$1431,Пр.13!$D$10:$D$1431,C161)</f>
        <v>0</v>
      </c>
      <c r="H161" s="684">
        <f>SUMIFS(Пр.13!K$10:K$1431,Пр.13!$D$10:$D$1431,C161)</f>
        <v>6400000</v>
      </c>
      <c r="I161" s="683">
        <f>SUMIFS(Пр.13!L$10:L$1431,Пр.13!$D$10:$D$1431,C161)</f>
        <v>6400000</v>
      </c>
    </row>
    <row r="162" spans="2:9" ht="16.5" thickBot="1" x14ac:dyDescent="0.25">
      <c r="B162" s="471" t="s">
        <v>748</v>
      </c>
      <c r="C162" s="729"/>
      <c r="D162" s="723">
        <f>D159+D160+D161</f>
        <v>0</v>
      </c>
      <c r="E162" s="728">
        <f t="shared" ref="E162:I162" si="1">E159+E160+E161</f>
        <v>1561385296</v>
      </c>
      <c r="F162" s="730">
        <f t="shared" si="1"/>
        <v>1561385296</v>
      </c>
      <c r="G162" s="723">
        <f t="shared" si="1"/>
        <v>0</v>
      </c>
      <c r="H162" s="728">
        <f t="shared" si="1"/>
        <v>1490927857</v>
      </c>
      <c r="I162" s="730">
        <f t="shared" si="1"/>
        <v>1490927857</v>
      </c>
    </row>
  </sheetData>
  <autoFilter ref="F1:I162" xr:uid="{00000000-0009-0000-0000-00000E000000}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87" t="s">
        <v>1880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1551</v>
      </c>
      <c r="B4" s="887"/>
      <c r="C4" s="887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888" t="s">
        <v>1876</v>
      </c>
      <c r="B7" s="888"/>
      <c r="C7" s="888"/>
    </row>
    <row r="8" spans="1:3" ht="15.75" x14ac:dyDescent="0.2">
      <c r="A8" s="6"/>
      <c r="B8" s="6"/>
      <c r="C8" s="6"/>
    </row>
    <row r="9" spans="1:3" ht="41.25" customHeight="1" x14ac:dyDescent="0.2">
      <c r="A9" s="1000" t="s">
        <v>756</v>
      </c>
      <c r="B9" s="1000"/>
      <c r="C9" s="888"/>
    </row>
    <row r="10" spans="1:3" ht="15.75" x14ac:dyDescent="0.2">
      <c r="A10" s="530" t="s">
        <v>757</v>
      </c>
      <c r="B10" s="530" t="s">
        <v>162</v>
      </c>
      <c r="C10" s="158"/>
    </row>
    <row r="11" spans="1:3" ht="15.75" x14ac:dyDescent="0.25">
      <c r="A11" s="159" t="s">
        <v>758</v>
      </c>
      <c r="B11" s="368">
        <v>14000</v>
      </c>
      <c r="C11" s="161"/>
    </row>
    <row r="12" spans="1:3" ht="15.75" x14ac:dyDescent="0.25">
      <c r="A12" s="159" t="s">
        <v>761</v>
      </c>
      <c r="B12" s="368">
        <v>44000</v>
      </c>
      <c r="C12" s="161"/>
    </row>
    <row r="13" spans="1:3" ht="15.75" x14ac:dyDescent="0.25">
      <c r="A13" s="159" t="s">
        <v>760</v>
      </c>
      <c r="B13" s="368">
        <v>12000</v>
      </c>
      <c r="C13" s="161"/>
    </row>
    <row r="14" spans="1:3" ht="15.75" x14ac:dyDescent="0.25">
      <c r="A14" s="159" t="s">
        <v>759</v>
      </c>
      <c r="B14" s="368">
        <v>30000</v>
      </c>
      <c r="C14" s="161"/>
    </row>
    <row r="15" spans="1:3" ht="15.75" x14ac:dyDescent="0.25">
      <c r="A15" s="162" t="s">
        <v>150</v>
      </c>
      <c r="B15" s="163">
        <f>SUM(B11:B14)</f>
        <v>100000</v>
      </c>
      <c r="C15" s="164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8"/>
  <sheetViews>
    <sheetView view="pageBreakPreview" zoomScale="115" zoomScaleSheetLayoutView="115" workbookViewId="0">
      <selection activeCell="D12" sqref="D12"/>
    </sheetView>
  </sheetViews>
  <sheetFormatPr defaultColWidth="9.140625" defaultRowHeight="12.75" x14ac:dyDescent="0.2"/>
  <cols>
    <col min="1" max="1" width="53.5703125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16384" width="9.140625" style="279"/>
  </cols>
  <sheetData>
    <row r="1" spans="1:4" ht="15.75" x14ac:dyDescent="0.25">
      <c r="A1" s="891" t="s">
        <v>1881</v>
      </c>
      <c r="B1" s="891"/>
      <c r="C1" s="891"/>
      <c r="D1" s="891"/>
    </row>
    <row r="2" spans="1:4" ht="15.75" x14ac:dyDescent="0.25">
      <c r="A2" s="891" t="s">
        <v>1</v>
      </c>
      <c r="B2" s="891"/>
      <c r="C2" s="891"/>
      <c r="D2" s="891"/>
    </row>
    <row r="3" spans="1:4" ht="15.75" x14ac:dyDescent="0.25">
      <c r="A3" s="891" t="s">
        <v>2</v>
      </c>
      <c r="B3" s="891"/>
      <c r="C3" s="891"/>
      <c r="D3" s="891"/>
    </row>
    <row r="4" spans="1:4" ht="15.75" x14ac:dyDescent="0.25">
      <c r="A4" s="891" t="s">
        <v>1859</v>
      </c>
      <c r="B4" s="891"/>
      <c r="C4" s="891"/>
      <c r="D4" s="891"/>
    </row>
    <row r="5" spans="1:4" x14ac:dyDescent="0.2">
      <c r="A5" s="282"/>
      <c r="B5" s="282"/>
      <c r="C5" s="282"/>
      <c r="D5" s="281"/>
    </row>
    <row r="6" spans="1:4" ht="35.25" customHeight="1" x14ac:dyDescent="0.2">
      <c r="A6" s="950" t="s">
        <v>1877</v>
      </c>
      <c r="B6" s="950"/>
      <c r="C6" s="950"/>
      <c r="D6" s="950"/>
    </row>
    <row r="7" spans="1:4" ht="19.5" thickBot="1" x14ac:dyDescent="0.25">
      <c r="A7" s="287"/>
      <c r="B7" s="287"/>
      <c r="C7" s="287"/>
      <c r="D7" s="281"/>
    </row>
    <row r="8" spans="1:4" ht="36.950000000000003" customHeight="1" thickBot="1" x14ac:dyDescent="0.25">
      <c r="A8" s="788" t="s">
        <v>757</v>
      </c>
      <c r="B8" s="789" t="s">
        <v>1643</v>
      </c>
      <c r="C8" s="790" t="s">
        <v>762</v>
      </c>
      <c r="D8" s="789" t="s">
        <v>1643</v>
      </c>
    </row>
    <row r="9" spans="1:4" s="367" customFormat="1" ht="38.25" customHeight="1" x14ac:dyDescent="0.25">
      <c r="A9" s="791" t="s">
        <v>1130</v>
      </c>
      <c r="B9" s="792">
        <f>SUM(B10:B13)</f>
        <v>884420</v>
      </c>
      <c r="C9" s="792">
        <f t="shared" ref="C9:D9" si="0">SUM(C10:C13)</f>
        <v>-7324</v>
      </c>
      <c r="D9" s="793">
        <f t="shared" si="0"/>
        <v>360000</v>
      </c>
    </row>
    <row r="10" spans="1:4" ht="13.7" customHeight="1" x14ac:dyDescent="0.25">
      <c r="A10" s="657" t="s">
        <v>758</v>
      </c>
      <c r="B10" s="656">
        <v>200000</v>
      </c>
      <c r="C10" s="787"/>
      <c r="D10" s="288">
        <v>200000</v>
      </c>
    </row>
    <row r="11" spans="1:4" ht="13.7" hidden="1" customHeight="1" x14ac:dyDescent="0.25">
      <c r="A11" s="657" t="s">
        <v>763</v>
      </c>
      <c r="B11" s="656">
        <v>240000</v>
      </c>
      <c r="C11" s="787"/>
      <c r="D11" s="288">
        <v>0</v>
      </c>
    </row>
    <row r="12" spans="1:4" ht="13.7" customHeight="1" thickBot="1" x14ac:dyDescent="0.3">
      <c r="A12" s="657" t="s">
        <v>761</v>
      </c>
      <c r="B12" s="656">
        <v>120000</v>
      </c>
      <c r="C12" s="787"/>
      <c r="D12" s="288">
        <v>160000</v>
      </c>
    </row>
    <row r="13" spans="1:4" ht="13.7" hidden="1" customHeight="1" thickBot="1" x14ac:dyDescent="0.3">
      <c r="A13" s="794" t="s">
        <v>759</v>
      </c>
      <c r="B13" s="795">
        <v>324420</v>
      </c>
      <c r="C13" s="796">
        <v>-7324</v>
      </c>
      <c r="D13" s="797">
        <v>0</v>
      </c>
    </row>
    <row r="14" spans="1:4" ht="97.5" customHeight="1" x14ac:dyDescent="0.2">
      <c r="A14" s="798" t="s">
        <v>1553</v>
      </c>
      <c r="B14" s="799">
        <f>SUM(B15:B15)</f>
        <v>6075160</v>
      </c>
      <c r="C14" s="799">
        <f t="shared" ref="C14:D16" si="1">SUM(C15:C15)</f>
        <v>0</v>
      </c>
      <c r="D14" s="800">
        <f t="shared" si="1"/>
        <v>6075160</v>
      </c>
    </row>
    <row r="15" spans="1:4" ht="13.7" customHeight="1" thickBot="1" x14ac:dyDescent="0.3">
      <c r="A15" s="801" t="s">
        <v>759</v>
      </c>
      <c r="B15" s="802">
        <v>6075160</v>
      </c>
      <c r="C15" s="803">
        <v>0</v>
      </c>
      <c r="D15" s="804">
        <v>6075160</v>
      </c>
    </row>
    <row r="16" spans="1:4" ht="33" customHeight="1" x14ac:dyDescent="0.2">
      <c r="A16" s="805" t="s">
        <v>1552</v>
      </c>
      <c r="B16" s="799">
        <f>SUM(B17:B17)</f>
        <v>202604</v>
      </c>
      <c r="C16" s="799">
        <f t="shared" si="1"/>
        <v>0</v>
      </c>
      <c r="D16" s="800">
        <f t="shared" si="1"/>
        <v>210708</v>
      </c>
    </row>
    <row r="17" spans="1:4" ht="13.7" customHeight="1" thickBot="1" x14ac:dyDescent="0.3">
      <c r="A17" s="806" t="s">
        <v>759</v>
      </c>
      <c r="B17" s="802">
        <v>202604</v>
      </c>
      <c r="C17" s="807">
        <v>0</v>
      </c>
      <c r="D17" s="804">
        <v>210708</v>
      </c>
    </row>
    <row r="18" spans="1:4" ht="94.5" hidden="1" x14ac:dyDescent="0.25">
      <c r="A18" s="791" t="s">
        <v>1797</v>
      </c>
      <c r="B18" s="792">
        <f>SUM(B19:B22)</f>
        <v>0</v>
      </c>
      <c r="C18" s="792">
        <f t="shared" ref="C18:D18" si="2">SUM(C19:C22)</f>
        <v>0</v>
      </c>
      <c r="D18" s="793">
        <f t="shared" si="2"/>
        <v>0</v>
      </c>
    </row>
    <row r="19" spans="1:4" ht="13.7" hidden="1" customHeight="1" x14ac:dyDescent="0.25">
      <c r="A19" s="657" t="s">
        <v>758</v>
      </c>
      <c r="B19" s="656"/>
      <c r="C19" s="787"/>
      <c r="D19" s="288">
        <f>SUM(B19:C19)</f>
        <v>0</v>
      </c>
    </row>
    <row r="20" spans="1:4" ht="13.7" hidden="1" customHeight="1" x14ac:dyDescent="0.25">
      <c r="A20" s="657" t="s">
        <v>763</v>
      </c>
      <c r="B20" s="656"/>
      <c r="C20" s="787"/>
      <c r="D20" s="288">
        <f t="shared" ref="D20:D22" si="3">SUM(B20:C20)</f>
        <v>0</v>
      </c>
    </row>
    <row r="21" spans="1:4" ht="13.7" hidden="1" customHeight="1" x14ac:dyDescent="0.25">
      <c r="A21" s="657" t="s">
        <v>761</v>
      </c>
      <c r="B21" s="656"/>
      <c r="C21" s="787"/>
      <c r="D21" s="288">
        <f t="shared" si="3"/>
        <v>0</v>
      </c>
    </row>
    <row r="22" spans="1:4" ht="13.7" hidden="1" customHeight="1" x14ac:dyDescent="0.25">
      <c r="A22" s="657" t="s">
        <v>759</v>
      </c>
      <c r="B22" s="656"/>
      <c r="C22" s="787"/>
      <c r="D22" s="288">
        <f t="shared" si="3"/>
        <v>0</v>
      </c>
    </row>
    <row r="23" spans="1:4" ht="13.5" thickBot="1" x14ac:dyDescent="0.25">
      <c r="A23" s="808" t="s">
        <v>661</v>
      </c>
      <c r="B23" s="809">
        <f>B9+B14+B16+B18</f>
        <v>7162184</v>
      </c>
      <c r="C23" s="810">
        <f>C9+C14+C16+C18</f>
        <v>-7324</v>
      </c>
      <c r="D23" s="811">
        <f>D9+D14+D16+D18</f>
        <v>6645868</v>
      </c>
    </row>
    <row r="24" spans="1:4" ht="13.7" customHeight="1" x14ac:dyDescent="0.2"/>
    <row r="25" spans="1:4" ht="13.7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167"/>
  <sheetViews>
    <sheetView topLeftCell="A1123" workbookViewId="0"/>
  </sheetViews>
  <sheetFormatPr defaultRowHeight="12.75" x14ac:dyDescent="0.2"/>
  <cols>
    <col min="1" max="1" width="6.5703125" style="184" customWidth="1"/>
    <col min="2" max="2" width="85.7109375" style="183" customWidth="1"/>
  </cols>
  <sheetData>
    <row r="1" spans="1:2" hidden="1" x14ac:dyDescent="0.2">
      <c r="A1" s="184" t="s">
        <v>764</v>
      </c>
      <c r="B1" s="183" t="s">
        <v>765</v>
      </c>
    </row>
    <row r="2" spans="1:2" hidden="1" x14ac:dyDescent="0.2">
      <c r="A2" s="185" t="s">
        <v>766</v>
      </c>
      <c r="B2" s="186" t="s">
        <v>767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7">
        <v>0</v>
      </c>
      <c r="B1000" s="188" t="s">
        <v>768</v>
      </c>
    </row>
    <row r="1001" spans="1:2" x14ac:dyDescent="0.2">
      <c r="A1001" s="187">
        <v>4</v>
      </c>
      <c r="B1001" s="188" t="s">
        <v>769</v>
      </c>
    </row>
    <row r="1002" spans="1:2" x14ac:dyDescent="0.2">
      <c r="A1002" s="187">
        <v>20</v>
      </c>
      <c r="B1002" s="188" t="s">
        <v>770</v>
      </c>
    </row>
    <row r="1003" spans="1:2" x14ac:dyDescent="0.2">
      <c r="A1003" s="187">
        <v>22</v>
      </c>
      <c r="B1003" s="188" t="s">
        <v>771</v>
      </c>
    </row>
    <row r="1004" spans="1:2" x14ac:dyDescent="0.2">
      <c r="A1004" s="187">
        <v>29</v>
      </c>
      <c r="B1004" s="188" t="s">
        <v>772</v>
      </c>
    </row>
    <row r="1005" spans="1:2" x14ac:dyDescent="0.2">
      <c r="A1005" s="187">
        <v>48</v>
      </c>
      <c r="B1005" s="188" t="s">
        <v>773</v>
      </c>
    </row>
    <row r="1006" spans="1:2" x14ac:dyDescent="0.2">
      <c r="A1006" s="187">
        <v>50</v>
      </c>
      <c r="B1006" s="188" t="s">
        <v>774</v>
      </c>
    </row>
    <row r="1007" spans="1:2" x14ac:dyDescent="0.2">
      <c r="A1007" s="187">
        <v>53</v>
      </c>
      <c r="B1007" s="188" t="s">
        <v>775</v>
      </c>
    </row>
    <row r="1008" spans="1:2" x14ac:dyDescent="0.2">
      <c r="A1008" s="187">
        <v>54</v>
      </c>
      <c r="B1008" s="188" t="s">
        <v>776</v>
      </c>
    </row>
    <row r="1009" spans="1:2" x14ac:dyDescent="0.2">
      <c r="A1009" s="187">
        <v>56</v>
      </c>
      <c r="B1009" s="188" t="s">
        <v>777</v>
      </c>
    </row>
    <row r="1010" spans="1:2" x14ac:dyDescent="0.2">
      <c r="A1010" s="187">
        <v>58</v>
      </c>
      <c r="B1010" s="188" t="s">
        <v>778</v>
      </c>
    </row>
    <row r="1011" spans="1:2" x14ac:dyDescent="0.2">
      <c r="A1011" s="187">
        <v>70</v>
      </c>
      <c r="B1011" s="188" t="s">
        <v>779</v>
      </c>
    </row>
    <row r="1012" spans="1:2" x14ac:dyDescent="0.2">
      <c r="A1012" s="187">
        <v>71</v>
      </c>
      <c r="B1012" s="188" t="s">
        <v>780</v>
      </c>
    </row>
    <row r="1013" spans="1:2" x14ac:dyDescent="0.2">
      <c r="A1013" s="187">
        <v>72</v>
      </c>
      <c r="B1013" s="188" t="s">
        <v>781</v>
      </c>
    </row>
    <row r="1014" spans="1:2" x14ac:dyDescent="0.2">
      <c r="A1014" s="187">
        <v>75</v>
      </c>
      <c r="B1014" s="188" t="s">
        <v>782</v>
      </c>
    </row>
    <row r="1015" spans="1:2" x14ac:dyDescent="0.2">
      <c r="A1015" s="187">
        <v>76</v>
      </c>
      <c r="B1015" s="188" t="s">
        <v>783</v>
      </c>
    </row>
    <row r="1016" spans="1:2" x14ac:dyDescent="0.2">
      <c r="A1016" s="187">
        <v>78</v>
      </c>
      <c r="B1016" s="188" t="s">
        <v>784</v>
      </c>
    </row>
    <row r="1017" spans="1:2" x14ac:dyDescent="0.2">
      <c r="A1017" s="187">
        <v>81</v>
      </c>
      <c r="B1017" s="188" t="s">
        <v>785</v>
      </c>
    </row>
    <row r="1018" spans="1:2" x14ac:dyDescent="0.2">
      <c r="A1018" s="187">
        <v>82</v>
      </c>
      <c r="B1018" s="188" t="s">
        <v>786</v>
      </c>
    </row>
    <row r="1019" spans="1:2" x14ac:dyDescent="0.2">
      <c r="A1019" s="187">
        <v>83</v>
      </c>
      <c r="B1019" s="188" t="s">
        <v>787</v>
      </c>
    </row>
    <row r="1020" spans="1:2" x14ac:dyDescent="0.2">
      <c r="A1020" s="187">
        <v>85</v>
      </c>
      <c r="B1020" s="188" t="s">
        <v>788</v>
      </c>
    </row>
    <row r="1021" spans="1:2" x14ac:dyDescent="0.2">
      <c r="A1021" s="187">
        <v>89</v>
      </c>
      <c r="B1021" s="188" t="s">
        <v>789</v>
      </c>
    </row>
    <row r="1022" spans="1:2" x14ac:dyDescent="0.2">
      <c r="A1022" s="187">
        <v>92</v>
      </c>
      <c r="B1022" s="188" t="s">
        <v>790</v>
      </c>
    </row>
    <row r="1023" spans="1:2" x14ac:dyDescent="0.2">
      <c r="A1023" s="187">
        <v>99</v>
      </c>
      <c r="B1023" s="188" t="s">
        <v>791</v>
      </c>
    </row>
    <row r="1024" spans="1:2" x14ac:dyDescent="0.2">
      <c r="A1024" s="187">
        <v>104</v>
      </c>
      <c r="B1024" s="188" t="s">
        <v>792</v>
      </c>
    </row>
    <row r="1025" spans="1:2" x14ac:dyDescent="0.2">
      <c r="A1025" s="187">
        <v>125</v>
      </c>
      <c r="B1025" s="188" t="s">
        <v>793</v>
      </c>
    </row>
    <row r="1026" spans="1:2" x14ac:dyDescent="0.2">
      <c r="A1026" s="187">
        <v>126</v>
      </c>
      <c r="B1026" s="188" t="s">
        <v>794</v>
      </c>
    </row>
    <row r="1027" spans="1:2" x14ac:dyDescent="0.2">
      <c r="A1027" s="187">
        <v>128</v>
      </c>
      <c r="B1027" s="188" t="s">
        <v>795</v>
      </c>
    </row>
    <row r="1028" spans="1:2" x14ac:dyDescent="0.2">
      <c r="A1028" s="187">
        <v>129</v>
      </c>
      <c r="B1028" s="188" t="s">
        <v>796</v>
      </c>
    </row>
    <row r="1029" spans="1:2" ht="25.5" x14ac:dyDescent="0.2">
      <c r="A1029" s="187">
        <v>133</v>
      </c>
      <c r="B1029" s="188" t="s">
        <v>797</v>
      </c>
    </row>
    <row r="1030" spans="1:2" ht="25.5" x14ac:dyDescent="0.2">
      <c r="A1030" s="187">
        <v>134</v>
      </c>
      <c r="B1030" s="188" t="s">
        <v>798</v>
      </c>
    </row>
    <row r="1031" spans="1:2" x14ac:dyDescent="0.2">
      <c r="A1031" s="187">
        <v>136</v>
      </c>
      <c r="B1031" s="188" t="s">
        <v>799</v>
      </c>
    </row>
    <row r="1032" spans="1:2" x14ac:dyDescent="0.2">
      <c r="A1032" s="187">
        <v>139</v>
      </c>
      <c r="B1032" s="188" t="s">
        <v>800</v>
      </c>
    </row>
    <row r="1033" spans="1:2" x14ac:dyDescent="0.2">
      <c r="A1033" s="187">
        <v>140</v>
      </c>
      <c r="B1033" s="188" t="s">
        <v>801</v>
      </c>
    </row>
    <row r="1034" spans="1:2" x14ac:dyDescent="0.2">
      <c r="A1034" s="187">
        <v>141</v>
      </c>
      <c r="B1034" s="188" t="s">
        <v>802</v>
      </c>
    </row>
    <row r="1035" spans="1:2" x14ac:dyDescent="0.2">
      <c r="A1035" s="187">
        <v>142</v>
      </c>
      <c r="B1035" s="188" t="s">
        <v>803</v>
      </c>
    </row>
    <row r="1036" spans="1:2" x14ac:dyDescent="0.2">
      <c r="A1036" s="187">
        <v>148</v>
      </c>
      <c r="B1036" s="188" t="s">
        <v>804</v>
      </c>
    </row>
    <row r="1037" spans="1:2" x14ac:dyDescent="0.2">
      <c r="A1037" s="187">
        <v>149</v>
      </c>
      <c r="B1037" s="188" t="s">
        <v>805</v>
      </c>
    </row>
    <row r="1038" spans="1:2" x14ac:dyDescent="0.2">
      <c r="A1038" s="187">
        <v>152</v>
      </c>
      <c r="B1038" s="188" t="s">
        <v>806</v>
      </c>
    </row>
    <row r="1039" spans="1:2" x14ac:dyDescent="0.2">
      <c r="A1039" s="187">
        <v>153</v>
      </c>
      <c r="B1039" s="188" t="s">
        <v>807</v>
      </c>
    </row>
    <row r="1040" spans="1:2" x14ac:dyDescent="0.2">
      <c r="A1040" s="187">
        <v>154</v>
      </c>
      <c r="B1040" s="188" t="s">
        <v>808</v>
      </c>
    </row>
    <row r="1041" spans="1:2" x14ac:dyDescent="0.2">
      <c r="A1041" s="187">
        <v>156</v>
      </c>
      <c r="B1041" s="188" t="s">
        <v>809</v>
      </c>
    </row>
    <row r="1042" spans="1:2" x14ac:dyDescent="0.2">
      <c r="A1042" s="187">
        <v>157</v>
      </c>
      <c r="B1042" s="188" t="s">
        <v>810</v>
      </c>
    </row>
    <row r="1043" spans="1:2" x14ac:dyDescent="0.2">
      <c r="A1043" s="187">
        <v>158</v>
      </c>
      <c r="B1043" s="188" t="s">
        <v>811</v>
      </c>
    </row>
    <row r="1044" spans="1:2" x14ac:dyDescent="0.2">
      <c r="A1044" s="187">
        <v>159</v>
      </c>
      <c r="B1044" s="188" t="s">
        <v>812</v>
      </c>
    </row>
    <row r="1045" spans="1:2" x14ac:dyDescent="0.2">
      <c r="A1045" s="187">
        <v>160</v>
      </c>
      <c r="B1045" s="188" t="s">
        <v>813</v>
      </c>
    </row>
    <row r="1046" spans="1:2" x14ac:dyDescent="0.2">
      <c r="A1046" s="187">
        <v>162</v>
      </c>
      <c r="B1046" s="188" t="s">
        <v>814</v>
      </c>
    </row>
    <row r="1047" spans="1:2" x14ac:dyDescent="0.2">
      <c r="A1047" s="187">
        <v>163</v>
      </c>
      <c r="B1047" s="188" t="s">
        <v>815</v>
      </c>
    </row>
    <row r="1048" spans="1:2" x14ac:dyDescent="0.2">
      <c r="A1048" s="187">
        <v>164</v>
      </c>
      <c r="B1048" s="188" t="s">
        <v>816</v>
      </c>
    </row>
    <row r="1049" spans="1:2" x14ac:dyDescent="0.2">
      <c r="A1049" s="187">
        <v>165</v>
      </c>
      <c r="B1049" s="188" t="s">
        <v>817</v>
      </c>
    </row>
    <row r="1050" spans="1:2" ht="25.5" x14ac:dyDescent="0.2">
      <c r="A1050" s="187">
        <v>166</v>
      </c>
      <c r="B1050" s="188" t="s">
        <v>818</v>
      </c>
    </row>
    <row r="1051" spans="1:2" ht="25.5" x14ac:dyDescent="0.2">
      <c r="A1051" s="187">
        <v>177</v>
      </c>
      <c r="B1051" s="188" t="s">
        <v>819</v>
      </c>
    </row>
    <row r="1052" spans="1:2" x14ac:dyDescent="0.2">
      <c r="A1052" s="187">
        <v>181</v>
      </c>
      <c r="B1052" s="188" t="s">
        <v>820</v>
      </c>
    </row>
    <row r="1053" spans="1:2" x14ac:dyDescent="0.2">
      <c r="A1053" s="187">
        <v>182</v>
      </c>
      <c r="B1053" s="188" t="s">
        <v>821</v>
      </c>
    </row>
    <row r="1054" spans="1:2" x14ac:dyDescent="0.2">
      <c r="A1054" s="187">
        <v>184</v>
      </c>
      <c r="B1054" s="188" t="s">
        <v>822</v>
      </c>
    </row>
    <row r="1055" spans="1:2" x14ac:dyDescent="0.2">
      <c r="A1055" s="187">
        <v>186</v>
      </c>
      <c r="B1055" s="188" t="s">
        <v>823</v>
      </c>
    </row>
    <row r="1056" spans="1:2" x14ac:dyDescent="0.2">
      <c r="A1056" s="187">
        <v>187</v>
      </c>
      <c r="B1056" s="188" t="s">
        <v>824</v>
      </c>
    </row>
    <row r="1057" spans="1:2" x14ac:dyDescent="0.2">
      <c r="A1057" s="187">
        <v>188</v>
      </c>
      <c r="B1057" s="188" t="s">
        <v>825</v>
      </c>
    </row>
    <row r="1058" spans="1:2" x14ac:dyDescent="0.2">
      <c r="A1058" s="187">
        <v>189</v>
      </c>
      <c r="B1058" s="188" t="s">
        <v>826</v>
      </c>
    </row>
    <row r="1059" spans="1:2" x14ac:dyDescent="0.2">
      <c r="A1059" s="187">
        <v>190</v>
      </c>
      <c r="B1059" s="188" t="s">
        <v>827</v>
      </c>
    </row>
    <row r="1060" spans="1:2" x14ac:dyDescent="0.2">
      <c r="A1060" s="187">
        <v>192</v>
      </c>
      <c r="B1060" s="188" t="s">
        <v>828</v>
      </c>
    </row>
    <row r="1061" spans="1:2" x14ac:dyDescent="0.2">
      <c r="A1061" s="187">
        <v>197</v>
      </c>
      <c r="B1061" s="188" t="s">
        <v>829</v>
      </c>
    </row>
    <row r="1062" spans="1:2" x14ac:dyDescent="0.2">
      <c r="A1062" s="187">
        <v>202</v>
      </c>
      <c r="B1062" s="188" t="s">
        <v>830</v>
      </c>
    </row>
    <row r="1063" spans="1:2" ht="25.5" x14ac:dyDescent="0.2">
      <c r="A1063" s="187">
        <v>206</v>
      </c>
      <c r="B1063" s="188" t="s">
        <v>831</v>
      </c>
    </row>
    <row r="1064" spans="1:2" x14ac:dyDescent="0.2">
      <c r="A1064" s="187">
        <v>207</v>
      </c>
      <c r="B1064" s="188" t="s">
        <v>832</v>
      </c>
    </row>
    <row r="1065" spans="1:2" x14ac:dyDescent="0.2">
      <c r="A1065" s="187">
        <v>226</v>
      </c>
      <c r="B1065" s="188" t="s">
        <v>833</v>
      </c>
    </row>
    <row r="1066" spans="1:2" x14ac:dyDescent="0.2">
      <c r="A1066" s="187">
        <v>258</v>
      </c>
      <c r="B1066" s="188" t="s">
        <v>834</v>
      </c>
    </row>
    <row r="1067" spans="1:2" x14ac:dyDescent="0.2">
      <c r="A1067" s="187">
        <v>262</v>
      </c>
      <c r="B1067" s="188" t="s">
        <v>835</v>
      </c>
    </row>
    <row r="1068" spans="1:2" x14ac:dyDescent="0.2">
      <c r="A1068" s="187">
        <v>263</v>
      </c>
      <c r="B1068" s="188" t="s">
        <v>836</v>
      </c>
    </row>
    <row r="1069" spans="1:2" x14ac:dyDescent="0.2">
      <c r="A1069" s="187">
        <v>279</v>
      </c>
      <c r="B1069" s="188" t="s">
        <v>837</v>
      </c>
    </row>
    <row r="1070" spans="1:2" x14ac:dyDescent="0.2">
      <c r="A1070" s="187">
        <v>302</v>
      </c>
      <c r="B1070" s="188" t="s">
        <v>838</v>
      </c>
    </row>
    <row r="1071" spans="1:2" x14ac:dyDescent="0.2">
      <c r="A1071" s="187">
        <v>303</v>
      </c>
      <c r="B1071" s="188" t="s">
        <v>839</v>
      </c>
    </row>
    <row r="1072" spans="1:2" x14ac:dyDescent="0.2">
      <c r="A1072" s="187">
        <v>304</v>
      </c>
      <c r="B1072" s="188" t="s">
        <v>840</v>
      </c>
    </row>
    <row r="1073" spans="1:2" x14ac:dyDescent="0.2">
      <c r="A1073" s="187">
        <v>305</v>
      </c>
      <c r="B1073" s="188" t="s">
        <v>841</v>
      </c>
    </row>
    <row r="1074" spans="1:2" x14ac:dyDescent="0.2">
      <c r="A1074" s="187">
        <v>306</v>
      </c>
      <c r="B1074" s="188" t="s">
        <v>842</v>
      </c>
    </row>
    <row r="1075" spans="1:2" x14ac:dyDescent="0.2">
      <c r="A1075" s="187">
        <v>308</v>
      </c>
      <c r="B1075" s="188" t="s">
        <v>843</v>
      </c>
    </row>
    <row r="1076" spans="1:2" x14ac:dyDescent="0.2">
      <c r="A1076" s="187">
        <v>310</v>
      </c>
      <c r="B1076" s="188" t="s">
        <v>844</v>
      </c>
    </row>
    <row r="1077" spans="1:2" x14ac:dyDescent="0.2">
      <c r="A1077" s="187">
        <v>316</v>
      </c>
      <c r="B1077" s="188" t="s">
        <v>845</v>
      </c>
    </row>
    <row r="1078" spans="1:2" x14ac:dyDescent="0.2">
      <c r="A1078" s="187">
        <v>318</v>
      </c>
      <c r="B1078" s="188" t="s">
        <v>846</v>
      </c>
    </row>
    <row r="1079" spans="1:2" x14ac:dyDescent="0.2">
      <c r="A1079" s="187">
        <v>319</v>
      </c>
      <c r="B1079" s="188" t="s">
        <v>847</v>
      </c>
    </row>
    <row r="1080" spans="1:2" x14ac:dyDescent="0.2">
      <c r="A1080" s="187">
        <v>320</v>
      </c>
      <c r="B1080" s="188" t="s">
        <v>848</v>
      </c>
    </row>
    <row r="1081" spans="1:2" x14ac:dyDescent="0.2">
      <c r="A1081" s="187">
        <v>321</v>
      </c>
      <c r="B1081" s="188" t="s">
        <v>849</v>
      </c>
    </row>
    <row r="1082" spans="1:2" x14ac:dyDescent="0.2">
      <c r="A1082" s="187">
        <v>322</v>
      </c>
      <c r="B1082" s="188" t="s">
        <v>850</v>
      </c>
    </row>
    <row r="1083" spans="1:2" x14ac:dyDescent="0.2">
      <c r="A1083" s="187">
        <v>330</v>
      </c>
      <c r="B1083" s="188" t="s">
        <v>851</v>
      </c>
    </row>
    <row r="1084" spans="1:2" x14ac:dyDescent="0.2">
      <c r="A1084" s="187">
        <v>333</v>
      </c>
      <c r="B1084" s="188" t="s">
        <v>852</v>
      </c>
    </row>
    <row r="1085" spans="1:2" x14ac:dyDescent="0.2">
      <c r="A1085" s="187">
        <v>352</v>
      </c>
      <c r="B1085" s="188" t="s">
        <v>853</v>
      </c>
    </row>
    <row r="1086" spans="1:2" x14ac:dyDescent="0.2">
      <c r="A1086" s="187">
        <v>386</v>
      </c>
      <c r="B1086" s="188" t="s">
        <v>854</v>
      </c>
    </row>
    <row r="1087" spans="1:2" ht="25.5" x14ac:dyDescent="0.2">
      <c r="A1087" s="187">
        <v>387</v>
      </c>
      <c r="B1087" s="188" t="s">
        <v>855</v>
      </c>
    </row>
    <row r="1088" spans="1:2" x14ac:dyDescent="0.2">
      <c r="A1088" s="187">
        <v>392</v>
      </c>
      <c r="B1088" s="188" t="s">
        <v>856</v>
      </c>
    </row>
    <row r="1089" spans="1:2" x14ac:dyDescent="0.2">
      <c r="A1089" s="187">
        <v>393</v>
      </c>
      <c r="B1089" s="188" t="s">
        <v>857</v>
      </c>
    </row>
    <row r="1090" spans="1:2" x14ac:dyDescent="0.2">
      <c r="A1090" s="187">
        <v>397</v>
      </c>
      <c r="B1090" s="188" t="s">
        <v>858</v>
      </c>
    </row>
    <row r="1091" spans="1:2" x14ac:dyDescent="0.2">
      <c r="A1091" s="187">
        <v>401</v>
      </c>
      <c r="B1091" s="188" t="s">
        <v>859</v>
      </c>
    </row>
    <row r="1092" spans="1:2" x14ac:dyDescent="0.2">
      <c r="A1092" s="187">
        <v>409</v>
      </c>
      <c r="B1092" s="188" t="s">
        <v>860</v>
      </c>
    </row>
    <row r="1093" spans="1:2" x14ac:dyDescent="0.2">
      <c r="A1093" s="187">
        <v>415</v>
      </c>
      <c r="B1093" s="188" t="s">
        <v>861</v>
      </c>
    </row>
    <row r="1094" spans="1:2" x14ac:dyDescent="0.2">
      <c r="A1094" s="187">
        <v>423</v>
      </c>
      <c r="B1094" s="188" t="s">
        <v>862</v>
      </c>
    </row>
    <row r="1095" spans="1:2" x14ac:dyDescent="0.2">
      <c r="A1095" s="187">
        <v>424</v>
      </c>
      <c r="B1095" s="188" t="s">
        <v>863</v>
      </c>
    </row>
    <row r="1096" spans="1:2" x14ac:dyDescent="0.2">
      <c r="A1096" s="187">
        <v>425</v>
      </c>
      <c r="B1096" s="188" t="s">
        <v>864</v>
      </c>
    </row>
    <row r="1097" spans="1:2" x14ac:dyDescent="0.2">
      <c r="A1097" s="187">
        <v>434</v>
      </c>
      <c r="B1097" s="188" t="s">
        <v>865</v>
      </c>
    </row>
    <row r="1098" spans="1:2" x14ac:dyDescent="0.2">
      <c r="A1098" s="187">
        <v>436</v>
      </c>
      <c r="B1098" s="188" t="s">
        <v>866</v>
      </c>
    </row>
    <row r="1099" spans="1:2" x14ac:dyDescent="0.2">
      <c r="A1099" s="187">
        <v>437</v>
      </c>
      <c r="B1099" s="188" t="s">
        <v>867</v>
      </c>
    </row>
    <row r="1100" spans="1:2" x14ac:dyDescent="0.2">
      <c r="A1100" s="187">
        <v>438</v>
      </c>
      <c r="B1100" s="188" t="s">
        <v>868</v>
      </c>
    </row>
    <row r="1101" spans="1:2" x14ac:dyDescent="0.2">
      <c r="A1101" s="187">
        <v>464</v>
      </c>
      <c r="B1101" s="188" t="s">
        <v>869</v>
      </c>
    </row>
    <row r="1102" spans="1:2" x14ac:dyDescent="0.2">
      <c r="A1102" s="187">
        <v>486</v>
      </c>
      <c r="B1102" s="188" t="s">
        <v>870</v>
      </c>
    </row>
    <row r="1103" spans="1:2" x14ac:dyDescent="0.2">
      <c r="A1103" s="187">
        <v>494</v>
      </c>
      <c r="B1103" s="188" t="s">
        <v>871</v>
      </c>
    </row>
    <row r="1104" spans="1:2" x14ac:dyDescent="0.2">
      <c r="A1104" s="187">
        <v>497</v>
      </c>
      <c r="B1104" s="188" t="s">
        <v>872</v>
      </c>
    </row>
    <row r="1105" spans="1:2" x14ac:dyDescent="0.2">
      <c r="A1105" s="187">
        <v>498</v>
      </c>
      <c r="B1105" s="188" t="s">
        <v>873</v>
      </c>
    </row>
    <row r="1106" spans="1:2" x14ac:dyDescent="0.2">
      <c r="A1106" s="187">
        <v>520</v>
      </c>
      <c r="B1106" s="188" t="s">
        <v>874</v>
      </c>
    </row>
    <row r="1107" spans="1:2" x14ac:dyDescent="0.2">
      <c r="A1107" s="187">
        <v>573</v>
      </c>
      <c r="B1107" s="188" t="s">
        <v>875</v>
      </c>
    </row>
    <row r="1108" spans="1:2" x14ac:dyDescent="0.2">
      <c r="A1108" s="187">
        <v>588</v>
      </c>
      <c r="B1108" s="188" t="s">
        <v>876</v>
      </c>
    </row>
    <row r="1109" spans="1:2" x14ac:dyDescent="0.2">
      <c r="A1109" s="187">
        <v>589</v>
      </c>
      <c r="B1109" s="188" t="s">
        <v>877</v>
      </c>
    </row>
    <row r="1110" spans="1:2" x14ac:dyDescent="0.2">
      <c r="A1110" s="187">
        <v>591</v>
      </c>
      <c r="B1110" s="188" t="s">
        <v>878</v>
      </c>
    </row>
    <row r="1111" spans="1:2" x14ac:dyDescent="0.2">
      <c r="A1111" s="187">
        <v>597</v>
      </c>
      <c r="B1111" s="188" t="s">
        <v>879</v>
      </c>
    </row>
    <row r="1112" spans="1:2" x14ac:dyDescent="0.2">
      <c r="A1112" s="187">
        <v>653</v>
      </c>
      <c r="B1112" s="188" t="s">
        <v>880</v>
      </c>
    </row>
    <row r="1113" spans="1:2" x14ac:dyDescent="0.2">
      <c r="A1113" s="187">
        <v>665</v>
      </c>
      <c r="B1113" s="188" t="s">
        <v>881</v>
      </c>
    </row>
    <row r="1114" spans="1:2" x14ac:dyDescent="0.2">
      <c r="A1114" s="187">
        <v>677</v>
      </c>
      <c r="B1114" s="188" t="s">
        <v>882</v>
      </c>
    </row>
    <row r="1115" spans="1:2" x14ac:dyDescent="0.2">
      <c r="A1115" s="187">
        <v>693</v>
      </c>
      <c r="B1115" s="188" t="s">
        <v>883</v>
      </c>
    </row>
    <row r="1116" spans="1:2" x14ac:dyDescent="0.2">
      <c r="A1116" s="187">
        <v>720</v>
      </c>
      <c r="B1116" s="188" t="s">
        <v>884</v>
      </c>
    </row>
    <row r="1117" spans="1:2" x14ac:dyDescent="0.2">
      <c r="A1117" s="187">
        <v>721</v>
      </c>
      <c r="B1117" s="188" t="s">
        <v>885</v>
      </c>
    </row>
    <row r="1118" spans="1:2" ht="25.5" x14ac:dyDescent="0.2">
      <c r="A1118" s="187">
        <v>722</v>
      </c>
      <c r="B1118" s="188" t="s">
        <v>886</v>
      </c>
    </row>
    <row r="1119" spans="1:2" x14ac:dyDescent="0.2">
      <c r="A1119" s="187">
        <v>801</v>
      </c>
      <c r="B1119" s="188" t="s">
        <v>887</v>
      </c>
    </row>
    <row r="1120" spans="1:2" x14ac:dyDescent="0.2">
      <c r="A1120" s="187">
        <v>804</v>
      </c>
      <c r="B1120" s="188" t="s">
        <v>888</v>
      </c>
    </row>
    <row r="1121" spans="1:2" ht="25.5" x14ac:dyDescent="0.2">
      <c r="A1121" s="187">
        <v>807</v>
      </c>
      <c r="B1121" s="188" t="s">
        <v>889</v>
      </c>
    </row>
    <row r="1122" spans="1:2" x14ac:dyDescent="0.2">
      <c r="A1122" s="187">
        <v>812</v>
      </c>
      <c r="B1122" s="188" t="s">
        <v>890</v>
      </c>
    </row>
    <row r="1123" spans="1:2" x14ac:dyDescent="0.2">
      <c r="A1123" s="187">
        <v>905</v>
      </c>
      <c r="B1123" s="188" t="s">
        <v>891</v>
      </c>
    </row>
    <row r="1124" spans="1:2" x14ac:dyDescent="0.2">
      <c r="A1124" s="187">
        <v>906</v>
      </c>
      <c r="B1124" s="188" t="s">
        <v>892</v>
      </c>
    </row>
    <row r="1125" spans="1:2" x14ac:dyDescent="0.2">
      <c r="A1125" s="187">
        <v>914</v>
      </c>
      <c r="B1125" s="188" t="s">
        <v>893</v>
      </c>
    </row>
    <row r="1126" spans="1:2" x14ac:dyDescent="0.2">
      <c r="A1126" s="187">
        <v>932</v>
      </c>
      <c r="B1126" s="188" t="s">
        <v>894</v>
      </c>
    </row>
    <row r="1127" spans="1:2" x14ac:dyDescent="0.2">
      <c r="A1127" s="187">
        <v>950</v>
      </c>
      <c r="B1127" s="188" t="s">
        <v>392</v>
      </c>
    </row>
    <row r="1128" spans="1:2" x14ac:dyDescent="0.2">
      <c r="A1128" s="187">
        <v>951</v>
      </c>
      <c r="B1128" s="188" t="s">
        <v>895</v>
      </c>
    </row>
    <row r="1129" spans="1:2" x14ac:dyDescent="0.2">
      <c r="A1129" s="187">
        <v>952</v>
      </c>
      <c r="B1129" s="188" t="s">
        <v>444</v>
      </c>
    </row>
    <row r="1130" spans="1:2" x14ac:dyDescent="0.2">
      <c r="A1130" s="187">
        <v>953</v>
      </c>
      <c r="B1130" s="188" t="s">
        <v>450</v>
      </c>
    </row>
    <row r="1131" spans="1:2" x14ac:dyDescent="0.2">
      <c r="A1131" s="187">
        <v>954</v>
      </c>
      <c r="B1131" s="188" t="s">
        <v>531</v>
      </c>
    </row>
    <row r="1132" spans="1:2" x14ac:dyDescent="0.2">
      <c r="A1132" s="187">
        <v>955</v>
      </c>
      <c r="B1132" s="188" t="s">
        <v>560</v>
      </c>
    </row>
    <row r="1133" spans="1:2" x14ac:dyDescent="0.2">
      <c r="A1133" s="187">
        <v>956</v>
      </c>
      <c r="B1133" s="188" t="s">
        <v>574</v>
      </c>
    </row>
    <row r="1134" spans="1:2" x14ac:dyDescent="0.2">
      <c r="A1134" s="187">
        <v>957</v>
      </c>
      <c r="B1134" s="188" t="s">
        <v>896</v>
      </c>
    </row>
    <row r="1135" spans="1:2" x14ac:dyDescent="0.2">
      <c r="A1135" s="187">
        <v>958</v>
      </c>
      <c r="B1135" s="188" t="s">
        <v>611</v>
      </c>
    </row>
    <row r="1136" spans="1:2" x14ac:dyDescent="0.2">
      <c r="A1136" s="187">
        <v>959</v>
      </c>
      <c r="B1136" s="188" t="s">
        <v>897</v>
      </c>
    </row>
    <row r="1137" spans="1:2" x14ac:dyDescent="0.2">
      <c r="A1137" s="187">
        <v>960</v>
      </c>
      <c r="B1137" s="188" t="s">
        <v>898</v>
      </c>
    </row>
    <row r="1138" spans="1:2" x14ac:dyDescent="0.2">
      <c r="A1138" s="187">
        <v>961</v>
      </c>
      <c r="B1138" s="188" t="s">
        <v>899</v>
      </c>
    </row>
    <row r="1139" spans="1:2" x14ac:dyDescent="0.2">
      <c r="A1139" s="187">
        <v>962</v>
      </c>
      <c r="B1139" s="188" t="s">
        <v>900</v>
      </c>
    </row>
    <row r="1140" spans="1:2" x14ac:dyDescent="0.2">
      <c r="A1140" s="187">
        <v>963</v>
      </c>
      <c r="B1140" s="188" t="s">
        <v>901</v>
      </c>
    </row>
    <row r="1141" spans="1:2" x14ac:dyDescent="0.2">
      <c r="A1141" s="187">
        <v>964</v>
      </c>
      <c r="B1141" s="188" t="s">
        <v>902</v>
      </c>
    </row>
    <row r="1142" spans="1:2" x14ac:dyDescent="0.2">
      <c r="A1142" s="187">
        <v>965</v>
      </c>
      <c r="B1142" s="188" t="s">
        <v>903</v>
      </c>
    </row>
    <row r="1143" spans="1:2" x14ac:dyDescent="0.2">
      <c r="A1143" s="187">
        <v>966</v>
      </c>
      <c r="B1143" s="188" t="s">
        <v>904</v>
      </c>
    </row>
    <row r="1144" spans="1:2" x14ac:dyDescent="0.2">
      <c r="A1144" s="187">
        <v>967</v>
      </c>
      <c r="B1144" s="188" t="s">
        <v>905</v>
      </c>
    </row>
    <row r="1145" spans="1:2" x14ac:dyDescent="0.2">
      <c r="A1145" s="187">
        <v>968</v>
      </c>
      <c r="B1145" s="188" t="s">
        <v>906</v>
      </c>
    </row>
    <row r="1146" spans="1:2" x14ac:dyDescent="0.2">
      <c r="A1146" s="187">
        <v>969</v>
      </c>
      <c r="B1146" s="188" t="s">
        <v>907</v>
      </c>
    </row>
    <row r="1147" spans="1:2" x14ac:dyDescent="0.2">
      <c r="A1147" s="187">
        <v>970</v>
      </c>
      <c r="B1147" s="188" t="s">
        <v>908</v>
      </c>
    </row>
    <row r="1148" spans="1:2" x14ac:dyDescent="0.2">
      <c r="A1148" s="187">
        <v>971</v>
      </c>
      <c r="B1148" s="188" t="s">
        <v>909</v>
      </c>
    </row>
    <row r="1149" spans="1:2" x14ac:dyDescent="0.2">
      <c r="A1149" s="187">
        <v>972</v>
      </c>
      <c r="B1149" s="188" t="s">
        <v>910</v>
      </c>
    </row>
    <row r="1150" spans="1:2" x14ac:dyDescent="0.2">
      <c r="A1150" s="187">
        <v>973</v>
      </c>
      <c r="B1150" s="188" t="s">
        <v>911</v>
      </c>
    </row>
    <row r="1151" spans="1:2" x14ac:dyDescent="0.2">
      <c r="A1151" s="187">
        <v>974</v>
      </c>
      <c r="B1151" s="188" t="s">
        <v>912</v>
      </c>
    </row>
    <row r="1152" spans="1:2" x14ac:dyDescent="0.2">
      <c r="A1152" s="187">
        <v>975</v>
      </c>
      <c r="B1152" s="188" t="s">
        <v>913</v>
      </c>
    </row>
    <row r="1153" spans="1:2" x14ac:dyDescent="0.2">
      <c r="A1153" s="187">
        <v>976</v>
      </c>
      <c r="B1153" s="188" t="s">
        <v>914</v>
      </c>
    </row>
    <row r="1154" spans="1:2" x14ac:dyDescent="0.2">
      <c r="A1154" s="187">
        <v>977</v>
      </c>
      <c r="B1154" s="188" t="s">
        <v>915</v>
      </c>
    </row>
    <row r="1155" spans="1:2" x14ac:dyDescent="0.2">
      <c r="A1155" s="187">
        <v>978</v>
      </c>
      <c r="B1155" s="188" t="s">
        <v>916</v>
      </c>
    </row>
    <row r="1156" spans="1:2" x14ac:dyDescent="0.2">
      <c r="A1156" s="187">
        <v>979</v>
      </c>
      <c r="B1156" s="188" t="s">
        <v>917</v>
      </c>
    </row>
    <row r="1157" spans="1:2" x14ac:dyDescent="0.2">
      <c r="A1157" s="187">
        <v>980</v>
      </c>
      <c r="B1157" s="188" t="s">
        <v>918</v>
      </c>
    </row>
    <row r="1158" spans="1:2" x14ac:dyDescent="0.2">
      <c r="A1158" s="187">
        <v>981</v>
      </c>
      <c r="B1158" s="188" t="s">
        <v>919</v>
      </c>
    </row>
    <row r="1159" spans="1:2" x14ac:dyDescent="0.2">
      <c r="A1159" s="187">
        <v>982</v>
      </c>
      <c r="B1159" s="188" t="s">
        <v>659</v>
      </c>
    </row>
    <row r="1160" spans="1:2" x14ac:dyDescent="0.2">
      <c r="A1160" s="187">
        <v>983</v>
      </c>
      <c r="B1160" s="188" t="s">
        <v>920</v>
      </c>
    </row>
    <row r="1161" spans="1:2" x14ac:dyDescent="0.2">
      <c r="A1161" s="187">
        <v>984</v>
      </c>
      <c r="B1161" s="188" t="s">
        <v>921</v>
      </c>
    </row>
    <row r="1162" spans="1:2" x14ac:dyDescent="0.2">
      <c r="A1162" s="187">
        <v>985</v>
      </c>
      <c r="B1162" s="188" t="s">
        <v>922</v>
      </c>
    </row>
    <row r="1163" spans="1:2" x14ac:dyDescent="0.2">
      <c r="A1163" s="187">
        <v>986</v>
      </c>
      <c r="B1163" s="188" t="s">
        <v>923</v>
      </c>
    </row>
    <row r="1164" spans="1:2" x14ac:dyDescent="0.2">
      <c r="A1164" s="187">
        <v>987</v>
      </c>
      <c r="B1164" s="188" t="s">
        <v>924</v>
      </c>
    </row>
    <row r="1165" spans="1:2" x14ac:dyDescent="0.2">
      <c r="A1165" s="187">
        <v>988</v>
      </c>
      <c r="B1165" s="188" t="s">
        <v>925</v>
      </c>
    </row>
    <row r="1166" spans="1:2" x14ac:dyDescent="0.2">
      <c r="A1166" s="187">
        <v>989</v>
      </c>
      <c r="B1166" s="188" t="s">
        <v>926</v>
      </c>
    </row>
    <row r="1167" spans="1:2" x14ac:dyDescent="0.2">
      <c r="A1167" s="184">
        <v>995</v>
      </c>
      <c r="B1167" s="183" t="s">
        <v>923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6" bestFit="1" customWidth="1"/>
    <col min="2" max="2" width="106.140625" style="197" customWidth="1"/>
    <col min="3" max="16384" width="31.85546875" style="189"/>
  </cols>
  <sheetData>
    <row r="1" spans="1:2" s="198" customFormat="1" hidden="1" x14ac:dyDescent="0.2">
      <c r="A1" s="196"/>
      <c r="B1" s="199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9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0">
        <v>100</v>
      </c>
      <c r="B1400" s="201" t="s">
        <v>163</v>
      </c>
      <c r="C1400" s="197"/>
    </row>
    <row r="1401" spans="1:3" x14ac:dyDescent="0.2">
      <c r="A1401" s="202">
        <v>101</v>
      </c>
      <c r="B1401" s="203" t="s">
        <v>164</v>
      </c>
      <c r="C1401" s="197"/>
    </row>
    <row r="1402" spans="1:3" x14ac:dyDescent="0.2">
      <c r="A1402" s="202">
        <v>102</v>
      </c>
      <c r="B1402" s="204" t="s">
        <v>165</v>
      </c>
      <c r="C1402" s="197"/>
    </row>
    <row r="1403" spans="1:3" ht="25.5" x14ac:dyDescent="0.2">
      <c r="A1403" s="202">
        <v>103</v>
      </c>
      <c r="B1403" s="204" t="s">
        <v>166</v>
      </c>
      <c r="C1403" s="197"/>
    </row>
    <row r="1404" spans="1:3" ht="25.5" x14ac:dyDescent="0.2">
      <c r="A1404" s="202">
        <v>104</v>
      </c>
      <c r="B1404" s="204" t="s">
        <v>167</v>
      </c>
      <c r="C1404" s="197"/>
    </row>
    <row r="1405" spans="1:3" x14ac:dyDescent="0.2">
      <c r="A1405" s="202">
        <v>105</v>
      </c>
      <c r="B1405" s="204" t="s">
        <v>168</v>
      </c>
      <c r="C1405" s="197"/>
    </row>
    <row r="1406" spans="1:3" ht="25.5" x14ac:dyDescent="0.2">
      <c r="A1406" s="202">
        <v>106</v>
      </c>
      <c r="B1406" s="204" t="s">
        <v>169</v>
      </c>
      <c r="C1406" s="197"/>
    </row>
    <row r="1407" spans="1:3" x14ac:dyDescent="0.2">
      <c r="A1407" s="202">
        <v>107</v>
      </c>
      <c r="B1407" s="204" t="s">
        <v>170</v>
      </c>
      <c r="C1407" s="197"/>
    </row>
    <row r="1408" spans="1:3" x14ac:dyDescent="0.2">
      <c r="A1408" s="202">
        <v>108</v>
      </c>
      <c r="B1408" s="204" t="s">
        <v>171</v>
      </c>
      <c r="C1408" s="197"/>
    </row>
    <row r="1409" spans="1:3" x14ac:dyDescent="0.2">
      <c r="A1409" s="202">
        <v>109</v>
      </c>
      <c r="B1409" s="204" t="s">
        <v>172</v>
      </c>
      <c r="C1409" s="197"/>
    </row>
    <row r="1410" spans="1:3" x14ac:dyDescent="0.2">
      <c r="A1410" s="202">
        <v>110</v>
      </c>
      <c r="B1410" s="204" t="s">
        <v>173</v>
      </c>
      <c r="C1410" s="197"/>
    </row>
    <row r="1411" spans="1:3" x14ac:dyDescent="0.2">
      <c r="A1411" s="202">
        <v>111</v>
      </c>
      <c r="B1411" s="204" t="s">
        <v>174</v>
      </c>
      <c r="C1411" s="197"/>
    </row>
    <row r="1412" spans="1:3" x14ac:dyDescent="0.2">
      <c r="A1412" s="202">
        <v>112</v>
      </c>
      <c r="B1412" s="204" t="s">
        <v>175</v>
      </c>
      <c r="C1412" s="197"/>
    </row>
    <row r="1413" spans="1:3" x14ac:dyDescent="0.2">
      <c r="A1413" s="202">
        <v>113</v>
      </c>
      <c r="B1413" s="204" t="s">
        <v>176</v>
      </c>
      <c r="C1413" s="197"/>
    </row>
    <row r="1414" spans="1:3" x14ac:dyDescent="0.2">
      <c r="A1414" s="200">
        <v>200</v>
      </c>
      <c r="B1414" s="205" t="s">
        <v>177</v>
      </c>
      <c r="C1414" s="197"/>
    </row>
    <row r="1415" spans="1:3" x14ac:dyDescent="0.2">
      <c r="A1415" s="202">
        <v>201</v>
      </c>
      <c r="B1415" s="204" t="s">
        <v>178</v>
      </c>
      <c r="C1415" s="197"/>
    </row>
    <row r="1416" spans="1:3" x14ac:dyDescent="0.2">
      <c r="A1416" s="202">
        <v>202</v>
      </c>
      <c r="B1416" s="204" t="s">
        <v>179</v>
      </c>
      <c r="C1416" s="197"/>
    </row>
    <row r="1417" spans="1:3" x14ac:dyDescent="0.2">
      <c r="A1417" s="202">
        <v>203</v>
      </c>
      <c r="B1417" s="204" t="s">
        <v>180</v>
      </c>
      <c r="C1417" s="197"/>
    </row>
    <row r="1418" spans="1:3" x14ac:dyDescent="0.2">
      <c r="A1418" s="202">
        <v>204</v>
      </c>
      <c r="B1418" s="204" t="s">
        <v>181</v>
      </c>
      <c r="C1418" s="197"/>
    </row>
    <row r="1419" spans="1:3" x14ac:dyDescent="0.2">
      <c r="A1419" s="202">
        <v>205</v>
      </c>
      <c r="B1419" s="204" t="s">
        <v>182</v>
      </c>
      <c r="C1419" s="197"/>
    </row>
    <row r="1420" spans="1:3" x14ac:dyDescent="0.2">
      <c r="A1420" s="202">
        <v>206</v>
      </c>
      <c r="B1420" s="204" t="s">
        <v>183</v>
      </c>
      <c r="C1420" s="197"/>
    </row>
    <row r="1421" spans="1:3" x14ac:dyDescent="0.2">
      <c r="A1421" s="202">
        <v>207</v>
      </c>
      <c r="B1421" s="204" t="s">
        <v>184</v>
      </c>
      <c r="C1421" s="197"/>
    </row>
    <row r="1422" spans="1:3" x14ac:dyDescent="0.2">
      <c r="A1422" s="202">
        <v>208</v>
      </c>
      <c r="B1422" s="204" t="s">
        <v>185</v>
      </c>
      <c r="C1422" s="197"/>
    </row>
    <row r="1423" spans="1:3" x14ac:dyDescent="0.2">
      <c r="A1423" s="202">
        <v>209</v>
      </c>
      <c r="B1423" s="204" t="s">
        <v>186</v>
      </c>
      <c r="C1423" s="197"/>
    </row>
    <row r="1424" spans="1:3" x14ac:dyDescent="0.2">
      <c r="A1424" s="200">
        <v>300</v>
      </c>
      <c r="B1424" s="205" t="s">
        <v>187</v>
      </c>
      <c r="C1424" s="197"/>
    </row>
    <row r="1425" spans="1:3" x14ac:dyDescent="0.2">
      <c r="A1425" s="202">
        <v>301</v>
      </c>
      <c r="B1425" s="204" t="s">
        <v>1026</v>
      </c>
      <c r="C1425" s="197"/>
    </row>
    <row r="1426" spans="1:3" x14ac:dyDescent="0.2">
      <c r="A1426" s="202">
        <v>302</v>
      </c>
      <c r="B1426" s="204" t="s">
        <v>1027</v>
      </c>
      <c r="C1426" s="197"/>
    </row>
    <row r="1427" spans="1:3" x14ac:dyDescent="0.2">
      <c r="A1427" s="202">
        <v>303</v>
      </c>
      <c r="B1427" s="204" t="s">
        <v>188</v>
      </c>
      <c r="C1427" s="197"/>
    </row>
    <row r="1428" spans="1:3" x14ac:dyDescent="0.2">
      <c r="A1428" s="202">
        <v>304</v>
      </c>
      <c r="B1428" s="204" t="s">
        <v>189</v>
      </c>
      <c r="C1428" s="197"/>
    </row>
    <row r="1429" spans="1:3" x14ac:dyDescent="0.2">
      <c r="A1429" s="202">
        <v>305</v>
      </c>
      <c r="B1429" s="204" t="s">
        <v>190</v>
      </c>
      <c r="C1429" s="197"/>
    </row>
    <row r="1430" spans="1:3" x14ac:dyDescent="0.2">
      <c r="A1430" s="202">
        <v>306</v>
      </c>
      <c r="B1430" s="204" t="s">
        <v>191</v>
      </c>
      <c r="C1430" s="197"/>
    </row>
    <row r="1431" spans="1:3" x14ac:dyDescent="0.2">
      <c r="A1431" s="202">
        <v>307</v>
      </c>
      <c r="B1431" s="204" t="s">
        <v>192</v>
      </c>
      <c r="C1431" s="197"/>
    </row>
    <row r="1432" spans="1:3" x14ac:dyDescent="0.2">
      <c r="A1432" s="202">
        <v>308</v>
      </c>
      <c r="B1432" s="204" t="s">
        <v>193</v>
      </c>
      <c r="C1432" s="197"/>
    </row>
    <row r="1433" spans="1:3" x14ac:dyDescent="0.2">
      <c r="A1433" s="202">
        <v>309</v>
      </c>
      <c r="B1433" s="203" t="s">
        <v>1919</v>
      </c>
      <c r="C1433" s="197"/>
    </row>
    <row r="1434" spans="1:3" x14ac:dyDescent="0.2">
      <c r="A1434" s="202">
        <v>310</v>
      </c>
      <c r="B1434" s="203" t="s">
        <v>1920</v>
      </c>
      <c r="C1434" s="197"/>
    </row>
    <row r="1435" spans="1:3" x14ac:dyDescent="0.2">
      <c r="A1435" s="202">
        <v>311</v>
      </c>
      <c r="B1435" s="203" t="s">
        <v>194</v>
      </c>
      <c r="C1435" s="197"/>
    </row>
    <row r="1436" spans="1:3" x14ac:dyDescent="0.2">
      <c r="A1436" s="202">
        <v>312</v>
      </c>
      <c r="B1436" s="203" t="s">
        <v>196</v>
      </c>
      <c r="C1436" s="197"/>
    </row>
    <row r="1437" spans="1:3" ht="15.75" x14ac:dyDescent="0.2">
      <c r="A1437" s="202">
        <v>313</v>
      </c>
      <c r="B1437" s="92" t="s">
        <v>197</v>
      </c>
      <c r="C1437" s="197"/>
    </row>
    <row r="1438" spans="1:3" x14ac:dyDescent="0.2">
      <c r="A1438" s="202">
        <v>314</v>
      </c>
      <c r="B1438" s="204" t="s">
        <v>197</v>
      </c>
      <c r="C1438" s="197"/>
    </row>
    <row r="1439" spans="1:3" x14ac:dyDescent="0.2">
      <c r="A1439" s="200">
        <v>400</v>
      </c>
      <c r="B1439" s="205" t="s">
        <v>198</v>
      </c>
      <c r="C1439" s="197"/>
    </row>
    <row r="1440" spans="1:3" x14ac:dyDescent="0.2">
      <c r="A1440" s="202">
        <v>401</v>
      </c>
      <c r="B1440" s="206" t="s">
        <v>199</v>
      </c>
      <c r="C1440" s="197"/>
    </row>
    <row r="1441" spans="1:3" x14ac:dyDescent="0.2">
      <c r="A1441" s="202">
        <v>402</v>
      </c>
      <c r="B1441" s="203" t="s">
        <v>200</v>
      </c>
      <c r="C1441" s="197"/>
    </row>
    <row r="1442" spans="1:3" x14ac:dyDescent="0.2">
      <c r="A1442" s="202">
        <v>403</v>
      </c>
      <c r="B1442" s="204" t="s">
        <v>201</v>
      </c>
      <c r="C1442" s="197"/>
    </row>
    <row r="1443" spans="1:3" x14ac:dyDescent="0.2">
      <c r="A1443" s="202">
        <v>404</v>
      </c>
      <c r="B1443" s="204" t="s">
        <v>202</v>
      </c>
      <c r="C1443" s="197"/>
    </row>
    <row r="1444" spans="1:3" x14ac:dyDescent="0.2">
      <c r="A1444" s="202">
        <v>405</v>
      </c>
      <c r="B1444" s="204" t="s">
        <v>203</v>
      </c>
      <c r="C1444" s="197"/>
    </row>
    <row r="1445" spans="1:3" x14ac:dyDescent="0.2">
      <c r="A1445" s="202">
        <v>406</v>
      </c>
      <c r="B1445" s="204" t="s">
        <v>204</v>
      </c>
      <c r="C1445" s="197"/>
    </row>
    <row r="1446" spans="1:3" x14ac:dyDescent="0.2">
      <c r="A1446" s="202">
        <v>407</v>
      </c>
      <c r="B1446" s="204" t="s">
        <v>205</v>
      </c>
      <c r="C1446" s="197"/>
    </row>
    <row r="1447" spans="1:3" x14ac:dyDescent="0.2">
      <c r="A1447" s="202">
        <v>408</v>
      </c>
      <c r="B1447" s="204" t="s">
        <v>206</v>
      </c>
      <c r="C1447" s="197"/>
    </row>
    <row r="1448" spans="1:3" x14ac:dyDescent="0.2">
      <c r="A1448" s="202">
        <v>409</v>
      </c>
      <c r="B1448" s="204" t="s">
        <v>207</v>
      </c>
      <c r="C1448" s="197"/>
    </row>
    <row r="1449" spans="1:3" x14ac:dyDescent="0.2">
      <c r="A1449" s="202">
        <v>410</v>
      </c>
      <c r="B1449" s="204" t="s">
        <v>208</v>
      </c>
      <c r="C1449" s="197"/>
    </row>
    <row r="1450" spans="1:3" x14ac:dyDescent="0.2">
      <c r="A1450" s="202">
        <v>411</v>
      </c>
      <c r="B1450" s="204" t="s">
        <v>209</v>
      </c>
      <c r="C1450" s="197"/>
    </row>
    <row r="1451" spans="1:3" x14ac:dyDescent="0.2">
      <c r="A1451" s="202">
        <v>412</v>
      </c>
      <c r="B1451" s="204" t="s">
        <v>210</v>
      </c>
      <c r="C1451" s="197"/>
    </row>
    <row r="1452" spans="1:3" x14ac:dyDescent="0.2">
      <c r="A1452" s="200">
        <v>500</v>
      </c>
      <c r="B1452" s="205" t="s">
        <v>211</v>
      </c>
      <c r="C1452" s="197"/>
    </row>
    <row r="1453" spans="1:3" x14ac:dyDescent="0.2">
      <c r="A1453" s="202">
        <v>501</v>
      </c>
      <c r="B1453" s="204" t="s">
        <v>212</v>
      </c>
      <c r="C1453" s="197"/>
    </row>
    <row r="1454" spans="1:3" x14ac:dyDescent="0.2">
      <c r="A1454" s="202">
        <v>502</v>
      </c>
      <c r="B1454" s="204" t="s">
        <v>213</v>
      </c>
      <c r="C1454" s="197"/>
    </row>
    <row r="1455" spans="1:3" x14ac:dyDescent="0.2">
      <c r="A1455" s="202">
        <v>503</v>
      </c>
      <c r="B1455" s="203" t="s">
        <v>214</v>
      </c>
      <c r="C1455" s="197"/>
    </row>
    <row r="1456" spans="1:3" x14ac:dyDescent="0.2">
      <c r="A1456" s="202">
        <v>504</v>
      </c>
      <c r="B1456" s="204" t="s">
        <v>215</v>
      </c>
      <c r="C1456" s="197"/>
    </row>
    <row r="1457" spans="1:3" x14ac:dyDescent="0.2">
      <c r="A1457" s="202">
        <v>505</v>
      </c>
      <c r="B1457" s="204" t="s">
        <v>216</v>
      </c>
      <c r="C1457" s="197"/>
    </row>
    <row r="1458" spans="1:3" x14ac:dyDescent="0.2">
      <c r="A1458" s="200">
        <v>600</v>
      </c>
      <c r="B1458" s="207" t="s">
        <v>217</v>
      </c>
      <c r="C1458" s="197"/>
    </row>
    <row r="1459" spans="1:3" x14ac:dyDescent="0.2">
      <c r="A1459" s="202">
        <v>601</v>
      </c>
      <c r="B1459" s="203" t="s">
        <v>218</v>
      </c>
      <c r="C1459" s="197"/>
    </row>
    <row r="1460" spans="1:3" x14ac:dyDescent="0.2">
      <c r="A1460" s="202">
        <v>602</v>
      </c>
      <c r="B1460" s="204" t="s">
        <v>219</v>
      </c>
      <c r="C1460" s="197"/>
    </row>
    <row r="1461" spans="1:3" x14ac:dyDescent="0.2">
      <c r="A1461" s="202">
        <v>603</v>
      </c>
      <c r="B1461" s="204" t="s">
        <v>220</v>
      </c>
      <c r="C1461" s="197"/>
    </row>
    <row r="1462" spans="1:3" x14ac:dyDescent="0.2">
      <c r="A1462" s="202">
        <v>604</v>
      </c>
      <c r="B1462" s="204" t="s">
        <v>221</v>
      </c>
      <c r="C1462" s="197"/>
    </row>
    <row r="1463" spans="1:3" x14ac:dyDescent="0.2">
      <c r="A1463" s="202">
        <v>605</v>
      </c>
      <c r="B1463" s="204" t="s">
        <v>222</v>
      </c>
      <c r="C1463" s="197"/>
    </row>
    <row r="1464" spans="1:3" x14ac:dyDescent="0.2">
      <c r="A1464" s="200">
        <v>700</v>
      </c>
      <c r="B1464" s="207" t="s">
        <v>223</v>
      </c>
      <c r="C1464" s="197"/>
    </row>
    <row r="1465" spans="1:3" x14ac:dyDescent="0.2">
      <c r="A1465" s="202">
        <v>701</v>
      </c>
      <c r="B1465" s="204" t="s">
        <v>224</v>
      </c>
      <c r="C1465" s="197"/>
    </row>
    <row r="1466" spans="1:3" x14ac:dyDescent="0.2">
      <c r="A1466" s="202">
        <v>702</v>
      </c>
      <c r="B1466" s="204" t="s">
        <v>225</v>
      </c>
      <c r="C1466" s="197"/>
    </row>
    <row r="1467" spans="1:3" x14ac:dyDescent="0.2">
      <c r="A1467" s="202">
        <v>703</v>
      </c>
      <c r="B1467" s="204" t="s">
        <v>1123</v>
      </c>
      <c r="C1467" s="197"/>
    </row>
    <row r="1468" spans="1:3" x14ac:dyDescent="0.2">
      <c r="A1468" s="202">
        <v>704</v>
      </c>
      <c r="B1468" s="204" t="s">
        <v>226</v>
      </c>
      <c r="C1468" s="197"/>
    </row>
    <row r="1469" spans="1:3" x14ac:dyDescent="0.2">
      <c r="A1469" s="202">
        <v>705</v>
      </c>
      <c r="B1469" s="204" t="s">
        <v>227</v>
      </c>
      <c r="C1469" s="197"/>
    </row>
    <row r="1470" spans="1:3" x14ac:dyDescent="0.2">
      <c r="A1470" s="208">
        <v>706</v>
      </c>
      <c r="B1470" s="203" t="s">
        <v>1921</v>
      </c>
      <c r="C1470" s="197"/>
    </row>
    <row r="1471" spans="1:3" x14ac:dyDescent="0.2">
      <c r="A1471" s="202">
        <v>707</v>
      </c>
      <c r="B1471" s="204" t="s">
        <v>1124</v>
      </c>
      <c r="C1471" s="197"/>
    </row>
    <row r="1472" spans="1:3" x14ac:dyDescent="0.2">
      <c r="A1472" s="202">
        <v>708</v>
      </c>
      <c r="B1472" s="204" t="s">
        <v>228</v>
      </c>
      <c r="C1472" s="197"/>
    </row>
    <row r="1473" spans="1:3" x14ac:dyDescent="0.2">
      <c r="A1473" s="202">
        <v>709</v>
      </c>
      <c r="B1473" s="204" t="s">
        <v>229</v>
      </c>
      <c r="C1473" s="197"/>
    </row>
    <row r="1474" spans="1:3" x14ac:dyDescent="0.2">
      <c r="A1474" s="200">
        <v>800</v>
      </c>
      <c r="B1474" s="207" t="s">
        <v>230</v>
      </c>
      <c r="C1474" s="197"/>
    </row>
    <row r="1475" spans="1:3" x14ac:dyDescent="0.2">
      <c r="A1475" s="202">
        <v>801</v>
      </c>
      <c r="B1475" s="204" t="s">
        <v>231</v>
      </c>
      <c r="C1475" s="197"/>
    </row>
    <row r="1476" spans="1:3" x14ac:dyDescent="0.2">
      <c r="A1476" s="202">
        <v>802</v>
      </c>
      <c r="B1476" s="204" t="s">
        <v>232</v>
      </c>
      <c r="C1476" s="197"/>
    </row>
    <row r="1477" spans="1:3" x14ac:dyDescent="0.2">
      <c r="A1477" s="202">
        <v>803</v>
      </c>
      <c r="B1477" s="204" t="s">
        <v>233</v>
      </c>
      <c r="C1477" s="197"/>
    </row>
    <row r="1478" spans="1:3" x14ac:dyDescent="0.2">
      <c r="A1478" s="202">
        <v>804</v>
      </c>
      <c r="B1478" s="204" t="s">
        <v>234</v>
      </c>
      <c r="C1478" s="197"/>
    </row>
    <row r="1479" spans="1:3" x14ac:dyDescent="0.2">
      <c r="A1479" s="200">
        <v>900</v>
      </c>
      <c r="B1479" s="207" t="s">
        <v>235</v>
      </c>
      <c r="C1479" s="197"/>
    </row>
    <row r="1480" spans="1:3" x14ac:dyDescent="0.2">
      <c r="A1480" s="202">
        <v>901</v>
      </c>
      <c r="B1480" s="204" t="s">
        <v>236</v>
      </c>
      <c r="C1480" s="197"/>
    </row>
    <row r="1481" spans="1:3" x14ac:dyDescent="0.2">
      <c r="A1481" s="202">
        <v>902</v>
      </c>
      <c r="B1481" s="204" t="s">
        <v>237</v>
      </c>
      <c r="C1481" s="197"/>
    </row>
    <row r="1482" spans="1:3" x14ac:dyDescent="0.2">
      <c r="A1482" s="202">
        <v>903</v>
      </c>
      <c r="B1482" s="204" t="s">
        <v>238</v>
      </c>
      <c r="C1482" s="197"/>
    </row>
    <row r="1483" spans="1:3" x14ac:dyDescent="0.2">
      <c r="A1483" s="202">
        <v>904</v>
      </c>
      <c r="B1483" s="204" t="s">
        <v>239</v>
      </c>
      <c r="C1483" s="197"/>
    </row>
    <row r="1484" spans="1:3" x14ac:dyDescent="0.2">
      <c r="A1484" s="202">
        <v>905</v>
      </c>
      <c r="B1484" s="209" t="s">
        <v>240</v>
      </c>
      <c r="C1484" s="197"/>
    </row>
    <row r="1485" spans="1:3" x14ac:dyDescent="0.2">
      <c r="A1485" s="202">
        <v>906</v>
      </c>
      <c r="B1485" s="209" t="s">
        <v>241</v>
      </c>
      <c r="C1485" s="197"/>
    </row>
    <row r="1486" spans="1:3" x14ac:dyDescent="0.2">
      <c r="A1486" s="202">
        <v>907</v>
      </c>
      <c r="B1486" s="204" t="s">
        <v>242</v>
      </c>
      <c r="C1486" s="197"/>
    </row>
    <row r="1487" spans="1:3" x14ac:dyDescent="0.2">
      <c r="A1487" s="202">
        <v>908</v>
      </c>
      <c r="B1487" s="203" t="s">
        <v>243</v>
      </c>
      <c r="C1487" s="197"/>
    </row>
    <row r="1488" spans="1:3" x14ac:dyDescent="0.2">
      <c r="A1488" s="202">
        <v>909</v>
      </c>
      <c r="B1488" s="204" t="s">
        <v>244</v>
      </c>
      <c r="C1488" s="197"/>
    </row>
    <row r="1489" spans="1:3" x14ac:dyDescent="0.2">
      <c r="A1489" s="200">
        <v>1000</v>
      </c>
      <c r="B1489" s="207" t="s">
        <v>245</v>
      </c>
      <c r="C1489" s="197"/>
    </row>
    <row r="1490" spans="1:3" x14ac:dyDescent="0.2">
      <c r="A1490" s="202">
        <v>1001</v>
      </c>
      <c r="B1490" s="204" t="s">
        <v>246</v>
      </c>
      <c r="C1490" s="197"/>
    </row>
    <row r="1491" spans="1:3" x14ac:dyDescent="0.2">
      <c r="A1491" s="202">
        <v>1002</v>
      </c>
      <c r="B1491" s="204" t="s">
        <v>247</v>
      </c>
      <c r="C1491" s="197"/>
    </row>
    <row r="1492" spans="1:3" x14ac:dyDescent="0.2">
      <c r="A1492" s="202">
        <v>1003</v>
      </c>
      <c r="B1492" s="204" t="s">
        <v>248</v>
      </c>
      <c r="C1492" s="197"/>
    </row>
    <row r="1493" spans="1:3" x14ac:dyDescent="0.2">
      <c r="A1493" s="202">
        <v>1004</v>
      </c>
      <c r="B1493" s="203" t="s">
        <v>249</v>
      </c>
      <c r="C1493" s="197"/>
    </row>
    <row r="1494" spans="1:3" x14ac:dyDescent="0.2">
      <c r="A1494" s="202">
        <v>1005</v>
      </c>
      <c r="B1494" s="204" t="s">
        <v>250</v>
      </c>
      <c r="C1494" s="197"/>
    </row>
    <row r="1495" spans="1:3" x14ac:dyDescent="0.2">
      <c r="A1495" s="202">
        <v>1006</v>
      </c>
      <c r="B1495" s="204" t="s">
        <v>251</v>
      </c>
      <c r="C1495" s="197"/>
    </row>
    <row r="1496" spans="1:3" x14ac:dyDescent="0.2">
      <c r="A1496" s="200">
        <v>1100</v>
      </c>
      <c r="B1496" s="207" t="s">
        <v>252</v>
      </c>
      <c r="C1496" s="197"/>
    </row>
    <row r="1497" spans="1:3" x14ac:dyDescent="0.2">
      <c r="A1497" s="202">
        <v>1101</v>
      </c>
      <c r="B1497" s="204" t="s">
        <v>253</v>
      </c>
      <c r="C1497" s="197"/>
    </row>
    <row r="1498" spans="1:3" x14ac:dyDescent="0.2">
      <c r="A1498" s="202">
        <v>1102</v>
      </c>
      <c r="B1498" s="209" t="s">
        <v>254</v>
      </c>
      <c r="C1498" s="197"/>
    </row>
    <row r="1499" spans="1:3" x14ac:dyDescent="0.2">
      <c r="A1499" s="202">
        <v>1103</v>
      </c>
      <c r="B1499" s="204" t="s">
        <v>255</v>
      </c>
      <c r="C1499" s="197"/>
    </row>
    <row r="1500" spans="1:3" x14ac:dyDescent="0.2">
      <c r="A1500" s="202">
        <v>1104</v>
      </c>
      <c r="B1500" s="204" t="s">
        <v>256</v>
      </c>
      <c r="C1500" s="197"/>
    </row>
    <row r="1501" spans="1:3" x14ac:dyDescent="0.2">
      <c r="A1501" s="202">
        <v>1105</v>
      </c>
      <c r="B1501" s="204" t="s">
        <v>257</v>
      </c>
      <c r="C1501" s="197"/>
    </row>
    <row r="1502" spans="1:3" x14ac:dyDescent="0.2">
      <c r="A1502" s="200">
        <v>1200</v>
      </c>
      <c r="B1502" s="207" t="s">
        <v>258</v>
      </c>
    </row>
    <row r="1503" spans="1:3" x14ac:dyDescent="0.2">
      <c r="A1503" s="202">
        <v>1201</v>
      </c>
      <c r="B1503" s="204" t="s">
        <v>259</v>
      </c>
    </row>
    <row r="1504" spans="1:3" x14ac:dyDescent="0.2">
      <c r="A1504" s="202">
        <v>1202</v>
      </c>
      <c r="B1504" s="204" t="s">
        <v>260</v>
      </c>
    </row>
    <row r="1505" spans="1:2" x14ac:dyDescent="0.2">
      <c r="A1505" s="202">
        <v>1203</v>
      </c>
      <c r="B1505" s="204" t="s">
        <v>261</v>
      </c>
    </row>
    <row r="1506" spans="1:2" x14ac:dyDescent="0.2">
      <c r="A1506" s="202">
        <v>1204</v>
      </c>
      <c r="B1506" s="204" t="s">
        <v>262</v>
      </c>
    </row>
    <row r="1507" spans="1:2" x14ac:dyDescent="0.2">
      <c r="A1507" s="200">
        <v>1300</v>
      </c>
      <c r="B1507" s="866" t="s">
        <v>1922</v>
      </c>
    </row>
    <row r="1508" spans="1:2" x14ac:dyDescent="0.2">
      <c r="A1508" s="202">
        <v>1301</v>
      </c>
      <c r="B1508" s="203" t="s">
        <v>1923</v>
      </c>
    </row>
    <row r="1509" spans="1:2" x14ac:dyDescent="0.2">
      <c r="A1509" s="202">
        <v>1302</v>
      </c>
      <c r="B1509" s="203" t="s">
        <v>1924</v>
      </c>
    </row>
    <row r="1510" spans="1:2" ht="25.5" x14ac:dyDescent="0.2">
      <c r="A1510" s="200">
        <v>1400</v>
      </c>
      <c r="B1510" s="207" t="s">
        <v>264</v>
      </c>
    </row>
    <row r="1511" spans="1:2" x14ac:dyDescent="0.2">
      <c r="A1511" s="202">
        <v>1401</v>
      </c>
      <c r="B1511" s="204" t="s">
        <v>265</v>
      </c>
    </row>
    <row r="1512" spans="1:2" x14ac:dyDescent="0.2">
      <c r="A1512" s="202">
        <v>1402</v>
      </c>
      <c r="B1512" s="204" t="s">
        <v>266</v>
      </c>
    </row>
    <row r="1513" spans="1:2" x14ac:dyDescent="0.2">
      <c r="A1513" s="202">
        <v>1403</v>
      </c>
      <c r="B1513" s="203" t="s">
        <v>1925</v>
      </c>
    </row>
  </sheetData>
  <printOptions gridLinesSet="0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3"/>
  <sheetViews>
    <sheetView showGridLines="0" view="pageBreakPreview" zoomScaleSheetLayoutView="100" workbookViewId="0">
      <selection activeCell="K142" sqref="K142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customWidth="1"/>
    <col min="12" max="13" width="14.28515625" style="42" hidden="1" customWidth="1"/>
    <col min="14" max="14" width="14.28515625" style="42" customWidth="1"/>
    <col min="15" max="15" width="14.28515625" style="42" hidden="1" customWidth="1"/>
    <col min="16" max="16384" width="9.140625" style="42"/>
  </cols>
  <sheetData>
    <row r="1" spans="1:15" ht="15.75" x14ac:dyDescent="0.25">
      <c r="A1" s="891" t="s">
        <v>151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</row>
    <row r="2" spans="1:15" ht="15.75" x14ac:dyDescent="0.25">
      <c r="A2" s="891" t="s">
        <v>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</row>
    <row r="3" spans="1:15" ht="15.75" x14ac:dyDescent="0.25">
      <c r="A3" s="891" t="s">
        <v>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</row>
    <row r="4" spans="1:15" ht="15.75" x14ac:dyDescent="0.25">
      <c r="A4" s="891" t="s">
        <v>1859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</row>
    <row r="5" spans="1:15" ht="15.75" x14ac:dyDescent="0.25">
      <c r="A5" s="314"/>
      <c r="B5" s="314"/>
      <c r="C5" s="314"/>
      <c r="D5" s="314"/>
      <c r="E5" s="314"/>
      <c r="F5" s="314"/>
      <c r="G5" s="315"/>
      <c r="H5" s="316"/>
      <c r="I5" s="890"/>
      <c r="J5" s="890"/>
      <c r="K5" s="890"/>
      <c r="L5" s="313"/>
      <c r="M5" s="313"/>
      <c r="N5" s="313"/>
      <c r="O5" s="313"/>
    </row>
    <row r="6" spans="1:15" ht="57.75" customHeight="1" x14ac:dyDescent="0.2">
      <c r="A6" s="893" t="s">
        <v>1861</v>
      </c>
      <c r="B6" s="893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</row>
    <row r="7" spans="1:15" ht="18.75" x14ac:dyDescent="0.2">
      <c r="A7" s="314"/>
      <c r="B7" s="314"/>
      <c r="C7" s="314"/>
      <c r="D7" s="314"/>
      <c r="E7" s="314"/>
      <c r="F7" s="314"/>
      <c r="G7" s="286"/>
      <c r="H7" s="285"/>
      <c r="I7" s="895"/>
      <c r="J7" s="895"/>
      <c r="K7" s="895"/>
      <c r="L7" s="313"/>
      <c r="M7" s="313"/>
      <c r="N7" s="313"/>
      <c r="O7" s="313"/>
    </row>
    <row r="8" spans="1:15" ht="2.25" customHeight="1" x14ac:dyDescent="0.2">
      <c r="A8" s="314"/>
      <c r="B8" s="314"/>
      <c r="C8" s="314"/>
      <c r="D8" s="314"/>
      <c r="E8" s="314"/>
      <c r="F8" s="314"/>
      <c r="G8" s="286"/>
      <c r="H8" s="285"/>
      <c r="I8" s="896"/>
      <c r="J8" s="896"/>
      <c r="K8" s="896"/>
      <c r="L8" s="313"/>
      <c r="M8" s="313"/>
      <c r="N8" s="313"/>
      <c r="O8" s="313"/>
    </row>
    <row r="9" spans="1:15" ht="12.75" customHeight="1" x14ac:dyDescent="0.2">
      <c r="A9" s="897" t="s">
        <v>3</v>
      </c>
      <c r="B9" s="897"/>
      <c r="C9" s="897"/>
      <c r="D9" s="897"/>
      <c r="E9" s="897"/>
      <c r="F9" s="897"/>
      <c r="G9" s="897"/>
      <c r="H9" s="897"/>
      <c r="I9" s="892" t="s">
        <v>4</v>
      </c>
      <c r="J9" s="892" t="s">
        <v>1366</v>
      </c>
      <c r="K9" s="892" t="s">
        <v>1619</v>
      </c>
      <c r="L9" s="892" t="s">
        <v>1366</v>
      </c>
      <c r="M9" s="892" t="s">
        <v>1619</v>
      </c>
      <c r="N9" s="892" t="s">
        <v>1860</v>
      </c>
      <c r="O9" s="894" t="s">
        <v>1619</v>
      </c>
    </row>
    <row r="10" spans="1:15" ht="120.95" customHeight="1" x14ac:dyDescent="0.2">
      <c r="A10" s="531" t="s">
        <v>6</v>
      </c>
      <c r="B10" s="531" t="s">
        <v>7</v>
      </c>
      <c r="C10" s="531" t="s">
        <v>8</v>
      </c>
      <c r="D10" s="531" t="s">
        <v>152</v>
      </c>
      <c r="E10" s="532" t="s">
        <v>153</v>
      </c>
      <c r="F10" s="531" t="s">
        <v>154</v>
      </c>
      <c r="G10" s="533" t="s">
        <v>12</v>
      </c>
      <c r="H10" s="532" t="s">
        <v>13</v>
      </c>
      <c r="I10" s="892"/>
      <c r="J10" s="892"/>
      <c r="K10" s="892"/>
      <c r="L10" s="892"/>
      <c r="M10" s="892"/>
      <c r="N10" s="892"/>
      <c r="O10" s="894"/>
    </row>
    <row r="11" spans="1:15" ht="31.5" x14ac:dyDescent="0.2">
      <c r="A11" s="317" t="s">
        <v>14</v>
      </c>
      <c r="B11" s="317" t="s">
        <v>15</v>
      </c>
      <c r="C11" s="317" t="s">
        <v>16</v>
      </c>
      <c r="D11" s="317" t="s">
        <v>16</v>
      </c>
      <c r="E11" s="317" t="s">
        <v>14</v>
      </c>
      <c r="F11" s="317" t="s">
        <v>16</v>
      </c>
      <c r="G11" s="318" t="s">
        <v>17</v>
      </c>
      <c r="H11" s="318" t="s">
        <v>14</v>
      </c>
      <c r="I11" s="319" t="s">
        <v>1365</v>
      </c>
      <c r="J11" s="320"/>
      <c r="K11" s="320">
        <f>K12+K14+K16+K20+K24+K31+K34+K36+K42+K43</f>
        <v>223116930</v>
      </c>
      <c r="L11" s="320">
        <f t="shared" ref="L11:O11" si="0">L12+L14+L16+L20+L24+L31+L34+L36+L42+L43</f>
        <v>223116930</v>
      </c>
      <c r="M11" s="320">
        <f t="shared" si="0"/>
        <v>0</v>
      </c>
      <c r="N11" s="320">
        <f t="shared" si="0"/>
        <v>228781140</v>
      </c>
      <c r="O11" s="320">
        <f t="shared" si="0"/>
        <v>228781140</v>
      </c>
    </row>
    <row r="12" spans="1:15" ht="15.75" x14ac:dyDescent="0.2">
      <c r="A12" s="317" t="s">
        <v>14</v>
      </c>
      <c r="B12" s="317" t="s">
        <v>15</v>
      </c>
      <c r="C12" s="317" t="s">
        <v>18</v>
      </c>
      <c r="D12" s="317" t="s">
        <v>16</v>
      </c>
      <c r="E12" s="317" t="s">
        <v>14</v>
      </c>
      <c r="F12" s="317" t="s">
        <v>16</v>
      </c>
      <c r="G12" s="318" t="s">
        <v>17</v>
      </c>
      <c r="H12" s="318" t="s">
        <v>14</v>
      </c>
      <c r="I12" s="319" t="s">
        <v>19</v>
      </c>
      <c r="J12" s="320"/>
      <c r="K12" s="320">
        <f t="shared" ref="K12" si="1">K13</f>
        <v>122329000</v>
      </c>
      <c r="L12" s="320">
        <f t="shared" ref="L12" si="2">SUM(J12:K12)</f>
        <v>122329000</v>
      </c>
      <c r="M12" s="320"/>
      <c r="N12" s="320">
        <f t="shared" ref="N12" si="3">N13</f>
        <v>128690000</v>
      </c>
      <c r="O12" s="320">
        <f t="shared" ref="O12" si="4">SUM(M12:N12)</f>
        <v>128690000</v>
      </c>
    </row>
    <row r="13" spans="1:15" ht="15.75" x14ac:dyDescent="0.2">
      <c r="A13" s="321" t="s">
        <v>20</v>
      </c>
      <c r="B13" s="321" t="s">
        <v>15</v>
      </c>
      <c r="C13" s="321" t="s">
        <v>18</v>
      </c>
      <c r="D13" s="321" t="s">
        <v>21</v>
      </c>
      <c r="E13" s="321" t="s">
        <v>14</v>
      </c>
      <c r="F13" s="321" t="s">
        <v>18</v>
      </c>
      <c r="G13" s="322" t="s">
        <v>17</v>
      </c>
      <c r="H13" s="322" t="s">
        <v>22</v>
      </c>
      <c r="I13" s="310" t="s">
        <v>23</v>
      </c>
      <c r="J13" s="323"/>
      <c r="K13" s="323">
        <v>122329000</v>
      </c>
      <c r="L13" s="323">
        <f>SUM(J13:K13)</f>
        <v>122329000</v>
      </c>
      <c r="M13" s="323"/>
      <c r="N13" s="323">
        <v>128690000</v>
      </c>
      <c r="O13" s="323">
        <f>SUM(M13:N13)</f>
        <v>128690000</v>
      </c>
    </row>
    <row r="14" spans="1:15" ht="63" x14ac:dyDescent="0.2">
      <c r="A14" s="317" t="s">
        <v>14</v>
      </c>
      <c r="B14" s="317" t="s">
        <v>15</v>
      </c>
      <c r="C14" s="317" t="s">
        <v>24</v>
      </c>
      <c r="D14" s="317" t="s">
        <v>16</v>
      </c>
      <c r="E14" s="317" t="s">
        <v>14</v>
      </c>
      <c r="F14" s="317" t="s">
        <v>16</v>
      </c>
      <c r="G14" s="318" t="s">
        <v>17</v>
      </c>
      <c r="H14" s="318" t="s">
        <v>14</v>
      </c>
      <c r="I14" s="319" t="s">
        <v>25</v>
      </c>
      <c r="J14" s="320"/>
      <c r="K14" s="320">
        <f t="shared" ref="K14" si="5">K15</f>
        <v>9483930</v>
      </c>
      <c r="L14" s="323">
        <f t="shared" ref="L14:L56" si="6">SUM(J14:K14)</f>
        <v>9483930</v>
      </c>
      <c r="M14" s="320"/>
      <c r="N14" s="320">
        <f t="shared" ref="N14" si="7">N15</f>
        <v>9953140</v>
      </c>
      <c r="O14" s="323">
        <f t="shared" ref="O14:O76" si="8">SUM(M14:N14)</f>
        <v>9953140</v>
      </c>
    </row>
    <row r="15" spans="1:15" ht="47.25" x14ac:dyDescent="0.2">
      <c r="A15" s="321" t="s">
        <v>26</v>
      </c>
      <c r="B15" s="321" t="s">
        <v>15</v>
      </c>
      <c r="C15" s="321" t="s">
        <v>24</v>
      </c>
      <c r="D15" s="321" t="s">
        <v>21</v>
      </c>
      <c r="E15" s="321" t="s">
        <v>14</v>
      </c>
      <c r="F15" s="321" t="s">
        <v>18</v>
      </c>
      <c r="G15" s="322" t="s">
        <v>17</v>
      </c>
      <c r="H15" s="322" t="s">
        <v>22</v>
      </c>
      <c r="I15" s="310" t="s">
        <v>27</v>
      </c>
      <c r="J15" s="323"/>
      <c r="K15" s="323">
        <v>9483930</v>
      </c>
      <c r="L15" s="323">
        <f t="shared" si="6"/>
        <v>9483930</v>
      </c>
      <c r="M15" s="323"/>
      <c r="N15" s="323">
        <v>9953140</v>
      </c>
      <c r="O15" s="323">
        <f t="shared" si="8"/>
        <v>9953140</v>
      </c>
    </row>
    <row r="16" spans="1:15" ht="15.75" x14ac:dyDescent="0.2">
      <c r="A16" s="317" t="s">
        <v>14</v>
      </c>
      <c r="B16" s="317" t="s">
        <v>15</v>
      </c>
      <c r="C16" s="317" t="s">
        <v>28</v>
      </c>
      <c r="D16" s="317" t="s">
        <v>16</v>
      </c>
      <c r="E16" s="317" t="s">
        <v>14</v>
      </c>
      <c r="F16" s="317" t="s">
        <v>16</v>
      </c>
      <c r="G16" s="318" t="s">
        <v>17</v>
      </c>
      <c r="H16" s="318" t="s">
        <v>14</v>
      </c>
      <c r="I16" s="319" t="s">
        <v>29</v>
      </c>
      <c r="J16" s="320"/>
      <c r="K16" s="320">
        <f t="shared" ref="K16" si="9">K17+K18+K19</f>
        <v>6467000</v>
      </c>
      <c r="L16" s="320">
        <f t="shared" si="6"/>
        <v>6467000</v>
      </c>
      <c r="M16" s="320"/>
      <c r="N16" s="320">
        <f t="shared" ref="N16" si="10">N17+N18+N19</f>
        <v>6912000</v>
      </c>
      <c r="O16" s="320">
        <f t="shared" si="8"/>
        <v>6912000</v>
      </c>
    </row>
    <row r="17" spans="1:15" ht="31.5" hidden="1" x14ac:dyDescent="0.2">
      <c r="A17" s="321" t="s">
        <v>20</v>
      </c>
      <c r="B17" s="321" t="s">
        <v>15</v>
      </c>
      <c r="C17" s="321" t="s">
        <v>28</v>
      </c>
      <c r="D17" s="321" t="s">
        <v>21</v>
      </c>
      <c r="E17" s="321" t="s">
        <v>14</v>
      </c>
      <c r="F17" s="321" t="s">
        <v>21</v>
      </c>
      <c r="G17" s="322" t="s">
        <v>17</v>
      </c>
      <c r="H17" s="322" t="s">
        <v>22</v>
      </c>
      <c r="I17" s="310" t="s">
        <v>30</v>
      </c>
      <c r="J17" s="323"/>
      <c r="K17" s="323"/>
      <c r="L17" s="323">
        <f>J17+K17</f>
        <v>0</v>
      </c>
      <c r="M17" s="323"/>
      <c r="N17" s="323"/>
      <c r="O17" s="323">
        <f t="shared" si="8"/>
        <v>0</v>
      </c>
    </row>
    <row r="18" spans="1:15" ht="31.5" x14ac:dyDescent="0.2">
      <c r="A18" s="321" t="s">
        <v>20</v>
      </c>
      <c r="B18" s="321" t="s">
        <v>15</v>
      </c>
      <c r="C18" s="321" t="s">
        <v>28</v>
      </c>
      <c r="D18" s="321" t="s">
        <v>24</v>
      </c>
      <c r="E18" s="321" t="s">
        <v>14</v>
      </c>
      <c r="F18" s="321" t="s">
        <v>18</v>
      </c>
      <c r="G18" s="322" t="s">
        <v>17</v>
      </c>
      <c r="H18" s="322" t="s">
        <v>22</v>
      </c>
      <c r="I18" s="310" t="s">
        <v>31</v>
      </c>
      <c r="J18" s="323"/>
      <c r="K18" s="323">
        <v>316000</v>
      </c>
      <c r="L18" s="323">
        <f t="shared" ref="L18:L19" si="11">J18+K18</f>
        <v>316000</v>
      </c>
      <c r="M18" s="323"/>
      <c r="N18" s="323">
        <v>435000</v>
      </c>
      <c r="O18" s="323">
        <f t="shared" si="8"/>
        <v>435000</v>
      </c>
    </row>
    <row r="19" spans="1:15" ht="47.25" x14ac:dyDescent="0.2">
      <c r="A19" s="321" t="s">
        <v>20</v>
      </c>
      <c r="B19" s="321" t="s">
        <v>15</v>
      </c>
      <c r="C19" s="321" t="s">
        <v>28</v>
      </c>
      <c r="D19" s="321" t="s">
        <v>32</v>
      </c>
      <c r="E19" s="321" t="s">
        <v>14</v>
      </c>
      <c r="F19" s="321" t="s">
        <v>21</v>
      </c>
      <c r="G19" s="322" t="s">
        <v>17</v>
      </c>
      <c r="H19" s="322" t="s">
        <v>22</v>
      </c>
      <c r="I19" s="310" t="s">
        <v>33</v>
      </c>
      <c r="J19" s="323"/>
      <c r="K19" s="323">
        <v>6151000</v>
      </c>
      <c r="L19" s="323">
        <f t="shared" si="11"/>
        <v>6151000</v>
      </c>
      <c r="M19" s="323"/>
      <c r="N19" s="323">
        <v>6477000</v>
      </c>
      <c r="O19" s="323">
        <f t="shared" si="8"/>
        <v>6477000</v>
      </c>
    </row>
    <row r="20" spans="1:15" ht="15.75" x14ac:dyDescent="0.2">
      <c r="A20" s="317" t="s">
        <v>14</v>
      </c>
      <c r="B20" s="317" t="s">
        <v>15</v>
      </c>
      <c r="C20" s="317" t="s">
        <v>34</v>
      </c>
      <c r="D20" s="317" t="s">
        <v>16</v>
      </c>
      <c r="E20" s="317" t="s">
        <v>14</v>
      </c>
      <c r="F20" s="317" t="s">
        <v>16</v>
      </c>
      <c r="G20" s="318" t="s">
        <v>17</v>
      </c>
      <c r="H20" s="318" t="s">
        <v>14</v>
      </c>
      <c r="I20" s="319" t="s">
        <v>35</v>
      </c>
      <c r="J20" s="320"/>
      <c r="K20" s="320">
        <f t="shared" ref="K20" si="12">K21+K22</f>
        <v>8397000</v>
      </c>
      <c r="L20" s="320">
        <f t="shared" si="6"/>
        <v>8397000</v>
      </c>
      <c r="M20" s="320"/>
      <c r="N20" s="320">
        <f t="shared" ref="N20" si="13">N21+N22</f>
        <v>8331000</v>
      </c>
      <c r="O20" s="320">
        <f t="shared" si="8"/>
        <v>8331000</v>
      </c>
    </row>
    <row r="21" spans="1:15" ht="46.5" customHeight="1" x14ac:dyDescent="0.2">
      <c r="A21" s="321" t="s">
        <v>20</v>
      </c>
      <c r="B21" s="321" t="s">
        <v>15</v>
      </c>
      <c r="C21" s="321" t="s">
        <v>34</v>
      </c>
      <c r="D21" s="321" t="s">
        <v>24</v>
      </c>
      <c r="E21" s="321" t="s">
        <v>14</v>
      </c>
      <c r="F21" s="321" t="s">
        <v>18</v>
      </c>
      <c r="G21" s="322" t="s">
        <v>17</v>
      </c>
      <c r="H21" s="322" t="s">
        <v>22</v>
      </c>
      <c r="I21" s="310" t="s">
        <v>36</v>
      </c>
      <c r="J21" s="323"/>
      <c r="K21" s="323">
        <v>8397000</v>
      </c>
      <c r="L21" s="323">
        <f>J21+K21</f>
        <v>8397000</v>
      </c>
      <c r="M21" s="323"/>
      <c r="N21" s="323">
        <v>8331000</v>
      </c>
      <c r="O21" s="323">
        <f t="shared" si="8"/>
        <v>8331000</v>
      </c>
    </row>
    <row r="22" spans="1:15" ht="62.25" hidden="1" customHeight="1" x14ac:dyDescent="0.2">
      <c r="A22" s="321" t="s">
        <v>1284</v>
      </c>
      <c r="B22" s="321" t="s">
        <v>15</v>
      </c>
      <c r="C22" s="321" t="s">
        <v>34</v>
      </c>
      <c r="D22" s="321" t="s">
        <v>38</v>
      </c>
      <c r="E22" s="321" t="s">
        <v>14</v>
      </c>
      <c r="F22" s="321" t="s">
        <v>18</v>
      </c>
      <c r="G22" s="322" t="s">
        <v>17</v>
      </c>
      <c r="H22" s="322" t="s">
        <v>22</v>
      </c>
      <c r="I22" s="310" t="s">
        <v>39</v>
      </c>
      <c r="J22" s="323"/>
      <c r="K22" s="323"/>
      <c r="L22" s="323">
        <f>J22+K22</f>
        <v>0</v>
      </c>
      <c r="M22" s="323"/>
      <c r="N22" s="323"/>
      <c r="O22" s="323">
        <f t="shared" si="8"/>
        <v>0</v>
      </c>
    </row>
    <row r="23" spans="1:15" ht="47.25" hidden="1" x14ac:dyDescent="0.2">
      <c r="A23" s="317" t="s">
        <v>20</v>
      </c>
      <c r="B23" s="317" t="s">
        <v>15</v>
      </c>
      <c r="C23" s="317" t="s">
        <v>40</v>
      </c>
      <c r="D23" s="317"/>
      <c r="E23" s="317" t="s">
        <v>41</v>
      </c>
      <c r="F23" s="317" t="s">
        <v>16</v>
      </c>
      <c r="G23" s="318" t="s">
        <v>17</v>
      </c>
      <c r="H23" s="318" t="s">
        <v>14</v>
      </c>
      <c r="I23" s="319" t="s">
        <v>42</v>
      </c>
      <c r="J23" s="320"/>
      <c r="K23" s="320">
        <v>0</v>
      </c>
      <c r="L23" s="323">
        <f t="shared" si="6"/>
        <v>0</v>
      </c>
      <c r="M23" s="320"/>
      <c r="N23" s="320">
        <v>0</v>
      </c>
      <c r="O23" s="323">
        <f t="shared" si="8"/>
        <v>0</v>
      </c>
    </row>
    <row r="24" spans="1:15" ht="63" x14ac:dyDescent="0.2">
      <c r="A24" s="317" t="s">
        <v>14</v>
      </c>
      <c r="B24" s="317" t="s">
        <v>15</v>
      </c>
      <c r="C24" s="317" t="s">
        <v>43</v>
      </c>
      <c r="D24" s="317" t="s">
        <v>16</v>
      </c>
      <c r="E24" s="317" t="s">
        <v>14</v>
      </c>
      <c r="F24" s="317" t="s">
        <v>16</v>
      </c>
      <c r="G24" s="318" t="s">
        <v>17</v>
      </c>
      <c r="H24" s="318" t="s">
        <v>14</v>
      </c>
      <c r="I24" s="319" t="s">
        <v>44</v>
      </c>
      <c r="J24" s="324"/>
      <c r="K24" s="324">
        <f t="shared" ref="K24" si="14">K25+K27</f>
        <v>8420000</v>
      </c>
      <c r="L24" s="320">
        <f t="shared" si="6"/>
        <v>8420000</v>
      </c>
      <c r="M24" s="324"/>
      <c r="N24" s="324">
        <f t="shared" ref="N24" si="15">N25+N27</f>
        <v>8450000</v>
      </c>
      <c r="O24" s="320">
        <f t="shared" si="8"/>
        <v>8450000</v>
      </c>
    </row>
    <row r="25" spans="1:15" ht="141.75" x14ac:dyDescent="0.2">
      <c r="A25" s="325" t="s">
        <v>45</v>
      </c>
      <c r="B25" s="325" t="s">
        <v>15</v>
      </c>
      <c r="C25" s="325" t="s">
        <v>43</v>
      </c>
      <c r="D25" s="325" t="s">
        <v>18</v>
      </c>
      <c r="E25" s="325" t="s">
        <v>14</v>
      </c>
      <c r="F25" s="325" t="s">
        <v>16</v>
      </c>
      <c r="G25" s="326" t="s">
        <v>17</v>
      </c>
      <c r="H25" s="326" t="s">
        <v>46</v>
      </c>
      <c r="I25" s="327" t="s">
        <v>47</v>
      </c>
      <c r="J25" s="328"/>
      <c r="K25" s="328">
        <f>K26</f>
        <v>70000</v>
      </c>
      <c r="L25" s="328">
        <f t="shared" ref="L25:O25" si="16">L26</f>
        <v>70000</v>
      </c>
      <c r="M25" s="328">
        <f t="shared" si="16"/>
        <v>0</v>
      </c>
      <c r="N25" s="328">
        <f t="shared" si="16"/>
        <v>100000</v>
      </c>
      <c r="O25" s="328">
        <f t="shared" si="16"/>
        <v>100000</v>
      </c>
    </row>
    <row r="26" spans="1:15" ht="157.5" x14ac:dyDescent="0.2">
      <c r="A26" s="321" t="s">
        <v>45</v>
      </c>
      <c r="B26" s="321" t="s">
        <v>15</v>
      </c>
      <c r="C26" s="321" t="s">
        <v>43</v>
      </c>
      <c r="D26" s="321" t="s">
        <v>18</v>
      </c>
      <c r="E26" s="321" t="s">
        <v>48</v>
      </c>
      <c r="F26" s="321" t="s">
        <v>28</v>
      </c>
      <c r="G26" s="322" t="s">
        <v>17</v>
      </c>
      <c r="H26" s="322" t="s">
        <v>46</v>
      </c>
      <c r="I26" s="310" t="s">
        <v>155</v>
      </c>
      <c r="J26" s="323"/>
      <c r="K26" s="323">
        <v>70000</v>
      </c>
      <c r="L26" s="323">
        <f>J26+K26</f>
        <v>70000</v>
      </c>
      <c r="M26" s="323"/>
      <c r="N26" s="323">
        <v>100000</v>
      </c>
      <c r="O26" s="323">
        <f t="shared" si="8"/>
        <v>100000</v>
      </c>
    </row>
    <row r="27" spans="1:15" ht="173.25" x14ac:dyDescent="0.2">
      <c r="A27" s="325" t="s">
        <v>14</v>
      </c>
      <c r="B27" s="325" t="s">
        <v>15</v>
      </c>
      <c r="C27" s="325" t="s">
        <v>43</v>
      </c>
      <c r="D27" s="325" t="s">
        <v>28</v>
      </c>
      <c r="E27" s="325" t="s">
        <v>14</v>
      </c>
      <c r="F27" s="325" t="s">
        <v>16</v>
      </c>
      <c r="G27" s="326" t="s">
        <v>17</v>
      </c>
      <c r="H27" s="326" t="s">
        <v>46</v>
      </c>
      <c r="I27" s="327" t="s">
        <v>50</v>
      </c>
      <c r="J27" s="329"/>
      <c r="K27" s="329">
        <f>K28+K29+K30</f>
        <v>8350000</v>
      </c>
      <c r="L27" s="329">
        <f t="shared" ref="L27:N27" si="17">L28+L29+L30</f>
        <v>8350000</v>
      </c>
      <c r="M27" s="329">
        <f t="shared" si="17"/>
        <v>0</v>
      </c>
      <c r="N27" s="329">
        <f t="shared" si="17"/>
        <v>8350000</v>
      </c>
      <c r="O27" s="323">
        <f t="shared" si="8"/>
        <v>8350000</v>
      </c>
    </row>
    <row r="28" spans="1:15" ht="189" x14ac:dyDescent="0.2">
      <c r="A28" s="321" t="s">
        <v>45</v>
      </c>
      <c r="B28" s="321" t="s">
        <v>15</v>
      </c>
      <c r="C28" s="321" t="s">
        <v>43</v>
      </c>
      <c r="D28" s="321" t="s">
        <v>28</v>
      </c>
      <c r="E28" s="321" t="s">
        <v>69</v>
      </c>
      <c r="F28" s="321" t="s">
        <v>28</v>
      </c>
      <c r="G28" s="322" t="s">
        <v>17</v>
      </c>
      <c r="H28" s="322" t="s">
        <v>46</v>
      </c>
      <c r="I28" s="310" t="s">
        <v>1230</v>
      </c>
      <c r="J28" s="323"/>
      <c r="K28" s="323">
        <v>3600000</v>
      </c>
      <c r="L28" s="323">
        <f>J28+K28</f>
        <v>3600000</v>
      </c>
      <c r="M28" s="323"/>
      <c r="N28" s="329">
        <v>3600000</v>
      </c>
      <c r="O28" s="323">
        <f t="shared" si="8"/>
        <v>3600000</v>
      </c>
    </row>
    <row r="29" spans="1:15" ht="157.5" x14ac:dyDescent="0.2">
      <c r="A29" s="321" t="s">
        <v>45</v>
      </c>
      <c r="B29" s="321" t="s">
        <v>15</v>
      </c>
      <c r="C29" s="321" t="s">
        <v>43</v>
      </c>
      <c r="D29" s="321" t="s">
        <v>28</v>
      </c>
      <c r="E29" s="321" t="s">
        <v>69</v>
      </c>
      <c r="F29" s="321" t="s">
        <v>58</v>
      </c>
      <c r="G29" s="322" t="s">
        <v>17</v>
      </c>
      <c r="H29" s="322" t="s">
        <v>46</v>
      </c>
      <c r="I29" s="310" t="s">
        <v>1882</v>
      </c>
      <c r="J29" s="323"/>
      <c r="K29" s="323">
        <v>3250000</v>
      </c>
      <c r="L29" s="323">
        <f t="shared" ref="L29:L30" si="18">J29+K29</f>
        <v>3250000</v>
      </c>
      <c r="M29" s="323"/>
      <c r="N29" s="323">
        <v>3250000</v>
      </c>
      <c r="O29" s="323">
        <f t="shared" si="8"/>
        <v>3250000</v>
      </c>
    </row>
    <row r="30" spans="1:15" ht="63" x14ac:dyDescent="0.2">
      <c r="A30" s="321" t="s">
        <v>45</v>
      </c>
      <c r="B30" s="321" t="s">
        <v>15</v>
      </c>
      <c r="C30" s="321" t="s">
        <v>43</v>
      </c>
      <c r="D30" s="321" t="s">
        <v>28</v>
      </c>
      <c r="E30" s="321" t="s">
        <v>51</v>
      </c>
      <c r="F30" s="321" t="s">
        <v>28</v>
      </c>
      <c r="G30" s="322" t="s">
        <v>17</v>
      </c>
      <c r="H30" s="322" t="s">
        <v>46</v>
      </c>
      <c r="I30" s="310" t="s">
        <v>52</v>
      </c>
      <c r="J30" s="323"/>
      <c r="K30" s="323">
        <v>1500000</v>
      </c>
      <c r="L30" s="323">
        <f t="shared" si="18"/>
        <v>1500000</v>
      </c>
      <c r="M30" s="323"/>
      <c r="N30" s="323">
        <v>1500000</v>
      </c>
      <c r="O30" s="323">
        <f t="shared" si="8"/>
        <v>1500000</v>
      </c>
    </row>
    <row r="31" spans="1:15" ht="31.5" x14ac:dyDescent="0.2">
      <c r="A31" s="317" t="s">
        <v>14</v>
      </c>
      <c r="B31" s="317" t="s">
        <v>15</v>
      </c>
      <c r="C31" s="317" t="s">
        <v>53</v>
      </c>
      <c r="D31" s="317" t="s">
        <v>16</v>
      </c>
      <c r="E31" s="317" t="s">
        <v>14</v>
      </c>
      <c r="F31" s="317" t="s">
        <v>16</v>
      </c>
      <c r="G31" s="318" t="s">
        <v>17</v>
      </c>
      <c r="H31" s="318" t="s">
        <v>14</v>
      </c>
      <c r="I31" s="319" t="s">
        <v>54</v>
      </c>
      <c r="J31" s="324"/>
      <c r="K31" s="324">
        <f t="shared" ref="K31" si="19">K32+K33</f>
        <v>2593000</v>
      </c>
      <c r="L31" s="320">
        <f t="shared" si="6"/>
        <v>2593000</v>
      </c>
      <c r="M31" s="324"/>
      <c r="N31" s="324">
        <f t="shared" ref="N31" si="20">N32+N33</f>
        <v>1503000</v>
      </c>
      <c r="O31" s="320">
        <f t="shared" si="8"/>
        <v>1503000</v>
      </c>
    </row>
    <row r="32" spans="1:15" ht="30" customHeight="1" x14ac:dyDescent="0.2">
      <c r="A32" s="321" t="s">
        <v>156</v>
      </c>
      <c r="B32" s="321" t="s">
        <v>15</v>
      </c>
      <c r="C32" s="321" t="s">
        <v>53</v>
      </c>
      <c r="D32" s="321" t="s">
        <v>18</v>
      </c>
      <c r="E32" s="321" t="s">
        <v>14</v>
      </c>
      <c r="F32" s="321" t="s">
        <v>18</v>
      </c>
      <c r="G32" s="322" t="s">
        <v>17</v>
      </c>
      <c r="H32" s="322" t="s">
        <v>46</v>
      </c>
      <c r="I32" s="310" t="s">
        <v>55</v>
      </c>
      <c r="J32" s="323"/>
      <c r="K32" s="323">
        <v>2593000</v>
      </c>
      <c r="L32" s="323">
        <f>J32+K32</f>
        <v>2593000</v>
      </c>
      <c r="M32" s="323"/>
      <c r="N32" s="323">
        <v>1503000</v>
      </c>
      <c r="O32" s="323">
        <f t="shared" si="8"/>
        <v>1503000</v>
      </c>
    </row>
    <row r="33" spans="1:15" ht="78.75" hidden="1" x14ac:dyDescent="0.2">
      <c r="A33" s="321" t="s">
        <v>20</v>
      </c>
      <c r="B33" s="321" t="s">
        <v>15</v>
      </c>
      <c r="C33" s="321" t="s">
        <v>53</v>
      </c>
      <c r="D33" s="321"/>
      <c r="E33" s="321" t="s">
        <v>56</v>
      </c>
      <c r="F33" s="321" t="s">
        <v>18</v>
      </c>
      <c r="G33" s="322" t="s">
        <v>17</v>
      </c>
      <c r="H33" s="322" t="s">
        <v>46</v>
      </c>
      <c r="I33" s="310" t="s">
        <v>57</v>
      </c>
      <c r="J33" s="323"/>
      <c r="K33" s="323">
        <v>0</v>
      </c>
      <c r="L33" s="323">
        <f t="shared" si="6"/>
        <v>0</v>
      </c>
      <c r="M33" s="323"/>
      <c r="N33" s="323">
        <v>0</v>
      </c>
      <c r="O33" s="323">
        <f t="shared" si="8"/>
        <v>0</v>
      </c>
    </row>
    <row r="34" spans="1:15" ht="47.25" x14ac:dyDescent="0.2">
      <c r="A34" s="317" t="s">
        <v>14</v>
      </c>
      <c r="B34" s="317" t="s">
        <v>15</v>
      </c>
      <c r="C34" s="317" t="s">
        <v>58</v>
      </c>
      <c r="D34" s="317" t="s">
        <v>16</v>
      </c>
      <c r="E34" s="317" t="s">
        <v>14</v>
      </c>
      <c r="F34" s="317" t="s">
        <v>16</v>
      </c>
      <c r="G34" s="318" t="s">
        <v>17</v>
      </c>
      <c r="H34" s="318" t="s">
        <v>59</v>
      </c>
      <c r="I34" s="319" t="s">
        <v>60</v>
      </c>
      <c r="J34" s="320"/>
      <c r="K34" s="320">
        <f t="shared" ref="K34" si="21">K35</f>
        <v>59285000</v>
      </c>
      <c r="L34" s="320">
        <f t="shared" si="6"/>
        <v>59285000</v>
      </c>
      <c r="M34" s="320"/>
      <c r="N34" s="320">
        <f t="shared" ref="N34" si="22">N35</f>
        <v>59290000</v>
      </c>
      <c r="O34" s="320">
        <f t="shared" si="8"/>
        <v>59290000</v>
      </c>
    </row>
    <row r="35" spans="1:15" ht="47.25" x14ac:dyDescent="0.2">
      <c r="A35" s="321" t="s">
        <v>14</v>
      </c>
      <c r="B35" s="321" t="s">
        <v>15</v>
      </c>
      <c r="C35" s="321" t="s">
        <v>58</v>
      </c>
      <c r="D35" s="321" t="s">
        <v>18</v>
      </c>
      <c r="E35" s="321" t="s">
        <v>61</v>
      </c>
      <c r="F35" s="321" t="s">
        <v>28</v>
      </c>
      <c r="G35" s="322" t="s">
        <v>17</v>
      </c>
      <c r="H35" s="322" t="s">
        <v>59</v>
      </c>
      <c r="I35" s="310" t="s">
        <v>62</v>
      </c>
      <c r="J35" s="323"/>
      <c r="K35" s="323">
        <v>59285000</v>
      </c>
      <c r="L35" s="323">
        <f>J35+K35</f>
        <v>59285000</v>
      </c>
      <c r="M35" s="323"/>
      <c r="N35" s="323">
        <v>59290000</v>
      </c>
      <c r="O35" s="323">
        <f t="shared" si="8"/>
        <v>59290000</v>
      </c>
    </row>
    <row r="36" spans="1:15" ht="47.25" x14ac:dyDescent="0.2">
      <c r="A36" s="317" t="s">
        <v>14</v>
      </c>
      <c r="B36" s="317" t="s">
        <v>15</v>
      </c>
      <c r="C36" s="317" t="s">
        <v>63</v>
      </c>
      <c r="D36" s="317" t="s">
        <v>16</v>
      </c>
      <c r="E36" s="317" t="s">
        <v>14</v>
      </c>
      <c r="F36" s="317" t="s">
        <v>16</v>
      </c>
      <c r="G36" s="318" t="s">
        <v>17</v>
      </c>
      <c r="H36" s="318" t="s">
        <v>14</v>
      </c>
      <c r="I36" s="319" t="s">
        <v>64</v>
      </c>
      <c r="J36" s="324"/>
      <c r="K36" s="324">
        <f t="shared" ref="K36" si="23">K37+K38</f>
        <v>4075000</v>
      </c>
      <c r="L36" s="320">
        <f t="shared" si="6"/>
        <v>4075000</v>
      </c>
      <c r="M36" s="324"/>
      <c r="N36" s="324">
        <f t="shared" ref="N36" si="24">N37+N38</f>
        <v>3575000</v>
      </c>
      <c r="O36" s="320">
        <f t="shared" si="8"/>
        <v>3575000</v>
      </c>
    </row>
    <row r="37" spans="1:15" ht="132" customHeight="1" x14ac:dyDescent="0.2">
      <c r="A37" s="321" t="s">
        <v>14</v>
      </c>
      <c r="B37" s="321" t="s">
        <v>15</v>
      </c>
      <c r="C37" s="321" t="s">
        <v>63</v>
      </c>
      <c r="D37" s="321" t="s">
        <v>21</v>
      </c>
      <c r="E37" s="321" t="s">
        <v>14</v>
      </c>
      <c r="F37" s="321" t="s">
        <v>16</v>
      </c>
      <c r="G37" s="322" t="s">
        <v>17</v>
      </c>
      <c r="H37" s="322" t="s">
        <v>14</v>
      </c>
      <c r="I37" s="310" t="s">
        <v>65</v>
      </c>
      <c r="J37" s="323"/>
      <c r="K37" s="323">
        <v>2500000</v>
      </c>
      <c r="L37" s="323">
        <f>J37+K37</f>
        <v>2500000</v>
      </c>
      <c r="M37" s="323"/>
      <c r="N37" s="323">
        <v>2000000</v>
      </c>
      <c r="O37" s="323">
        <f t="shared" si="8"/>
        <v>2000000</v>
      </c>
    </row>
    <row r="38" spans="1:15" ht="63" x14ac:dyDescent="0.2">
      <c r="A38" s="321" t="s">
        <v>45</v>
      </c>
      <c r="B38" s="321" t="s">
        <v>15</v>
      </c>
      <c r="C38" s="321" t="s">
        <v>63</v>
      </c>
      <c r="D38" s="321" t="s">
        <v>66</v>
      </c>
      <c r="E38" s="321" t="s">
        <v>14</v>
      </c>
      <c r="F38" s="321" t="s">
        <v>16</v>
      </c>
      <c r="G38" s="322" t="s">
        <v>17</v>
      </c>
      <c r="H38" s="322" t="s">
        <v>67</v>
      </c>
      <c r="I38" s="310" t="s">
        <v>157</v>
      </c>
      <c r="J38" s="330"/>
      <c r="K38" s="330">
        <f>K39+K40+K41</f>
        <v>1575000</v>
      </c>
      <c r="L38" s="330">
        <f t="shared" ref="L38:N38" si="25">L39+L40+L41</f>
        <v>1575000</v>
      </c>
      <c r="M38" s="330">
        <f t="shared" si="25"/>
        <v>0</v>
      </c>
      <c r="N38" s="330">
        <f t="shared" si="25"/>
        <v>1575000</v>
      </c>
      <c r="O38" s="323">
        <f t="shared" si="8"/>
        <v>1575000</v>
      </c>
    </row>
    <row r="39" spans="1:15" ht="126" x14ac:dyDescent="0.2">
      <c r="A39" s="321" t="s">
        <v>45</v>
      </c>
      <c r="B39" s="321" t="s">
        <v>15</v>
      </c>
      <c r="C39" s="321" t="s">
        <v>63</v>
      </c>
      <c r="D39" s="321" t="s">
        <v>66</v>
      </c>
      <c r="E39" s="321" t="s">
        <v>69</v>
      </c>
      <c r="F39" s="321" t="s">
        <v>28</v>
      </c>
      <c r="G39" s="322" t="s">
        <v>17</v>
      </c>
      <c r="H39" s="322" t="s">
        <v>67</v>
      </c>
      <c r="I39" s="310" t="s">
        <v>1231</v>
      </c>
      <c r="J39" s="330"/>
      <c r="K39" s="330">
        <v>350000</v>
      </c>
      <c r="L39" s="323">
        <f t="shared" si="6"/>
        <v>350000</v>
      </c>
      <c r="M39" s="330"/>
      <c r="N39" s="330">
        <v>350000</v>
      </c>
      <c r="O39" s="323">
        <f t="shared" si="8"/>
        <v>350000</v>
      </c>
    </row>
    <row r="40" spans="1:15" ht="94.5" x14ac:dyDescent="0.2">
      <c r="A40" s="321" t="s">
        <v>45</v>
      </c>
      <c r="B40" s="321" t="s">
        <v>15</v>
      </c>
      <c r="C40" s="321" t="s">
        <v>63</v>
      </c>
      <c r="D40" s="321" t="s">
        <v>66</v>
      </c>
      <c r="E40" s="321" t="s">
        <v>69</v>
      </c>
      <c r="F40" s="321" t="s">
        <v>58</v>
      </c>
      <c r="G40" s="322" t="s">
        <v>17</v>
      </c>
      <c r="H40" s="322" t="s">
        <v>67</v>
      </c>
      <c r="I40" s="310" t="s">
        <v>71</v>
      </c>
      <c r="J40" s="323"/>
      <c r="K40" s="323">
        <v>225000</v>
      </c>
      <c r="L40" s="323">
        <f t="shared" si="6"/>
        <v>225000</v>
      </c>
      <c r="M40" s="323"/>
      <c r="N40" s="323">
        <v>225000</v>
      </c>
      <c r="O40" s="323">
        <f t="shared" si="8"/>
        <v>225000</v>
      </c>
    </row>
    <row r="41" spans="1:15" ht="110.25" x14ac:dyDescent="0.2">
      <c r="A41" s="321" t="s">
        <v>45</v>
      </c>
      <c r="B41" s="321" t="s">
        <v>15</v>
      </c>
      <c r="C41" s="321" t="s">
        <v>63</v>
      </c>
      <c r="D41" s="321" t="s">
        <v>66</v>
      </c>
      <c r="E41" s="321" t="s">
        <v>72</v>
      </c>
      <c r="F41" s="321" t="s">
        <v>28</v>
      </c>
      <c r="G41" s="322" t="s">
        <v>17</v>
      </c>
      <c r="H41" s="322" t="s">
        <v>67</v>
      </c>
      <c r="I41" s="310" t="s">
        <v>158</v>
      </c>
      <c r="J41" s="323"/>
      <c r="K41" s="323">
        <v>1000000</v>
      </c>
      <c r="L41" s="323">
        <f t="shared" si="6"/>
        <v>1000000</v>
      </c>
      <c r="M41" s="323"/>
      <c r="N41" s="323">
        <v>1000000</v>
      </c>
      <c r="O41" s="323">
        <f t="shared" si="8"/>
        <v>1000000</v>
      </c>
    </row>
    <row r="42" spans="1:15" ht="30.75" customHeight="1" x14ac:dyDescent="0.2">
      <c r="A42" s="317" t="s">
        <v>14</v>
      </c>
      <c r="B42" s="317" t="s">
        <v>15</v>
      </c>
      <c r="C42" s="317" t="s">
        <v>74</v>
      </c>
      <c r="D42" s="317" t="s">
        <v>16</v>
      </c>
      <c r="E42" s="317" t="s">
        <v>14</v>
      </c>
      <c r="F42" s="317" t="s">
        <v>16</v>
      </c>
      <c r="G42" s="318" t="s">
        <v>17</v>
      </c>
      <c r="H42" s="318" t="s">
        <v>14</v>
      </c>
      <c r="I42" s="319" t="s">
        <v>75</v>
      </c>
      <c r="J42" s="320"/>
      <c r="K42" s="320">
        <v>1687000</v>
      </c>
      <c r="L42" s="320">
        <f>J42+K42</f>
        <v>1687000</v>
      </c>
      <c r="M42" s="320"/>
      <c r="N42" s="320">
        <v>1687000</v>
      </c>
      <c r="O42" s="320">
        <f t="shared" si="8"/>
        <v>1687000</v>
      </c>
    </row>
    <row r="43" spans="1:15" ht="15.75" x14ac:dyDescent="0.2">
      <c r="A43" s="317" t="s">
        <v>14</v>
      </c>
      <c r="B43" s="317" t="s">
        <v>15</v>
      </c>
      <c r="C43" s="317" t="s">
        <v>76</v>
      </c>
      <c r="D43" s="317" t="s">
        <v>16</v>
      </c>
      <c r="E43" s="317" t="s">
        <v>14</v>
      </c>
      <c r="F43" s="317" t="s">
        <v>16</v>
      </c>
      <c r="G43" s="318" t="s">
        <v>17</v>
      </c>
      <c r="H43" s="318" t="s">
        <v>14</v>
      </c>
      <c r="I43" s="319" t="s">
        <v>77</v>
      </c>
      <c r="J43" s="320"/>
      <c r="K43" s="320">
        <v>380000</v>
      </c>
      <c r="L43" s="323">
        <f t="shared" si="6"/>
        <v>380000</v>
      </c>
      <c r="M43" s="320"/>
      <c r="N43" s="320">
        <v>390000</v>
      </c>
      <c r="O43" s="323">
        <f t="shared" si="8"/>
        <v>390000</v>
      </c>
    </row>
    <row r="44" spans="1:15" ht="15.75" x14ac:dyDescent="0.2">
      <c r="A44" s="317" t="s">
        <v>14</v>
      </c>
      <c r="B44" s="317" t="s">
        <v>78</v>
      </c>
      <c r="C44" s="317" t="s">
        <v>16</v>
      </c>
      <c r="D44" s="317" t="s">
        <v>16</v>
      </c>
      <c r="E44" s="317" t="s">
        <v>14</v>
      </c>
      <c r="F44" s="317" t="s">
        <v>16</v>
      </c>
      <c r="G44" s="331" t="s">
        <v>17</v>
      </c>
      <c r="H44" s="331" t="s">
        <v>14</v>
      </c>
      <c r="I44" s="332" t="s">
        <v>79</v>
      </c>
      <c r="J44" s="324"/>
      <c r="K44" s="324">
        <f t="shared" ref="K44:O44" si="26">K45</f>
        <v>1356268366</v>
      </c>
      <c r="L44" s="324">
        <f t="shared" si="26"/>
        <v>1356268366</v>
      </c>
      <c r="M44" s="324"/>
      <c r="N44" s="324">
        <f t="shared" si="26"/>
        <v>1280146717</v>
      </c>
      <c r="O44" s="324">
        <f t="shared" si="26"/>
        <v>1280146717</v>
      </c>
    </row>
    <row r="45" spans="1:15" ht="47.25" x14ac:dyDescent="0.2">
      <c r="A45" s="317" t="s">
        <v>14</v>
      </c>
      <c r="B45" s="317" t="s">
        <v>78</v>
      </c>
      <c r="C45" s="317" t="s">
        <v>21</v>
      </c>
      <c r="D45" s="317" t="s">
        <v>16</v>
      </c>
      <c r="E45" s="317" t="s">
        <v>14</v>
      </c>
      <c r="F45" s="317" t="s">
        <v>16</v>
      </c>
      <c r="G45" s="331" t="s">
        <v>17</v>
      </c>
      <c r="H45" s="331" t="s">
        <v>14</v>
      </c>
      <c r="I45" s="332" t="s">
        <v>80</v>
      </c>
      <c r="J45" s="324"/>
      <c r="K45" s="324">
        <f>K46+K48+K57+K102</f>
        <v>1356268366</v>
      </c>
      <c r="L45" s="324">
        <f t="shared" ref="L45:N45" si="27">L46+L48+L57+L102</f>
        <v>1356268366</v>
      </c>
      <c r="M45" s="324">
        <f t="shared" si="27"/>
        <v>0</v>
      </c>
      <c r="N45" s="324">
        <f t="shared" si="27"/>
        <v>1280146717</v>
      </c>
      <c r="O45" s="324">
        <f>O46+O48+O57+O102</f>
        <v>1280146717</v>
      </c>
    </row>
    <row r="46" spans="1:15" ht="47.25" x14ac:dyDescent="0.2">
      <c r="A46" s="317" t="s">
        <v>83</v>
      </c>
      <c r="B46" s="317" t="s">
        <v>78</v>
      </c>
      <c r="C46" s="317" t="s">
        <v>21</v>
      </c>
      <c r="D46" s="317" t="s">
        <v>70</v>
      </c>
      <c r="E46" s="317" t="s">
        <v>14</v>
      </c>
      <c r="F46" s="317" t="s">
        <v>16</v>
      </c>
      <c r="G46" s="331" t="s">
        <v>17</v>
      </c>
      <c r="H46" s="331" t="s">
        <v>1285</v>
      </c>
      <c r="I46" s="332" t="s">
        <v>82</v>
      </c>
      <c r="J46" s="324"/>
      <c r="K46" s="324">
        <f>K47</f>
        <v>297110000</v>
      </c>
      <c r="L46" s="324">
        <f>J46+K46</f>
        <v>297110000</v>
      </c>
      <c r="M46" s="324"/>
      <c r="N46" s="324">
        <f>N47</f>
        <v>111352000</v>
      </c>
      <c r="O46" s="324">
        <f>M46+N46</f>
        <v>111352000</v>
      </c>
    </row>
    <row r="47" spans="1:15" ht="63" x14ac:dyDescent="0.2">
      <c r="A47" s="321" t="s">
        <v>83</v>
      </c>
      <c r="B47" s="321" t="s">
        <v>78</v>
      </c>
      <c r="C47" s="321" t="s">
        <v>21</v>
      </c>
      <c r="D47" s="321" t="s">
        <v>754</v>
      </c>
      <c r="E47" s="321" t="s">
        <v>84</v>
      </c>
      <c r="F47" s="321" t="s">
        <v>28</v>
      </c>
      <c r="G47" s="333" t="s">
        <v>17</v>
      </c>
      <c r="H47" s="333" t="s">
        <v>1285</v>
      </c>
      <c r="I47" s="334" t="s">
        <v>85</v>
      </c>
      <c r="J47" s="323"/>
      <c r="K47" s="323">
        <v>297110000</v>
      </c>
      <c r="L47" s="323">
        <f>J47+K47</f>
        <v>297110000</v>
      </c>
      <c r="M47" s="323"/>
      <c r="N47" s="323">
        <v>111352000</v>
      </c>
      <c r="O47" s="323">
        <f t="shared" si="8"/>
        <v>111352000</v>
      </c>
    </row>
    <row r="48" spans="1:15" ht="63" x14ac:dyDescent="0.2">
      <c r="A48" s="317" t="s">
        <v>14</v>
      </c>
      <c r="B48" s="317" t="s">
        <v>78</v>
      </c>
      <c r="C48" s="317" t="s">
        <v>21</v>
      </c>
      <c r="D48" s="317" t="s">
        <v>1166</v>
      </c>
      <c r="E48" s="317" t="s">
        <v>14</v>
      </c>
      <c r="F48" s="317" t="s">
        <v>16</v>
      </c>
      <c r="G48" s="331" t="s">
        <v>17</v>
      </c>
      <c r="H48" s="331" t="s">
        <v>1285</v>
      </c>
      <c r="I48" s="332" t="s">
        <v>87</v>
      </c>
      <c r="J48" s="452"/>
      <c r="K48" s="883">
        <f>SUM(K49:K56)</f>
        <v>63064051</v>
      </c>
      <c r="L48" s="883">
        <f t="shared" ref="L48:O48" si="28">SUM(L49:L56)</f>
        <v>63064051</v>
      </c>
      <c r="M48" s="883">
        <f t="shared" si="28"/>
        <v>0</v>
      </c>
      <c r="N48" s="883">
        <f t="shared" si="28"/>
        <v>69003501</v>
      </c>
      <c r="O48" s="883">
        <f t="shared" si="28"/>
        <v>69003501</v>
      </c>
    </row>
    <row r="49" spans="1:15" ht="31.5" x14ac:dyDescent="0.2">
      <c r="A49" s="321" t="s">
        <v>37</v>
      </c>
      <c r="B49" s="321" t="s">
        <v>78</v>
      </c>
      <c r="C49" s="321" t="s">
        <v>21</v>
      </c>
      <c r="D49" s="321" t="s">
        <v>1166</v>
      </c>
      <c r="E49" s="321" t="s">
        <v>89</v>
      </c>
      <c r="F49" s="321" t="s">
        <v>28</v>
      </c>
      <c r="G49" s="333" t="s">
        <v>17</v>
      </c>
      <c r="H49" s="333" t="s">
        <v>81</v>
      </c>
      <c r="I49" s="334" t="s">
        <v>90</v>
      </c>
      <c r="J49" s="323"/>
      <c r="K49" s="885">
        <v>10771487</v>
      </c>
      <c r="L49" s="355">
        <f t="shared" si="6"/>
        <v>10771487</v>
      </c>
      <c r="M49" s="355"/>
      <c r="N49" s="885">
        <v>10771487</v>
      </c>
      <c r="O49" s="323">
        <f t="shared" si="8"/>
        <v>10771487</v>
      </c>
    </row>
    <row r="50" spans="1:15" ht="110.25" hidden="1" x14ac:dyDescent="0.2">
      <c r="A50" s="23" t="s">
        <v>37</v>
      </c>
      <c r="B50" s="23" t="s">
        <v>78</v>
      </c>
      <c r="C50" s="23" t="s">
        <v>21</v>
      </c>
      <c r="D50" s="23" t="s">
        <v>1167</v>
      </c>
      <c r="E50" s="23" t="s">
        <v>93</v>
      </c>
      <c r="F50" s="23" t="s">
        <v>28</v>
      </c>
      <c r="G50" s="29" t="s">
        <v>1585</v>
      </c>
      <c r="H50" s="29" t="s">
        <v>1285</v>
      </c>
      <c r="I50" s="35" t="s">
        <v>441</v>
      </c>
      <c r="J50" s="323"/>
      <c r="K50" s="879"/>
      <c r="L50" s="878">
        <f t="shared" si="6"/>
        <v>0</v>
      </c>
      <c r="M50" s="878"/>
      <c r="N50" s="880"/>
      <c r="O50" s="323">
        <f t="shared" si="8"/>
        <v>0</v>
      </c>
    </row>
    <row r="51" spans="1:15" ht="47.25" x14ac:dyDescent="0.2">
      <c r="A51" s="31" t="s">
        <v>37</v>
      </c>
      <c r="B51" s="31" t="s">
        <v>78</v>
      </c>
      <c r="C51" s="31" t="s">
        <v>21</v>
      </c>
      <c r="D51" s="31" t="s">
        <v>1166</v>
      </c>
      <c r="E51" s="31" t="s">
        <v>1221</v>
      </c>
      <c r="F51" s="31" t="s">
        <v>28</v>
      </c>
      <c r="G51" s="32" t="s">
        <v>17</v>
      </c>
      <c r="H51" s="32" t="s">
        <v>1285</v>
      </c>
      <c r="I51" s="334" t="s">
        <v>1290</v>
      </c>
      <c r="J51" s="323"/>
      <c r="K51" s="355">
        <v>0</v>
      </c>
      <c r="L51" s="355">
        <f t="shared" si="6"/>
        <v>0</v>
      </c>
      <c r="M51" s="355"/>
      <c r="N51" s="355">
        <v>13163000</v>
      </c>
      <c r="O51" s="323">
        <f t="shared" si="8"/>
        <v>13163000</v>
      </c>
    </row>
    <row r="52" spans="1:15" ht="129" customHeight="1" x14ac:dyDescent="0.2">
      <c r="A52" s="23" t="s">
        <v>94</v>
      </c>
      <c r="B52" s="23" t="s">
        <v>78</v>
      </c>
      <c r="C52" s="23" t="s">
        <v>21</v>
      </c>
      <c r="D52" s="23" t="s">
        <v>1650</v>
      </c>
      <c r="E52" s="23" t="s">
        <v>1651</v>
      </c>
      <c r="F52" s="23" t="s">
        <v>28</v>
      </c>
      <c r="G52" s="29" t="s">
        <v>17</v>
      </c>
      <c r="H52" s="29" t="s">
        <v>1285</v>
      </c>
      <c r="I52" s="35" t="s">
        <v>1652</v>
      </c>
      <c r="J52" s="19"/>
      <c r="K52" s="884">
        <v>0</v>
      </c>
      <c r="L52" s="355">
        <f t="shared" si="6"/>
        <v>0</v>
      </c>
      <c r="M52" s="355"/>
      <c r="N52" s="355">
        <v>1608883</v>
      </c>
      <c r="O52" s="323">
        <f t="shared" si="8"/>
        <v>1608883</v>
      </c>
    </row>
    <row r="53" spans="1:15" ht="78.75" x14ac:dyDescent="0.2">
      <c r="A53" s="321" t="s">
        <v>94</v>
      </c>
      <c r="B53" s="321" t="s">
        <v>78</v>
      </c>
      <c r="C53" s="321" t="s">
        <v>21</v>
      </c>
      <c r="D53" s="321" t="s">
        <v>1167</v>
      </c>
      <c r="E53" s="321" t="s">
        <v>93</v>
      </c>
      <c r="F53" s="321" t="s">
        <v>28</v>
      </c>
      <c r="G53" s="333" t="s">
        <v>1220</v>
      </c>
      <c r="H53" s="333" t="s">
        <v>1285</v>
      </c>
      <c r="I53" s="335" t="s">
        <v>95</v>
      </c>
      <c r="J53" s="323"/>
      <c r="K53" s="355">
        <v>739692</v>
      </c>
      <c r="L53" s="355">
        <f t="shared" si="6"/>
        <v>739692</v>
      </c>
      <c r="M53" s="355"/>
      <c r="N53" s="355">
        <v>739692</v>
      </c>
      <c r="O53" s="323">
        <f t="shared" si="8"/>
        <v>739692</v>
      </c>
    </row>
    <row r="54" spans="1:15" ht="63" x14ac:dyDescent="0.2">
      <c r="A54" s="321" t="s">
        <v>94</v>
      </c>
      <c r="B54" s="23" t="s">
        <v>78</v>
      </c>
      <c r="C54" s="23" t="s">
        <v>21</v>
      </c>
      <c r="D54" s="23" t="s">
        <v>1167</v>
      </c>
      <c r="E54" s="23" t="s">
        <v>93</v>
      </c>
      <c r="F54" s="23" t="s">
        <v>28</v>
      </c>
      <c r="G54" s="333" t="s">
        <v>1288</v>
      </c>
      <c r="H54" s="29" t="s">
        <v>1285</v>
      </c>
      <c r="I54" s="30" t="s">
        <v>1287</v>
      </c>
      <c r="J54" s="323"/>
      <c r="K54" s="355">
        <v>10006029</v>
      </c>
      <c r="L54" s="355">
        <f t="shared" si="6"/>
        <v>10006029</v>
      </c>
      <c r="M54" s="355"/>
      <c r="N54" s="355">
        <v>10006029</v>
      </c>
      <c r="O54" s="355">
        <f t="shared" si="8"/>
        <v>10006029</v>
      </c>
    </row>
    <row r="55" spans="1:15" ht="47.25" x14ac:dyDescent="0.2">
      <c r="A55" s="321" t="s">
        <v>92</v>
      </c>
      <c r="B55" s="23" t="s">
        <v>78</v>
      </c>
      <c r="C55" s="23" t="s">
        <v>21</v>
      </c>
      <c r="D55" s="23" t="s">
        <v>1167</v>
      </c>
      <c r="E55" s="23" t="s">
        <v>93</v>
      </c>
      <c r="F55" s="23" t="s">
        <v>28</v>
      </c>
      <c r="G55" s="333" t="s">
        <v>1286</v>
      </c>
      <c r="H55" s="29" t="s">
        <v>1285</v>
      </c>
      <c r="I55" s="30" t="s">
        <v>1289</v>
      </c>
      <c r="J55" s="323"/>
      <c r="K55" s="355">
        <v>24649903</v>
      </c>
      <c r="L55" s="355">
        <f>SUM(J55:K55)</f>
        <v>24649903</v>
      </c>
      <c r="M55" s="355"/>
      <c r="N55" s="355">
        <v>24649903</v>
      </c>
      <c r="O55" s="323">
        <f t="shared" si="8"/>
        <v>24649903</v>
      </c>
    </row>
    <row r="56" spans="1:15" ht="94.5" x14ac:dyDescent="0.2">
      <c r="A56" s="321" t="s">
        <v>92</v>
      </c>
      <c r="B56" s="23" t="s">
        <v>78</v>
      </c>
      <c r="C56" s="23" t="s">
        <v>21</v>
      </c>
      <c r="D56" s="23" t="s">
        <v>1650</v>
      </c>
      <c r="E56" s="23" t="s">
        <v>1728</v>
      </c>
      <c r="F56" s="23" t="s">
        <v>28</v>
      </c>
      <c r="G56" s="653" t="s">
        <v>17</v>
      </c>
      <c r="H56" s="29" t="s">
        <v>1285</v>
      </c>
      <c r="I56" s="335" t="s">
        <v>1916</v>
      </c>
      <c r="J56" s="323"/>
      <c r="K56" s="355">
        <v>16896940</v>
      </c>
      <c r="L56" s="355">
        <f t="shared" si="6"/>
        <v>16896940</v>
      </c>
      <c r="M56" s="355"/>
      <c r="N56" s="355">
        <v>8064507</v>
      </c>
      <c r="O56" s="323">
        <f t="shared" si="8"/>
        <v>8064507</v>
      </c>
    </row>
    <row r="57" spans="1:15" ht="47.25" x14ac:dyDescent="0.2">
      <c r="A57" s="317" t="s">
        <v>14</v>
      </c>
      <c r="B57" s="317" t="s">
        <v>78</v>
      </c>
      <c r="C57" s="317" t="s">
        <v>21</v>
      </c>
      <c r="D57" s="317" t="s">
        <v>1172</v>
      </c>
      <c r="E57" s="317" t="s">
        <v>14</v>
      </c>
      <c r="F57" s="317" t="s">
        <v>16</v>
      </c>
      <c r="G57" s="331" t="s">
        <v>17</v>
      </c>
      <c r="H57" s="331" t="s">
        <v>1285</v>
      </c>
      <c r="I57" s="332" t="s">
        <v>97</v>
      </c>
      <c r="J57" s="324"/>
      <c r="K57" s="882">
        <f>SUM(K58:K101)</f>
        <v>980948814</v>
      </c>
      <c r="L57" s="882">
        <f t="shared" ref="L57:O57" si="29">SUM(L58:L101)</f>
        <v>980948814</v>
      </c>
      <c r="M57" s="882">
        <f t="shared" si="29"/>
        <v>0</v>
      </c>
      <c r="N57" s="882">
        <f t="shared" si="29"/>
        <v>1084645715</v>
      </c>
      <c r="O57" s="882">
        <f t="shared" si="29"/>
        <v>1084645715</v>
      </c>
    </row>
    <row r="58" spans="1:15" ht="63" x14ac:dyDescent="0.2">
      <c r="A58" s="321" t="s">
        <v>98</v>
      </c>
      <c r="B58" s="321" t="s">
        <v>78</v>
      </c>
      <c r="C58" s="321" t="s">
        <v>21</v>
      </c>
      <c r="D58" s="321" t="s">
        <v>1172</v>
      </c>
      <c r="E58" s="321" t="s">
        <v>1293</v>
      </c>
      <c r="F58" s="321" t="s">
        <v>28</v>
      </c>
      <c r="G58" s="333" t="s">
        <v>17</v>
      </c>
      <c r="H58" s="333" t="s">
        <v>1285</v>
      </c>
      <c r="I58" s="30" t="s">
        <v>102</v>
      </c>
      <c r="J58" s="330"/>
      <c r="K58" s="356">
        <v>19628000</v>
      </c>
      <c r="L58" s="355">
        <f>J58+K58</f>
        <v>19628000</v>
      </c>
      <c r="M58" s="356"/>
      <c r="N58" s="356">
        <v>25026000</v>
      </c>
      <c r="O58" s="355">
        <f>SUM(M58:N58)</f>
        <v>25026000</v>
      </c>
    </row>
    <row r="59" spans="1:15" ht="83.25" customHeight="1" x14ac:dyDescent="0.2">
      <c r="A59" s="321" t="s">
        <v>98</v>
      </c>
      <c r="B59" s="321" t="s">
        <v>78</v>
      </c>
      <c r="C59" s="321" t="s">
        <v>21</v>
      </c>
      <c r="D59" s="321" t="s">
        <v>1172</v>
      </c>
      <c r="E59" s="321" t="s">
        <v>103</v>
      </c>
      <c r="F59" s="321" t="s">
        <v>28</v>
      </c>
      <c r="G59" s="333" t="s">
        <v>1200</v>
      </c>
      <c r="H59" s="333" t="s">
        <v>1285</v>
      </c>
      <c r="I59" s="310" t="s">
        <v>106</v>
      </c>
      <c r="J59" s="355"/>
      <c r="K59" s="355">
        <v>83895</v>
      </c>
      <c r="L59" s="355">
        <f t="shared" ref="L59:L129" si="30">J59+K59</f>
        <v>83895</v>
      </c>
      <c r="M59" s="355"/>
      <c r="N59" s="355">
        <v>87253</v>
      </c>
      <c r="O59" s="355">
        <f>SUM(M59:N59)</f>
        <v>87253</v>
      </c>
    </row>
    <row r="60" spans="1:15" ht="47.25" x14ac:dyDescent="0.2">
      <c r="A60" s="321" t="s">
        <v>98</v>
      </c>
      <c r="B60" s="321" t="s">
        <v>78</v>
      </c>
      <c r="C60" s="321" t="s">
        <v>21</v>
      </c>
      <c r="D60" s="321" t="s">
        <v>1172</v>
      </c>
      <c r="E60" s="321" t="s">
        <v>103</v>
      </c>
      <c r="F60" s="321" t="s">
        <v>28</v>
      </c>
      <c r="G60" s="333" t="s">
        <v>1201</v>
      </c>
      <c r="H60" s="333" t="s">
        <v>1285</v>
      </c>
      <c r="I60" s="310" t="s">
        <v>1252</v>
      </c>
      <c r="J60" s="356"/>
      <c r="K60" s="356">
        <v>2366358</v>
      </c>
      <c r="L60" s="355">
        <f t="shared" si="30"/>
        <v>2366358</v>
      </c>
      <c r="M60" s="356"/>
      <c r="N60" s="356">
        <v>2460999</v>
      </c>
      <c r="O60" s="355">
        <f>SUM(M60:N60)</f>
        <v>2460999</v>
      </c>
    </row>
    <row r="61" spans="1:15" ht="94.5" x14ac:dyDescent="0.2">
      <c r="A61" s="321" t="s">
        <v>98</v>
      </c>
      <c r="B61" s="321" t="s">
        <v>78</v>
      </c>
      <c r="C61" s="321" t="s">
        <v>21</v>
      </c>
      <c r="D61" s="321" t="s">
        <v>1172</v>
      </c>
      <c r="E61" s="321" t="s">
        <v>103</v>
      </c>
      <c r="F61" s="321" t="s">
        <v>28</v>
      </c>
      <c r="G61" s="333" t="s">
        <v>1202</v>
      </c>
      <c r="H61" s="333" t="s">
        <v>1285</v>
      </c>
      <c r="I61" s="310" t="s">
        <v>107</v>
      </c>
      <c r="J61" s="356"/>
      <c r="K61" s="356">
        <v>48153000</v>
      </c>
      <c r="L61" s="355">
        <f t="shared" si="30"/>
        <v>48153000</v>
      </c>
      <c r="M61" s="356"/>
      <c r="N61" s="356">
        <v>62157000</v>
      </c>
      <c r="O61" s="355">
        <f>SUM(M61:N61)</f>
        <v>62157000</v>
      </c>
    </row>
    <row r="62" spans="1:15" ht="110.25" x14ac:dyDescent="0.2">
      <c r="A62" s="321" t="s">
        <v>94</v>
      </c>
      <c r="B62" s="321" t="s">
        <v>78</v>
      </c>
      <c r="C62" s="321" t="s">
        <v>21</v>
      </c>
      <c r="D62" s="321" t="s">
        <v>1172</v>
      </c>
      <c r="E62" s="321" t="s">
        <v>103</v>
      </c>
      <c r="F62" s="321" t="s">
        <v>28</v>
      </c>
      <c r="G62" s="333" t="s">
        <v>1217</v>
      </c>
      <c r="H62" s="333" t="s">
        <v>1285</v>
      </c>
      <c r="I62" s="310" t="s">
        <v>1257</v>
      </c>
      <c r="J62" s="356"/>
      <c r="K62" s="356">
        <v>4588650</v>
      </c>
      <c r="L62" s="355">
        <f t="shared" si="30"/>
        <v>4588650</v>
      </c>
      <c r="M62" s="356"/>
      <c r="N62" s="356">
        <v>4588650</v>
      </c>
      <c r="O62" s="355">
        <f t="shared" ref="O62:O64" si="31">SUM(M62:N62)</f>
        <v>4588650</v>
      </c>
    </row>
    <row r="63" spans="1:15" ht="63" x14ac:dyDescent="0.2">
      <c r="A63" s="321" t="s">
        <v>94</v>
      </c>
      <c r="B63" s="321" t="s">
        <v>78</v>
      </c>
      <c r="C63" s="321" t="s">
        <v>21</v>
      </c>
      <c r="D63" s="321" t="s">
        <v>1172</v>
      </c>
      <c r="E63" s="321" t="s">
        <v>103</v>
      </c>
      <c r="F63" s="321" t="s">
        <v>28</v>
      </c>
      <c r="G63" s="333" t="s">
        <v>1214</v>
      </c>
      <c r="H63" s="333" t="s">
        <v>1285</v>
      </c>
      <c r="I63" s="310" t="s">
        <v>118</v>
      </c>
      <c r="J63" s="356"/>
      <c r="K63" s="356">
        <v>133429</v>
      </c>
      <c r="L63" s="355">
        <f t="shared" si="30"/>
        <v>133429</v>
      </c>
      <c r="M63" s="356"/>
      <c r="N63" s="356">
        <v>133429</v>
      </c>
      <c r="O63" s="355">
        <f t="shared" si="31"/>
        <v>133429</v>
      </c>
    </row>
    <row r="64" spans="1:15" ht="96.75" customHeight="1" x14ac:dyDescent="0.2">
      <c r="A64" s="321" t="s">
        <v>94</v>
      </c>
      <c r="B64" s="321" t="s">
        <v>78</v>
      </c>
      <c r="C64" s="321" t="s">
        <v>21</v>
      </c>
      <c r="D64" s="321" t="s">
        <v>1172</v>
      </c>
      <c r="E64" s="321" t="s">
        <v>103</v>
      </c>
      <c r="F64" s="321" t="s">
        <v>28</v>
      </c>
      <c r="G64" s="333" t="s">
        <v>1212</v>
      </c>
      <c r="H64" s="333" t="s">
        <v>1285</v>
      </c>
      <c r="I64" s="310" t="s">
        <v>116</v>
      </c>
      <c r="J64" s="355"/>
      <c r="K64" s="355">
        <v>11368236</v>
      </c>
      <c r="L64" s="355">
        <f t="shared" si="30"/>
        <v>11368236</v>
      </c>
      <c r="M64" s="355"/>
      <c r="N64" s="355">
        <v>11368236</v>
      </c>
      <c r="O64" s="355">
        <f t="shared" si="31"/>
        <v>11368236</v>
      </c>
    </row>
    <row r="65" spans="1:15" ht="31.5" x14ac:dyDescent="0.2">
      <c r="A65" s="321" t="s">
        <v>94</v>
      </c>
      <c r="B65" s="321" t="s">
        <v>78</v>
      </c>
      <c r="C65" s="321" t="s">
        <v>21</v>
      </c>
      <c r="D65" s="321" t="s">
        <v>1172</v>
      </c>
      <c r="E65" s="321" t="s">
        <v>103</v>
      </c>
      <c r="F65" s="321" t="s">
        <v>28</v>
      </c>
      <c r="G65" s="333" t="s">
        <v>1210</v>
      </c>
      <c r="H65" s="333" t="s">
        <v>1285</v>
      </c>
      <c r="I65" s="310" t="s">
        <v>114</v>
      </c>
      <c r="J65" s="355"/>
      <c r="K65" s="355">
        <v>4369027</v>
      </c>
      <c r="L65" s="355">
        <f t="shared" si="30"/>
        <v>4369027</v>
      </c>
      <c r="M65" s="355"/>
      <c r="N65" s="355">
        <v>4369027</v>
      </c>
      <c r="O65" s="355">
        <f t="shared" si="8"/>
        <v>4369027</v>
      </c>
    </row>
    <row r="66" spans="1:15" ht="63" x14ac:dyDescent="0.2">
      <c r="A66" s="321" t="s">
        <v>94</v>
      </c>
      <c r="B66" s="321" t="s">
        <v>78</v>
      </c>
      <c r="C66" s="321" t="s">
        <v>21</v>
      </c>
      <c r="D66" s="321" t="s">
        <v>1172</v>
      </c>
      <c r="E66" s="321" t="s">
        <v>103</v>
      </c>
      <c r="F66" s="321" t="s">
        <v>28</v>
      </c>
      <c r="G66" s="333" t="s">
        <v>1197</v>
      </c>
      <c r="H66" s="333" t="s">
        <v>1285</v>
      </c>
      <c r="I66" s="310" t="s">
        <v>104</v>
      </c>
      <c r="J66" s="355"/>
      <c r="K66" s="355">
        <v>171168618</v>
      </c>
      <c r="L66" s="355">
        <f t="shared" si="30"/>
        <v>171168618</v>
      </c>
      <c r="M66" s="355"/>
      <c r="N66" s="355">
        <v>193497840</v>
      </c>
      <c r="O66" s="355">
        <f t="shared" si="8"/>
        <v>193497840</v>
      </c>
    </row>
    <row r="67" spans="1:15" ht="47.25" x14ac:dyDescent="0.2">
      <c r="A67" s="321" t="s">
        <v>94</v>
      </c>
      <c r="B67" s="321" t="s">
        <v>78</v>
      </c>
      <c r="C67" s="321" t="s">
        <v>21</v>
      </c>
      <c r="D67" s="321" t="s">
        <v>1172</v>
      </c>
      <c r="E67" s="321" t="s">
        <v>103</v>
      </c>
      <c r="F67" s="321" t="s">
        <v>28</v>
      </c>
      <c r="G67" s="333" t="s">
        <v>1211</v>
      </c>
      <c r="H67" s="333" t="s">
        <v>1285</v>
      </c>
      <c r="I67" s="310" t="s">
        <v>115</v>
      </c>
      <c r="J67" s="355"/>
      <c r="K67" s="355">
        <v>320513655</v>
      </c>
      <c r="L67" s="355">
        <f t="shared" si="30"/>
        <v>320513655</v>
      </c>
      <c r="M67" s="355"/>
      <c r="N67" s="355">
        <v>362325178</v>
      </c>
      <c r="O67" s="355">
        <f t="shared" si="8"/>
        <v>362325178</v>
      </c>
    </row>
    <row r="68" spans="1:15" ht="47.25" x14ac:dyDescent="0.2">
      <c r="A68" s="321" t="s">
        <v>94</v>
      </c>
      <c r="B68" s="321" t="s">
        <v>78</v>
      </c>
      <c r="C68" s="321" t="s">
        <v>21</v>
      </c>
      <c r="D68" s="321" t="s">
        <v>1172</v>
      </c>
      <c r="E68" s="321" t="s">
        <v>103</v>
      </c>
      <c r="F68" s="321" t="s">
        <v>28</v>
      </c>
      <c r="G68" s="333" t="s">
        <v>1198</v>
      </c>
      <c r="H68" s="333" t="s">
        <v>1285</v>
      </c>
      <c r="I68" s="310" t="s">
        <v>105</v>
      </c>
      <c r="J68" s="355"/>
      <c r="K68" s="355">
        <v>18445281</v>
      </c>
      <c r="L68" s="355">
        <f t="shared" si="30"/>
        <v>18445281</v>
      </c>
      <c r="M68" s="355"/>
      <c r="N68" s="355">
        <v>18445281</v>
      </c>
      <c r="O68" s="355">
        <f t="shared" si="8"/>
        <v>18445281</v>
      </c>
    </row>
    <row r="69" spans="1:15" ht="78.75" x14ac:dyDescent="0.2">
      <c r="A69" s="321" t="s">
        <v>94</v>
      </c>
      <c r="B69" s="321" t="s">
        <v>78</v>
      </c>
      <c r="C69" s="321" t="s">
        <v>21</v>
      </c>
      <c r="D69" s="321" t="s">
        <v>1172</v>
      </c>
      <c r="E69" s="321" t="s">
        <v>103</v>
      </c>
      <c r="F69" s="321" t="s">
        <v>28</v>
      </c>
      <c r="G69" s="333" t="s">
        <v>1215</v>
      </c>
      <c r="H69" s="333" t="s">
        <v>1285</v>
      </c>
      <c r="I69" s="310" t="s">
        <v>120</v>
      </c>
      <c r="J69" s="355"/>
      <c r="K69" s="355">
        <v>31124721</v>
      </c>
      <c r="L69" s="355">
        <f>J69+K69</f>
        <v>31124721</v>
      </c>
      <c r="M69" s="355"/>
      <c r="N69" s="355">
        <v>31124721</v>
      </c>
      <c r="O69" s="355">
        <f t="shared" si="8"/>
        <v>31124721</v>
      </c>
    </row>
    <row r="70" spans="1:15" ht="15.75" x14ac:dyDescent="0.2">
      <c r="A70" s="321" t="s">
        <v>98</v>
      </c>
      <c r="B70" s="321" t="s">
        <v>78</v>
      </c>
      <c r="C70" s="321" t="s">
        <v>21</v>
      </c>
      <c r="D70" s="321" t="s">
        <v>1172</v>
      </c>
      <c r="E70" s="321" t="s">
        <v>103</v>
      </c>
      <c r="F70" s="321" t="s">
        <v>28</v>
      </c>
      <c r="G70" s="333" t="s">
        <v>1206</v>
      </c>
      <c r="H70" s="333" t="s">
        <v>1285</v>
      </c>
      <c r="I70" s="310" t="s">
        <v>112</v>
      </c>
      <c r="J70" s="355"/>
      <c r="K70" s="355">
        <v>15499600</v>
      </c>
      <c r="L70" s="355">
        <f t="shared" si="30"/>
        <v>15499600</v>
      </c>
      <c r="M70" s="355"/>
      <c r="N70" s="355">
        <v>19759000</v>
      </c>
      <c r="O70" s="355">
        <f t="shared" si="8"/>
        <v>19759000</v>
      </c>
    </row>
    <row r="71" spans="1:15" ht="157.5" x14ac:dyDescent="0.2">
      <c r="A71" s="321" t="s">
        <v>98</v>
      </c>
      <c r="B71" s="321" t="s">
        <v>78</v>
      </c>
      <c r="C71" s="321" t="s">
        <v>21</v>
      </c>
      <c r="D71" s="321" t="s">
        <v>1172</v>
      </c>
      <c r="E71" s="321" t="s">
        <v>103</v>
      </c>
      <c r="F71" s="321" t="s">
        <v>28</v>
      </c>
      <c r="G71" s="333" t="s">
        <v>1213</v>
      </c>
      <c r="H71" s="333" t="s">
        <v>1285</v>
      </c>
      <c r="I71" s="310" t="s">
        <v>117</v>
      </c>
      <c r="J71" s="355"/>
      <c r="K71" s="355">
        <v>84501896</v>
      </c>
      <c r="L71" s="355">
        <f t="shared" si="30"/>
        <v>84501896</v>
      </c>
      <c r="M71" s="355"/>
      <c r="N71" s="355">
        <v>84501896</v>
      </c>
      <c r="O71" s="355">
        <f t="shared" si="8"/>
        <v>84501896</v>
      </c>
    </row>
    <row r="72" spans="1:15" ht="47.25" x14ac:dyDescent="0.2">
      <c r="A72" s="321" t="s">
        <v>98</v>
      </c>
      <c r="B72" s="321" t="s">
        <v>78</v>
      </c>
      <c r="C72" s="321" t="s">
        <v>21</v>
      </c>
      <c r="D72" s="321" t="s">
        <v>1172</v>
      </c>
      <c r="E72" s="321" t="s">
        <v>103</v>
      </c>
      <c r="F72" s="321" t="s">
        <v>28</v>
      </c>
      <c r="G72" s="333" t="s">
        <v>1207</v>
      </c>
      <c r="H72" s="333" t="s">
        <v>1285</v>
      </c>
      <c r="I72" s="310" t="s">
        <v>113</v>
      </c>
      <c r="J72" s="355"/>
      <c r="K72" s="355">
        <v>2067800</v>
      </c>
      <c r="L72" s="355">
        <f t="shared" si="30"/>
        <v>2067800</v>
      </c>
      <c r="M72" s="355"/>
      <c r="N72" s="355">
        <v>3072750</v>
      </c>
      <c r="O72" s="355">
        <f t="shared" si="8"/>
        <v>3072750</v>
      </c>
    </row>
    <row r="73" spans="1:15" ht="31.5" x14ac:dyDescent="0.2">
      <c r="A73" s="321" t="s">
        <v>98</v>
      </c>
      <c r="B73" s="321" t="s">
        <v>78</v>
      </c>
      <c r="C73" s="321" t="s">
        <v>21</v>
      </c>
      <c r="D73" s="321" t="s">
        <v>1172</v>
      </c>
      <c r="E73" s="321" t="s">
        <v>103</v>
      </c>
      <c r="F73" s="321" t="s">
        <v>28</v>
      </c>
      <c r="G73" s="333" t="s">
        <v>1208</v>
      </c>
      <c r="H73" s="333" t="s">
        <v>1285</v>
      </c>
      <c r="I73" s="310" t="s">
        <v>1908</v>
      </c>
      <c r="J73" s="355"/>
      <c r="K73" s="355">
        <v>21541000</v>
      </c>
      <c r="L73" s="355">
        <f t="shared" si="30"/>
        <v>21541000</v>
      </c>
      <c r="M73" s="355"/>
      <c r="N73" s="355">
        <v>27466000</v>
      </c>
      <c r="O73" s="355">
        <f t="shared" si="8"/>
        <v>27466000</v>
      </c>
    </row>
    <row r="74" spans="1:15" ht="94.5" x14ac:dyDescent="0.2">
      <c r="A74" s="321" t="s">
        <v>98</v>
      </c>
      <c r="B74" s="321" t="s">
        <v>78</v>
      </c>
      <c r="C74" s="321" t="s">
        <v>21</v>
      </c>
      <c r="D74" s="321" t="s">
        <v>1172</v>
      </c>
      <c r="E74" s="321" t="s">
        <v>103</v>
      </c>
      <c r="F74" s="321" t="s">
        <v>28</v>
      </c>
      <c r="G74" s="333" t="s">
        <v>1209</v>
      </c>
      <c r="H74" s="333" t="s">
        <v>1285</v>
      </c>
      <c r="I74" s="310" t="s">
        <v>1907</v>
      </c>
      <c r="J74" s="355"/>
      <c r="K74" s="355">
        <v>28162000</v>
      </c>
      <c r="L74" s="355">
        <f t="shared" si="30"/>
        <v>28162000</v>
      </c>
      <c r="M74" s="355"/>
      <c r="N74" s="355">
        <v>35907000</v>
      </c>
      <c r="O74" s="355">
        <f t="shared" si="8"/>
        <v>35907000</v>
      </c>
    </row>
    <row r="75" spans="1:15" ht="110.25" hidden="1" x14ac:dyDescent="0.2">
      <c r="A75" s="321" t="s">
        <v>37</v>
      </c>
      <c r="B75" s="321" t="s">
        <v>78</v>
      </c>
      <c r="C75" s="321" t="s">
        <v>21</v>
      </c>
      <c r="D75" s="321" t="s">
        <v>1172</v>
      </c>
      <c r="E75" s="321" t="s">
        <v>103</v>
      </c>
      <c r="F75" s="321" t="s">
        <v>28</v>
      </c>
      <c r="G75" s="333" t="s">
        <v>1219</v>
      </c>
      <c r="H75" s="333" t="s">
        <v>1285</v>
      </c>
      <c r="I75" s="310" t="s">
        <v>123</v>
      </c>
      <c r="J75" s="355"/>
      <c r="K75" s="878"/>
      <c r="L75" s="878">
        <f t="shared" si="30"/>
        <v>0</v>
      </c>
      <c r="M75" s="878"/>
      <c r="N75" s="878"/>
      <c r="O75" s="355">
        <f t="shared" si="8"/>
        <v>0</v>
      </c>
    </row>
    <row r="76" spans="1:15" ht="63" x14ac:dyDescent="0.2">
      <c r="A76" s="321" t="s">
        <v>37</v>
      </c>
      <c r="B76" s="321" t="s">
        <v>78</v>
      </c>
      <c r="C76" s="321" t="s">
        <v>21</v>
      </c>
      <c r="D76" s="321" t="s">
        <v>1172</v>
      </c>
      <c r="E76" s="321" t="s">
        <v>103</v>
      </c>
      <c r="F76" s="321" t="s">
        <v>28</v>
      </c>
      <c r="G76" s="333" t="s">
        <v>1218</v>
      </c>
      <c r="H76" s="333" t="s">
        <v>1285</v>
      </c>
      <c r="I76" s="310" t="s">
        <v>1902</v>
      </c>
      <c r="J76" s="355"/>
      <c r="K76" s="355">
        <v>756376</v>
      </c>
      <c r="L76" s="355">
        <f t="shared" si="30"/>
        <v>756376</v>
      </c>
      <c r="M76" s="355"/>
      <c r="N76" s="355">
        <v>756376</v>
      </c>
      <c r="O76" s="355">
        <f t="shared" si="8"/>
        <v>756376</v>
      </c>
    </row>
    <row r="77" spans="1:15" ht="78.75" x14ac:dyDescent="0.2">
      <c r="A77" s="336">
        <v>950</v>
      </c>
      <c r="B77" s="337" t="s">
        <v>78</v>
      </c>
      <c r="C77" s="337" t="s">
        <v>21</v>
      </c>
      <c r="D77" s="337" t="s">
        <v>1172</v>
      </c>
      <c r="E77" s="337" t="s">
        <v>103</v>
      </c>
      <c r="F77" s="337" t="s">
        <v>28</v>
      </c>
      <c r="G77" s="337" t="s">
        <v>1199</v>
      </c>
      <c r="H77" s="337" t="s">
        <v>1285</v>
      </c>
      <c r="I77" s="310" t="s">
        <v>108</v>
      </c>
      <c r="J77" s="355"/>
      <c r="K77" s="355">
        <v>2059810</v>
      </c>
      <c r="L77" s="355">
        <f t="shared" si="30"/>
        <v>2059810</v>
      </c>
      <c r="M77" s="355"/>
      <c r="N77" s="355">
        <v>2307812</v>
      </c>
      <c r="O77" s="355">
        <f t="shared" ref="O77:O135" si="32">SUM(M77:N77)</f>
        <v>2307812</v>
      </c>
    </row>
    <row r="78" spans="1:15" ht="63" x14ac:dyDescent="0.2">
      <c r="A78" s="321" t="s">
        <v>98</v>
      </c>
      <c r="B78" s="321" t="s">
        <v>78</v>
      </c>
      <c r="C78" s="321" t="s">
        <v>21</v>
      </c>
      <c r="D78" s="321" t="s">
        <v>1172</v>
      </c>
      <c r="E78" s="321" t="s">
        <v>103</v>
      </c>
      <c r="F78" s="321" t="s">
        <v>28</v>
      </c>
      <c r="G78" s="333" t="s">
        <v>1203</v>
      </c>
      <c r="H78" s="333" t="s">
        <v>1285</v>
      </c>
      <c r="I78" s="310" t="s">
        <v>109</v>
      </c>
      <c r="J78" s="355"/>
      <c r="K78" s="355">
        <v>16070520</v>
      </c>
      <c r="L78" s="355">
        <f t="shared" si="30"/>
        <v>16070520</v>
      </c>
      <c r="M78" s="355"/>
      <c r="N78" s="355">
        <v>16070520</v>
      </c>
      <c r="O78" s="355">
        <f t="shared" si="32"/>
        <v>16070520</v>
      </c>
    </row>
    <row r="79" spans="1:15" ht="47.25" x14ac:dyDescent="0.2">
      <c r="A79" s="321" t="s">
        <v>94</v>
      </c>
      <c r="B79" s="321" t="s">
        <v>78</v>
      </c>
      <c r="C79" s="321" t="s">
        <v>21</v>
      </c>
      <c r="D79" s="321" t="s">
        <v>1172</v>
      </c>
      <c r="E79" s="321" t="s">
        <v>103</v>
      </c>
      <c r="F79" s="321" t="s">
        <v>28</v>
      </c>
      <c r="G79" s="333" t="s">
        <v>1204</v>
      </c>
      <c r="H79" s="333" t="s">
        <v>1285</v>
      </c>
      <c r="I79" s="310" t="s">
        <v>110</v>
      </c>
      <c r="J79" s="355"/>
      <c r="K79" s="355">
        <v>4126692</v>
      </c>
      <c r="L79" s="355">
        <f t="shared" si="30"/>
        <v>4126692</v>
      </c>
      <c r="M79" s="355"/>
      <c r="N79" s="355">
        <v>4126692</v>
      </c>
      <c r="O79" s="355">
        <f t="shared" si="32"/>
        <v>4126692</v>
      </c>
    </row>
    <row r="80" spans="1:15" ht="67.7" customHeight="1" x14ac:dyDescent="0.2">
      <c r="A80" s="321" t="s">
        <v>37</v>
      </c>
      <c r="B80" s="321" t="s">
        <v>78</v>
      </c>
      <c r="C80" s="321" t="s">
        <v>21</v>
      </c>
      <c r="D80" s="321" t="s">
        <v>1172</v>
      </c>
      <c r="E80" s="321" t="s">
        <v>103</v>
      </c>
      <c r="F80" s="321" t="s">
        <v>28</v>
      </c>
      <c r="G80" s="333" t="s">
        <v>1205</v>
      </c>
      <c r="H80" s="333" t="s">
        <v>1285</v>
      </c>
      <c r="I80" s="310" t="s">
        <v>111</v>
      </c>
      <c r="J80" s="355"/>
      <c r="K80" s="355">
        <v>206632</v>
      </c>
      <c r="L80" s="355">
        <f t="shared" si="30"/>
        <v>206632</v>
      </c>
      <c r="M80" s="355"/>
      <c r="N80" s="355">
        <v>206632</v>
      </c>
      <c r="O80" s="355">
        <f t="shared" si="32"/>
        <v>206632</v>
      </c>
    </row>
    <row r="81" spans="1:15" ht="47.25" x14ac:dyDescent="0.2">
      <c r="A81" s="321" t="s">
        <v>94</v>
      </c>
      <c r="B81" s="321" t="s">
        <v>78</v>
      </c>
      <c r="C81" s="321" t="s">
        <v>21</v>
      </c>
      <c r="D81" s="321" t="s">
        <v>1172</v>
      </c>
      <c r="E81" s="321" t="s">
        <v>103</v>
      </c>
      <c r="F81" s="321" t="s">
        <v>28</v>
      </c>
      <c r="G81" s="333" t="s">
        <v>1216</v>
      </c>
      <c r="H81" s="333" t="s">
        <v>1285</v>
      </c>
      <c r="I81" s="310" t="s">
        <v>119</v>
      </c>
      <c r="J81" s="355"/>
      <c r="K81" s="355">
        <v>36808</v>
      </c>
      <c r="L81" s="355">
        <f t="shared" si="30"/>
        <v>36808</v>
      </c>
      <c r="M81" s="355"/>
      <c r="N81" s="355">
        <v>36808</v>
      </c>
      <c r="O81" s="355">
        <f t="shared" si="32"/>
        <v>36808</v>
      </c>
    </row>
    <row r="82" spans="1:15" ht="110.25" x14ac:dyDescent="0.2">
      <c r="A82" s="23" t="s">
        <v>98</v>
      </c>
      <c r="B82" s="23" t="s">
        <v>78</v>
      </c>
      <c r="C82" s="23" t="s">
        <v>21</v>
      </c>
      <c r="D82" s="23" t="s">
        <v>1172</v>
      </c>
      <c r="E82" s="23" t="s">
        <v>103</v>
      </c>
      <c r="F82" s="23" t="s">
        <v>28</v>
      </c>
      <c r="G82" s="29" t="s">
        <v>1254</v>
      </c>
      <c r="H82" s="29" t="s">
        <v>1285</v>
      </c>
      <c r="I82" s="18" t="s">
        <v>1659</v>
      </c>
      <c r="J82" s="355"/>
      <c r="K82" s="355">
        <v>616600</v>
      </c>
      <c r="L82" s="355">
        <f t="shared" si="30"/>
        <v>616600</v>
      </c>
      <c r="M82" s="355"/>
      <c r="N82" s="355">
        <v>624900</v>
      </c>
      <c r="O82" s="355">
        <f t="shared" si="32"/>
        <v>624900</v>
      </c>
    </row>
    <row r="83" spans="1:15" ht="110.25" x14ac:dyDescent="0.2">
      <c r="A83" s="23" t="s">
        <v>98</v>
      </c>
      <c r="B83" s="23" t="s">
        <v>78</v>
      </c>
      <c r="C83" s="23" t="s">
        <v>21</v>
      </c>
      <c r="D83" s="23" t="s">
        <v>1172</v>
      </c>
      <c r="E83" s="23" t="s">
        <v>103</v>
      </c>
      <c r="F83" s="23" t="s">
        <v>28</v>
      </c>
      <c r="G83" s="29" t="s">
        <v>1255</v>
      </c>
      <c r="H83" s="29" t="s">
        <v>1285</v>
      </c>
      <c r="I83" s="18" t="s">
        <v>1294</v>
      </c>
      <c r="J83" s="355"/>
      <c r="K83" s="355">
        <v>30317</v>
      </c>
      <c r="L83" s="355">
        <f t="shared" si="30"/>
        <v>30317</v>
      </c>
      <c r="M83" s="355"/>
      <c r="N83" s="355">
        <v>30317</v>
      </c>
      <c r="O83" s="355">
        <f t="shared" si="32"/>
        <v>30317</v>
      </c>
    </row>
    <row r="84" spans="1:15" ht="63" x14ac:dyDescent="0.2">
      <c r="A84" s="23" t="s">
        <v>98</v>
      </c>
      <c r="B84" s="23" t="s">
        <v>78</v>
      </c>
      <c r="C84" s="23" t="s">
        <v>21</v>
      </c>
      <c r="D84" s="23" t="s">
        <v>1172</v>
      </c>
      <c r="E84" s="23" t="s">
        <v>103</v>
      </c>
      <c r="F84" s="23" t="s">
        <v>28</v>
      </c>
      <c r="G84" s="29" t="s">
        <v>1842</v>
      </c>
      <c r="H84" s="29" t="s">
        <v>1285</v>
      </c>
      <c r="I84" s="845" t="s">
        <v>1903</v>
      </c>
      <c r="J84" s="355"/>
      <c r="K84" s="355">
        <v>270900</v>
      </c>
      <c r="L84" s="355">
        <f t="shared" si="30"/>
        <v>270900</v>
      </c>
      <c r="M84" s="355"/>
      <c r="N84" s="355">
        <v>270900</v>
      </c>
      <c r="O84" s="355">
        <f t="shared" si="32"/>
        <v>270900</v>
      </c>
    </row>
    <row r="85" spans="1:15" ht="94.5" x14ac:dyDescent="0.2">
      <c r="A85" s="23" t="s">
        <v>98</v>
      </c>
      <c r="B85" s="23" t="s">
        <v>78</v>
      </c>
      <c r="C85" s="23" t="s">
        <v>21</v>
      </c>
      <c r="D85" s="23" t="s">
        <v>1172</v>
      </c>
      <c r="E85" s="23" t="s">
        <v>103</v>
      </c>
      <c r="F85" s="23" t="s">
        <v>28</v>
      </c>
      <c r="G85" s="29" t="s">
        <v>1810</v>
      </c>
      <c r="H85" s="29" t="s">
        <v>1285</v>
      </c>
      <c r="I85" s="854" t="s">
        <v>1811</v>
      </c>
      <c r="J85" s="355"/>
      <c r="K85" s="355">
        <v>902639</v>
      </c>
      <c r="L85" s="355">
        <f t="shared" si="30"/>
        <v>902639</v>
      </c>
      <c r="M85" s="355"/>
      <c r="N85" s="355">
        <v>902639</v>
      </c>
      <c r="O85" s="355">
        <f t="shared" si="32"/>
        <v>902639</v>
      </c>
    </row>
    <row r="86" spans="1:15" ht="94.5" x14ac:dyDescent="0.2">
      <c r="A86" s="321" t="s">
        <v>98</v>
      </c>
      <c r="B86" s="321" t="s">
        <v>78</v>
      </c>
      <c r="C86" s="321" t="s">
        <v>21</v>
      </c>
      <c r="D86" s="321" t="s">
        <v>1168</v>
      </c>
      <c r="E86" s="321" t="s">
        <v>1253</v>
      </c>
      <c r="F86" s="321" t="s">
        <v>28</v>
      </c>
      <c r="G86" s="333" t="s">
        <v>17</v>
      </c>
      <c r="H86" s="333" t="s">
        <v>1285</v>
      </c>
      <c r="I86" s="310" t="s">
        <v>1658</v>
      </c>
      <c r="J86" s="355"/>
      <c r="K86" s="355">
        <v>12805582</v>
      </c>
      <c r="L86" s="355">
        <f t="shared" si="30"/>
        <v>12805582</v>
      </c>
      <c r="M86" s="355"/>
      <c r="N86" s="355">
        <v>12978630</v>
      </c>
      <c r="O86" s="355">
        <f t="shared" si="32"/>
        <v>12978630</v>
      </c>
    </row>
    <row r="87" spans="1:15" ht="126" x14ac:dyDescent="0.2">
      <c r="A87" s="23" t="s">
        <v>37</v>
      </c>
      <c r="B87" s="23" t="s">
        <v>78</v>
      </c>
      <c r="C87" s="23" t="s">
        <v>21</v>
      </c>
      <c r="D87" s="23" t="s">
        <v>1168</v>
      </c>
      <c r="E87" s="23" t="s">
        <v>46</v>
      </c>
      <c r="F87" s="23" t="s">
        <v>28</v>
      </c>
      <c r="G87" s="29" t="s">
        <v>17</v>
      </c>
      <c r="H87" s="29" t="s">
        <v>1285</v>
      </c>
      <c r="I87" s="18" t="s">
        <v>1179</v>
      </c>
      <c r="J87" s="356"/>
      <c r="K87" s="356">
        <v>40685</v>
      </c>
      <c r="L87" s="355">
        <f t="shared" si="30"/>
        <v>40685</v>
      </c>
      <c r="M87" s="356"/>
      <c r="N87" s="356">
        <v>2691</v>
      </c>
      <c r="O87" s="355">
        <f t="shared" ref="O87:O92" si="33">SUM(M87:N87)</f>
        <v>2691</v>
      </c>
    </row>
    <row r="88" spans="1:15" ht="117" customHeight="1" x14ac:dyDescent="0.2">
      <c r="A88" s="321" t="s">
        <v>98</v>
      </c>
      <c r="B88" s="321" t="s">
        <v>78</v>
      </c>
      <c r="C88" s="321" t="s">
        <v>21</v>
      </c>
      <c r="D88" s="321" t="s">
        <v>1168</v>
      </c>
      <c r="E88" s="321" t="s">
        <v>1176</v>
      </c>
      <c r="F88" s="321" t="s">
        <v>28</v>
      </c>
      <c r="G88" s="333" t="s">
        <v>17</v>
      </c>
      <c r="H88" s="333" t="s">
        <v>1285</v>
      </c>
      <c r="I88" s="310" t="s">
        <v>126</v>
      </c>
      <c r="J88" s="355"/>
      <c r="K88" s="355">
        <v>1728462</v>
      </c>
      <c r="L88" s="355">
        <f t="shared" si="30"/>
        <v>1728462</v>
      </c>
      <c r="M88" s="355"/>
      <c r="N88" s="355">
        <v>1728462</v>
      </c>
      <c r="O88" s="355">
        <f t="shared" si="33"/>
        <v>1728462</v>
      </c>
    </row>
    <row r="89" spans="1:15" ht="115.5" customHeight="1" x14ac:dyDescent="0.2">
      <c r="A89" s="321" t="s">
        <v>98</v>
      </c>
      <c r="B89" s="321" t="s">
        <v>78</v>
      </c>
      <c r="C89" s="321" t="s">
        <v>21</v>
      </c>
      <c r="D89" s="321" t="s">
        <v>1168</v>
      </c>
      <c r="E89" s="321" t="s">
        <v>1170</v>
      </c>
      <c r="F89" s="321" t="s">
        <v>28</v>
      </c>
      <c r="G89" s="333" t="s">
        <v>17</v>
      </c>
      <c r="H89" s="333" t="s">
        <v>1285</v>
      </c>
      <c r="I89" s="310" t="s">
        <v>100</v>
      </c>
      <c r="J89" s="356"/>
      <c r="K89" s="356">
        <v>6363986</v>
      </c>
      <c r="L89" s="355">
        <f t="shared" si="30"/>
        <v>6363986</v>
      </c>
      <c r="M89" s="356"/>
      <c r="N89" s="356">
        <v>6618369</v>
      </c>
      <c r="O89" s="355">
        <f t="shared" si="33"/>
        <v>6618369</v>
      </c>
    </row>
    <row r="90" spans="1:15" ht="113.25" customHeight="1" x14ac:dyDescent="0.2">
      <c r="A90" s="321" t="s">
        <v>98</v>
      </c>
      <c r="B90" s="321" t="s">
        <v>78</v>
      </c>
      <c r="C90" s="321" t="s">
        <v>21</v>
      </c>
      <c r="D90" s="321" t="s">
        <v>1168</v>
      </c>
      <c r="E90" s="321" t="s">
        <v>1909</v>
      </c>
      <c r="F90" s="321" t="s">
        <v>28</v>
      </c>
      <c r="G90" s="333" t="s">
        <v>17</v>
      </c>
      <c r="H90" s="333" t="s">
        <v>1285</v>
      </c>
      <c r="I90" s="310" t="s">
        <v>1911</v>
      </c>
      <c r="J90" s="356"/>
      <c r="K90" s="356">
        <v>10200</v>
      </c>
      <c r="L90" s="355">
        <f t="shared" si="30"/>
        <v>10200</v>
      </c>
      <c r="M90" s="356"/>
      <c r="N90" s="356">
        <v>10200</v>
      </c>
      <c r="O90" s="355">
        <f t="shared" si="33"/>
        <v>10200</v>
      </c>
    </row>
    <row r="91" spans="1:15" ht="63" x14ac:dyDescent="0.2">
      <c r="A91" s="321" t="s">
        <v>98</v>
      </c>
      <c r="B91" s="321" t="s">
        <v>78</v>
      </c>
      <c r="C91" s="321" t="s">
        <v>21</v>
      </c>
      <c r="D91" s="321" t="s">
        <v>1168</v>
      </c>
      <c r="E91" s="321" t="s">
        <v>1169</v>
      </c>
      <c r="F91" s="321" t="s">
        <v>28</v>
      </c>
      <c r="G91" s="333" t="s">
        <v>17</v>
      </c>
      <c r="H91" s="333" t="s">
        <v>1285</v>
      </c>
      <c r="I91" s="310" t="s">
        <v>99</v>
      </c>
      <c r="J91" s="356"/>
      <c r="K91" s="356">
        <v>43459000</v>
      </c>
      <c r="L91" s="355">
        <f t="shared" si="30"/>
        <v>43459000</v>
      </c>
      <c r="M91" s="356"/>
      <c r="N91" s="356">
        <v>43459000</v>
      </c>
      <c r="O91" s="355">
        <f t="shared" si="33"/>
        <v>43459000</v>
      </c>
    </row>
    <row r="92" spans="1:15" ht="83.25" customHeight="1" x14ac:dyDescent="0.2">
      <c r="A92" s="321" t="s">
        <v>94</v>
      </c>
      <c r="B92" s="321" t="s">
        <v>78</v>
      </c>
      <c r="C92" s="321" t="s">
        <v>21</v>
      </c>
      <c r="D92" s="321" t="s">
        <v>1168</v>
      </c>
      <c r="E92" s="321" t="s">
        <v>1171</v>
      </c>
      <c r="F92" s="321" t="s">
        <v>28</v>
      </c>
      <c r="G92" s="333" t="s">
        <v>17</v>
      </c>
      <c r="H92" s="333" t="s">
        <v>1285</v>
      </c>
      <c r="I92" s="310" t="s">
        <v>101</v>
      </c>
      <c r="J92" s="355"/>
      <c r="K92" s="355">
        <v>655097</v>
      </c>
      <c r="L92" s="355">
        <f t="shared" si="30"/>
        <v>655097</v>
      </c>
      <c r="M92" s="355"/>
      <c r="N92" s="355">
        <v>681301</v>
      </c>
      <c r="O92" s="355">
        <f t="shared" si="33"/>
        <v>681301</v>
      </c>
    </row>
    <row r="93" spans="1:15" ht="141.75" x14ac:dyDescent="0.2">
      <c r="A93" s="321" t="s">
        <v>98</v>
      </c>
      <c r="B93" s="321" t="s">
        <v>78</v>
      </c>
      <c r="C93" s="321" t="s">
        <v>21</v>
      </c>
      <c r="D93" s="321" t="s">
        <v>1168</v>
      </c>
      <c r="E93" s="321" t="s">
        <v>1173</v>
      </c>
      <c r="F93" s="321" t="s">
        <v>28</v>
      </c>
      <c r="G93" s="333" t="s">
        <v>17</v>
      </c>
      <c r="H93" s="333" t="s">
        <v>1285</v>
      </c>
      <c r="I93" s="310" t="s">
        <v>124</v>
      </c>
      <c r="J93" s="355"/>
      <c r="K93" s="355">
        <v>375836</v>
      </c>
      <c r="L93" s="355">
        <f t="shared" si="30"/>
        <v>375836</v>
      </c>
      <c r="M93" s="355"/>
      <c r="N93" s="355">
        <v>390869</v>
      </c>
      <c r="O93" s="355">
        <f t="shared" si="32"/>
        <v>390869</v>
      </c>
    </row>
    <row r="94" spans="1:15" ht="78.75" x14ac:dyDescent="0.2">
      <c r="A94" s="23" t="s">
        <v>98</v>
      </c>
      <c r="B94" s="23" t="s">
        <v>78</v>
      </c>
      <c r="C94" s="23" t="s">
        <v>21</v>
      </c>
      <c r="D94" s="23" t="s">
        <v>1168</v>
      </c>
      <c r="E94" s="23" t="s">
        <v>1812</v>
      </c>
      <c r="F94" s="23" t="s">
        <v>28</v>
      </c>
      <c r="G94" s="29" t="s">
        <v>17</v>
      </c>
      <c r="H94" s="29" t="s">
        <v>1285</v>
      </c>
      <c r="I94" s="310" t="s">
        <v>1813</v>
      </c>
      <c r="J94" s="355"/>
      <c r="K94" s="355">
        <v>25578540</v>
      </c>
      <c r="L94" s="355">
        <f t="shared" si="30"/>
        <v>25578540</v>
      </c>
      <c r="M94" s="355"/>
      <c r="N94" s="355">
        <v>24997260</v>
      </c>
      <c r="O94" s="355">
        <f t="shared" si="32"/>
        <v>24997260</v>
      </c>
    </row>
    <row r="95" spans="1:15" ht="126" hidden="1" x14ac:dyDescent="0.2">
      <c r="A95" s="23" t="s">
        <v>94</v>
      </c>
      <c r="B95" s="23" t="s">
        <v>78</v>
      </c>
      <c r="C95" s="23" t="s">
        <v>21</v>
      </c>
      <c r="D95" s="23" t="s">
        <v>1168</v>
      </c>
      <c r="E95" s="23" t="s">
        <v>1814</v>
      </c>
      <c r="F95" s="23" t="s">
        <v>28</v>
      </c>
      <c r="G95" s="29" t="s">
        <v>17</v>
      </c>
      <c r="H95" s="29" t="s">
        <v>1285</v>
      </c>
      <c r="I95" s="845" t="s">
        <v>1834</v>
      </c>
      <c r="J95" s="355"/>
      <c r="K95" s="878"/>
      <c r="L95" s="878">
        <f t="shared" si="30"/>
        <v>0</v>
      </c>
      <c r="M95" s="878"/>
      <c r="N95" s="878"/>
      <c r="O95" s="355">
        <f t="shared" si="32"/>
        <v>0</v>
      </c>
    </row>
    <row r="96" spans="1:15" ht="110.25" x14ac:dyDescent="0.2">
      <c r="A96" s="23" t="s">
        <v>94</v>
      </c>
      <c r="B96" s="23" t="s">
        <v>78</v>
      </c>
      <c r="C96" s="23" t="s">
        <v>21</v>
      </c>
      <c r="D96" s="23" t="s">
        <v>1168</v>
      </c>
      <c r="E96" s="23" t="s">
        <v>1843</v>
      </c>
      <c r="F96" s="23" t="s">
        <v>28</v>
      </c>
      <c r="G96" s="29" t="s">
        <v>17</v>
      </c>
      <c r="H96" s="29" t="s">
        <v>1285</v>
      </c>
      <c r="I96" s="854" t="s">
        <v>1844</v>
      </c>
      <c r="J96" s="355"/>
      <c r="K96" s="355">
        <v>8148232</v>
      </c>
      <c r="L96" s="355">
        <f t="shared" si="30"/>
        <v>8148232</v>
      </c>
      <c r="M96" s="355"/>
      <c r="N96" s="355">
        <v>8148232</v>
      </c>
      <c r="O96" s="355">
        <f t="shared" si="32"/>
        <v>8148232</v>
      </c>
    </row>
    <row r="97" spans="1:15" ht="173.25" x14ac:dyDescent="0.2">
      <c r="A97" s="321" t="s">
        <v>98</v>
      </c>
      <c r="B97" s="321" t="s">
        <v>78</v>
      </c>
      <c r="C97" s="321" t="s">
        <v>21</v>
      </c>
      <c r="D97" s="321" t="s">
        <v>1168</v>
      </c>
      <c r="E97" s="321" t="s">
        <v>1175</v>
      </c>
      <c r="F97" s="321" t="s">
        <v>28</v>
      </c>
      <c r="G97" s="333" t="s">
        <v>17</v>
      </c>
      <c r="H97" s="333" t="s">
        <v>1285</v>
      </c>
      <c r="I97" s="310" t="s">
        <v>1657</v>
      </c>
      <c r="J97" s="355"/>
      <c r="K97" s="355">
        <v>23215545</v>
      </c>
      <c r="L97" s="355">
        <f t="shared" si="30"/>
        <v>23215545</v>
      </c>
      <c r="M97" s="355"/>
      <c r="N97" s="355">
        <v>24144161</v>
      </c>
      <c r="O97" s="355">
        <f t="shared" si="32"/>
        <v>24144161</v>
      </c>
    </row>
    <row r="98" spans="1:15" ht="94.5" x14ac:dyDescent="0.2">
      <c r="A98" s="871" t="s">
        <v>98</v>
      </c>
      <c r="B98" s="871" t="s">
        <v>78</v>
      </c>
      <c r="C98" s="871" t="s">
        <v>21</v>
      </c>
      <c r="D98" s="871" t="s">
        <v>1168</v>
      </c>
      <c r="E98" s="871" t="s">
        <v>1904</v>
      </c>
      <c r="F98" s="871" t="s">
        <v>28</v>
      </c>
      <c r="G98" s="872" t="s">
        <v>17</v>
      </c>
      <c r="H98" s="872" t="s">
        <v>1285</v>
      </c>
      <c r="I98" s="873" t="s">
        <v>1841</v>
      </c>
      <c r="J98" s="876"/>
      <c r="K98" s="876">
        <v>4742606</v>
      </c>
      <c r="L98" s="876">
        <f>+K98</f>
        <v>4742606</v>
      </c>
      <c r="M98" s="876"/>
      <c r="N98" s="876">
        <v>4742606</v>
      </c>
      <c r="O98" s="355">
        <f t="shared" si="32"/>
        <v>4742606</v>
      </c>
    </row>
    <row r="99" spans="1:15" ht="78.75" x14ac:dyDescent="0.2">
      <c r="A99" s="31" t="s">
        <v>98</v>
      </c>
      <c r="B99" s="31" t="s">
        <v>78</v>
      </c>
      <c r="C99" s="31" t="s">
        <v>21</v>
      </c>
      <c r="D99" s="31" t="s">
        <v>1168</v>
      </c>
      <c r="E99" s="31" t="s">
        <v>1174</v>
      </c>
      <c r="F99" s="31" t="s">
        <v>28</v>
      </c>
      <c r="G99" s="39" t="s">
        <v>17</v>
      </c>
      <c r="H99" s="39" t="s">
        <v>1285</v>
      </c>
      <c r="I99" s="33" t="s">
        <v>125</v>
      </c>
      <c r="J99" s="355"/>
      <c r="K99" s="355">
        <v>1783322</v>
      </c>
      <c r="L99" s="355">
        <f>J99+K99</f>
        <v>1783322</v>
      </c>
      <c r="M99" s="355"/>
      <c r="N99" s="355">
        <v>1783322</v>
      </c>
      <c r="O99" s="355">
        <f t="shared" si="32"/>
        <v>1783322</v>
      </c>
    </row>
    <row r="100" spans="1:15" ht="110.25" x14ac:dyDescent="0.2">
      <c r="A100" s="31" t="s">
        <v>98</v>
      </c>
      <c r="B100" s="31" t="s">
        <v>78</v>
      </c>
      <c r="C100" s="31" t="s">
        <v>21</v>
      </c>
      <c r="D100" s="31" t="s">
        <v>1168</v>
      </c>
      <c r="E100" s="31" t="s">
        <v>1291</v>
      </c>
      <c r="F100" s="31" t="s">
        <v>28</v>
      </c>
      <c r="G100" s="39" t="s">
        <v>17</v>
      </c>
      <c r="H100" s="39" t="s">
        <v>1285</v>
      </c>
      <c r="I100" s="33" t="s">
        <v>1292</v>
      </c>
      <c r="J100" s="355"/>
      <c r="K100" s="355">
        <v>40881312</v>
      </c>
      <c r="L100" s="355">
        <f t="shared" si="30"/>
        <v>40881312</v>
      </c>
      <c r="M100" s="355"/>
      <c r="N100" s="355">
        <v>41249220</v>
      </c>
      <c r="O100" s="355">
        <f t="shared" si="32"/>
        <v>41249220</v>
      </c>
    </row>
    <row r="101" spans="1:15" s="359" customFormat="1" ht="78.75" x14ac:dyDescent="0.2">
      <c r="A101" s="360" t="s">
        <v>37</v>
      </c>
      <c r="B101" s="360" t="s">
        <v>78</v>
      </c>
      <c r="C101" s="360" t="s">
        <v>21</v>
      </c>
      <c r="D101" s="360" t="s">
        <v>1168</v>
      </c>
      <c r="E101" s="360" t="s">
        <v>1256</v>
      </c>
      <c r="F101" s="360" t="s">
        <v>28</v>
      </c>
      <c r="G101" s="361" t="s">
        <v>17</v>
      </c>
      <c r="H101" s="361" t="s">
        <v>1285</v>
      </c>
      <c r="I101" s="362" t="s">
        <v>1280</v>
      </c>
      <c r="J101" s="355"/>
      <c r="K101" s="355">
        <v>2367949</v>
      </c>
      <c r="L101" s="355">
        <f t="shared" si="30"/>
        <v>2367949</v>
      </c>
      <c r="M101" s="355"/>
      <c r="N101" s="355">
        <v>2087536</v>
      </c>
      <c r="O101" s="355">
        <f t="shared" si="32"/>
        <v>2087536</v>
      </c>
    </row>
    <row r="102" spans="1:15" ht="31.5" x14ac:dyDescent="0.2">
      <c r="A102" s="317" t="s">
        <v>14</v>
      </c>
      <c r="B102" s="317" t="s">
        <v>78</v>
      </c>
      <c r="C102" s="317" t="s">
        <v>21</v>
      </c>
      <c r="D102" s="317" t="s">
        <v>32</v>
      </c>
      <c r="E102" s="317" t="s">
        <v>14</v>
      </c>
      <c r="F102" s="317" t="s">
        <v>16</v>
      </c>
      <c r="G102" s="331" t="s">
        <v>17</v>
      </c>
      <c r="H102" s="331" t="s">
        <v>1285</v>
      </c>
      <c r="I102" s="332" t="s">
        <v>127</v>
      </c>
      <c r="J102" s="357"/>
      <c r="K102" s="357">
        <f t="shared" ref="K102:L102" si="34">SUM(K103:K135)</f>
        <v>15145501</v>
      </c>
      <c r="L102" s="357">
        <f t="shared" si="34"/>
        <v>15145501</v>
      </c>
      <c r="M102" s="357"/>
      <c r="N102" s="357">
        <f t="shared" ref="N102:O102" si="35">SUM(N103:N135)</f>
        <v>15145501</v>
      </c>
      <c r="O102" s="357">
        <f t="shared" si="35"/>
        <v>15145501</v>
      </c>
    </row>
    <row r="103" spans="1:15" ht="78.75" hidden="1" x14ac:dyDescent="0.2">
      <c r="A103" s="23" t="s">
        <v>37</v>
      </c>
      <c r="B103" s="23" t="s">
        <v>78</v>
      </c>
      <c r="C103" s="23" t="s">
        <v>21</v>
      </c>
      <c r="D103" s="23" t="s">
        <v>1177</v>
      </c>
      <c r="E103" s="23" t="s">
        <v>129</v>
      </c>
      <c r="F103" s="23" t="s">
        <v>28</v>
      </c>
      <c r="G103" s="29" t="s">
        <v>1674</v>
      </c>
      <c r="H103" s="29" t="s">
        <v>1285</v>
      </c>
      <c r="I103" s="545" t="s">
        <v>1675</v>
      </c>
      <c r="J103" s="355"/>
      <c r="K103" s="355"/>
      <c r="L103" s="355">
        <f t="shared" si="30"/>
        <v>0</v>
      </c>
      <c r="M103" s="355"/>
      <c r="N103" s="355"/>
      <c r="O103" s="355">
        <f t="shared" si="32"/>
        <v>0</v>
      </c>
    </row>
    <row r="104" spans="1:15" ht="110.25" hidden="1" x14ac:dyDescent="0.2">
      <c r="A104" s="23" t="s">
        <v>37</v>
      </c>
      <c r="B104" s="23" t="s">
        <v>78</v>
      </c>
      <c r="C104" s="23" t="s">
        <v>21</v>
      </c>
      <c r="D104" s="23" t="s">
        <v>1177</v>
      </c>
      <c r="E104" s="23" t="s">
        <v>129</v>
      </c>
      <c r="F104" s="23" t="s">
        <v>28</v>
      </c>
      <c r="G104" s="29" t="s">
        <v>1676</v>
      </c>
      <c r="H104" s="29" t="s">
        <v>1285</v>
      </c>
      <c r="I104" s="545" t="s">
        <v>1677</v>
      </c>
      <c r="J104" s="355"/>
      <c r="K104" s="355"/>
      <c r="L104" s="355">
        <f>J104+K104</f>
        <v>0</v>
      </c>
      <c r="M104" s="355"/>
      <c r="N104" s="357"/>
      <c r="O104" s="355">
        <f t="shared" si="32"/>
        <v>0</v>
      </c>
    </row>
    <row r="105" spans="1:15" ht="141.75" hidden="1" x14ac:dyDescent="0.2">
      <c r="A105" s="23" t="s">
        <v>37</v>
      </c>
      <c r="B105" s="23" t="s">
        <v>78</v>
      </c>
      <c r="C105" s="23" t="s">
        <v>21</v>
      </c>
      <c r="D105" s="23" t="s">
        <v>1177</v>
      </c>
      <c r="E105" s="23" t="s">
        <v>129</v>
      </c>
      <c r="F105" s="23" t="s">
        <v>28</v>
      </c>
      <c r="G105" s="29" t="s">
        <v>1756</v>
      </c>
      <c r="H105" s="29" t="s">
        <v>1285</v>
      </c>
      <c r="I105" s="846" t="s">
        <v>1757</v>
      </c>
      <c r="J105" s="355"/>
      <c r="K105" s="355"/>
      <c r="L105" s="355">
        <f>J105+K105</f>
        <v>0</v>
      </c>
      <c r="M105" s="355"/>
      <c r="N105" s="357"/>
      <c r="O105" s="355"/>
    </row>
    <row r="106" spans="1:15" ht="110.25" x14ac:dyDescent="0.2">
      <c r="A106" s="321" t="s">
        <v>83</v>
      </c>
      <c r="B106" s="321" t="s">
        <v>88</v>
      </c>
      <c r="C106" s="321" t="s">
        <v>21</v>
      </c>
      <c r="D106" s="321" t="s">
        <v>1177</v>
      </c>
      <c r="E106" s="321" t="s">
        <v>129</v>
      </c>
      <c r="F106" s="321" t="s">
        <v>28</v>
      </c>
      <c r="G106" s="333" t="s">
        <v>130</v>
      </c>
      <c r="H106" s="333" t="s">
        <v>1285</v>
      </c>
      <c r="I106" s="310" t="s">
        <v>1360</v>
      </c>
      <c r="J106" s="358"/>
      <c r="K106" s="358">
        <v>15092406</v>
      </c>
      <c r="L106" s="355">
        <f t="shared" si="30"/>
        <v>15092406</v>
      </c>
      <c r="M106" s="355"/>
      <c r="N106" s="355">
        <v>15092406</v>
      </c>
      <c r="O106" s="355">
        <f t="shared" si="32"/>
        <v>15092406</v>
      </c>
    </row>
    <row r="107" spans="1:15" ht="110.25" hidden="1" x14ac:dyDescent="0.2">
      <c r="A107" s="321" t="s">
        <v>45</v>
      </c>
      <c r="B107" s="321" t="s">
        <v>78</v>
      </c>
      <c r="C107" s="321" t="s">
        <v>21</v>
      </c>
      <c r="D107" s="321" t="s">
        <v>1177</v>
      </c>
      <c r="E107" s="321" t="s">
        <v>129</v>
      </c>
      <c r="F107" s="321" t="s">
        <v>28</v>
      </c>
      <c r="G107" s="333" t="s">
        <v>131</v>
      </c>
      <c r="H107" s="333" t="s">
        <v>1285</v>
      </c>
      <c r="I107" s="310" t="s">
        <v>132</v>
      </c>
      <c r="J107" s="358"/>
      <c r="K107" s="358"/>
      <c r="L107" s="355">
        <f t="shared" si="30"/>
        <v>0</v>
      </c>
      <c r="M107" s="355"/>
      <c r="N107" s="355"/>
      <c r="O107" s="355">
        <f t="shared" si="32"/>
        <v>0</v>
      </c>
    </row>
    <row r="108" spans="1:15" ht="78.75" hidden="1" x14ac:dyDescent="0.2">
      <c r="A108" s="321" t="s">
        <v>37</v>
      </c>
      <c r="B108" s="321" t="s">
        <v>78</v>
      </c>
      <c r="C108" s="321" t="s">
        <v>21</v>
      </c>
      <c r="D108" s="321" t="s">
        <v>1177</v>
      </c>
      <c r="E108" s="321" t="s">
        <v>129</v>
      </c>
      <c r="F108" s="321" t="s">
        <v>28</v>
      </c>
      <c r="G108" s="333" t="s">
        <v>135</v>
      </c>
      <c r="H108" s="333" t="s">
        <v>1285</v>
      </c>
      <c r="I108" s="310" t="s">
        <v>136</v>
      </c>
      <c r="J108" s="358"/>
      <c r="K108" s="358"/>
      <c r="L108" s="355">
        <f t="shared" si="30"/>
        <v>0</v>
      </c>
      <c r="M108" s="355"/>
      <c r="N108" s="355"/>
      <c r="O108" s="355">
        <f t="shared" si="32"/>
        <v>0</v>
      </c>
    </row>
    <row r="109" spans="1:15" ht="78.75" hidden="1" x14ac:dyDescent="0.2">
      <c r="A109" s="321" t="s">
        <v>37</v>
      </c>
      <c r="B109" s="321" t="s">
        <v>78</v>
      </c>
      <c r="C109" s="321" t="s">
        <v>21</v>
      </c>
      <c r="D109" s="321" t="s">
        <v>1177</v>
      </c>
      <c r="E109" s="321" t="s">
        <v>129</v>
      </c>
      <c r="F109" s="321" t="s">
        <v>28</v>
      </c>
      <c r="G109" s="333" t="s">
        <v>137</v>
      </c>
      <c r="H109" s="333" t="s">
        <v>1285</v>
      </c>
      <c r="I109" s="310" t="s">
        <v>138</v>
      </c>
      <c r="J109" s="358"/>
      <c r="K109" s="358"/>
      <c r="L109" s="355">
        <f t="shared" si="30"/>
        <v>0</v>
      </c>
      <c r="M109" s="355"/>
      <c r="N109" s="355"/>
      <c r="O109" s="355">
        <f t="shared" si="32"/>
        <v>0</v>
      </c>
    </row>
    <row r="110" spans="1:15" ht="63" hidden="1" x14ac:dyDescent="0.2">
      <c r="A110" s="321" t="s">
        <v>37</v>
      </c>
      <c r="B110" s="321" t="s">
        <v>78</v>
      </c>
      <c r="C110" s="321" t="s">
        <v>21</v>
      </c>
      <c r="D110" s="321" t="s">
        <v>1177</v>
      </c>
      <c r="E110" s="321" t="s">
        <v>129</v>
      </c>
      <c r="F110" s="321" t="s">
        <v>28</v>
      </c>
      <c r="G110" s="333" t="s">
        <v>139</v>
      </c>
      <c r="H110" s="333" t="s">
        <v>1285</v>
      </c>
      <c r="I110" s="310" t="s">
        <v>1497</v>
      </c>
      <c r="J110" s="358"/>
      <c r="K110" s="358"/>
      <c r="L110" s="355">
        <f t="shared" si="30"/>
        <v>0</v>
      </c>
      <c r="M110" s="355"/>
      <c r="N110" s="355"/>
      <c r="O110" s="355">
        <f t="shared" si="32"/>
        <v>0</v>
      </c>
    </row>
    <row r="111" spans="1:15" ht="78.75" hidden="1" x14ac:dyDescent="0.2">
      <c r="A111" s="321" t="s">
        <v>37</v>
      </c>
      <c r="B111" s="321" t="s">
        <v>78</v>
      </c>
      <c r="C111" s="321" t="s">
        <v>21</v>
      </c>
      <c r="D111" s="321" t="s">
        <v>1177</v>
      </c>
      <c r="E111" s="321" t="s">
        <v>129</v>
      </c>
      <c r="F111" s="321" t="s">
        <v>28</v>
      </c>
      <c r="G111" s="333" t="s">
        <v>140</v>
      </c>
      <c r="H111" s="333" t="s">
        <v>1285</v>
      </c>
      <c r="I111" s="310" t="s">
        <v>1498</v>
      </c>
      <c r="J111" s="358"/>
      <c r="K111" s="358"/>
      <c r="L111" s="355">
        <f t="shared" si="30"/>
        <v>0</v>
      </c>
      <c r="M111" s="355"/>
      <c r="N111" s="355"/>
      <c r="O111" s="355">
        <f t="shared" si="32"/>
        <v>0</v>
      </c>
    </row>
    <row r="112" spans="1:15" ht="47.25" hidden="1" x14ac:dyDescent="0.2">
      <c r="A112" s="321" t="s">
        <v>92</v>
      </c>
      <c r="B112" s="321" t="s">
        <v>78</v>
      </c>
      <c r="C112" s="321" t="s">
        <v>21</v>
      </c>
      <c r="D112" s="321" t="s">
        <v>1177</v>
      </c>
      <c r="E112" s="321" t="s">
        <v>129</v>
      </c>
      <c r="F112" s="321" t="s">
        <v>28</v>
      </c>
      <c r="G112" s="333" t="s">
        <v>1517</v>
      </c>
      <c r="H112" s="333" t="s">
        <v>1285</v>
      </c>
      <c r="I112" s="310" t="s">
        <v>1518</v>
      </c>
      <c r="J112" s="358"/>
      <c r="K112" s="358"/>
      <c r="L112" s="355">
        <f>J112+K112</f>
        <v>0</v>
      </c>
      <c r="M112" s="355"/>
      <c r="N112" s="355"/>
      <c r="O112" s="355">
        <f t="shared" si="32"/>
        <v>0</v>
      </c>
    </row>
    <row r="113" spans="1:15" ht="47.25" hidden="1" x14ac:dyDescent="0.2">
      <c r="A113" s="450" t="s">
        <v>94</v>
      </c>
      <c r="B113" s="23" t="s">
        <v>78</v>
      </c>
      <c r="C113" s="23" t="s">
        <v>21</v>
      </c>
      <c r="D113" s="23" t="s">
        <v>1177</v>
      </c>
      <c r="E113" s="23" t="s">
        <v>129</v>
      </c>
      <c r="F113" s="23" t="s">
        <v>28</v>
      </c>
      <c r="G113" s="29" t="s">
        <v>1595</v>
      </c>
      <c r="H113" s="29" t="s">
        <v>1285</v>
      </c>
      <c r="I113" s="544" t="s">
        <v>1596</v>
      </c>
      <c r="J113" s="358"/>
      <c r="K113" s="358"/>
      <c r="L113" s="355">
        <f t="shared" si="30"/>
        <v>0</v>
      </c>
      <c r="M113" s="355"/>
      <c r="N113" s="355"/>
      <c r="O113" s="355">
        <f t="shared" si="32"/>
        <v>0</v>
      </c>
    </row>
    <row r="114" spans="1:15" ht="47.25" hidden="1" x14ac:dyDescent="0.2">
      <c r="A114" s="321" t="s">
        <v>37</v>
      </c>
      <c r="B114" s="321" t="s">
        <v>78</v>
      </c>
      <c r="C114" s="321" t="s">
        <v>21</v>
      </c>
      <c r="D114" s="321" t="s">
        <v>1177</v>
      </c>
      <c r="E114" s="321" t="s">
        <v>129</v>
      </c>
      <c r="F114" s="321" t="s">
        <v>28</v>
      </c>
      <c r="G114" s="333" t="s">
        <v>141</v>
      </c>
      <c r="H114" s="333" t="s">
        <v>1285</v>
      </c>
      <c r="I114" s="310" t="s">
        <v>142</v>
      </c>
      <c r="J114" s="358"/>
      <c r="K114" s="358"/>
      <c r="L114" s="355">
        <f t="shared" si="30"/>
        <v>0</v>
      </c>
      <c r="M114" s="355"/>
      <c r="N114" s="355"/>
      <c r="O114" s="355">
        <f t="shared" si="32"/>
        <v>0</v>
      </c>
    </row>
    <row r="115" spans="1:15" ht="78.75" hidden="1" x14ac:dyDescent="0.2">
      <c r="A115" s="321" t="s">
        <v>37</v>
      </c>
      <c r="B115" s="321" t="s">
        <v>78</v>
      </c>
      <c r="C115" s="321" t="s">
        <v>21</v>
      </c>
      <c r="D115" s="321" t="s">
        <v>1177</v>
      </c>
      <c r="E115" s="321" t="s">
        <v>129</v>
      </c>
      <c r="F115" s="321" t="s">
        <v>28</v>
      </c>
      <c r="G115" s="333" t="s">
        <v>143</v>
      </c>
      <c r="H115" s="333" t="s">
        <v>1285</v>
      </c>
      <c r="I115" s="310" t="s">
        <v>144</v>
      </c>
      <c r="J115" s="358"/>
      <c r="K115" s="358"/>
      <c r="L115" s="355">
        <f t="shared" si="30"/>
        <v>0</v>
      </c>
      <c r="M115" s="355"/>
      <c r="N115" s="355"/>
      <c r="O115" s="355">
        <f t="shared" si="32"/>
        <v>0</v>
      </c>
    </row>
    <row r="116" spans="1:15" ht="63" hidden="1" x14ac:dyDescent="0.2">
      <c r="A116" s="321" t="s">
        <v>37</v>
      </c>
      <c r="B116" s="321" t="s">
        <v>78</v>
      </c>
      <c r="C116" s="321" t="s">
        <v>21</v>
      </c>
      <c r="D116" s="321" t="s">
        <v>1177</v>
      </c>
      <c r="E116" s="321" t="s">
        <v>129</v>
      </c>
      <c r="F116" s="321" t="s">
        <v>28</v>
      </c>
      <c r="G116" s="333" t="s">
        <v>145</v>
      </c>
      <c r="H116" s="333" t="s">
        <v>1285</v>
      </c>
      <c r="I116" s="310" t="s">
        <v>1499</v>
      </c>
      <c r="J116" s="358"/>
      <c r="K116" s="358"/>
      <c r="L116" s="355">
        <f t="shared" si="30"/>
        <v>0</v>
      </c>
      <c r="M116" s="355"/>
      <c r="N116" s="355"/>
      <c r="O116" s="355">
        <f t="shared" si="32"/>
        <v>0</v>
      </c>
    </row>
    <row r="117" spans="1:15" ht="51.75" hidden="1" customHeight="1" x14ac:dyDescent="0.2">
      <c r="A117" s="321" t="s">
        <v>37</v>
      </c>
      <c r="B117" s="321" t="s">
        <v>78</v>
      </c>
      <c r="C117" s="321" t="s">
        <v>21</v>
      </c>
      <c r="D117" s="321" t="s">
        <v>1177</v>
      </c>
      <c r="E117" s="321" t="s">
        <v>129</v>
      </c>
      <c r="F117" s="321" t="s">
        <v>28</v>
      </c>
      <c r="G117" s="333" t="s">
        <v>146</v>
      </c>
      <c r="H117" s="333" t="s">
        <v>1285</v>
      </c>
      <c r="I117" s="310" t="s">
        <v>1500</v>
      </c>
      <c r="J117" s="358"/>
      <c r="K117" s="358"/>
      <c r="L117" s="355">
        <f t="shared" si="30"/>
        <v>0</v>
      </c>
      <c r="M117" s="355"/>
      <c r="N117" s="355"/>
      <c r="O117" s="355">
        <f t="shared" si="32"/>
        <v>0</v>
      </c>
    </row>
    <row r="118" spans="1:15" ht="94.5" hidden="1" x14ac:dyDescent="0.2">
      <c r="A118" s="321" t="s">
        <v>45</v>
      </c>
      <c r="B118" s="321" t="s">
        <v>78</v>
      </c>
      <c r="C118" s="321" t="s">
        <v>21</v>
      </c>
      <c r="D118" s="321" t="s">
        <v>1177</v>
      </c>
      <c r="E118" s="321" t="s">
        <v>129</v>
      </c>
      <c r="F118" s="321" t="s">
        <v>28</v>
      </c>
      <c r="G118" s="333" t="s">
        <v>147</v>
      </c>
      <c r="H118" s="333" t="s">
        <v>1285</v>
      </c>
      <c r="I118" s="310" t="s">
        <v>148</v>
      </c>
      <c r="J118" s="358"/>
      <c r="K118" s="358"/>
      <c r="L118" s="355">
        <f t="shared" si="30"/>
        <v>0</v>
      </c>
      <c r="M118" s="355"/>
      <c r="N118" s="355"/>
      <c r="O118" s="355">
        <f t="shared" si="32"/>
        <v>0</v>
      </c>
    </row>
    <row r="119" spans="1:15" ht="47.25" hidden="1" x14ac:dyDescent="0.2">
      <c r="A119" s="321" t="s">
        <v>37</v>
      </c>
      <c r="B119" s="321" t="s">
        <v>78</v>
      </c>
      <c r="C119" s="321" t="s">
        <v>21</v>
      </c>
      <c r="D119" s="321" t="s">
        <v>1177</v>
      </c>
      <c r="E119" s="321" t="s">
        <v>129</v>
      </c>
      <c r="F119" s="321" t="s">
        <v>28</v>
      </c>
      <c r="G119" s="333" t="s">
        <v>149</v>
      </c>
      <c r="H119" s="333" t="s">
        <v>1285</v>
      </c>
      <c r="I119" s="310" t="s">
        <v>1501</v>
      </c>
      <c r="J119" s="358"/>
      <c r="K119" s="358"/>
      <c r="L119" s="355">
        <f t="shared" si="30"/>
        <v>0</v>
      </c>
      <c r="M119" s="355"/>
      <c r="N119" s="355"/>
      <c r="O119" s="355">
        <f t="shared" si="32"/>
        <v>0</v>
      </c>
    </row>
    <row r="120" spans="1:15" ht="78.75" hidden="1" x14ac:dyDescent="0.2">
      <c r="A120" s="321" t="s">
        <v>37</v>
      </c>
      <c r="B120" s="321" t="s">
        <v>78</v>
      </c>
      <c r="C120" s="321" t="s">
        <v>21</v>
      </c>
      <c r="D120" s="321" t="s">
        <v>1177</v>
      </c>
      <c r="E120" s="321" t="s">
        <v>129</v>
      </c>
      <c r="F120" s="321" t="s">
        <v>28</v>
      </c>
      <c r="G120" s="333" t="s">
        <v>1502</v>
      </c>
      <c r="H120" s="333" t="s">
        <v>1285</v>
      </c>
      <c r="I120" s="310" t="s">
        <v>1503</v>
      </c>
      <c r="J120" s="358"/>
      <c r="K120" s="358"/>
      <c r="L120" s="355">
        <f t="shared" si="30"/>
        <v>0</v>
      </c>
      <c r="M120" s="355"/>
      <c r="N120" s="355"/>
      <c r="O120" s="355">
        <f t="shared" si="32"/>
        <v>0</v>
      </c>
    </row>
    <row r="121" spans="1:15" ht="81.95" customHeight="1" x14ac:dyDescent="0.2">
      <c r="A121" s="23" t="s">
        <v>83</v>
      </c>
      <c r="B121" s="23" t="s">
        <v>78</v>
      </c>
      <c r="C121" s="23" t="s">
        <v>21</v>
      </c>
      <c r="D121" s="23" t="s">
        <v>1177</v>
      </c>
      <c r="E121" s="23" t="s">
        <v>129</v>
      </c>
      <c r="F121" s="23" t="s">
        <v>28</v>
      </c>
      <c r="G121" s="29" t="s">
        <v>1361</v>
      </c>
      <c r="H121" s="29" t="s">
        <v>1285</v>
      </c>
      <c r="I121" s="18" t="s">
        <v>1363</v>
      </c>
      <c r="J121" s="358"/>
      <c r="K121" s="358">
        <v>53095</v>
      </c>
      <c r="L121" s="355">
        <f t="shared" si="30"/>
        <v>53095</v>
      </c>
      <c r="M121" s="355"/>
      <c r="N121" s="355">
        <v>53095</v>
      </c>
      <c r="O121" s="355">
        <f t="shared" si="32"/>
        <v>53095</v>
      </c>
    </row>
    <row r="122" spans="1:15" ht="63" hidden="1" x14ac:dyDescent="0.2">
      <c r="A122" s="23" t="s">
        <v>45</v>
      </c>
      <c r="B122" s="23" t="s">
        <v>78</v>
      </c>
      <c r="C122" s="23" t="s">
        <v>21</v>
      </c>
      <c r="D122" s="23" t="s">
        <v>1177</v>
      </c>
      <c r="E122" s="23" t="s">
        <v>129</v>
      </c>
      <c r="F122" s="23" t="s">
        <v>28</v>
      </c>
      <c r="G122" s="29" t="s">
        <v>1524</v>
      </c>
      <c r="H122" s="29" t="s">
        <v>1285</v>
      </c>
      <c r="I122" s="544" t="s">
        <v>1525</v>
      </c>
      <c r="J122" s="358"/>
      <c r="K122" s="881"/>
      <c r="L122" s="878">
        <f t="shared" si="30"/>
        <v>0</v>
      </c>
      <c r="M122" s="878"/>
      <c r="N122" s="878"/>
      <c r="O122" s="355">
        <f t="shared" si="32"/>
        <v>0</v>
      </c>
    </row>
    <row r="123" spans="1:15" ht="94.5" hidden="1" x14ac:dyDescent="0.2">
      <c r="A123" s="23" t="s">
        <v>45</v>
      </c>
      <c r="B123" s="23" t="s">
        <v>78</v>
      </c>
      <c r="C123" s="23" t="s">
        <v>21</v>
      </c>
      <c r="D123" s="23" t="s">
        <v>1177</v>
      </c>
      <c r="E123" s="23" t="s">
        <v>129</v>
      </c>
      <c r="F123" s="23" t="s">
        <v>28</v>
      </c>
      <c r="G123" s="29" t="s">
        <v>1566</v>
      </c>
      <c r="H123" s="29" t="s">
        <v>1285</v>
      </c>
      <c r="I123" s="544" t="s">
        <v>1567</v>
      </c>
      <c r="J123" s="358"/>
      <c r="K123" s="881"/>
      <c r="L123" s="878">
        <f t="shared" si="30"/>
        <v>0</v>
      </c>
      <c r="M123" s="878"/>
      <c r="N123" s="878"/>
      <c r="O123" s="355">
        <f t="shared" si="32"/>
        <v>0</v>
      </c>
    </row>
    <row r="124" spans="1:15" ht="63" hidden="1" x14ac:dyDescent="0.2">
      <c r="A124" s="23" t="s">
        <v>37</v>
      </c>
      <c r="B124" s="23" t="s">
        <v>78</v>
      </c>
      <c r="C124" s="23" t="s">
        <v>21</v>
      </c>
      <c r="D124" s="23" t="s">
        <v>1177</v>
      </c>
      <c r="E124" s="23" t="s">
        <v>129</v>
      </c>
      <c r="F124" s="23" t="s">
        <v>28</v>
      </c>
      <c r="G124" s="29" t="s">
        <v>1504</v>
      </c>
      <c r="H124" s="29" t="s">
        <v>1285</v>
      </c>
      <c r="I124" s="18" t="s">
        <v>1505</v>
      </c>
      <c r="J124" s="358"/>
      <c r="K124" s="881"/>
      <c r="L124" s="878">
        <f t="shared" si="30"/>
        <v>0</v>
      </c>
      <c r="M124" s="878"/>
      <c r="N124" s="878"/>
      <c r="O124" s="355">
        <f t="shared" si="32"/>
        <v>0</v>
      </c>
    </row>
    <row r="125" spans="1:15" ht="47.25" hidden="1" x14ac:dyDescent="0.2">
      <c r="A125" s="23" t="s">
        <v>92</v>
      </c>
      <c r="B125" s="23" t="s">
        <v>78</v>
      </c>
      <c r="C125" s="23" t="s">
        <v>21</v>
      </c>
      <c r="D125" s="23" t="s">
        <v>1177</v>
      </c>
      <c r="E125" s="23" t="s">
        <v>129</v>
      </c>
      <c r="F125" s="23" t="s">
        <v>28</v>
      </c>
      <c r="G125" s="29" t="s">
        <v>1519</v>
      </c>
      <c r="H125" s="29" t="s">
        <v>1285</v>
      </c>
      <c r="I125" s="18" t="s">
        <v>1520</v>
      </c>
      <c r="J125" s="358"/>
      <c r="K125" s="881"/>
      <c r="L125" s="878">
        <f t="shared" si="30"/>
        <v>0</v>
      </c>
      <c r="M125" s="878"/>
      <c r="N125" s="878"/>
      <c r="O125" s="355">
        <f t="shared" si="32"/>
        <v>0</v>
      </c>
    </row>
    <row r="126" spans="1:15" ht="78.75" hidden="1" x14ac:dyDescent="0.2">
      <c r="A126" s="23" t="s">
        <v>37</v>
      </c>
      <c r="B126" s="23" t="s">
        <v>78</v>
      </c>
      <c r="C126" s="23" t="s">
        <v>21</v>
      </c>
      <c r="D126" s="23" t="s">
        <v>1177</v>
      </c>
      <c r="E126" s="23" t="s">
        <v>129</v>
      </c>
      <c r="F126" s="23" t="s">
        <v>28</v>
      </c>
      <c r="G126" s="29" t="s">
        <v>1526</v>
      </c>
      <c r="H126" s="29" t="s">
        <v>1285</v>
      </c>
      <c r="I126" s="544" t="s">
        <v>1527</v>
      </c>
      <c r="J126" s="358"/>
      <c r="K126" s="881"/>
      <c r="L126" s="878">
        <f t="shared" si="30"/>
        <v>0</v>
      </c>
      <c r="M126" s="878"/>
      <c r="N126" s="878"/>
      <c r="O126" s="355">
        <f t="shared" si="32"/>
        <v>0</v>
      </c>
    </row>
    <row r="127" spans="1:15" ht="47.25" hidden="1" x14ac:dyDescent="0.2">
      <c r="A127" s="23" t="s">
        <v>37</v>
      </c>
      <c r="B127" s="23" t="s">
        <v>78</v>
      </c>
      <c r="C127" s="23" t="s">
        <v>21</v>
      </c>
      <c r="D127" s="23" t="s">
        <v>1177</v>
      </c>
      <c r="E127" s="23" t="s">
        <v>129</v>
      </c>
      <c r="F127" s="23" t="s">
        <v>28</v>
      </c>
      <c r="G127" s="29" t="s">
        <v>1602</v>
      </c>
      <c r="H127" s="29" t="s">
        <v>1285</v>
      </c>
      <c r="I127" s="544" t="s">
        <v>1601</v>
      </c>
      <c r="J127" s="358"/>
      <c r="K127" s="881"/>
      <c r="L127" s="878">
        <f t="shared" si="30"/>
        <v>0</v>
      </c>
      <c r="M127" s="878"/>
      <c r="N127" s="878"/>
      <c r="O127" s="355">
        <f t="shared" si="32"/>
        <v>0</v>
      </c>
    </row>
    <row r="128" spans="1:15" ht="63" hidden="1" x14ac:dyDescent="0.2">
      <c r="A128" s="23" t="s">
        <v>45</v>
      </c>
      <c r="B128" s="23" t="s">
        <v>78</v>
      </c>
      <c r="C128" s="23" t="s">
        <v>21</v>
      </c>
      <c r="D128" s="23" t="s">
        <v>1177</v>
      </c>
      <c r="E128" s="23" t="s">
        <v>129</v>
      </c>
      <c r="F128" s="23" t="s">
        <v>28</v>
      </c>
      <c r="G128" s="29" t="s">
        <v>1529</v>
      </c>
      <c r="H128" s="29" t="s">
        <v>1285</v>
      </c>
      <c r="I128" s="544" t="s">
        <v>1528</v>
      </c>
      <c r="J128" s="358"/>
      <c r="K128" s="881"/>
      <c r="L128" s="878">
        <f>J128+K128</f>
        <v>0</v>
      </c>
      <c r="M128" s="878"/>
      <c r="N128" s="878"/>
      <c r="O128" s="355">
        <f t="shared" si="32"/>
        <v>0</v>
      </c>
    </row>
    <row r="129" spans="1:15" ht="110.25" hidden="1" x14ac:dyDescent="0.2">
      <c r="A129" s="23" t="s">
        <v>37</v>
      </c>
      <c r="B129" s="23" t="s">
        <v>78</v>
      </c>
      <c r="C129" s="23" t="s">
        <v>21</v>
      </c>
      <c r="D129" s="23" t="s">
        <v>1177</v>
      </c>
      <c r="E129" s="23" t="s">
        <v>129</v>
      </c>
      <c r="F129" s="23" t="s">
        <v>28</v>
      </c>
      <c r="G129" s="29" t="s">
        <v>1508</v>
      </c>
      <c r="H129" s="29" t="s">
        <v>1285</v>
      </c>
      <c r="I129" s="18" t="s">
        <v>1509</v>
      </c>
      <c r="J129" s="358"/>
      <c r="K129" s="881"/>
      <c r="L129" s="878">
        <f t="shared" si="30"/>
        <v>0</v>
      </c>
      <c r="M129" s="878"/>
      <c r="N129" s="878"/>
      <c r="O129" s="355">
        <f t="shared" si="32"/>
        <v>0</v>
      </c>
    </row>
    <row r="130" spans="1:15" ht="63" hidden="1" x14ac:dyDescent="0.2">
      <c r="A130" s="23" t="s">
        <v>37</v>
      </c>
      <c r="B130" s="23" t="s">
        <v>78</v>
      </c>
      <c r="C130" s="23" t="s">
        <v>21</v>
      </c>
      <c r="D130" s="23" t="s">
        <v>1177</v>
      </c>
      <c r="E130" s="23" t="s">
        <v>129</v>
      </c>
      <c r="F130" s="23" t="s">
        <v>28</v>
      </c>
      <c r="G130" s="29" t="s">
        <v>1510</v>
      </c>
      <c r="H130" s="29" t="s">
        <v>1285</v>
      </c>
      <c r="I130" s="544" t="s">
        <v>1511</v>
      </c>
      <c r="J130" s="358"/>
      <c r="K130" s="881"/>
      <c r="L130" s="878">
        <f t="shared" ref="L130:L135" si="36">J130+K130</f>
        <v>0</v>
      </c>
      <c r="M130" s="878"/>
      <c r="N130" s="878"/>
      <c r="O130" s="355">
        <f t="shared" si="32"/>
        <v>0</v>
      </c>
    </row>
    <row r="131" spans="1:15" ht="63" hidden="1" x14ac:dyDescent="0.2">
      <c r="A131" s="23" t="s">
        <v>92</v>
      </c>
      <c r="B131" s="23" t="s">
        <v>78</v>
      </c>
      <c r="C131" s="23" t="s">
        <v>21</v>
      </c>
      <c r="D131" s="23" t="s">
        <v>1177</v>
      </c>
      <c r="E131" s="23" t="s">
        <v>129</v>
      </c>
      <c r="F131" s="23" t="s">
        <v>28</v>
      </c>
      <c r="G131" s="29" t="s">
        <v>1521</v>
      </c>
      <c r="H131" s="29" t="s">
        <v>1285</v>
      </c>
      <c r="I131" s="18" t="s">
        <v>1522</v>
      </c>
      <c r="J131" s="358"/>
      <c r="K131" s="881"/>
      <c r="L131" s="878">
        <f t="shared" si="36"/>
        <v>0</v>
      </c>
      <c r="M131" s="878"/>
      <c r="N131" s="878"/>
      <c r="O131" s="355">
        <f t="shared" si="32"/>
        <v>0</v>
      </c>
    </row>
    <row r="132" spans="1:15" ht="47.25" hidden="1" x14ac:dyDescent="0.2">
      <c r="A132" s="23" t="s">
        <v>37</v>
      </c>
      <c r="B132" s="23" t="s">
        <v>78</v>
      </c>
      <c r="C132" s="23" t="s">
        <v>21</v>
      </c>
      <c r="D132" s="23" t="s">
        <v>1177</v>
      </c>
      <c r="E132" s="23" t="s">
        <v>129</v>
      </c>
      <c r="F132" s="23" t="s">
        <v>28</v>
      </c>
      <c r="G132" s="29" t="s">
        <v>1512</v>
      </c>
      <c r="H132" s="29" t="s">
        <v>1285</v>
      </c>
      <c r="I132" s="18" t="s">
        <v>1513</v>
      </c>
      <c r="J132" s="358"/>
      <c r="K132" s="881"/>
      <c r="L132" s="878">
        <f t="shared" si="36"/>
        <v>0</v>
      </c>
      <c r="M132" s="878"/>
      <c r="N132" s="878"/>
      <c r="O132" s="355">
        <f t="shared" si="32"/>
        <v>0</v>
      </c>
    </row>
    <row r="133" spans="1:15" ht="78.75" hidden="1" x14ac:dyDescent="0.2">
      <c r="A133" s="23" t="s">
        <v>98</v>
      </c>
      <c r="B133" s="23" t="s">
        <v>78</v>
      </c>
      <c r="C133" s="23" t="s">
        <v>21</v>
      </c>
      <c r="D133" s="23" t="s">
        <v>1177</v>
      </c>
      <c r="E133" s="23" t="s">
        <v>129</v>
      </c>
      <c r="F133" s="23" t="s">
        <v>28</v>
      </c>
      <c r="G133" s="29" t="s">
        <v>1514</v>
      </c>
      <c r="H133" s="29" t="s">
        <v>1285</v>
      </c>
      <c r="I133" s="18" t="s">
        <v>1515</v>
      </c>
      <c r="J133" s="358"/>
      <c r="K133" s="881"/>
      <c r="L133" s="878">
        <f t="shared" si="36"/>
        <v>0</v>
      </c>
      <c r="M133" s="878"/>
      <c r="N133" s="878"/>
      <c r="O133" s="355">
        <f t="shared" si="32"/>
        <v>0</v>
      </c>
    </row>
    <row r="134" spans="1:15" ht="47.25" hidden="1" x14ac:dyDescent="0.2">
      <c r="A134" s="23" t="s">
        <v>37</v>
      </c>
      <c r="B134" s="23" t="s">
        <v>78</v>
      </c>
      <c r="C134" s="23" t="s">
        <v>21</v>
      </c>
      <c r="D134" s="23" t="s">
        <v>1177</v>
      </c>
      <c r="E134" s="23" t="s">
        <v>129</v>
      </c>
      <c r="F134" s="23" t="s">
        <v>28</v>
      </c>
      <c r="G134" s="29" t="s">
        <v>1678</v>
      </c>
      <c r="H134" s="29" t="s">
        <v>1285</v>
      </c>
      <c r="I134" s="310" t="s">
        <v>1679</v>
      </c>
      <c r="J134" s="358"/>
      <c r="K134" s="881"/>
      <c r="L134" s="878">
        <f t="shared" si="36"/>
        <v>0</v>
      </c>
      <c r="M134" s="878"/>
      <c r="N134" s="878"/>
      <c r="O134" s="355">
        <f t="shared" si="32"/>
        <v>0</v>
      </c>
    </row>
    <row r="135" spans="1:15" ht="110.25" hidden="1" x14ac:dyDescent="0.2">
      <c r="A135" s="23" t="s">
        <v>37</v>
      </c>
      <c r="B135" s="23" t="s">
        <v>78</v>
      </c>
      <c r="C135" s="23" t="s">
        <v>21</v>
      </c>
      <c r="D135" s="23" t="s">
        <v>1177</v>
      </c>
      <c r="E135" s="23" t="s">
        <v>129</v>
      </c>
      <c r="F135" s="23" t="s">
        <v>28</v>
      </c>
      <c r="G135" s="29" t="s">
        <v>1680</v>
      </c>
      <c r="H135" s="29" t="s">
        <v>1285</v>
      </c>
      <c r="I135" s="310" t="s">
        <v>1681</v>
      </c>
      <c r="J135" s="358"/>
      <c r="K135" s="881"/>
      <c r="L135" s="878">
        <f t="shared" si="36"/>
        <v>0</v>
      </c>
      <c r="M135" s="878"/>
      <c r="N135" s="878"/>
      <c r="O135" s="355">
        <f t="shared" si="32"/>
        <v>0</v>
      </c>
    </row>
    <row r="136" spans="1:15" ht="15.75" x14ac:dyDescent="0.2">
      <c r="A136" s="321"/>
      <c r="B136" s="321"/>
      <c r="C136" s="321"/>
      <c r="D136" s="321"/>
      <c r="E136" s="321"/>
      <c r="F136" s="321"/>
      <c r="G136" s="333"/>
      <c r="H136" s="333"/>
      <c r="I136" s="319" t="s">
        <v>150</v>
      </c>
      <c r="J136" s="320"/>
      <c r="K136" s="357">
        <f t="shared" ref="K136:O136" si="37">K11+K44</f>
        <v>1579385296</v>
      </c>
      <c r="L136" s="357">
        <f t="shared" si="37"/>
        <v>1579385296</v>
      </c>
      <c r="M136" s="357"/>
      <c r="N136" s="357">
        <f t="shared" si="37"/>
        <v>1508927857</v>
      </c>
      <c r="O136" s="320">
        <f t="shared" si="37"/>
        <v>1508927857</v>
      </c>
    </row>
    <row r="137" spans="1:15" ht="252.95" customHeight="1" x14ac:dyDescent="0.2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15.75" x14ac:dyDescent="0.2">
      <c r="A138" s="45"/>
      <c r="B138" s="45"/>
      <c r="C138" s="45"/>
      <c r="D138" s="45"/>
      <c r="E138" s="45"/>
      <c r="F138" s="45"/>
      <c r="G138" s="46"/>
      <c r="H138" s="46"/>
      <c r="I138" s="47"/>
    </row>
    <row r="139" spans="1:15" ht="25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79.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54.9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1"/>
    </row>
    <row r="142" spans="1:15" ht="95.2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8"/>
    </row>
    <row r="143" spans="1:15" ht="16.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honeticPr fontId="65" type="noConversion"/>
  <printOptions gridLinesSet="0"/>
  <pageMargins left="0.70866141732283472" right="0.70866141732283472" top="0.74803149606299213" bottom="0.74803149606299213" header="0.51181102362204722" footer="0.51181102362204722"/>
  <pageSetup paperSize="9" scale="8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3"/>
  <sheetViews>
    <sheetView workbookViewId="0">
      <selection activeCell="A37" sqref="A37"/>
    </sheetView>
  </sheetViews>
  <sheetFormatPr defaultColWidth="9.140625" defaultRowHeight="12.75" x14ac:dyDescent="0.2"/>
  <cols>
    <col min="1" max="1" width="58" style="279" customWidth="1"/>
    <col min="2" max="2" width="16.140625" style="279" hidden="1" customWidth="1"/>
    <col min="3" max="3" width="12.7109375" style="279" hidden="1" customWidth="1"/>
    <col min="4" max="4" width="16.7109375" style="279" customWidth="1"/>
    <col min="5" max="5" width="20.140625" style="279" customWidth="1"/>
    <col min="6" max="16384" width="9.140625" style="279"/>
  </cols>
  <sheetData>
    <row r="1" spans="1:5" ht="15.75" x14ac:dyDescent="0.25">
      <c r="A1" s="891" t="s">
        <v>1917</v>
      </c>
      <c r="B1" s="891"/>
      <c r="C1" s="891"/>
      <c r="D1" s="891"/>
      <c r="E1" s="891"/>
    </row>
    <row r="2" spans="1:5" ht="15.75" x14ac:dyDescent="0.25">
      <c r="A2" s="891" t="s">
        <v>1</v>
      </c>
      <c r="B2" s="891"/>
      <c r="C2" s="891"/>
      <c r="D2" s="891"/>
      <c r="E2" s="891"/>
    </row>
    <row r="3" spans="1:5" ht="15.75" x14ac:dyDescent="0.25">
      <c r="A3" s="891" t="s">
        <v>2</v>
      </c>
      <c r="B3" s="891"/>
      <c r="C3" s="891"/>
      <c r="D3" s="891"/>
      <c r="E3" s="891"/>
    </row>
    <row r="4" spans="1:5" ht="15.75" x14ac:dyDescent="0.25">
      <c r="A4" s="891" t="s">
        <v>1859</v>
      </c>
      <c r="B4" s="891"/>
      <c r="C4" s="891"/>
      <c r="D4" s="891"/>
      <c r="E4" s="891"/>
    </row>
    <row r="5" spans="1:5" x14ac:dyDescent="0.2">
      <c r="A5" s="282"/>
      <c r="B5" s="282"/>
      <c r="C5" s="282"/>
      <c r="D5" s="282"/>
      <c r="E5" s="281"/>
    </row>
    <row r="6" spans="1:5" ht="48.75" customHeight="1" x14ac:dyDescent="0.2">
      <c r="A6" s="950" t="s">
        <v>1918</v>
      </c>
      <c r="B6" s="950"/>
      <c r="C6" s="950"/>
      <c r="D6" s="950"/>
      <c r="E6" s="950"/>
    </row>
    <row r="7" spans="1:5" ht="19.5" thickBot="1" x14ac:dyDescent="0.25">
      <c r="A7" s="287"/>
      <c r="B7" s="287"/>
      <c r="C7" s="287"/>
      <c r="D7" s="287"/>
      <c r="E7" s="281"/>
    </row>
    <row r="8" spans="1:5" ht="32.25" thickBot="1" x14ac:dyDescent="0.25">
      <c r="A8" s="788" t="s">
        <v>757</v>
      </c>
      <c r="B8" s="789" t="s">
        <v>1643</v>
      </c>
      <c r="C8" s="790" t="s">
        <v>762</v>
      </c>
      <c r="D8" s="789" t="s">
        <v>1933</v>
      </c>
      <c r="E8" s="789" t="s">
        <v>1934</v>
      </c>
    </row>
    <row r="9" spans="1:5" s="367" customFormat="1" ht="31.5" hidden="1" x14ac:dyDescent="0.25">
      <c r="A9" s="791" t="s">
        <v>1130</v>
      </c>
      <c r="B9" s="792">
        <f>SUM(B10:B13)</f>
        <v>884420</v>
      </c>
      <c r="C9" s="792">
        <f t="shared" ref="C9:E9" si="0">SUM(C10:C13)</f>
        <v>-7324</v>
      </c>
      <c r="D9" s="793">
        <f t="shared" ref="D9" si="1">SUM(D10:D13)</f>
        <v>0</v>
      </c>
      <c r="E9" s="793">
        <f t="shared" si="0"/>
        <v>0</v>
      </c>
    </row>
    <row r="10" spans="1:5" ht="15.75" hidden="1" x14ac:dyDescent="0.25">
      <c r="A10" s="657" t="s">
        <v>758</v>
      </c>
      <c r="B10" s="656">
        <v>200000</v>
      </c>
      <c r="C10" s="787"/>
      <c r="D10" s="288">
        <v>0</v>
      </c>
      <c r="E10" s="288">
        <v>0</v>
      </c>
    </row>
    <row r="11" spans="1:5" ht="15.75" hidden="1" x14ac:dyDescent="0.25">
      <c r="A11" s="657" t="s">
        <v>763</v>
      </c>
      <c r="B11" s="656">
        <v>240000</v>
      </c>
      <c r="C11" s="787"/>
      <c r="D11" s="288">
        <v>0</v>
      </c>
      <c r="E11" s="288">
        <v>0</v>
      </c>
    </row>
    <row r="12" spans="1:5" ht="15.75" hidden="1" x14ac:dyDescent="0.25">
      <c r="A12" s="657" t="s">
        <v>761</v>
      </c>
      <c r="B12" s="656">
        <v>120000</v>
      </c>
      <c r="C12" s="787"/>
      <c r="D12" s="288">
        <v>0</v>
      </c>
      <c r="E12" s="288">
        <v>0</v>
      </c>
    </row>
    <row r="13" spans="1:5" ht="16.5" hidden="1" thickBot="1" x14ac:dyDescent="0.3">
      <c r="A13" s="794" t="s">
        <v>759</v>
      </c>
      <c r="B13" s="795">
        <v>324420</v>
      </c>
      <c r="C13" s="796">
        <v>-7324</v>
      </c>
      <c r="D13" s="797">
        <v>0</v>
      </c>
      <c r="E13" s="797">
        <v>0</v>
      </c>
    </row>
    <row r="14" spans="1:5" ht="99" customHeight="1" x14ac:dyDescent="0.2">
      <c r="A14" s="798" t="s">
        <v>1930</v>
      </c>
      <c r="B14" s="799">
        <f>SUM(B15:B15)</f>
        <v>6075160</v>
      </c>
      <c r="C14" s="799">
        <f t="shared" ref="C14:E16" si="2">SUM(C15:C15)</f>
        <v>0</v>
      </c>
      <c r="D14" s="800">
        <f t="shared" si="2"/>
        <v>6200000</v>
      </c>
      <c r="E14" s="800">
        <f t="shared" si="2"/>
        <v>6400000</v>
      </c>
    </row>
    <row r="15" spans="1:5" ht="16.5" thickBot="1" x14ac:dyDescent="0.3">
      <c r="A15" s="801" t="s">
        <v>759</v>
      </c>
      <c r="B15" s="802">
        <v>6075160</v>
      </c>
      <c r="C15" s="803">
        <v>0</v>
      </c>
      <c r="D15" s="804">
        <v>6200000</v>
      </c>
      <c r="E15" s="804">
        <v>6400000</v>
      </c>
    </row>
    <row r="16" spans="1:5" ht="31.5" hidden="1" x14ac:dyDescent="0.2">
      <c r="A16" s="805" t="s">
        <v>1552</v>
      </c>
      <c r="B16" s="799">
        <f>SUM(B17:B17)</f>
        <v>202604</v>
      </c>
      <c r="C16" s="799">
        <f t="shared" si="2"/>
        <v>0</v>
      </c>
      <c r="D16" s="800">
        <f t="shared" si="2"/>
        <v>0</v>
      </c>
      <c r="E16" s="800">
        <f t="shared" si="2"/>
        <v>0</v>
      </c>
    </row>
    <row r="17" spans="1:5" ht="16.5" hidden="1" thickBot="1" x14ac:dyDescent="0.3">
      <c r="A17" s="806" t="s">
        <v>759</v>
      </c>
      <c r="B17" s="802">
        <v>202604</v>
      </c>
      <c r="C17" s="807">
        <v>0</v>
      </c>
      <c r="D17" s="804"/>
      <c r="E17" s="804"/>
    </row>
    <row r="18" spans="1:5" ht="94.5" hidden="1" x14ac:dyDescent="0.25">
      <c r="A18" s="791" t="s">
        <v>1797</v>
      </c>
      <c r="B18" s="792">
        <f>SUM(B19:B22)</f>
        <v>0</v>
      </c>
      <c r="C18" s="792">
        <f t="shared" ref="C18:E18" si="3">SUM(C19:C22)</f>
        <v>0</v>
      </c>
      <c r="D18" s="793">
        <f t="shared" ref="D18" si="4">SUM(D19:D22)</f>
        <v>0</v>
      </c>
      <c r="E18" s="793">
        <f t="shared" si="3"/>
        <v>0</v>
      </c>
    </row>
    <row r="19" spans="1:5" ht="15.75" hidden="1" x14ac:dyDescent="0.25">
      <c r="A19" s="657" t="s">
        <v>758</v>
      </c>
      <c r="B19" s="656"/>
      <c r="C19" s="787"/>
      <c r="D19" s="288">
        <f>SUM(A19:B19)</f>
        <v>0</v>
      </c>
      <c r="E19" s="288">
        <f>SUM(B19:C19)</f>
        <v>0</v>
      </c>
    </row>
    <row r="20" spans="1:5" ht="15.75" hidden="1" x14ac:dyDescent="0.25">
      <c r="A20" s="657" t="s">
        <v>763</v>
      </c>
      <c r="B20" s="656"/>
      <c r="C20" s="787"/>
      <c r="D20" s="288">
        <f t="shared" ref="D20:E22" si="5">SUM(A20:B20)</f>
        <v>0</v>
      </c>
      <c r="E20" s="288">
        <f t="shared" si="5"/>
        <v>0</v>
      </c>
    </row>
    <row r="21" spans="1:5" ht="15.75" hidden="1" x14ac:dyDescent="0.25">
      <c r="A21" s="657" t="s">
        <v>761</v>
      </c>
      <c r="B21" s="656"/>
      <c r="C21" s="787"/>
      <c r="D21" s="288">
        <f t="shared" si="5"/>
        <v>0</v>
      </c>
      <c r="E21" s="288">
        <f t="shared" si="5"/>
        <v>0</v>
      </c>
    </row>
    <row r="22" spans="1:5" ht="16.5" hidden="1" thickBot="1" x14ac:dyDescent="0.3">
      <c r="A22" s="858" t="s">
        <v>759</v>
      </c>
      <c r="B22" s="859"/>
      <c r="C22" s="860"/>
      <c r="D22" s="861">
        <f t="shared" si="5"/>
        <v>0</v>
      </c>
      <c r="E22" s="861">
        <f t="shared" si="5"/>
        <v>0</v>
      </c>
    </row>
    <row r="23" spans="1:5" ht="13.5" thickBot="1" x14ac:dyDescent="0.25">
      <c r="A23" s="862" t="s">
        <v>661</v>
      </c>
      <c r="B23" s="863">
        <f>B9+B14+B16+B18</f>
        <v>7162184</v>
      </c>
      <c r="C23" s="864">
        <f>C9+C14+C16+C18</f>
        <v>-7324</v>
      </c>
      <c r="D23" s="865">
        <f>D9+D14+D16+D18</f>
        <v>6200000</v>
      </c>
      <c r="E23" s="865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70"/>
  <sheetViews>
    <sheetView workbookViewId="0">
      <selection activeCell="A17" sqref="A17"/>
    </sheetView>
  </sheetViews>
  <sheetFormatPr defaultColWidth="9.140625" defaultRowHeight="15.75" x14ac:dyDescent="0.25"/>
  <cols>
    <col min="1" max="1" width="19.5703125" style="218" customWidth="1"/>
    <col min="2" max="2" width="81.7109375" style="218" customWidth="1"/>
    <col min="3" max="16384" width="9.140625" style="218"/>
  </cols>
  <sheetData>
    <row r="1" spans="1:2" ht="16.5" thickBot="1" x14ac:dyDescent="0.3">
      <c r="A1" s="219" t="s">
        <v>664</v>
      </c>
      <c r="B1" s="220" t="s">
        <v>1119</v>
      </c>
    </row>
    <row r="2" spans="1:2" ht="32.25" thickBot="1" x14ac:dyDescent="0.3">
      <c r="A2" s="221" t="s">
        <v>482</v>
      </c>
      <c r="B2" s="222" t="s">
        <v>481</v>
      </c>
    </row>
    <row r="3" spans="1:2" s="223" customFormat="1" x14ac:dyDescent="0.25">
      <c r="A3" s="224" t="s">
        <v>586</v>
      </c>
      <c r="B3" s="225" t="s">
        <v>585</v>
      </c>
    </row>
    <row r="4" spans="1:2" ht="31.5" x14ac:dyDescent="0.25">
      <c r="A4" s="226" t="s">
        <v>588</v>
      </c>
      <c r="B4" s="227" t="s">
        <v>587</v>
      </c>
    </row>
    <row r="5" spans="1:2" ht="31.5" x14ac:dyDescent="0.25">
      <c r="A5" s="226" t="s">
        <v>1194</v>
      </c>
      <c r="B5" s="227" t="s">
        <v>1195</v>
      </c>
    </row>
    <row r="6" spans="1:2" s="223" customFormat="1" ht="47.25" x14ac:dyDescent="0.25">
      <c r="A6" s="228" t="s">
        <v>484</v>
      </c>
      <c r="B6" s="229" t="s">
        <v>483</v>
      </c>
    </row>
    <row r="7" spans="1:2" ht="47.25" x14ac:dyDescent="0.25">
      <c r="A7" s="226" t="s">
        <v>486</v>
      </c>
      <c r="B7" s="227" t="s">
        <v>485</v>
      </c>
    </row>
    <row r="8" spans="1:2" ht="47.25" x14ac:dyDescent="0.25">
      <c r="A8" s="226" t="s">
        <v>1712</v>
      </c>
      <c r="B8" s="227" t="s">
        <v>1713</v>
      </c>
    </row>
    <row r="9" spans="1:2" s="223" customFormat="1" ht="31.5" x14ac:dyDescent="0.25">
      <c r="A9" s="228" t="s">
        <v>489</v>
      </c>
      <c r="B9" s="229" t="s">
        <v>488</v>
      </c>
    </row>
    <row r="10" spans="1:2" x14ac:dyDescent="0.25">
      <c r="A10" s="226" t="s">
        <v>491</v>
      </c>
      <c r="B10" s="227" t="s">
        <v>490</v>
      </c>
    </row>
    <row r="11" spans="1:2" s="223" customFormat="1" ht="31.5" x14ac:dyDescent="0.25">
      <c r="A11" s="228" t="s">
        <v>581</v>
      </c>
      <c r="B11" s="229" t="s">
        <v>580</v>
      </c>
    </row>
    <row r="12" spans="1:2" x14ac:dyDescent="0.25">
      <c r="A12" s="226" t="s">
        <v>583</v>
      </c>
      <c r="B12" s="227" t="s">
        <v>582</v>
      </c>
    </row>
    <row r="13" spans="1:2" x14ac:dyDescent="0.25">
      <c r="A13" s="226" t="s">
        <v>600</v>
      </c>
      <c r="B13" s="227" t="s">
        <v>599</v>
      </c>
    </row>
    <row r="14" spans="1:2" x14ac:dyDescent="0.25">
      <c r="A14" s="226" t="s">
        <v>605</v>
      </c>
      <c r="B14" s="227" t="s">
        <v>604</v>
      </c>
    </row>
    <row r="15" spans="1:2" x14ac:dyDescent="0.25">
      <c r="A15" s="226" t="s">
        <v>608</v>
      </c>
      <c r="B15" s="227" t="s">
        <v>607</v>
      </c>
    </row>
    <row r="16" spans="1:2" x14ac:dyDescent="0.25">
      <c r="A16" s="226" t="s">
        <v>1927</v>
      </c>
      <c r="B16" s="227" t="s">
        <v>1696</v>
      </c>
    </row>
    <row r="17" spans="1:2" s="223" customFormat="1" ht="31.5" x14ac:dyDescent="0.25">
      <c r="A17" s="228" t="s">
        <v>576</v>
      </c>
      <c r="B17" s="229" t="s">
        <v>575</v>
      </c>
    </row>
    <row r="18" spans="1:2" ht="16.5" thickBot="1" x14ac:dyDescent="0.3">
      <c r="A18" s="230" t="s">
        <v>578</v>
      </c>
      <c r="B18" s="231" t="s">
        <v>577</v>
      </c>
    </row>
    <row r="19" spans="1:2" ht="32.25" thickBot="1" x14ac:dyDescent="0.3">
      <c r="A19" s="221" t="s">
        <v>452</v>
      </c>
      <c r="B19" s="232" t="s">
        <v>451</v>
      </c>
    </row>
    <row r="20" spans="1:2" s="223" customFormat="1" ht="31.5" x14ac:dyDescent="0.25">
      <c r="A20" s="224" t="s">
        <v>454</v>
      </c>
      <c r="B20" s="225" t="s">
        <v>453</v>
      </c>
    </row>
    <row r="21" spans="1:2" ht="31.5" x14ac:dyDescent="0.25">
      <c r="A21" s="226" t="s">
        <v>455</v>
      </c>
      <c r="B21" s="227" t="s">
        <v>1148</v>
      </c>
    </row>
    <row r="22" spans="1:2" ht="31.5" x14ac:dyDescent="0.25">
      <c r="A22" s="226" t="s">
        <v>495</v>
      </c>
      <c r="B22" s="227" t="s">
        <v>1149</v>
      </c>
    </row>
    <row r="23" spans="1:2" ht="31.5" x14ac:dyDescent="0.25">
      <c r="A23" s="226" t="s">
        <v>518</v>
      </c>
      <c r="B23" s="227" t="s">
        <v>1150</v>
      </c>
    </row>
    <row r="24" spans="1:2" x14ac:dyDescent="0.25">
      <c r="A24" s="296" t="s">
        <v>497</v>
      </c>
      <c r="B24" s="297" t="s">
        <v>1152</v>
      </c>
    </row>
    <row r="25" spans="1:2" ht="47.25" x14ac:dyDescent="0.25">
      <c r="A25" s="296" t="s">
        <v>474</v>
      </c>
      <c r="B25" s="297" t="s">
        <v>1154</v>
      </c>
    </row>
    <row r="26" spans="1:2" ht="31.5" x14ac:dyDescent="0.25">
      <c r="A26" s="296" t="s">
        <v>503</v>
      </c>
      <c r="B26" s="297" t="s">
        <v>1155</v>
      </c>
    </row>
    <row r="27" spans="1:2" x14ac:dyDescent="0.25">
      <c r="A27" s="296" t="s">
        <v>1151</v>
      </c>
      <c r="B27" s="297" t="s">
        <v>1554</v>
      </c>
    </row>
    <row r="28" spans="1:2" x14ac:dyDescent="0.25">
      <c r="A28" s="296" t="s">
        <v>1156</v>
      </c>
      <c r="B28" s="297" t="s">
        <v>1157</v>
      </c>
    </row>
    <row r="29" spans="1:2" x14ac:dyDescent="0.25">
      <c r="A29" s="296" t="s">
        <v>1153</v>
      </c>
      <c r="B29" s="297" t="s">
        <v>502</v>
      </c>
    </row>
    <row r="30" spans="1:2" x14ac:dyDescent="0.25">
      <c r="A30" s="296" t="s">
        <v>1793</v>
      </c>
      <c r="B30" s="297" t="s">
        <v>1794</v>
      </c>
    </row>
    <row r="31" spans="1:2" x14ac:dyDescent="0.25">
      <c r="A31" s="296" t="s">
        <v>1700</v>
      </c>
      <c r="B31" s="297" t="s">
        <v>1701</v>
      </c>
    </row>
    <row r="32" spans="1:2" ht="31.5" x14ac:dyDescent="0.25">
      <c r="A32" s="296" t="s">
        <v>505</v>
      </c>
      <c r="B32" s="298" t="s">
        <v>1193</v>
      </c>
    </row>
    <row r="33" spans="1:2" ht="31.5" x14ac:dyDescent="0.25">
      <c r="A33" s="230" t="s">
        <v>507</v>
      </c>
      <c r="B33" s="233" t="s">
        <v>506</v>
      </c>
    </row>
    <row r="34" spans="1:2" ht="31.5" x14ac:dyDescent="0.25">
      <c r="A34" s="230" t="s">
        <v>472</v>
      </c>
      <c r="B34" s="234" t="s">
        <v>471</v>
      </c>
    </row>
    <row r="35" spans="1:2" ht="47.25" x14ac:dyDescent="0.25">
      <c r="A35" s="230" t="s">
        <v>528</v>
      </c>
      <c r="B35" s="233" t="s">
        <v>1272</v>
      </c>
    </row>
    <row r="36" spans="1:2" ht="31.5" x14ac:dyDescent="0.25">
      <c r="A36" s="230" t="s">
        <v>473</v>
      </c>
      <c r="B36" s="233" t="s">
        <v>1273</v>
      </c>
    </row>
    <row r="37" spans="1:2" ht="16.5" thickBot="1" x14ac:dyDescent="0.3">
      <c r="A37" s="235" t="s">
        <v>509</v>
      </c>
      <c r="B37" s="236" t="s">
        <v>1192</v>
      </c>
    </row>
    <row r="38" spans="1:2" ht="32.25" thickBot="1" x14ac:dyDescent="0.3">
      <c r="A38" s="221" t="s">
        <v>461</v>
      </c>
      <c r="B38" s="232" t="s">
        <v>460</v>
      </c>
    </row>
    <row r="39" spans="1:2" ht="31.5" x14ac:dyDescent="0.25">
      <c r="A39" s="237" t="s">
        <v>533</v>
      </c>
      <c r="B39" s="225" t="s">
        <v>532</v>
      </c>
    </row>
    <row r="40" spans="1:2" ht="31.5" x14ac:dyDescent="0.25">
      <c r="A40" s="238" t="s">
        <v>535</v>
      </c>
      <c r="B40" s="239" t="s">
        <v>534</v>
      </c>
    </row>
    <row r="41" spans="1:2" ht="31.5" x14ac:dyDescent="0.25">
      <c r="A41" s="238" t="s">
        <v>538</v>
      </c>
      <c r="B41" s="239" t="s">
        <v>537</v>
      </c>
    </row>
    <row r="42" spans="1:2" ht="31.5" x14ac:dyDescent="0.25">
      <c r="A42" s="238" t="s">
        <v>553</v>
      </c>
      <c r="B42" s="239" t="s">
        <v>552</v>
      </c>
    </row>
    <row r="43" spans="1:2" x14ac:dyDescent="0.25">
      <c r="A43" s="308" t="s">
        <v>1279</v>
      </c>
      <c r="B43" s="309" t="s">
        <v>1164</v>
      </c>
    </row>
    <row r="44" spans="1:2" x14ac:dyDescent="0.25">
      <c r="A44" s="308" t="s">
        <v>1545</v>
      </c>
      <c r="B44" s="309" t="s">
        <v>1547</v>
      </c>
    </row>
    <row r="45" spans="1:2" x14ac:dyDescent="0.25">
      <c r="A45" s="308" t="s">
        <v>1546</v>
      </c>
      <c r="B45" s="309" t="s">
        <v>1548</v>
      </c>
    </row>
    <row r="46" spans="1:2" ht="31.5" x14ac:dyDescent="0.25">
      <c r="A46" s="230" t="s">
        <v>463</v>
      </c>
      <c r="B46" s="240" t="s">
        <v>462</v>
      </c>
    </row>
    <row r="47" spans="1:2" ht="31.5" x14ac:dyDescent="0.25">
      <c r="A47" s="230" t="s">
        <v>464</v>
      </c>
      <c r="B47" s="241" t="s">
        <v>1569</v>
      </c>
    </row>
    <row r="48" spans="1:2" ht="31.5" x14ac:dyDescent="0.25">
      <c r="A48" s="230" t="s">
        <v>1568</v>
      </c>
      <c r="B48" s="241" t="s">
        <v>1570</v>
      </c>
    </row>
    <row r="49" spans="1:2" ht="32.25" thickBot="1" x14ac:dyDescent="0.3">
      <c r="A49" s="230" t="s">
        <v>1131</v>
      </c>
      <c r="B49" s="241" t="s">
        <v>1132</v>
      </c>
    </row>
    <row r="50" spans="1:2" ht="16.5" thickBot="1" x14ac:dyDescent="0.3">
      <c r="A50" s="221" t="s">
        <v>595</v>
      </c>
      <c r="B50" s="232" t="s">
        <v>594</v>
      </c>
    </row>
    <row r="51" spans="1:2" ht="48" thickBot="1" x14ac:dyDescent="0.3">
      <c r="A51" s="242" t="s">
        <v>597</v>
      </c>
      <c r="B51" s="243" t="s">
        <v>596</v>
      </c>
    </row>
    <row r="52" spans="1:2" ht="48" thickBot="1" x14ac:dyDescent="0.3">
      <c r="A52" s="244" t="s">
        <v>613</v>
      </c>
      <c r="B52" s="245" t="s">
        <v>612</v>
      </c>
    </row>
    <row r="53" spans="1:2" ht="47.25" x14ac:dyDescent="0.25">
      <c r="A53" s="246" t="s">
        <v>615</v>
      </c>
      <c r="B53" s="247" t="s">
        <v>614</v>
      </c>
    </row>
    <row r="54" spans="1:2" ht="47.25" x14ac:dyDescent="0.25">
      <c r="A54" s="248" t="s">
        <v>641</v>
      </c>
      <c r="B54" s="249" t="s">
        <v>1543</v>
      </c>
    </row>
    <row r="55" spans="1:2" ht="31.5" x14ac:dyDescent="0.25">
      <c r="A55" s="248" t="s">
        <v>616</v>
      </c>
      <c r="B55" s="249" t="s">
        <v>1185</v>
      </c>
    </row>
    <row r="56" spans="1:2" ht="47.25" x14ac:dyDescent="0.25">
      <c r="A56" s="250" t="s">
        <v>644</v>
      </c>
      <c r="B56" s="251" t="s">
        <v>643</v>
      </c>
    </row>
    <row r="57" spans="1:2" x14ac:dyDescent="0.25">
      <c r="A57" s="248" t="s">
        <v>645</v>
      </c>
      <c r="B57" s="252" t="s">
        <v>1186</v>
      </c>
    </row>
    <row r="58" spans="1:2" ht="47.25" x14ac:dyDescent="0.25">
      <c r="A58" s="248" t="s">
        <v>686</v>
      </c>
      <c r="B58" s="252" t="s">
        <v>1188</v>
      </c>
    </row>
    <row r="59" spans="1:2" ht="47.25" x14ac:dyDescent="0.25">
      <c r="A59" s="250" t="s">
        <v>648</v>
      </c>
      <c r="B59" s="251" t="s">
        <v>647</v>
      </c>
    </row>
    <row r="60" spans="1:2" ht="31.5" x14ac:dyDescent="0.25">
      <c r="A60" s="250" t="s">
        <v>649</v>
      </c>
      <c r="B60" s="252" t="s">
        <v>1187</v>
      </c>
    </row>
    <row r="61" spans="1:2" x14ac:dyDescent="0.25">
      <c r="A61" s="250" t="s">
        <v>1610</v>
      </c>
      <c r="B61" s="252" t="s">
        <v>1611</v>
      </c>
    </row>
    <row r="62" spans="1:2" ht="47.25" x14ac:dyDescent="0.25">
      <c r="A62" s="250" t="s">
        <v>651</v>
      </c>
      <c r="B62" s="251" t="s">
        <v>650</v>
      </c>
    </row>
    <row r="63" spans="1:2" ht="31.5" x14ac:dyDescent="0.25">
      <c r="A63" s="248" t="s">
        <v>653</v>
      </c>
      <c r="B63" s="249" t="s">
        <v>652</v>
      </c>
    </row>
    <row r="64" spans="1:2" ht="31.5" x14ac:dyDescent="0.25">
      <c r="A64" s="248" t="s">
        <v>656</v>
      </c>
      <c r="B64" s="249" t="s">
        <v>655</v>
      </c>
    </row>
    <row r="65" spans="1:2" ht="31.5" x14ac:dyDescent="0.25">
      <c r="A65" s="177" t="s">
        <v>658</v>
      </c>
      <c r="B65" s="454" t="s">
        <v>657</v>
      </c>
    </row>
    <row r="66" spans="1:2" ht="31.5" x14ac:dyDescent="0.25">
      <c r="A66" s="177" t="s">
        <v>658</v>
      </c>
      <c r="B66" s="454" t="s">
        <v>1615</v>
      </c>
    </row>
    <row r="67" spans="1:2" ht="32.25" thickBot="1" x14ac:dyDescent="0.3">
      <c r="A67" s="556" t="s">
        <v>618</v>
      </c>
      <c r="B67" s="557" t="s">
        <v>617</v>
      </c>
    </row>
    <row r="68" spans="1:2" ht="48" thickBot="1" x14ac:dyDescent="0.3">
      <c r="A68" s="558" t="s">
        <v>620</v>
      </c>
      <c r="B68" s="559" t="s">
        <v>619</v>
      </c>
    </row>
    <row r="69" spans="1:2" ht="32.25" thickBot="1" x14ac:dyDescent="0.3">
      <c r="A69" s="560" t="s">
        <v>630</v>
      </c>
      <c r="B69" s="561" t="s">
        <v>1608</v>
      </c>
    </row>
    <row r="70" spans="1:2" ht="31.5" x14ac:dyDescent="0.25">
      <c r="A70" s="562" t="s">
        <v>632</v>
      </c>
      <c r="B70" s="563" t="s">
        <v>631</v>
      </c>
    </row>
    <row r="71" spans="1:2" x14ac:dyDescent="0.25">
      <c r="A71" s="564" t="s">
        <v>634</v>
      </c>
      <c r="B71" s="565" t="s">
        <v>633</v>
      </c>
    </row>
    <row r="72" spans="1:2" ht="31.5" x14ac:dyDescent="0.25">
      <c r="A72" s="566" t="s">
        <v>637</v>
      </c>
      <c r="B72" s="567" t="s">
        <v>636</v>
      </c>
    </row>
    <row r="73" spans="1:2" ht="31.5" x14ac:dyDescent="0.25">
      <c r="A73" s="568" t="s">
        <v>639</v>
      </c>
      <c r="B73" s="569" t="s">
        <v>638</v>
      </c>
    </row>
    <row r="74" spans="1:2" ht="16.5" thickBot="1" x14ac:dyDescent="0.3">
      <c r="A74" s="568" t="s">
        <v>1603</v>
      </c>
      <c r="B74" s="570" t="s">
        <v>1604</v>
      </c>
    </row>
    <row r="75" spans="1:2" ht="48" thickBot="1" x14ac:dyDescent="0.3">
      <c r="A75" s="253" t="s">
        <v>689</v>
      </c>
      <c r="B75" s="254" t="s">
        <v>688</v>
      </c>
    </row>
    <row r="76" spans="1:2" ht="47.25" x14ac:dyDescent="0.25">
      <c r="A76" s="246" t="s">
        <v>691</v>
      </c>
      <c r="B76" s="255" t="s">
        <v>690</v>
      </c>
    </row>
    <row r="77" spans="1:2" ht="63" x14ac:dyDescent="0.25">
      <c r="A77" s="248" t="s">
        <v>693</v>
      </c>
      <c r="B77" s="256" t="s">
        <v>692</v>
      </c>
    </row>
    <row r="78" spans="1:2" ht="31.5" x14ac:dyDescent="0.25">
      <c r="A78" s="250" t="s">
        <v>695</v>
      </c>
      <c r="B78" s="257" t="s">
        <v>694</v>
      </c>
    </row>
    <row r="79" spans="1:2" ht="47.25" x14ac:dyDescent="0.25">
      <c r="A79" s="248" t="s">
        <v>697</v>
      </c>
      <c r="B79" s="256" t="s">
        <v>696</v>
      </c>
    </row>
    <row r="80" spans="1:2" ht="47.25" x14ac:dyDescent="0.25">
      <c r="A80" s="250" t="s">
        <v>699</v>
      </c>
      <c r="B80" s="257" t="s">
        <v>698</v>
      </c>
    </row>
    <row r="81" spans="1:2" ht="31.5" x14ac:dyDescent="0.25">
      <c r="A81" s="248" t="s">
        <v>701</v>
      </c>
      <c r="B81" s="256" t="s">
        <v>700</v>
      </c>
    </row>
    <row r="82" spans="1:2" ht="31.5" x14ac:dyDescent="0.25">
      <c r="A82" s="250" t="s">
        <v>703</v>
      </c>
      <c r="B82" s="257" t="s">
        <v>702</v>
      </c>
    </row>
    <row r="83" spans="1:2" ht="32.25" thickBot="1" x14ac:dyDescent="0.3">
      <c r="A83" s="258" t="s">
        <v>705</v>
      </c>
      <c r="B83" s="259" t="s">
        <v>704</v>
      </c>
    </row>
    <row r="84" spans="1:2" ht="48" thickBot="1" x14ac:dyDescent="0.3">
      <c r="A84" s="221" t="s">
        <v>422</v>
      </c>
      <c r="B84" s="245" t="s">
        <v>421</v>
      </c>
    </row>
    <row r="85" spans="1:2" ht="31.5" x14ac:dyDescent="0.25">
      <c r="A85" s="224" t="s">
        <v>432</v>
      </c>
      <c r="B85" s="247" t="s">
        <v>431</v>
      </c>
    </row>
    <row r="86" spans="1:2" ht="47.25" x14ac:dyDescent="0.25">
      <c r="A86" s="226" t="s">
        <v>434</v>
      </c>
      <c r="B86" s="252" t="s">
        <v>433</v>
      </c>
    </row>
    <row r="87" spans="1:2" ht="31.5" x14ac:dyDescent="0.25">
      <c r="A87" s="226" t="s">
        <v>436</v>
      </c>
      <c r="B87" s="252" t="s">
        <v>435</v>
      </c>
    </row>
    <row r="88" spans="1:2" ht="31.5" x14ac:dyDescent="0.25">
      <c r="A88" s="226" t="s">
        <v>438</v>
      </c>
      <c r="B88" s="257" t="s">
        <v>437</v>
      </c>
    </row>
    <row r="89" spans="1:2" ht="31.5" x14ac:dyDescent="0.25">
      <c r="A89" s="226" t="s">
        <v>440</v>
      </c>
      <c r="B89" s="249" t="s">
        <v>439</v>
      </c>
    </row>
    <row r="90" spans="1:2" ht="31.5" x14ac:dyDescent="0.25">
      <c r="A90" s="226" t="s">
        <v>423</v>
      </c>
      <c r="B90" s="257" t="s">
        <v>1716</v>
      </c>
    </row>
    <row r="91" spans="1:2" ht="31.5" x14ac:dyDescent="0.25">
      <c r="A91" s="226" t="s">
        <v>425</v>
      </c>
      <c r="B91" s="249" t="s">
        <v>424</v>
      </c>
    </row>
    <row r="92" spans="1:2" x14ac:dyDescent="0.25">
      <c r="A92" s="226" t="s">
        <v>427</v>
      </c>
      <c r="B92" s="249" t="s">
        <v>426</v>
      </c>
    </row>
    <row r="93" spans="1:2" ht="47.25" x14ac:dyDescent="0.25">
      <c r="A93" s="226" t="s">
        <v>430</v>
      </c>
      <c r="B93" s="249" t="s">
        <v>429</v>
      </c>
    </row>
    <row r="94" spans="1:2" ht="31.5" x14ac:dyDescent="0.25">
      <c r="A94" s="226" t="s">
        <v>1739</v>
      </c>
      <c r="B94" s="257" t="s">
        <v>1741</v>
      </c>
    </row>
    <row r="95" spans="1:2" ht="31.5" x14ac:dyDescent="0.25">
      <c r="A95" s="226" t="s">
        <v>1740</v>
      </c>
      <c r="B95" s="249" t="s">
        <v>1742</v>
      </c>
    </row>
    <row r="96" spans="1:2" s="260" customFormat="1" ht="48" thickBot="1" x14ac:dyDescent="0.3">
      <c r="A96" s="261" t="s">
        <v>401</v>
      </c>
      <c r="B96" s="262" t="s">
        <v>1708</v>
      </c>
    </row>
    <row r="97" spans="1:2" s="260" customFormat="1" hidden="1" x14ac:dyDescent="0.25">
      <c r="A97" s="237" t="s">
        <v>571</v>
      </c>
      <c r="B97" s="263"/>
    </row>
    <row r="98" spans="1:2" s="260" customFormat="1" ht="48" thickBot="1" x14ac:dyDescent="0.3">
      <c r="A98" s="226" t="s">
        <v>568</v>
      </c>
      <c r="B98" s="640" t="s">
        <v>1709</v>
      </c>
    </row>
    <row r="99" spans="1:2" ht="63.75" thickBot="1" x14ac:dyDescent="0.3">
      <c r="A99" s="221" t="s">
        <v>405</v>
      </c>
      <c r="B99" s="222" t="s">
        <v>1828</v>
      </c>
    </row>
    <row r="100" spans="1:2" ht="31.5" x14ac:dyDescent="0.25">
      <c r="A100" s="749" t="s">
        <v>406</v>
      </c>
      <c r="B100" s="812" t="s">
        <v>1375</v>
      </c>
    </row>
    <row r="101" spans="1:2" ht="47.25" x14ac:dyDescent="0.25">
      <c r="A101" s="238" t="s">
        <v>1826</v>
      </c>
      <c r="B101" s="216" t="s">
        <v>1829</v>
      </c>
    </row>
    <row r="102" spans="1:2" s="260" customFormat="1" ht="32.25" thickBot="1" x14ac:dyDescent="0.3">
      <c r="A102" s="261" t="s">
        <v>409</v>
      </c>
      <c r="B102" s="273" t="s">
        <v>408</v>
      </c>
    </row>
    <row r="103" spans="1:2" s="260" customFormat="1" x14ac:dyDescent="0.25">
      <c r="A103" s="265" t="s">
        <v>445</v>
      </c>
      <c r="B103" s="266" t="s">
        <v>1277</v>
      </c>
    </row>
    <row r="104" spans="1:2" ht="32.25" thickBot="1" x14ac:dyDescent="0.3">
      <c r="A104" s="242" t="s">
        <v>411</v>
      </c>
      <c r="B104" s="264" t="s">
        <v>410</v>
      </c>
    </row>
    <row r="105" spans="1:2" s="260" customFormat="1" ht="63.75" thickBot="1" x14ac:dyDescent="0.3">
      <c r="A105" s="221" t="s">
        <v>413</v>
      </c>
      <c r="B105" s="222" t="s">
        <v>1196</v>
      </c>
    </row>
    <row r="106" spans="1:2" s="260" customFormat="1" ht="47.25" x14ac:dyDescent="0.25">
      <c r="A106" s="265" t="s">
        <v>414</v>
      </c>
      <c r="B106" s="266" t="s">
        <v>1223</v>
      </c>
    </row>
    <row r="107" spans="1:2" ht="32.25" thickBot="1" x14ac:dyDescent="0.3">
      <c r="A107" s="242" t="s">
        <v>707</v>
      </c>
      <c r="B107" s="264" t="s">
        <v>1224</v>
      </c>
    </row>
    <row r="108" spans="1:2" s="260" customFormat="1" ht="32.25" thickBot="1" x14ac:dyDescent="0.3">
      <c r="A108" s="221" t="s">
        <v>513</v>
      </c>
      <c r="B108" s="222" t="s">
        <v>512</v>
      </c>
    </row>
    <row r="109" spans="1:2" ht="16.5" thickBot="1" x14ac:dyDescent="0.3">
      <c r="A109" s="242" t="s">
        <v>515</v>
      </c>
      <c r="B109" s="264" t="s">
        <v>514</v>
      </c>
    </row>
    <row r="110" spans="1:2" ht="32.25" thickBot="1" x14ac:dyDescent="0.3">
      <c r="A110" s="221" t="s">
        <v>623</v>
      </c>
      <c r="B110" s="254" t="s">
        <v>622</v>
      </c>
    </row>
    <row r="111" spans="1:2" ht="47.25" x14ac:dyDescent="0.25">
      <c r="A111" s="237" t="s">
        <v>625</v>
      </c>
      <c r="B111" s="267" t="s">
        <v>624</v>
      </c>
    </row>
    <row r="112" spans="1:2" ht="47.25" x14ac:dyDescent="0.25">
      <c r="A112" s="226" t="s">
        <v>627</v>
      </c>
      <c r="B112" s="252" t="s">
        <v>626</v>
      </c>
    </row>
    <row r="113" spans="1:2" ht="31.5" x14ac:dyDescent="0.25">
      <c r="A113" s="226" t="s">
        <v>629</v>
      </c>
      <c r="B113" s="252" t="s">
        <v>628</v>
      </c>
    </row>
    <row r="114" spans="1:2" ht="32.25" thickBot="1" x14ac:dyDescent="0.3">
      <c r="A114" s="242" t="s">
        <v>1374</v>
      </c>
      <c r="B114" s="252" t="s">
        <v>1376</v>
      </c>
    </row>
    <row r="115" spans="1:2" ht="32.25" thickBot="1" x14ac:dyDescent="0.3">
      <c r="A115" s="550" t="s">
        <v>713</v>
      </c>
      <c r="B115" s="551" t="s">
        <v>712</v>
      </c>
    </row>
    <row r="116" spans="1:2" ht="47.25" x14ac:dyDescent="0.25">
      <c r="A116" s="552" t="s">
        <v>716</v>
      </c>
      <c r="B116" s="553" t="s">
        <v>715</v>
      </c>
    </row>
    <row r="117" spans="1:2" ht="31.5" x14ac:dyDescent="0.25">
      <c r="A117" s="554" t="s">
        <v>719</v>
      </c>
      <c r="B117" s="555" t="s">
        <v>718</v>
      </c>
    </row>
    <row r="118" spans="1:2" ht="31.5" x14ac:dyDescent="0.25">
      <c r="A118" s="552" t="s">
        <v>722</v>
      </c>
      <c r="B118" s="553" t="s">
        <v>721</v>
      </c>
    </row>
    <row r="119" spans="1:2" ht="31.5" x14ac:dyDescent="0.25">
      <c r="A119" s="246" t="s">
        <v>724</v>
      </c>
      <c r="B119" s="269" t="s">
        <v>723</v>
      </c>
    </row>
    <row r="120" spans="1:2" x14ac:dyDescent="0.25">
      <c r="A120" s="246" t="s">
        <v>727</v>
      </c>
      <c r="B120" s="269" t="s">
        <v>726</v>
      </c>
    </row>
    <row r="121" spans="1:2" x14ac:dyDescent="0.25">
      <c r="A121" s="246" t="s">
        <v>728</v>
      </c>
      <c r="B121" s="268" t="s">
        <v>1159</v>
      </c>
    </row>
    <row r="122" spans="1:2" x14ac:dyDescent="0.25">
      <c r="A122" s="179" t="s">
        <v>1377</v>
      </c>
      <c r="B122" s="268" t="s">
        <v>1378</v>
      </c>
    </row>
    <row r="123" spans="1:2" ht="31.5" x14ac:dyDescent="0.25">
      <c r="A123" s="354" t="s">
        <v>731</v>
      </c>
      <c r="B123" s="401" t="s">
        <v>730</v>
      </c>
    </row>
    <row r="124" spans="1:2" ht="31.5" x14ac:dyDescent="0.25">
      <c r="A124" s="246" t="s">
        <v>733</v>
      </c>
      <c r="B124" s="247" t="s">
        <v>732</v>
      </c>
    </row>
    <row r="125" spans="1:2" ht="31.5" x14ac:dyDescent="0.25">
      <c r="A125" s="248" t="s">
        <v>735</v>
      </c>
      <c r="B125" s="249" t="s">
        <v>734</v>
      </c>
    </row>
    <row r="126" spans="1:2" ht="31.5" x14ac:dyDescent="0.25">
      <c r="A126" s="250" t="s">
        <v>736</v>
      </c>
      <c r="B126" s="251" t="s">
        <v>1714</v>
      </c>
    </row>
    <row r="127" spans="1:2" ht="31.5" x14ac:dyDescent="0.25">
      <c r="A127" s="248" t="s">
        <v>738</v>
      </c>
      <c r="B127" s="256" t="s">
        <v>737</v>
      </c>
    </row>
    <row r="128" spans="1:2" ht="31.5" x14ac:dyDescent="0.25">
      <c r="A128" s="248" t="s">
        <v>740</v>
      </c>
      <c r="B128" s="256" t="s">
        <v>739</v>
      </c>
    </row>
    <row r="129" spans="1:2" x14ac:dyDescent="0.25">
      <c r="A129" s="177" t="s">
        <v>741</v>
      </c>
      <c r="B129" s="307" t="s">
        <v>1833</v>
      </c>
    </row>
    <row r="130" spans="1:2" ht="63" x14ac:dyDescent="0.25">
      <c r="A130" s="246" t="s">
        <v>1645</v>
      </c>
      <c r="B130" s="247" t="s">
        <v>1738</v>
      </c>
    </row>
    <row r="131" spans="1:2" ht="31.5" x14ac:dyDescent="0.25">
      <c r="A131" s="248" t="s">
        <v>1646</v>
      </c>
      <c r="B131" s="249" t="s">
        <v>1644</v>
      </c>
    </row>
    <row r="132" spans="1:2" ht="31.5" x14ac:dyDescent="0.25">
      <c r="A132" s="246" t="s">
        <v>1647</v>
      </c>
      <c r="B132" s="247" t="s">
        <v>1649</v>
      </c>
    </row>
    <row r="133" spans="1:2" x14ac:dyDescent="0.25">
      <c r="A133" s="248" t="s">
        <v>1648</v>
      </c>
      <c r="B133" s="249" t="s">
        <v>1704</v>
      </c>
    </row>
    <row r="134" spans="1:2" ht="32.25" thickBot="1" x14ac:dyDescent="0.3">
      <c r="A134" s="556" t="s">
        <v>743</v>
      </c>
      <c r="B134" s="571" t="s">
        <v>742</v>
      </c>
    </row>
    <row r="135" spans="1:2" ht="16.5" thickBot="1" x14ac:dyDescent="0.3">
      <c r="A135" s="572" t="s">
        <v>745</v>
      </c>
      <c r="B135" s="573" t="s">
        <v>744</v>
      </c>
    </row>
    <row r="136" spans="1:2" ht="31.5" x14ac:dyDescent="0.25">
      <c r="A136" s="304" t="s">
        <v>1121</v>
      </c>
      <c r="B136" s="305" t="s">
        <v>1134</v>
      </c>
    </row>
    <row r="137" spans="1:2" x14ac:dyDescent="0.25">
      <c r="A137" s="177" t="s">
        <v>1122</v>
      </c>
      <c r="B137" s="307" t="s">
        <v>1190</v>
      </c>
    </row>
    <row r="138" spans="1:2" ht="31.5" x14ac:dyDescent="0.25">
      <c r="A138" s="177" t="s">
        <v>1163</v>
      </c>
      <c r="B138" s="268" t="s">
        <v>1191</v>
      </c>
    </row>
    <row r="139" spans="1:2" ht="32.25" thickBot="1" x14ac:dyDescent="0.3">
      <c r="A139" s="270" t="s">
        <v>1133</v>
      </c>
      <c r="B139" s="306" t="s">
        <v>1158</v>
      </c>
    </row>
    <row r="140" spans="1:2" ht="31.5" x14ac:dyDescent="0.25">
      <c r="A140" s="182" t="s">
        <v>1135</v>
      </c>
      <c r="B140" s="291" t="s">
        <v>1136</v>
      </c>
    </row>
    <row r="141" spans="1:2" ht="48" thickBot="1" x14ac:dyDescent="0.3">
      <c r="A141" s="181" t="s">
        <v>1137</v>
      </c>
      <c r="B141" s="292" t="s">
        <v>1138</v>
      </c>
    </row>
    <row r="142" spans="1:2" ht="32.25" thickBot="1" x14ac:dyDescent="0.3">
      <c r="A142" s="290" t="s">
        <v>1139</v>
      </c>
      <c r="B142" s="293" t="s">
        <v>561</v>
      </c>
    </row>
    <row r="143" spans="1:2" x14ac:dyDescent="0.25">
      <c r="A143" s="294" t="s">
        <v>1140</v>
      </c>
      <c r="B143" s="350" t="s">
        <v>1239</v>
      </c>
    </row>
    <row r="144" spans="1:2" x14ac:dyDescent="0.25">
      <c r="A144" s="177" t="s">
        <v>1240</v>
      </c>
      <c r="B144" s="18" t="s">
        <v>1241</v>
      </c>
    </row>
    <row r="145" spans="1:2" ht="16.5" thickBot="1" x14ac:dyDescent="0.3">
      <c r="A145" s="181" t="s">
        <v>1242</v>
      </c>
      <c r="B145" s="351" t="s">
        <v>1243</v>
      </c>
    </row>
    <row r="146" spans="1:2" ht="32.25" thickBot="1" x14ac:dyDescent="0.3">
      <c r="A146" s="244" t="s">
        <v>1244</v>
      </c>
      <c r="B146" s="352" t="s">
        <v>1245</v>
      </c>
    </row>
    <row r="147" spans="1:2" x14ac:dyDescent="0.25">
      <c r="A147" s="294" t="s">
        <v>1264</v>
      </c>
      <c r="B147" s="350" t="s">
        <v>1246</v>
      </c>
    </row>
    <row r="148" spans="1:2" x14ac:dyDescent="0.25">
      <c r="A148" s="177" t="s">
        <v>1265</v>
      </c>
      <c r="B148" s="18" t="s">
        <v>1247</v>
      </c>
    </row>
    <row r="149" spans="1:2" ht="31.5" x14ac:dyDescent="0.25">
      <c r="A149" s="226" t="s">
        <v>1266</v>
      </c>
      <c r="B149" s="412" t="s">
        <v>1532</v>
      </c>
    </row>
    <row r="150" spans="1:2" x14ac:dyDescent="0.25">
      <c r="A150" s="226" t="s">
        <v>1534</v>
      </c>
      <c r="B150" s="412" t="s">
        <v>1535</v>
      </c>
    </row>
    <row r="151" spans="1:2" ht="48" thickBot="1" x14ac:dyDescent="0.3">
      <c r="A151" s="270" t="s">
        <v>1248</v>
      </c>
      <c r="B151" s="411" t="s">
        <v>1542</v>
      </c>
    </row>
    <row r="152" spans="1:2" ht="16.5" thickBot="1" x14ac:dyDescent="0.3">
      <c r="A152" s="294" t="s">
        <v>1249</v>
      </c>
      <c r="B152" s="353" t="s">
        <v>1250</v>
      </c>
    </row>
    <row r="153" spans="1:2" ht="47.25" x14ac:dyDescent="0.25">
      <c r="A153" s="397" t="s">
        <v>1367</v>
      </c>
      <c r="B153" s="398" t="s">
        <v>1369</v>
      </c>
    </row>
    <row r="154" spans="1:2" ht="31.5" x14ac:dyDescent="0.25">
      <c r="A154" s="248" t="s">
        <v>1368</v>
      </c>
      <c r="B154" s="402" t="s">
        <v>1370</v>
      </c>
    </row>
    <row r="155" spans="1:2" ht="16.5" thickBot="1" x14ac:dyDescent="0.3">
      <c r="A155" s="403" t="s">
        <v>1371</v>
      </c>
      <c r="B155" s="404" t="s">
        <v>1372</v>
      </c>
    </row>
    <row r="156" spans="1:2" ht="31.5" x14ac:dyDescent="0.25">
      <c r="A156" s="397" t="s">
        <v>1560</v>
      </c>
      <c r="B156" s="398" t="s">
        <v>1563</v>
      </c>
    </row>
    <row r="157" spans="1:2" ht="29.25" customHeight="1" x14ac:dyDescent="0.25">
      <c r="A157" s="248" t="s">
        <v>1561</v>
      </c>
      <c r="B157" s="402" t="s">
        <v>1564</v>
      </c>
    </row>
    <row r="158" spans="1:2" x14ac:dyDescent="0.25">
      <c r="A158" s="248" t="s">
        <v>1562</v>
      </c>
      <c r="B158" s="448" t="s">
        <v>1617</v>
      </c>
    </row>
    <row r="159" spans="1:2" ht="31.5" x14ac:dyDescent="0.25">
      <c r="A159" s="548" t="s">
        <v>1682</v>
      </c>
      <c r="B159" s="549" t="s">
        <v>1608</v>
      </c>
    </row>
    <row r="160" spans="1:2" ht="31.5" x14ac:dyDescent="0.25">
      <c r="A160" s="546" t="s">
        <v>1683</v>
      </c>
      <c r="B160" s="547" t="s">
        <v>1686</v>
      </c>
    </row>
    <row r="161" spans="1:2" ht="37.5" customHeight="1" x14ac:dyDescent="0.25">
      <c r="A161" s="546" t="s">
        <v>1684</v>
      </c>
      <c r="B161" s="547" t="s">
        <v>1694</v>
      </c>
    </row>
    <row r="162" spans="1:2" x14ac:dyDescent="0.25">
      <c r="A162" s="546" t="s">
        <v>1685</v>
      </c>
      <c r="B162" s="547" t="s">
        <v>1705</v>
      </c>
    </row>
    <row r="163" spans="1:2" ht="31.5" x14ac:dyDescent="0.25">
      <c r="A163" s="548" t="s">
        <v>1687</v>
      </c>
      <c r="B163" s="549" t="s">
        <v>1715</v>
      </c>
    </row>
    <row r="164" spans="1:2" ht="31.5" x14ac:dyDescent="0.25">
      <c r="A164" s="546" t="s">
        <v>1689</v>
      </c>
      <c r="B164" s="547" t="s">
        <v>1688</v>
      </c>
    </row>
    <row r="165" spans="1:2" ht="31.5" x14ac:dyDescent="0.25">
      <c r="A165" s="548" t="s">
        <v>1758</v>
      </c>
      <c r="B165" s="549" t="s">
        <v>1830</v>
      </c>
    </row>
    <row r="166" spans="1:2" x14ac:dyDescent="0.25">
      <c r="A166" s="546" t="s">
        <v>1759</v>
      </c>
      <c r="B166" s="547" t="s">
        <v>1760</v>
      </c>
    </row>
    <row r="167" spans="1:2" x14ac:dyDescent="0.25">
      <c r="A167" s="271" t="s">
        <v>394</v>
      </c>
      <c r="B167" s="97" t="s">
        <v>393</v>
      </c>
    </row>
    <row r="168" spans="1:2" x14ac:dyDescent="0.25">
      <c r="A168" s="849" t="s">
        <v>1848</v>
      </c>
      <c r="B168" s="97" t="s">
        <v>393</v>
      </c>
    </row>
    <row r="169" spans="1:2" ht="16.5" thickBot="1" x14ac:dyDescent="0.3">
      <c r="A169" s="272" t="s">
        <v>565</v>
      </c>
      <c r="B169" s="273" t="s">
        <v>564</v>
      </c>
    </row>
    <row r="170" spans="1:2" x14ac:dyDescent="0.25">
      <c r="A170" s="274"/>
      <c r="B170" s="27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28"/>
  <sheetViews>
    <sheetView topLeftCell="A235" workbookViewId="0">
      <selection activeCell="B252" sqref="B252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0" t="s">
        <v>1028</v>
      </c>
      <c r="B1" s="210" t="s">
        <v>1029</v>
      </c>
    </row>
    <row r="2" spans="1:2" ht="31.5" x14ac:dyDescent="0.25">
      <c r="A2" s="211" t="s">
        <v>1030</v>
      </c>
      <c r="B2" s="94" t="s">
        <v>1571</v>
      </c>
    </row>
    <row r="3" spans="1:2" ht="31.5" x14ac:dyDescent="0.25">
      <c r="A3" s="211" t="s">
        <v>1031</v>
      </c>
      <c r="B3" s="94" t="s">
        <v>1032</v>
      </c>
    </row>
    <row r="4" spans="1:2" ht="15.75" x14ac:dyDescent="0.25">
      <c r="A4" s="212">
        <v>10010</v>
      </c>
      <c r="B4" s="94" t="s">
        <v>646</v>
      </c>
    </row>
    <row r="5" spans="1:2" ht="15.75" x14ac:dyDescent="0.25">
      <c r="A5" s="212">
        <v>10020</v>
      </c>
      <c r="B5" s="94" t="s">
        <v>1033</v>
      </c>
    </row>
    <row r="6" spans="1:2" ht="15.75" x14ac:dyDescent="0.25">
      <c r="A6" s="212">
        <v>10030</v>
      </c>
      <c r="B6" s="94" t="s">
        <v>1142</v>
      </c>
    </row>
    <row r="7" spans="1:2" ht="15.75" x14ac:dyDescent="0.25">
      <c r="A7" s="212">
        <v>10040</v>
      </c>
      <c r="B7" s="94" t="s">
        <v>654</v>
      </c>
    </row>
    <row r="8" spans="1:2" ht="15.75" x14ac:dyDescent="0.25">
      <c r="A8" s="212">
        <v>10051</v>
      </c>
      <c r="B8" s="94" t="s">
        <v>1706</v>
      </c>
    </row>
    <row r="9" spans="1:2" ht="50.25" customHeight="1" x14ac:dyDescent="0.25">
      <c r="A9" s="212">
        <v>10052</v>
      </c>
      <c r="B9" s="94" t="s">
        <v>1707</v>
      </c>
    </row>
    <row r="10" spans="1:2" ht="15.75" x14ac:dyDescent="0.25">
      <c r="A10" s="212">
        <v>10060</v>
      </c>
      <c r="B10" s="94" t="s">
        <v>1691</v>
      </c>
    </row>
    <row r="11" spans="1:2" ht="15.75" x14ac:dyDescent="0.25">
      <c r="A11" s="212">
        <v>10070</v>
      </c>
      <c r="B11" s="278" t="s">
        <v>1572</v>
      </c>
    </row>
    <row r="12" spans="1:2" ht="15.75" x14ac:dyDescent="0.25">
      <c r="A12" s="212">
        <v>10080</v>
      </c>
      <c r="B12" s="94" t="s">
        <v>1379</v>
      </c>
    </row>
    <row r="13" spans="1:2" ht="31.5" x14ac:dyDescent="0.25">
      <c r="A13" s="212">
        <v>10090</v>
      </c>
      <c r="B13" s="94" t="s">
        <v>1034</v>
      </c>
    </row>
    <row r="14" spans="1:2" ht="15.75" x14ac:dyDescent="0.25">
      <c r="A14" s="212">
        <v>10100</v>
      </c>
      <c r="B14" s="214" t="s">
        <v>1146</v>
      </c>
    </row>
    <row r="15" spans="1:2" ht="15.75" x14ac:dyDescent="0.25">
      <c r="A15" s="212">
        <v>10110</v>
      </c>
      <c r="B15" s="94" t="s">
        <v>1147</v>
      </c>
    </row>
    <row r="16" spans="1:2" ht="15.75" x14ac:dyDescent="0.25">
      <c r="A16" s="212">
        <v>10200</v>
      </c>
      <c r="B16" s="214" t="s">
        <v>635</v>
      </c>
    </row>
    <row r="17" spans="1:2" ht="31.5" x14ac:dyDescent="0.25">
      <c r="A17" s="212">
        <v>10210</v>
      </c>
      <c r="B17" s="94" t="s">
        <v>1035</v>
      </c>
    </row>
    <row r="18" spans="1:2" ht="15.75" x14ac:dyDescent="0.25">
      <c r="A18" s="212">
        <v>10220</v>
      </c>
      <c r="B18" s="94" t="s">
        <v>1036</v>
      </c>
    </row>
    <row r="19" spans="1:2" ht="15.75" x14ac:dyDescent="0.25">
      <c r="A19" s="212">
        <v>10230</v>
      </c>
      <c r="B19" s="278" t="s">
        <v>1831</v>
      </c>
    </row>
    <row r="20" spans="1:2" ht="15.75" x14ac:dyDescent="0.25">
      <c r="A20" s="212">
        <v>10240</v>
      </c>
      <c r="B20" s="94" t="s">
        <v>1037</v>
      </c>
    </row>
    <row r="21" spans="1:2" ht="15.75" x14ac:dyDescent="0.25">
      <c r="A21" s="212">
        <v>10300</v>
      </c>
      <c r="B21" s="94" t="s">
        <v>1141</v>
      </c>
    </row>
    <row r="22" spans="1:2" ht="15.75" x14ac:dyDescent="0.25">
      <c r="A22" s="212">
        <v>10360</v>
      </c>
      <c r="B22" s="94" t="s">
        <v>1038</v>
      </c>
    </row>
    <row r="23" spans="1:2" ht="15.75" x14ac:dyDescent="0.25">
      <c r="A23" s="212">
        <v>10370</v>
      </c>
      <c r="B23" s="94" t="s">
        <v>449</v>
      </c>
    </row>
    <row r="24" spans="1:2" ht="15.75" x14ac:dyDescent="0.25">
      <c r="A24" s="212">
        <v>10400</v>
      </c>
      <c r="B24" s="94" t="s">
        <v>621</v>
      </c>
    </row>
    <row r="25" spans="1:2" ht="15.75" x14ac:dyDescent="0.25">
      <c r="A25" s="212">
        <v>10410</v>
      </c>
      <c r="B25" s="376" t="s">
        <v>1690</v>
      </c>
    </row>
    <row r="26" spans="1:2" ht="15.75" x14ac:dyDescent="0.25">
      <c r="A26" s="212">
        <v>10420</v>
      </c>
      <c r="B26" s="377" t="s">
        <v>1358</v>
      </c>
    </row>
    <row r="27" spans="1:2" ht="31.5" x14ac:dyDescent="0.25">
      <c r="A27" s="212">
        <v>10430</v>
      </c>
      <c r="B27" s="94" t="s">
        <v>1565</v>
      </c>
    </row>
    <row r="28" spans="1:2" ht="15.75" x14ac:dyDescent="0.25">
      <c r="A28" s="212">
        <v>10440</v>
      </c>
      <c r="B28" s="94" t="s">
        <v>1618</v>
      </c>
    </row>
    <row r="29" spans="1:2" ht="31.5" x14ac:dyDescent="0.25">
      <c r="A29" s="212">
        <v>10470</v>
      </c>
      <c r="B29" s="94" t="s">
        <v>500</v>
      </c>
    </row>
    <row r="30" spans="1:2" ht="15.75" x14ac:dyDescent="0.25">
      <c r="A30" s="212">
        <v>10500</v>
      </c>
      <c r="B30" s="94" t="s">
        <v>1039</v>
      </c>
    </row>
    <row r="31" spans="1:2" ht="15.75" x14ac:dyDescent="0.25">
      <c r="A31" s="212">
        <v>10510</v>
      </c>
      <c r="B31" s="94" t="s">
        <v>448</v>
      </c>
    </row>
    <row r="32" spans="1:2" ht="15.75" x14ac:dyDescent="0.25">
      <c r="A32" s="212">
        <v>10520</v>
      </c>
      <c r="B32" s="94"/>
    </row>
    <row r="33" spans="1:2" ht="15.75" x14ac:dyDescent="0.25">
      <c r="A33" s="212">
        <v>10530</v>
      </c>
      <c r="B33" s="94" t="s">
        <v>1380</v>
      </c>
    </row>
    <row r="34" spans="1:2" ht="15.75" x14ac:dyDescent="0.25">
      <c r="A34" s="212">
        <v>10600</v>
      </c>
      <c r="B34" s="94" t="s">
        <v>1234</v>
      </c>
    </row>
    <row r="35" spans="1:2" ht="15.75" x14ac:dyDescent="0.25">
      <c r="A35" s="212">
        <v>10700</v>
      </c>
      <c r="B35" s="94" t="s">
        <v>1274</v>
      </c>
    </row>
    <row r="36" spans="1:2" ht="15.75" x14ac:dyDescent="0.25">
      <c r="A36" s="212">
        <v>10701</v>
      </c>
      <c r="B36" s="94" t="s">
        <v>1275</v>
      </c>
    </row>
    <row r="37" spans="1:2" ht="31.5" x14ac:dyDescent="0.25">
      <c r="A37" s="212">
        <v>10702</v>
      </c>
      <c r="B37" s="94" t="s">
        <v>1276</v>
      </c>
    </row>
    <row r="38" spans="1:2" ht="15.75" x14ac:dyDescent="0.25">
      <c r="A38" s="212">
        <v>10703</v>
      </c>
      <c r="B38" s="94" t="s">
        <v>1282</v>
      </c>
    </row>
    <row r="39" spans="1:2" ht="15.75" x14ac:dyDescent="0.25">
      <c r="A39" s="212">
        <v>10704</v>
      </c>
      <c r="B39" s="94" t="s">
        <v>1381</v>
      </c>
    </row>
    <row r="40" spans="1:2" ht="17.649999999999999" customHeight="1" x14ac:dyDescent="0.25">
      <c r="A40" s="212">
        <v>10710</v>
      </c>
      <c r="B40" s="94" t="s">
        <v>1040</v>
      </c>
    </row>
    <row r="41" spans="1:2" ht="15.75" x14ac:dyDescent="0.25">
      <c r="A41" s="212">
        <v>10800</v>
      </c>
      <c r="B41" s="94" t="s">
        <v>572</v>
      </c>
    </row>
    <row r="42" spans="1:2" ht="15.75" x14ac:dyDescent="0.25">
      <c r="A42" s="212">
        <v>10880</v>
      </c>
      <c r="B42" s="94" t="s">
        <v>642</v>
      </c>
    </row>
    <row r="43" spans="1:2" ht="15.75" x14ac:dyDescent="0.25">
      <c r="A43" s="212">
        <v>10900</v>
      </c>
      <c r="B43" s="94" t="s">
        <v>579</v>
      </c>
    </row>
    <row r="44" spans="1:2" ht="15.75" x14ac:dyDescent="0.25">
      <c r="A44" s="212">
        <v>11000</v>
      </c>
      <c r="B44" s="94" t="s">
        <v>475</v>
      </c>
    </row>
    <row r="45" spans="1:2" ht="31.5" x14ac:dyDescent="0.25">
      <c r="A45" s="212">
        <v>11280</v>
      </c>
      <c r="B45" s="94" t="s">
        <v>1711</v>
      </c>
    </row>
    <row r="46" spans="1:2" ht="31.5" x14ac:dyDescent="0.25">
      <c r="A46" s="212">
        <v>11430</v>
      </c>
      <c r="B46" s="94" t="s">
        <v>492</v>
      </c>
    </row>
    <row r="47" spans="1:2" ht="15.75" x14ac:dyDescent="0.25">
      <c r="A47" s="212">
        <v>11690</v>
      </c>
      <c r="B47" s="94" t="s">
        <v>602</v>
      </c>
    </row>
    <row r="48" spans="1:2" ht="15.75" x14ac:dyDescent="0.25">
      <c r="A48" s="212">
        <v>12010</v>
      </c>
      <c r="B48" s="94" t="s">
        <v>396</v>
      </c>
    </row>
    <row r="49" spans="1:2" ht="15.75" x14ac:dyDescent="0.25">
      <c r="A49" s="212">
        <v>12020</v>
      </c>
      <c r="B49" s="94" t="s">
        <v>395</v>
      </c>
    </row>
    <row r="50" spans="1:2" ht="15.75" x14ac:dyDescent="0.25">
      <c r="A50" s="212">
        <v>12030</v>
      </c>
      <c r="B50" s="94" t="s">
        <v>660</v>
      </c>
    </row>
    <row r="51" spans="1:2" ht="15.75" x14ac:dyDescent="0.25">
      <c r="A51" s="212">
        <v>12040</v>
      </c>
      <c r="B51" s="94" t="s">
        <v>1573</v>
      </c>
    </row>
    <row r="52" spans="1:2" ht="15.75" x14ac:dyDescent="0.25">
      <c r="A52" s="212">
        <v>12080</v>
      </c>
      <c r="B52" s="94" t="s">
        <v>415</v>
      </c>
    </row>
    <row r="53" spans="1:2" ht="15.75" x14ac:dyDescent="0.25">
      <c r="A53" s="212">
        <v>12090</v>
      </c>
      <c r="B53" s="94" t="s">
        <v>446</v>
      </c>
    </row>
    <row r="54" spans="1:2" ht="15.75" x14ac:dyDescent="0.25">
      <c r="A54" s="212">
        <v>12100</v>
      </c>
      <c r="B54" s="94" t="s">
        <v>416</v>
      </c>
    </row>
    <row r="55" spans="1:2" ht="15.75" x14ac:dyDescent="0.25">
      <c r="A55" s="212">
        <v>12130</v>
      </c>
      <c r="B55" s="340" t="s">
        <v>443</v>
      </c>
    </row>
    <row r="56" spans="1:2" ht="15.75" x14ac:dyDescent="0.25">
      <c r="A56" s="212">
        <v>12200</v>
      </c>
      <c r="B56" s="94" t="s">
        <v>407</v>
      </c>
    </row>
    <row r="57" spans="1:2" ht="15.75" x14ac:dyDescent="0.25">
      <c r="A57" s="212">
        <v>12210</v>
      </c>
      <c r="B57" s="94" t="s">
        <v>412</v>
      </c>
    </row>
    <row r="58" spans="1:2" ht="15.75" x14ac:dyDescent="0.25">
      <c r="A58" s="212">
        <v>12220</v>
      </c>
      <c r="B58" s="94" t="s">
        <v>404</v>
      </c>
    </row>
    <row r="59" spans="1:2" ht="15.75" x14ac:dyDescent="0.25">
      <c r="A59" s="212">
        <v>12240</v>
      </c>
      <c r="B59" s="94" t="s">
        <v>1225</v>
      </c>
    </row>
    <row r="60" spans="1:2" ht="31.5" x14ac:dyDescent="0.25">
      <c r="A60" s="212">
        <v>12241</v>
      </c>
      <c r="B60" s="340" t="s">
        <v>1222</v>
      </c>
    </row>
    <row r="61" spans="1:2" ht="15.75" x14ac:dyDescent="0.25">
      <c r="A61" s="212">
        <v>12250</v>
      </c>
      <c r="B61" s="340" t="s">
        <v>516</v>
      </c>
    </row>
    <row r="62" spans="1:2" ht="15.75" x14ac:dyDescent="0.25">
      <c r="A62" s="212">
        <v>12260</v>
      </c>
      <c r="B62" s="213" t="s">
        <v>1041</v>
      </c>
    </row>
    <row r="63" spans="1:2" ht="15.75" x14ac:dyDescent="0.25">
      <c r="A63" s="212">
        <v>12270</v>
      </c>
      <c r="B63" s="278" t="s">
        <v>1251</v>
      </c>
    </row>
    <row r="64" spans="1:2" ht="15.75" x14ac:dyDescent="0.25">
      <c r="A64" s="212">
        <v>12300</v>
      </c>
      <c r="B64" s="278" t="s">
        <v>1827</v>
      </c>
    </row>
    <row r="65" spans="1:2" ht="15.75" x14ac:dyDescent="0.25">
      <c r="A65" s="212">
        <v>12310</v>
      </c>
      <c r="B65" s="213" t="s">
        <v>932</v>
      </c>
    </row>
    <row r="66" spans="1:2" ht="15.75" x14ac:dyDescent="0.25">
      <c r="A66" s="212">
        <v>12320</v>
      </c>
      <c r="B66" s="213" t="s">
        <v>933</v>
      </c>
    </row>
    <row r="67" spans="1:2" ht="31.5" x14ac:dyDescent="0.25">
      <c r="A67" s="212">
        <v>12440</v>
      </c>
      <c r="B67" s="94" t="s">
        <v>1531</v>
      </c>
    </row>
    <row r="68" spans="1:2" ht="15.75" x14ac:dyDescent="0.25">
      <c r="A68" s="212">
        <v>12600</v>
      </c>
      <c r="B68" s="340" t="s">
        <v>1574</v>
      </c>
    </row>
    <row r="69" spans="1:2" ht="15.75" x14ac:dyDescent="0.25">
      <c r="A69" s="212">
        <v>12700</v>
      </c>
      <c r="B69" s="94" t="s">
        <v>498</v>
      </c>
    </row>
    <row r="70" spans="1:2" ht="15.75" x14ac:dyDescent="0.25">
      <c r="A70" s="212">
        <v>12710</v>
      </c>
      <c r="B70" s="94" t="s">
        <v>1575</v>
      </c>
    </row>
    <row r="71" spans="1:2" ht="15.75" x14ac:dyDescent="0.25">
      <c r="A71" s="212">
        <v>12750</v>
      </c>
      <c r="B71" s="94" t="s">
        <v>610</v>
      </c>
    </row>
    <row r="72" spans="1:2" ht="15.75" x14ac:dyDescent="0.25">
      <c r="A72" s="212">
        <v>12800</v>
      </c>
      <c r="B72" s="94" t="s">
        <v>569</v>
      </c>
    </row>
    <row r="73" spans="1:2" ht="31.5" x14ac:dyDescent="0.25">
      <c r="A73" s="212">
        <v>12880</v>
      </c>
      <c r="B73" s="217" t="s">
        <v>1494</v>
      </c>
    </row>
    <row r="74" spans="1:2" ht="15.75" x14ac:dyDescent="0.25">
      <c r="A74" s="212">
        <v>12900</v>
      </c>
      <c r="B74" s="94" t="s">
        <v>400</v>
      </c>
    </row>
    <row r="75" spans="1:2" ht="15.75" x14ac:dyDescent="0.25">
      <c r="A75" s="212">
        <v>12950</v>
      </c>
      <c r="B75" s="94" t="s">
        <v>1584</v>
      </c>
    </row>
    <row r="76" spans="1:2" ht="15.75" x14ac:dyDescent="0.25">
      <c r="A76" s="212">
        <v>13010</v>
      </c>
      <c r="B76" s="94" t="s">
        <v>456</v>
      </c>
    </row>
    <row r="77" spans="1:2" ht="15.75" x14ac:dyDescent="0.25">
      <c r="A77" s="212">
        <v>13050</v>
      </c>
      <c r="B77" s="213" t="s">
        <v>1042</v>
      </c>
    </row>
    <row r="78" spans="1:2" ht="15.75" x14ac:dyDescent="0.25">
      <c r="A78" s="212">
        <v>13110</v>
      </c>
      <c r="B78" s="94" t="s">
        <v>467</v>
      </c>
    </row>
    <row r="79" spans="1:2" ht="15.75" x14ac:dyDescent="0.25">
      <c r="A79" s="212">
        <v>13140</v>
      </c>
      <c r="B79" s="94" t="s">
        <v>1717</v>
      </c>
    </row>
    <row r="80" spans="1:2" ht="15.75" x14ac:dyDescent="0.25">
      <c r="A80" s="212">
        <v>13210</v>
      </c>
      <c r="B80" s="94" t="s">
        <v>468</v>
      </c>
    </row>
    <row r="81" spans="1:2" ht="15.75" x14ac:dyDescent="0.25">
      <c r="A81" s="212">
        <v>13310</v>
      </c>
      <c r="B81" s="94" t="s">
        <v>496</v>
      </c>
    </row>
    <row r="82" spans="1:2" ht="15.75" x14ac:dyDescent="0.25">
      <c r="A82" s="212">
        <v>13320</v>
      </c>
      <c r="B82" s="94" t="s">
        <v>499</v>
      </c>
    </row>
    <row r="83" spans="1:2" ht="15.75" x14ac:dyDescent="0.25">
      <c r="A83" s="212">
        <v>13330</v>
      </c>
      <c r="B83" s="278" t="s">
        <v>1043</v>
      </c>
    </row>
    <row r="84" spans="1:2" ht="15.75" x14ac:dyDescent="0.25">
      <c r="A84" s="212">
        <v>13340</v>
      </c>
      <c r="B84" s="213"/>
    </row>
    <row r="85" spans="1:2" ht="15.75" x14ac:dyDescent="0.25">
      <c r="A85" s="212">
        <v>13380</v>
      </c>
      <c r="B85" s="94" t="s">
        <v>1044</v>
      </c>
    </row>
    <row r="86" spans="1:2" ht="31.5" x14ac:dyDescent="0.25">
      <c r="A86" s="212">
        <v>13390</v>
      </c>
      <c r="B86" s="213" t="s">
        <v>1045</v>
      </c>
    </row>
    <row r="87" spans="1:2" ht="15.75" x14ac:dyDescent="0.25">
      <c r="A87" s="212">
        <v>13400</v>
      </c>
      <c r="B87" s="213"/>
    </row>
    <row r="88" spans="1:2" ht="15.75" x14ac:dyDescent="0.25">
      <c r="A88" s="212">
        <v>13510</v>
      </c>
      <c r="B88" s="213" t="s">
        <v>1046</v>
      </c>
    </row>
    <row r="89" spans="1:2" ht="15.75" x14ac:dyDescent="0.25">
      <c r="A89" s="212">
        <v>13710</v>
      </c>
      <c r="B89" s="340" t="s">
        <v>517</v>
      </c>
    </row>
    <row r="90" spans="1:2" ht="15.75" x14ac:dyDescent="0.25">
      <c r="A90" s="212">
        <v>13750</v>
      </c>
      <c r="B90" s="213" t="s">
        <v>519</v>
      </c>
    </row>
    <row r="91" spans="1:2" ht="15.75" x14ac:dyDescent="0.25">
      <c r="A91" s="212">
        <v>13810</v>
      </c>
      <c r="B91" s="94" t="s">
        <v>508</v>
      </c>
    </row>
    <row r="92" spans="1:2" ht="31.5" x14ac:dyDescent="0.25">
      <c r="A92" s="212">
        <v>13820</v>
      </c>
      <c r="B92" s="94" t="s">
        <v>593</v>
      </c>
    </row>
    <row r="93" spans="1:2" ht="31.5" x14ac:dyDescent="0.25">
      <c r="A93" s="212">
        <v>13900</v>
      </c>
      <c r="B93" s="94" t="s">
        <v>1530</v>
      </c>
    </row>
    <row r="94" spans="1:2" ht="30.75" customHeight="1" x14ac:dyDescent="0.25">
      <c r="A94" s="212">
        <v>13930</v>
      </c>
      <c r="B94" s="94" t="s">
        <v>1605</v>
      </c>
    </row>
    <row r="95" spans="1:2" ht="15.75" x14ac:dyDescent="0.25">
      <c r="A95" s="212">
        <v>14010</v>
      </c>
      <c r="B95" s="94" t="s">
        <v>527</v>
      </c>
    </row>
    <row r="96" spans="1:2" ht="15.75" x14ac:dyDescent="0.25">
      <c r="A96" s="212">
        <v>14020</v>
      </c>
      <c r="B96" s="94" t="s">
        <v>1160</v>
      </c>
    </row>
    <row r="97" spans="1:2" ht="15.75" x14ac:dyDescent="0.25">
      <c r="A97" s="212">
        <v>14100</v>
      </c>
      <c r="B97" s="94" t="s">
        <v>1047</v>
      </c>
    </row>
    <row r="98" spans="1:2" ht="15.75" x14ac:dyDescent="0.25">
      <c r="A98" s="212">
        <v>14510</v>
      </c>
      <c r="B98" s="94" t="s">
        <v>589</v>
      </c>
    </row>
    <row r="99" spans="1:2" ht="15.75" x14ac:dyDescent="0.25">
      <c r="A99" s="212">
        <v>14530</v>
      </c>
      <c r="B99" s="94" t="s">
        <v>590</v>
      </c>
    </row>
    <row r="100" spans="1:2" ht="15.75" x14ac:dyDescent="0.25">
      <c r="A100" s="212">
        <v>14550</v>
      </c>
      <c r="B100" s="213"/>
    </row>
    <row r="101" spans="1:2" ht="15.75" x14ac:dyDescent="0.25">
      <c r="A101" s="212">
        <v>14560</v>
      </c>
      <c r="B101" s="94" t="s">
        <v>487</v>
      </c>
    </row>
    <row r="102" spans="1:2" ht="15.75" x14ac:dyDescent="0.25">
      <c r="A102" s="212">
        <v>14570</v>
      </c>
      <c r="B102" s="213" t="s">
        <v>1048</v>
      </c>
    </row>
    <row r="103" spans="1:2" ht="15.75" x14ac:dyDescent="0.25">
      <c r="A103" s="212">
        <v>14580</v>
      </c>
      <c r="B103" s="213"/>
    </row>
    <row r="104" spans="1:2" ht="15.75" x14ac:dyDescent="0.25">
      <c r="A104" s="212">
        <v>14880</v>
      </c>
      <c r="B104" s="340" t="s">
        <v>1162</v>
      </c>
    </row>
    <row r="105" spans="1:2" ht="15.75" x14ac:dyDescent="0.25">
      <c r="A105" s="212">
        <v>15010</v>
      </c>
      <c r="B105" s="340" t="s">
        <v>601</v>
      </c>
    </row>
    <row r="106" spans="1:2" ht="15.75" x14ac:dyDescent="0.25">
      <c r="A106" s="212">
        <v>15030</v>
      </c>
      <c r="B106" s="213" t="s">
        <v>1049</v>
      </c>
    </row>
    <row r="107" spans="1:2" ht="15.75" x14ac:dyDescent="0.25">
      <c r="A107" s="212">
        <v>15110</v>
      </c>
      <c r="B107" s="94" t="s">
        <v>606</v>
      </c>
    </row>
    <row r="108" spans="1:2" ht="15.75" x14ac:dyDescent="0.25">
      <c r="A108" s="212">
        <v>15130</v>
      </c>
      <c r="B108" s="94" t="s">
        <v>1050</v>
      </c>
    </row>
    <row r="109" spans="1:2" ht="15.75" x14ac:dyDescent="0.25">
      <c r="A109" s="212">
        <v>15210</v>
      </c>
      <c r="B109" s="94" t="s">
        <v>609</v>
      </c>
    </row>
    <row r="110" spans="1:2" ht="15.75" x14ac:dyDescent="0.25">
      <c r="A110" s="212">
        <v>15220</v>
      </c>
      <c r="B110" s="94" t="s">
        <v>584</v>
      </c>
    </row>
    <row r="111" spans="1:2" ht="15.75" x14ac:dyDescent="0.25">
      <c r="A111" s="212">
        <v>15250</v>
      </c>
      <c r="B111" s="213"/>
    </row>
    <row r="112" spans="1:2" ht="15.75" x14ac:dyDescent="0.25">
      <c r="A112" s="212">
        <v>15260</v>
      </c>
      <c r="B112" s="278" t="s">
        <v>1382</v>
      </c>
    </row>
    <row r="113" spans="1:2" ht="15.75" x14ac:dyDescent="0.25">
      <c r="A113" s="212">
        <v>15350</v>
      </c>
      <c r="B113" s="278" t="s">
        <v>1413</v>
      </c>
    </row>
    <row r="114" spans="1:2" ht="15.75" x14ac:dyDescent="0.25">
      <c r="A114" s="212">
        <v>15800</v>
      </c>
      <c r="B114" s="278" t="s">
        <v>1485</v>
      </c>
    </row>
    <row r="115" spans="1:2" ht="31.5" x14ac:dyDescent="0.25">
      <c r="A115" s="212">
        <v>15880</v>
      </c>
      <c r="B115" s="278" t="s">
        <v>1544</v>
      </c>
    </row>
    <row r="116" spans="1:2" ht="15.75" x14ac:dyDescent="0.25">
      <c r="A116" s="212">
        <v>16010</v>
      </c>
      <c r="B116" s="94" t="s">
        <v>536</v>
      </c>
    </row>
    <row r="117" spans="1:2" ht="15.75" x14ac:dyDescent="0.25">
      <c r="A117" s="211">
        <v>16050</v>
      </c>
      <c r="B117" s="405" t="s">
        <v>1383</v>
      </c>
    </row>
    <row r="118" spans="1:2" ht="15.75" x14ac:dyDescent="0.25">
      <c r="A118" s="212">
        <v>16110</v>
      </c>
      <c r="B118" s="213"/>
    </row>
    <row r="119" spans="1:2" ht="15.75" x14ac:dyDescent="0.25">
      <c r="A119" s="212">
        <v>16150</v>
      </c>
      <c r="B119" s="94" t="s">
        <v>465</v>
      </c>
    </row>
    <row r="120" spans="1:2" ht="15.75" x14ac:dyDescent="0.25">
      <c r="A120" s="212">
        <v>16151</v>
      </c>
      <c r="B120" s="94" t="s">
        <v>1384</v>
      </c>
    </row>
    <row r="121" spans="1:2" ht="31.5" x14ac:dyDescent="0.25">
      <c r="A121" s="212">
        <v>16160</v>
      </c>
      <c r="B121" s="94" t="s">
        <v>1577</v>
      </c>
    </row>
    <row r="122" spans="1:2" ht="15.75" x14ac:dyDescent="0.25">
      <c r="A122" s="212">
        <v>16210</v>
      </c>
      <c r="B122" s="94" t="s">
        <v>554</v>
      </c>
    </row>
    <row r="123" spans="1:2" ht="15.75" x14ac:dyDescent="0.25">
      <c r="A123" s="212">
        <v>16220</v>
      </c>
      <c r="B123" s="94" t="s">
        <v>555</v>
      </c>
    </row>
    <row r="124" spans="1:2" ht="21" customHeight="1" x14ac:dyDescent="0.25">
      <c r="A124" s="212">
        <v>16250</v>
      </c>
      <c r="B124" s="94" t="s">
        <v>598</v>
      </c>
    </row>
    <row r="125" spans="1:2" ht="21" customHeight="1" x14ac:dyDescent="0.25">
      <c r="A125" s="212">
        <v>16900</v>
      </c>
      <c r="B125" s="94" t="s">
        <v>1710</v>
      </c>
    </row>
    <row r="126" spans="1:2" ht="21" customHeight="1" x14ac:dyDescent="0.25">
      <c r="A126" s="212">
        <v>16950</v>
      </c>
      <c r="B126" s="94" t="s">
        <v>1384</v>
      </c>
    </row>
    <row r="127" spans="1:2" ht="21" customHeight="1" x14ac:dyDescent="0.25">
      <c r="A127" s="212">
        <v>21236</v>
      </c>
      <c r="B127" s="94" t="s">
        <v>1385</v>
      </c>
    </row>
    <row r="128" spans="1:2" ht="30.75" customHeight="1" x14ac:dyDescent="0.25">
      <c r="A128" s="212">
        <v>22446</v>
      </c>
      <c r="B128" s="94" t="s">
        <v>1693</v>
      </c>
    </row>
    <row r="129" spans="1:2" ht="35.25" customHeight="1" x14ac:dyDescent="0.25">
      <c r="A129" s="212">
        <v>23906</v>
      </c>
      <c r="B129" s="94" t="s">
        <v>1692</v>
      </c>
    </row>
    <row r="130" spans="1:2" ht="35.25" customHeight="1" x14ac:dyDescent="0.25">
      <c r="A130" s="212">
        <v>23936</v>
      </c>
      <c r="B130" s="94" t="s">
        <v>1737</v>
      </c>
    </row>
    <row r="131" spans="1:2" ht="35.25" customHeight="1" x14ac:dyDescent="0.25">
      <c r="A131" s="212">
        <v>25356</v>
      </c>
      <c r="B131" s="94" t="s">
        <v>1386</v>
      </c>
    </row>
    <row r="132" spans="1:2" ht="24" customHeight="1" x14ac:dyDescent="0.25">
      <c r="A132" s="212">
        <v>25626</v>
      </c>
      <c r="B132" s="94" t="s">
        <v>1387</v>
      </c>
    </row>
    <row r="133" spans="1:2" ht="35.25" customHeight="1" x14ac:dyDescent="0.25">
      <c r="A133" s="212">
        <v>26426</v>
      </c>
      <c r="B133" s="94" t="s">
        <v>1614</v>
      </c>
    </row>
    <row r="134" spans="1:2" ht="46.5" customHeight="1" x14ac:dyDescent="0.25">
      <c r="A134" s="212">
        <v>26936</v>
      </c>
      <c r="B134" s="94" t="s">
        <v>1744</v>
      </c>
    </row>
    <row r="135" spans="1:2" ht="28.5" customHeight="1" x14ac:dyDescent="0.25">
      <c r="A135" s="212"/>
      <c r="B135" s="94"/>
    </row>
    <row r="136" spans="1:2" ht="18.95" customHeight="1" x14ac:dyDescent="0.25">
      <c r="A136" s="212">
        <v>29016</v>
      </c>
      <c r="B136" s="215" t="s">
        <v>398</v>
      </c>
    </row>
    <row r="137" spans="1:2" ht="31.5" x14ac:dyDescent="0.25">
      <c r="A137" s="212">
        <v>29026</v>
      </c>
      <c r="B137" s="94" t="s">
        <v>447</v>
      </c>
    </row>
    <row r="138" spans="1:2" ht="31.5" x14ac:dyDescent="0.25">
      <c r="A138" s="212">
        <v>29036</v>
      </c>
      <c r="B138" s="94" t="s">
        <v>1051</v>
      </c>
    </row>
    <row r="139" spans="1:2" ht="15.75" x14ac:dyDescent="0.25">
      <c r="A139" s="212">
        <v>29046</v>
      </c>
      <c r="B139" s="449" t="s">
        <v>1259</v>
      </c>
    </row>
    <row r="140" spans="1:2" ht="15.75" x14ac:dyDescent="0.25">
      <c r="A140" s="212">
        <v>29056</v>
      </c>
      <c r="B140" s="400" t="s">
        <v>1052</v>
      </c>
    </row>
    <row r="141" spans="1:2" ht="15.75" x14ac:dyDescent="0.25">
      <c r="A141" s="212">
        <v>29066</v>
      </c>
      <c r="B141" s="400" t="s">
        <v>1260</v>
      </c>
    </row>
    <row r="142" spans="1:2" ht="15.75" x14ac:dyDescent="0.25">
      <c r="A142" s="212">
        <v>29076</v>
      </c>
      <c r="B142" s="18" t="s">
        <v>1053</v>
      </c>
    </row>
    <row r="143" spans="1:2" ht="23.25" customHeight="1" x14ac:dyDescent="0.25">
      <c r="A143" s="212">
        <v>29086</v>
      </c>
      <c r="B143" s="782" t="s">
        <v>1054</v>
      </c>
    </row>
    <row r="144" spans="1:2" ht="15.75" x14ac:dyDescent="0.25">
      <c r="A144" s="212">
        <v>29096</v>
      </c>
      <c r="B144" s="782" t="s">
        <v>1055</v>
      </c>
    </row>
    <row r="145" spans="1:2" ht="15.75" x14ac:dyDescent="0.25">
      <c r="A145" s="212">
        <v>29106</v>
      </c>
      <c r="B145" s="366" t="s">
        <v>1056</v>
      </c>
    </row>
    <row r="146" spans="1:2" ht="31.5" x14ac:dyDescent="0.25">
      <c r="A146" s="212">
        <v>29116</v>
      </c>
      <c r="B146" s="94" t="s">
        <v>1057</v>
      </c>
    </row>
    <row r="147" spans="1:2" ht="31.5" x14ac:dyDescent="0.25">
      <c r="A147" s="212">
        <v>29126</v>
      </c>
      <c r="B147" s="18" t="s">
        <v>1058</v>
      </c>
    </row>
    <row r="148" spans="1:2" ht="31.5" x14ac:dyDescent="0.25">
      <c r="A148" s="212">
        <v>29136</v>
      </c>
      <c r="B148" s="18" t="s">
        <v>1578</v>
      </c>
    </row>
    <row r="149" spans="1:2" ht="15.75" x14ac:dyDescent="0.25">
      <c r="A149" s="212">
        <v>29146</v>
      </c>
      <c r="B149" s="18" t="s">
        <v>1059</v>
      </c>
    </row>
    <row r="150" spans="1:2" ht="15.75" x14ac:dyDescent="0.25">
      <c r="A150" s="212">
        <v>29156</v>
      </c>
      <c r="B150" s="90" t="s">
        <v>1060</v>
      </c>
    </row>
    <row r="151" spans="1:2" ht="15.75" x14ac:dyDescent="0.25">
      <c r="A151" s="212">
        <v>29166</v>
      </c>
      <c r="B151" s="782" t="s">
        <v>1061</v>
      </c>
    </row>
    <row r="152" spans="1:2" ht="15.75" x14ac:dyDescent="0.25">
      <c r="A152" s="212">
        <v>29176</v>
      </c>
      <c r="B152" s="782" t="s">
        <v>1388</v>
      </c>
    </row>
    <row r="153" spans="1:2" ht="31.5" x14ac:dyDescent="0.25">
      <c r="A153" s="212">
        <v>29186</v>
      </c>
      <c r="B153" s="18" t="s">
        <v>1062</v>
      </c>
    </row>
    <row r="154" spans="1:2" ht="15.75" x14ac:dyDescent="0.25">
      <c r="A154" s="212">
        <v>29196</v>
      </c>
      <c r="B154" s="18" t="s">
        <v>1063</v>
      </c>
    </row>
    <row r="155" spans="1:2" ht="15.75" x14ac:dyDescent="0.25">
      <c r="A155" s="212">
        <v>29206</v>
      </c>
      <c r="B155" s="18" t="s">
        <v>1145</v>
      </c>
    </row>
    <row r="156" spans="1:2" ht="19.5" customHeight="1" x14ac:dyDescent="0.25">
      <c r="A156" s="212">
        <v>29216</v>
      </c>
      <c r="B156" s="782" t="s">
        <v>1064</v>
      </c>
    </row>
    <row r="157" spans="1:2" ht="15.75" x14ac:dyDescent="0.25">
      <c r="A157" s="212">
        <v>29226</v>
      </c>
      <c r="B157" s="782" t="s">
        <v>1065</v>
      </c>
    </row>
    <row r="158" spans="1:2" ht="15.75" x14ac:dyDescent="0.25">
      <c r="A158" s="212">
        <v>29236</v>
      </c>
      <c r="B158" s="782" t="s">
        <v>1066</v>
      </c>
    </row>
    <row r="159" spans="1:2" ht="15.75" x14ac:dyDescent="0.25">
      <c r="A159" s="212">
        <v>29246</v>
      </c>
      <c r="B159" s="782" t="s">
        <v>1067</v>
      </c>
    </row>
    <row r="160" spans="1:2" ht="15.75" x14ac:dyDescent="0.25">
      <c r="A160" s="212">
        <v>29256</v>
      </c>
      <c r="B160" s="782" t="s">
        <v>1261</v>
      </c>
    </row>
    <row r="161" spans="1:2" ht="15.75" x14ac:dyDescent="0.25">
      <c r="A161" s="212">
        <v>29266</v>
      </c>
      <c r="B161" s="782" t="s">
        <v>1262</v>
      </c>
    </row>
    <row r="162" spans="1:2" ht="31.5" x14ac:dyDescent="0.25">
      <c r="A162" s="212">
        <v>29276</v>
      </c>
      <c r="B162" s="782" t="s">
        <v>1068</v>
      </c>
    </row>
    <row r="163" spans="1:2" ht="15.75" x14ac:dyDescent="0.25">
      <c r="A163" s="212">
        <v>29286</v>
      </c>
      <c r="B163" s="216" t="s">
        <v>1069</v>
      </c>
    </row>
    <row r="164" spans="1:2" ht="30" customHeight="1" x14ac:dyDescent="0.25">
      <c r="A164" s="212">
        <v>29296</v>
      </c>
      <c r="B164" s="216" t="s">
        <v>1070</v>
      </c>
    </row>
    <row r="165" spans="1:2" ht="15.75" x14ac:dyDescent="0.25">
      <c r="A165" s="212">
        <v>29306</v>
      </c>
      <c r="B165" s="366" t="s">
        <v>1071</v>
      </c>
    </row>
    <row r="166" spans="1:2" ht="15.75" x14ac:dyDescent="0.25">
      <c r="A166" s="212">
        <v>29316</v>
      </c>
      <c r="B166" s="782" t="s">
        <v>1072</v>
      </c>
    </row>
    <row r="167" spans="1:2" ht="15.75" x14ac:dyDescent="0.25">
      <c r="A167" s="212">
        <v>29326</v>
      </c>
      <c r="B167" s="18" t="s">
        <v>1073</v>
      </c>
    </row>
    <row r="168" spans="1:2" ht="15.75" x14ac:dyDescent="0.25">
      <c r="A168" s="212">
        <v>29336</v>
      </c>
      <c r="B168" s="400" t="s">
        <v>1074</v>
      </c>
    </row>
    <row r="169" spans="1:2" ht="15.75" x14ac:dyDescent="0.25">
      <c r="A169" s="212">
        <v>29346</v>
      </c>
      <c r="B169" s="782" t="s">
        <v>1075</v>
      </c>
    </row>
    <row r="170" spans="1:2" ht="15.75" x14ac:dyDescent="0.25">
      <c r="A170" s="212">
        <v>29356</v>
      </c>
      <c r="B170" s="400"/>
    </row>
    <row r="171" spans="1:2" ht="15.75" x14ac:dyDescent="0.25">
      <c r="A171" s="212">
        <v>29366</v>
      </c>
      <c r="B171" s="18" t="s">
        <v>1076</v>
      </c>
    </row>
    <row r="172" spans="1:2" ht="15.75" x14ac:dyDescent="0.25">
      <c r="A172" s="212">
        <v>29376</v>
      </c>
      <c r="B172" s="94" t="s">
        <v>1579</v>
      </c>
    </row>
    <row r="173" spans="1:2" ht="15.75" x14ac:dyDescent="0.25">
      <c r="A173" s="212">
        <v>29386</v>
      </c>
      <c r="B173" s="449" t="s">
        <v>1389</v>
      </c>
    </row>
    <row r="174" spans="1:2" ht="31.5" x14ac:dyDescent="0.25">
      <c r="A174" s="212">
        <v>29396</v>
      </c>
      <c r="B174" s="94" t="s">
        <v>1077</v>
      </c>
    </row>
    <row r="175" spans="1:2" ht="31.5" x14ac:dyDescent="0.25">
      <c r="A175" s="212">
        <v>29406</v>
      </c>
      <c r="B175" s="216" t="s">
        <v>1078</v>
      </c>
    </row>
    <row r="176" spans="1:2" ht="44.25" customHeight="1" x14ac:dyDescent="0.25">
      <c r="A176" s="212">
        <v>29416</v>
      </c>
      <c r="B176" s="94" t="s">
        <v>1079</v>
      </c>
    </row>
    <row r="177" spans="1:2" ht="15.75" x14ac:dyDescent="0.25">
      <c r="A177" s="212">
        <v>29426</v>
      </c>
      <c r="B177" s="400" t="s">
        <v>1080</v>
      </c>
    </row>
    <row r="178" spans="1:2" ht="15.75" x14ac:dyDescent="0.25">
      <c r="A178" s="212">
        <v>29436</v>
      </c>
      <c r="B178" s="94" t="s">
        <v>1081</v>
      </c>
    </row>
    <row r="179" spans="1:2" ht="31.5" x14ac:dyDescent="0.25">
      <c r="A179" s="212">
        <v>29446</v>
      </c>
      <c r="B179" s="94" t="s">
        <v>1082</v>
      </c>
    </row>
    <row r="180" spans="1:2" ht="15.75" x14ac:dyDescent="0.25">
      <c r="A180" s="212">
        <v>29456</v>
      </c>
      <c r="B180" s="215" t="s">
        <v>1492</v>
      </c>
    </row>
    <row r="181" spans="1:2" ht="15.75" x14ac:dyDescent="0.25">
      <c r="A181" s="212">
        <v>29466</v>
      </c>
      <c r="B181" s="215" t="s">
        <v>1083</v>
      </c>
    </row>
    <row r="182" spans="1:2" ht="15.75" x14ac:dyDescent="0.25">
      <c r="A182" s="212">
        <v>29476</v>
      </c>
      <c r="B182" s="400" t="s">
        <v>1263</v>
      </c>
    </row>
    <row r="183" spans="1:2" ht="15.75" x14ac:dyDescent="0.25">
      <c r="A183" s="212">
        <v>29486</v>
      </c>
      <c r="B183" s="449" t="s">
        <v>1084</v>
      </c>
    </row>
    <row r="184" spans="1:2" ht="15.75" x14ac:dyDescent="0.25">
      <c r="A184" s="212">
        <v>29496</v>
      </c>
      <c r="B184" s="366" t="s">
        <v>1085</v>
      </c>
    </row>
    <row r="185" spans="1:2" ht="15.75" x14ac:dyDescent="0.25">
      <c r="A185" s="212">
        <v>29506</v>
      </c>
      <c r="B185" s="216" t="s">
        <v>1086</v>
      </c>
    </row>
    <row r="186" spans="1:2" ht="15.75" x14ac:dyDescent="0.25">
      <c r="A186" s="212">
        <v>29516</v>
      </c>
      <c r="B186" s="216" t="s">
        <v>1233</v>
      </c>
    </row>
    <row r="187" spans="1:2" ht="15.75" x14ac:dyDescent="0.25">
      <c r="A187" s="212">
        <v>29526</v>
      </c>
      <c r="B187" s="216" t="s">
        <v>1541</v>
      </c>
    </row>
    <row r="188" spans="1:2" ht="15.75" x14ac:dyDescent="0.25">
      <c r="A188" s="212">
        <v>29536</v>
      </c>
      <c r="B188" s="216" t="s">
        <v>1745</v>
      </c>
    </row>
    <row r="189" spans="1:2" ht="31.5" x14ac:dyDescent="0.25">
      <c r="A189" s="212">
        <v>29556</v>
      </c>
      <c r="B189" s="216" t="s">
        <v>1390</v>
      </c>
    </row>
    <row r="190" spans="1:2" ht="15.75" x14ac:dyDescent="0.25">
      <c r="A190" s="212">
        <v>29566</v>
      </c>
      <c r="B190" s="216" t="s">
        <v>1232</v>
      </c>
    </row>
    <row r="191" spans="1:2" ht="31.5" x14ac:dyDescent="0.25">
      <c r="A191" s="212">
        <v>29576</v>
      </c>
      <c r="B191" s="94" t="s">
        <v>1391</v>
      </c>
    </row>
    <row r="192" spans="1:2" ht="31.5" x14ac:dyDescent="0.25">
      <c r="A192" s="212">
        <v>29586</v>
      </c>
      <c r="B192" s="216" t="s">
        <v>1392</v>
      </c>
    </row>
    <row r="193" spans="1:2" ht="15.75" x14ac:dyDescent="0.25">
      <c r="A193" s="212">
        <v>29596</v>
      </c>
      <c r="B193" s="366" t="s">
        <v>1393</v>
      </c>
    </row>
    <row r="194" spans="1:2" ht="15.75" x14ac:dyDescent="0.25">
      <c r="A194" s="212">
        <v>29606</v>
      </c>
      <c r="B194" s="94" t="s">
        <v>1394</v>
      </c>
    </row>
    <row r="195" spans="1:2" ht="15.75" x14ac:dyDescent="0.25">
      <c r="A195" s="212">
        <v>29616</v>
      </c>
      <c r="B195" s="366" t="s">
        <v>1395</v>
      </c>
    </row>
    <row r="196" spans="1:2" ht="15.75" x14ac:dyDescent="0.25">
      <c r="A196" s="212">
        <v>29626</v>
      </c>
      <c r="B196" s="94" t="s">
        <v>1396</v>
      </c>
    </row>
    <row r="197" spans="1:2" ht="15.75" x14ac:dyDescent="0.25">
      <c r="A197" s="212">
        <v>29636</v>
      </c>
      <c r="B197" s="366" t="s">
        <v>1397</v>
      </c>
    </row>
    <row r="198" spans="1:2" ht="15.75" x14ac:dyDescent="0.25">
      <c r="A198" s="212">
        <v>29646</v>
      </c>
      <c r="B198" s="216" t="s">
        <v>1398</v>
      </c>
    </row>
    <row r="199" spans="1:2" ht="15.75" x14ac:dyDescent="0.25">
      <c r="A199" s="212">
        <v>29656</v>
      </c>
      <c r="B199" s="215" t="s">
        <v>1399</v>
      </c>
    </row>
    <row r="200" spans="1:2" ht="15.75" x14ac:dyDescent="0.25">
      <c r="A200" s="212">
        <v>29666</v>
      </c>
      <c r="B200" s="215" t="s">
        <v>1400</v>
      </c>
    </row>
    <row r="201" spans="1:2" ht="31.5" x14ac:dyDescent="0.25">
      <c r="A201" s="212">
        <v>29676</v>
      </c>
      <c r="B201" s="94" t="s">
        <v>1401</v>
      </c>
    </row>
    <row r="202" spans="1:2" ht="15.75" x14ac:dyDescent="0.25">
      <c r="A202" s="212">
        <v>29686</v>
      </c>
      <c r="B202" s="94" t="s">
        <v>1402</v>
      </c>
    </row>
    <row r="203" spans="1:2" ht="15.75" x14ac:dyDescent="0.25">
      <c r="A203" s="212">
        <v>29696</v>
      </c>
      <c r="B203" s="94" t="s">
        <v>1403</v>
      </c>
    </row>
    <row r="204" spans="1:2" ht="15.75" x14ac:dyDescent="0.25">
      <c r="A204" s="212">
        <v>29706</v>
      </c>
      <c r="B204" s="94" t="s">
        <v>1404</v>
      </c>
    </row>
    <row r="205" spans="1:2" ht="15.75" x14ac:dyDescent="0.25">
      <c r="A205" s="212">
        <v>29716</v>
      </c>
      <c r="B205" s="94" t="s">
        <v>1405</v>
      </c>
    </row>
    <row r="206" spans="1:2" ht="31.5" x14ac:dyDescent="0.25">
      <c r="A206" s="212">
        <v>29726</v>
      </c>
      <c r="B206" s="216" t="s">
        <v>1406</v>
      </c>
    </row>
    <row r="207" spans="1:2" ht="15.75" x14ac:dyDescent="0.25">
      <c r="A207" s="212">
        <v>29736</v>
      </c>
      <c r="B207" s="216"/>
    </row>
    <row r="208" spans="1:2" ht="15.75" x14ac:dyDescent="0.25">
      <c r="A208" s="212">
        <v>29746</v>
      </c>
      <c r="B208" s="216"/>
    </row>
    <row r="209" spans="1:2" ht="15.75" x14ac:dyDescent="0.25">
      <c r="A209" s="212">
        <v>29756</v>
      </c>
      <c r="B209" s="215" t="s">
        <v>1550</v>
      </c>
    </row>
    <row r="210" spans="1:2" ht="15.75" x14ac:dyDescent="0.25">
      <c r="A210" s="212">
        <v>29766</v>
      </c>
      <c r="B210" s="449" t="s">
        <v>1597</v>
      </c>
    </row>
    <row r="211" spans="1:2" ht="15.75" x14ac:dyDescent="0.25">
      <c r="A211" s="212">
        <v>29776</v>
      </c>
      <c r="B211" s="216" t="s">
        <v>1598</v>
      </c>
    </row>
    <row r="212" spans="1:2" ht="15.75" x14ac:dyDescent="0.25">
      <c r="A212" s="212">
        <v>29786</v>
      </c>
      <c r="B212" s="216" t="s">
        <v>1796</v>
      </c>
    </row>
    <row r="213" spans="1:2" ht="31.5" x14ac:dyDescent="0.25">
      <c r="A213" s="212">
        <v>29806</v>
      </c>
      <c r="B213" s="216" t="s">
        <v>1845</v>
      </c>
    </row>
    <row r="214" spans="1:2" ht="15.75" x14ac:dyDescent="0.25">
      <c r="A214" s="212"/>
      <c r="B214" s="216"/>
    </row>
    <row r="215" spans="1:2" ht="15.75" x14ac:dyDescent="0.25">
      <c r="A215" s="212">
        <v>50130</v>
      </c>
      <c r="B215" s="213" t="s">
        <v>934</v>
      </c>
    </row>
    <row r="216" spans="1:2" ht="31.5" x14ac:dyDescent="0.25">
      <c r="A216" s="212">
        <v>50136</v>
      </c>
      <c r="B216" s="278" t="s">
        <v>1612</v>
      </c>
    </row>
    <row r="217" spans="1:2" ht="47.25" x14ac:dyDescent="0.25">
      <c r="A217" s="212">
        <v>50650</v>
      </c>
      <c r="B217" s="213" t="s">
        <v>477</v>
      </c>
    </row>
    <row r="218" spans="1:2" ht="31.5" x14ac:dyDescent="0.25">
      <c r="A218" s="212">
        <v>50840</v>
      </c>
      <c r="B218" s="340" t="s">
        <v>556</v>
      </c>
    </row>
    <row r="219" spans="1:2" ht="31.5" x14ac:dyDescent="0.25">
      <c r="A219" s="212">
        <v>50970</v>
      </c>
      <c r="B219" s="278" t="s">
        <v>1703</v>
      </c>
    </row>
    <row r="220" spans="1:2" ht="15.75" x14ac:dyDescent="0.25">
      <c r="A220" s="212">
        <v>51180</v>
      </c>
      <c r="B220" s="94" t="s">
        <v>566</v>
      </c>
    </row>
    <row r="221" spans="1:2" ht="31.5" x14ac:dyDescent="0.25">
      <c r="A221" s="212">
        <v>51190</v>
      </c>
      <c r="B221" s="213" t="s">
        <v>1087</v>
      </c>
    </row>
    <row r="222" spans="1:2" ht="31.5" x14ac:dyDescent="0.25">
      <c r="A222" s="212">
        <v>51200</v>
      </c>
      <c r="B222" s="94" t="s">
        <v>399</v>
      </c>
    </row>
    <row r="223" spans="1:2" ht="15.75" x14ac:dyDescent="0.25">
      <c r="A223" s="212">
        <v>51370</v>
      </c>
      <c r="B223" s="94" t="s">
        <v>540</v>
      </c>
    </row>
    <row r="224" spans="1:2" ht="15.75" x14ac:dyDescent="0.25">
      <c r="A224" s="212">
        <v>51440</v>
      </c>
      <c r="B224" s="213" t="s">
        <v>1088</v>
      </c>
    </row>
    <row r="225" spans="1:2" ht="31.5" x14ac:dyDescent="0.25">
      <c r="A225" s="212">
        <v>52200</v>
      </c>
      <c r="B225" s="94" t="s">
        <v>541</v>
      </c>
    </row>
    <row r="226" spans="1:2" ht="31.5" x14ac:dyDescent="0.25">
      <c r="A226" s="212">
        <v>52400</v>
      </c>
      <c r="B226" s="94" t="s">
        <v>542</v>
      </c>
    </row>
    <row r="227" spans="1:2" ht="15.75" x14ac:dyDescent="0.25">
      <c r="A227" s="212">
        <v>52500</v>
      </c>
      <c r="B227" s="94" t="s">
        <v>543</v>
      </c>
    </row>
    <row r="228" spans="1:2" ht="31.5" x14ac:dyDescent="0.25">
      <c r="A228" s="212">
        <v>52600</v>
      </c>
      <c r="B228" s="340" t="s">
        <v>522</v>
      </c>
    </row>
    <row r="229" spans="1:2" ht="47.25" x14ac:dyDescent="0.25">
      <c r="A229" s="212">
        <v>52700</v>
      </c>
      <c r="B229" s="340" t="s">
        <v>557</v>
      </c>
    </row>
    <row r="230" spans="1:2" ht="15.75" x14ac:dyDescent="0.25">
      <c r="A230" s="212">
        <v>52930</v>
      </c>
      <c r="B230" s="213" t="s">
        <v>1549</v>
      </c>
    </row>
    <row r="231" spans="1:2" ht="31.5" x14ac:dyDescent="0.25">
      <c r="A231" s="212">
        <v>53031</v>
      </c>
      <c r="B231" s="213" t="s">
        <v>1821</v>
      </c>
    </row>
    <row r="232" spans="1:2" ht="15.75" x14ac:dyDescent="0.25">
      <c r="A232" s="212">
        <v>53116</v>
      </c>
      <c r="B232" s="374" t="s">
        <v>1555</v>
      </c>
    </row>
    <row r="233" spans="1:2" ht="47.25" x14ac:dyDescent="0.25">
      <c r="A233" s="212">
        <v>53800</v>
      </c>
      <c r="B233" s="278" t="s">
        <v>1089</v>
      </c>
    </row>
    <row r="234" spans="1:2" ht="31.5" x14ac:dyDescent="0.25">
      <c r="A234" s="212" t="s">
        <v>1849</v>
      </c>
      <c r="B234" s="278" t="s">
        <v>1850</v>
      </c>
    </row>
    <row r="235" spans="1:2" ht="31.5" x14ac:dyDescent="0.25">
      <c r="A235" s="212">
        <v>53810</v>
      </c>
      <c r="B235" s="94" t="s">
        <v>544</v>
      </c>
    </row>
    <row r="236" spans="1:2" ht="31.5" x14ac:dyDescent="0.25">
      <c r="A236" s="212">
        <v>53850</v>
      </c>
      <c r="B236" s="94" t="s">
        <v>545</v>
      </c>
    </row>
    <row r="237" spans="1:2" ht="15.75" x14ac:dyDescent="0.25">
      <c r="A237" s="212">
        <v>53910</v>
      </c>
      <c r="B237" s="94" t="s">
        <v>417</v>
      </c>
    </row>
    <row r="238" spans="1:2" ht="31.5" x14ac:dyDescent="0.25">
      <c r="A238" s="212">
        <v>54620</v>
      </c>
      <c r="B238" s="94" t="s">
        <v>1267</v>
      </c>
    </row>
    <row r="239" spans="1:2" ht="15.75" x14ac:dyDescent="0.25">
      <c r="A239" s="212">
        <v>54690</v>
      </c>
      <c r="B239" s="94" t="s">
        <v>1820</v>
      </c>
    </row>
    <row r="240" spans="1:2" ht="31.5" x14ac:dyDescent="0.25">
      <c r="A240" s="212">
        <v>55191</v>
      </c>
      <c r="B240" s="94" t="s">
        <v>1928</v>
      </c>
    </row>
    <row r="241" spans="1:2" ht="15.75" x14ac:dyDescent="0.25">
      <c r="A241" s="212">
        <v>55196</v>
      </c>
      <c r="B241" s="94" t="s">
        <v>1699</v>
      </c>
    </row>
    <row r="242" spans="1:2" ht="15.75" x14ac:dyDescent="0.25">
      <c r="A242" s="212">
        <v>55556</v>
      </c>
      <c r="B242" s="94" t="s">
        <v>1559</v>
      </c>
    </row>
    <row r="243" spans="1:2" ht="31.5" x14ac:dyDescent="0.25">
      <c r="A243" s="212">
        <v>55730</v>
      </c>
      <c r="B243" s="94" t="s">
        <v>1359</v>
      </c>
    </row>
    <row r="244" spans="1:2" ht="15.75" x14ac:dyDescent="0.25">
      <c r="A244" s="212">
        <v>56936</v>
      </c>
      <c r="B244" s="94"/>
    </row>
    <row r="245" spans="1:2" ht="15.75" x14ac:dyDescent="0.25">
      <c r="A245" s="212">
        <v>59300</v>
      </c>
      <c r="B245" s="94" t="s">
        <v>418</v>
      </c>
    </row>
    <row r="246" spans="1:2" ht="31.5" x14ac:dyDescent="0.25">
      <c r="A246" s="212" t="s">
        <v>1846</v>
      </c>
      <c r="B246" s="94" t="s">
        <v>1847</v>
      </c>
    </row>
    <row r="247" spans="1:2" ht="31.5" x14ac:dyDescent="0.25">
      <c r="A247" s="212">
        <v>70430</v>
      </c>
      <c r="B247" s="340" t="s">
        <v>523</v>
      </c>
    </row>
    <row r="248" spans="1:2" ht="31.5" x14ac:dyDescent="0.25">
      <c r="A248" s="212">
        <v>70460</v>
      </c>
      <c r="B248" s="340" t="s">
        <v>524</v>
      </c>
    </row>
    <row r="249" spans="1:2" ht="31.5" x14ac:dyDescent="0.25">
      <c r="A249" s="212">
        <v>70470</v>
      </c>
      <c r="B249" s="213" t="s">
        <v>500</v>
      </c>
    </row>
    <row r="250" spans="1:2" ht="15.75" x14ac:dyDescent="0.25">
      <c r="A250" s="212">
        <v>70480</v>
      </c>
      <c r="B250" s="213" t="s">
        <v>1090</v>
      </c>
    </row>
    <row r="251" spans="1:2" ht="15.75" x14ac:dyDescent="0.25">
      <c r="A251" s="212">
        <v>70500</v>
      </c>
      <c r="B251" s="340" t="s">
        <v>525</v>
      </c>
    </row>
    <row r="252" spans="1:2" ht="31.5" x14ac:dyDescent="0.25">
      <c r="A252" s="212">
        <v>70510</v>
      </c>
      <c r="B252" s="213" t="s">
        <v>458</v>
      </c>
    </row>
    <row r="253" spans="1:2" ht="15.75" x14ac:dyDescent="0.25">
      <c r="A253" s="212">
        <v>70520</v>
      </c>
      <c r="B253" s="340" t="s">
        <v>469</v>
      </c>
    </row>
    <row r="254" spans="1:2" ht="31.5" x14ac:dyDescent="0.25">
      <c r="A254" s="212">
        <v>70530</v>
      </c>
      <c r="B254" s="340" t="s">
        <v>470</v>
      </c>
    </row>
    <row r="255" spans="1:2" ht="15.75" x14ac:dyDescent="0.25">
      <c r="A255" s="212">
        <v>70550</v>
      </c>
      <c r="B255" s="340" t="s">
        <v>504</v>
      </c>
    </row>
    <row r="256" spans="1:2" ht="31.5" x14ac:dyDescent="0.25">
      <c r="A256" s="212">
        <v>70560</v>
      </c>
      <c r="B256" s="213" t="s">
        <v>1091</v>
      </c>
    </row>
    <row r="257" spans="1:2" ht="31.5" x14ac:dyDescent="0.25">
      <c r="A257" s="212">
        <v>70570</v>
      </c>
      <c r="B257" s="213" t="s">
        <v>1092</v>
      </c>
    </row>
    <row r="258" spans="1:2" ht="31.5" x14ac:dyDescent="0.25">
      <c r="A258" s="212">
        <v>70650</v>
      </c>
      <c r="B258" s="94" t="s">
        <v>591</v>
      </c>
    </row>
    <row r="259" spans="1:2" ht="31.5" x14ac:dyDescent="0.25">
      <c r="A259" s="212">
        <v>70660</v>
      </c>
      <c r="B259" s="213" t="s">
        <v>1093</v>
      </c>
    </row>
    <row r="260" spans="1:2" ht="15.75" x14ac:dyDescent="0.25">
      <c r="A260" s="212">
        <v>70670</v>
      </c>
      <c r="B260" s="213" t="s">
        <v>1094</v>
      </c>
    </row>
    <row r="261" spans="1:2" ht="31.5" x14ac:dyDescent="0.25">
      <c r="A261" s="212">
        <v>70740</v>
      </c>
      <c r="B261" s="94" t="s">
        <v>546</v>
      </c>
    </row>
    <row r="262" spans="1:2" ht="31.5" x14ac:dyDescent="0.25">
      <c r="A262" s="212">
        <v>70750</v>
      </c>
      <c r="B262" s="94" t="s">
        <v>547</v>
      </c>
    </row>
    <row r="263" spans="1:2" ht="31.5" x14ac:dyDescent="0.25">
      <c r="A263" s="212">
        <v>70830</v>
      </c>
      <c r="B263" s="213" t="s">
        <v>558</v>
      </c>
    </row>
    <row r="264" spans="1:2" ht="31.5" x14ac:dyDescent="0.25">
      <c r="A264" s="212">
        <v>70840</v>
      </c>
      <c r="B264" s="94" t="s">
        <v>548</v>
      </c>
    </row>
    <row r="265" spans="1:2" ht="47.25" x14ac:dyDescent="0.25">
      <c r="A265" s="212">
        <v>70850</v>
      </c>
      <c r="B265" s="94" t="s">
        <v>539</v>
      </c>
    </row>
    <row r="266" spans="1:2" ht="15.75" x14ac:dyDescent="0.25">
      <c r="A266" s="212">
        <v>70860</v>
      </c>
      <c r="B266" s="94" t="s">
        <v>549</v>
      </c>
    </row>
    <row r="267" spans="1:2" ht="31.5" x14ac:dyDescent="0.25">
      <c r="A267" s="212">
        <v>70870</v>
      </c>
      <c r="B267" s="278" t="s">
        <v>559</v>
      </c>
    </row>
    <row r="268" spans="1:2" ht="15.75" x14ac:dyDescent="0.25">
      <c r="A268" s="212">
        <v>70890</v>
      </c>
      <c r="B268" s="94" t="s">
        <v>550</v>
      </c>
    </row>
    <row r="269" spans="1:2" ht="15.75" x14ac:dyDescent="0.25">
      <c r="A269" s="212">
        <v>70920</v>
      </c>
      <c r="B269" s="213" t="s">
        <v>1048</v>
      </c>
    </row>
    <row r="270" spans="1:2" ht="31.5" x14ac:dyDescent="0.25">
      <c r="A270" s="212">
        <v>70930</v>
      </c>
      <c r="B270" s="213" t="s">
        <v>1095</v>
      </c>
    </row>
    <row r="271" spans="1:2" ht="31.5" x14ac:dyDescent="0.25">
      <c r="A271" s="212">
        <v>70970</v>
      </c>
      <c r="B271" s="213" t="s">
        <v>526</v>
      </c>
    </row>
    <row r="272" spans="1:2" ht="15.75" x14ac:dyDescent="0.25">
      <c r="A272" s="212">
        <v>70990</v>
      </c>
      <c r="B272" s="213" t="s">
        <v>1096</v>
      </c>
    </row>
    <row r="273" spans="1:2" ht="31.5" x14ac:dyDescent="0.25">
      <c r="A273" s="212">
        <v>71000</v>
      </c>
      <c r="B273" s="278" t="s">
        <v>478</v>
      </c>
    </row>
    <row r="274" spans="1:2" ht="15.75" x14ac:dyDescent="0.25">
      <c r="A274" s="212">
        <v>71010</v>
      </c>
      <c r="B274" s="213" t="s">
        <v>1097</v>
      </c>
    </row>
    <row r="275" spans="1:2" ht="31.5" x14ac:dyDescent="0.25">
      <c r="A275" s="212">
        <v>71060</v>
      </c>
      <c r="B275" s="278" t="s">
        <v>479</v>
      </c>
    </row>
    <row r="276" spans="1:2" ht="31.5" x14ac:dyDescent="0.25">
      <c r="A276" s="212">
        <v>71160</v>
      </c>
      <c r="B276" s="213" t="s">
        <v>1098</v>
      </c>
    </row>
    <row r="277" spans="1:2" ht="31.5" x14ac:dyDescent="0.25">
      <c r="A277" s="212">
        <v>71170</v>
      </c>
      <c r="B277" s="213" t="s">
        <v>1099</v>
      </c>
    </row>
    <row r="278" spans="1:2" ht="31.5" x14ac:dyDescent="0.25">
      <c r="A278" s="212">
        <v>71180</v>
      </c>
      <c r="B278" s="213" t="s">
        <v>1100</v>
      </c>
    </row>
    <row r="279" spans="1:2" ht="31.5" x14ac:dyDescent="0.25">
      <c r="A279" s="212">
        <v>71190</v>
      </c>
      <c r="B279" s="213" t="s">
        <v>1101</v>
      </c>
    </row>
    <row r="280" spans="1:2" ht="31.5" x14ac:dyDescent="0.25">
      <c r="A280" s="212">
        <v>71230</v>
      </c>
      <c r="B280" s="278" t="s">
        <v>1102</v>
      </c>
    </row>
    <row r="281" spans="1:2" ht="31.5" x14ac:dyDescent="0.25">
      <c r="A281" s="212">
        <v>71236</v>
      </c>
      <c r="B281" s="278" t="s">
        <v>1407</v>
      </c>
    </row>
    <row r="282" spans="1:2" ht="31.5" x14ac:dyDescent="0.25">
      <c r="A282" s="212">
        <v>71280</v>
      </c>
      <c r="B282" s="278" t="s">
        <v>1609</v>
      </c>
    </row>
    <row r="283" spans="1:2" ht="31.5" x14ac:dyDescent="0.25">
      <c r="A283" s="212">
        <v>71430</v>
      </c>
      <c r="B283" s="213" t="s">
        <v>494</v>
      </c>
    </row>
    <row r="284" spans="1:2" ht="15.75" x14ac:dyDescent="0.25">
      <c r="A284" s="212">
        <v>71450</v>
      </c>
      <c r="B284" s="278" t="s">
        <v>1103</v>
      </c>
    </row>
    <row r="285" spans="1:2" ht="47.25" x14ac:dyDescent="0.25">
      <c r="A285" s="212">
        <v>71690</v>
      </c>
      <c r="B285" s="94" t="s">
        <v>1795</v>
      </c>
    </row>
    <row r="286" spans="1:2" ht="15.75" x14ac:dyDescent="0.25">
      <c r="A286" s="212">
        <v>71700</v>
      </c>
      <c r="B286" s="213" t="s">
        <v>1104</v>
      </c>
    </row>
    <row r="287" spans="1:2" ht="31.5" x14ac:dyDescent="0.25">
      <c r="A287" s="212">
        <v>71750</v>
      </c>
      <c r="B287" s="278" t="s">
        <v>96</v>
      </c>
    </row>
    <row r="288" spans="1:2" ht="15.75" x14ac:dyDescent="0.25">
      <c r="A288" s="212">
        <v>71756</v>
      </c>
      <c r="B288" s="278" t="s">
        <v>1408</v>
      </c>
    </row>
    <row r="289" spans="1:2" ht="31.5" x14ac:dyDescent="0.25">
      <c r="A289" s="212">
        <v>71860</v>
      </c>
      <c r="B289" s="94" t="s">
        <v>1105</v>
      </c>
    </row>
    <row r="290" spans="1:2" ht="15.75" x14ac:dyDescent="0.25">
      <c r="A290" s="212">
        <v>72010</v>
      </c>
      <c r="B290" s="94" t="s">
        <v>1106</v>
      </c>
    </row>
    <row r="291" spans="1:2" ht="31.5" x14ac:dyDescent="0.25">
      <c r="A291" s="212">
        <v>72040</v>
      </c>
      <c r="B291" s="213" t="s">
        <v>1107</v>
      </c>
    </row>
    <row r="292" spans="1:2" ht="15.75" x14ac:dyDescent="0.25">
      <c r="A292" s="212">
        <v>72150</v>
      </c>
      <c r="B292" s="94" t="s">
        <v>1108</v>
      </c>
    </row>
    <row r="293" spans="1:2" ht="31.5" x14ac:dyDescent="0.25">
      <c r="A293" s="212">
        <v>72170</v>
      </c>
      <c r="B293" s="94" t="s">
        <v>1109</v>
      </c>
    </row>
    <row r="294" spans="1:2" ht="15.75" x14ac:dyDescent="0.25">
      <c r="A294" s="212">
        <v>72280</v>
      </c>
      <c r="B294" s="213" t="s">
        <v>1110</v>
      </c>
    </row>
    <row r="295" spans="1:2" ht="15.75" x14ac:dyDescent="0.25">
      <c r="A295" s="212">
        <v>72290</v>
      </c>
      <c r="B295" s="213" t="s">
        <v>1111</v>
      </c>
    </row>
    <row r="296" spans="1:2" ht="15.75" x14ac:dyDescent="0.25">
      <c r="A296" s="211">
        <v>72440</v>
      </c>
      <c r="B296" s="406" t="s">
        <v>640</v>
      </c>
    </row>
    <row r="297" spans="1:2" ht="15.75" x14ac:dyDescent="0.25">
      <c r="A297" s="211" t="s">
        <v>1736</v>
      </c>
      <c r="B297" s="406" t="s">
        <v>640</v>
      </c>
    </row>
    <row r="298" spans="1:2" ht="31.5" x14ac:dyDescent="0.25">
      <c r="A298" s="212">
        <v>72470</v>
      </c>
      <c r="B298" s="94" t="s">
        <v>1112</v>
      </c>
    </row>
    <row r="299" spans="1:2" ht="31.5" x14ac:dyDescent="0.25">
      <c r="A299" s="212">
        <v>72550</v>
      </c>
      <c r="B299" s="94" t="s">
        <v>1143</v>
      </c>
    </row>
    <row r="300" spans="1:2" ht="31.5" x14ac:dyDescent="0.25">
      <c r="A300" s="212">
        <v>72560</v>
      </c>
      <c r="B300" s="94" t="s">
        <v>1144</v>
      </c>
    </row>
    <row r="301" spans="1:2" ht="31.5" x14ac:dyDescent="0.25">
      <c r="A301" s="212">
        <v>72610</v>
      </c>
      <c r="B301" s="213" t="s">
        <v>1113</v>
      </c>
    </row>
    <row r="302" spans="1:2" ht="47.25" x14ac:dyDescent="0.25">
      <c r="A302" s="212">
        <v>72880</v>
      </c>
      <c r="B302" s="340" t="s">
        <v>1409</v>
      </c>
    </row>
    <row r="303" spans="1:2" ht="15.75" x14ac:dyDescent="0.25">
      <c r="A303" s="212">
        <v>72940</v>
      </c>
      <c r="B303" s="213" t="s">
        <v>1114</v>
      </c>
    </row>
    <row r="304" spans="1:2" ht="15.75" x14ac:dyDescent="0.25">
      <c r="A304" s="212">
        <v>72970</v>
      </c>
      <c r="B304" s="94" t="s">
        <v>573</v>
      </c>
    </row>
    <row r="305" spans="1:2" ht="31.5" x14ac:dyDescent="0.25">
      <c r="A305" s="212">
        <v>73000</v>
      </c>
      <c r="B305" s="213" t="s">
        <v>1115</v>
      </c>
    </row>
    <row r="306" spans="1:2" ht="15.75" x14ac:dyDescent="0.25">
      <c r="A306" s="212">
        <v>73040</v>
      </c>
      <c r="B306" s="94" t="s">
        <v>551</v>
      </c>
    </row>
    <row r="307" spans="1:2" ht="31.5" x14ac:dyDescent="0.25">
      <c r="A307" s="212">
        <v>73110</v>
      </c>
      <c r="B307" s="340" t="s">
        <v>459</v>
      </c>
    </row>
    <row r="308" spans="1:2" ht="15.75" x14ac:dyDescent="0.25">
      <c r="A308" s="212">
        <v>73140</v>
      </c>
      <c r="B308" s="213" t="s">
        <v>1576</v>
      </c>
    </row>
    <row r="309" spans="1:2" ht="15.75" x14ac:dyDescent="0.25">
      <c r="A309" s="212">
        <v>73230</v>
      </c>
      <c r="B309" s="213" t="s">
        <v>1116</v>
      </c>
    </row>
    <row r="310" spans="1:2" ht="15.75" x14ac:dyDescent="0.25">
      <c r="A310" s="212">
        <v>73260</v>
      </c>
      <c r="B310" s="278" t="s">
        <v>1410</v>
      </c>
    </row>
    <row r="311" spans="1:2" ht="15.75" x14ac:dyDescent="0.25">
      <c r="A311" s="212">
        <v>73266</v>
      </c>
      <c r="B311" s="278" t="s">
        <v>1580</v>
      </c>
    </row>
    <row r="312" spans="1:2" ht="15.75" x14ac:dyDescent="0.25">
      <c r="A312" s="212">
        <v>73280</v>
      </c>
      <c r="B312" s="213" t="s">
        <v>407</v>
      </c>
    </row>
    <row r="313" spans="1:2" ht="31.5" x14ac:dyDescent="0.25">
      <c r="A313" s="212">
        <v>73900</v>
      </c>
      <c r="B313" s="278" t="s">
        <v>1411</v>
      </c>
    </row>
    <row r="314" spans="1:2" ht="31.5" x14ac:dyDescent="0.25">
      <c r="A314" s="212">
        <v>73930</v>
      </c>
      <c r="B314" s="278" t="s">
        <v>1606</v>
      </c>
    </row>
    <row r="315" spans="1:2" ht="37.5" customHeight="1" x14ac:dyDescent="0.25">
      <c r="A315" s="212">
        <v>73936</v>
      </c>
      <c r="B315" s="278" t="s">
        <v>1607</v>
      </c>
    </row>
    <row r="316" spans="1:2" ht="15.75" x14ac:dyDescent="0.25">
      <c r="A316" s="212"/>
      <c r="B316" s="278"/>
    </row>
    <row r="317" spans="1:2" ht="15.75" x14ac:dyDescent="0.25">
      <c r="A317" s="212">
        <v>74390</v>
      </c>
      <c r="B317" s="94" t="s">
        <v>480</v>
      </c>
    </row>
    <row r="318" spans="1:2" ht="15.75" x14ac:dyDescent="0.25">
      <c r="A318" s="212">
        <v>74420</v>
      </c>
      <c r="B318" s="540" t="s">
        <v>1656</v>
      </c>
    </row>
    <row r="319" spans="1:2" ht="31.5" x14ac:dyDescent="0.25">
      <c r="A319" s="212">
        <v>74450</v>
      </c>
      <c r="B319" s="94" t="s">
        <v>123</v>
      </c>
    </row>
    <row r="320" spans="1:2" ht="15.75" x14ac:dyDescent="0.25">
      <c r="A320" s="212">
        <v>74770</v>
      </c>
      <c r="B320" s="94" t="s">
        <v>1117</v>
      </c>
    </row>
    <row r="321" spans="1:2" ht="31.5" x14ac:dyDescent="0.25">
      <c r="A321" s="212">
        <v>74790</v>
      </c>
      <c r="B321" s="94" t="s">
        <v>91</v>
      </c>
    </row>
    <row r="322" spans="1:2" ht="15.75" x14ac:dyDescent="0.25">
      <c r="A322" s="212">
        <v>74880</v>
      </c>
      <c r="B322" s="94" t="s">
        <v>1162</v>
      </c>
    </row>
    <row r="323" spans="1:2" ht="15.75" x14ac:dyDescent="0.25">
      <c r="A323" s="212">
        <v>75160</v>
      </c>
      <c r="B323" s="94" t="s">
        <v>119</v>
      </c>
    </row>
    <row r="324" spans="1:2" ht="15.75" x14ac:dyDescent="0.25">
      <c r="A324" s="212">
        <v>75260</v>
      </c>
      <c r="B324" s="94" t="s">
        <v>1412</v>
      </c>
    </row>
    <row r="325" spans="1:2" ht="15.75" x14ac:dyDescent="0.25">
      <c r="A325" s="212">
        <v>75350</v>
      </c>
      <c r="B325" s="94" t="s">
        <v>1413</v>
      </c>
    </row>
    <row r="326" spans="1:2" ht="31.5" x14ac:dyDescent="0.25">
      <c r="A326" s="212">
        <v>75356</v>
      </c>
      <c r="B326" s="94" t="s">
        <v>1414</v>
      </c>
    </row>
    <row r="327" spans="1:2" ht="31.5" x14ac:dyDescent="0.25">
      <c r="A327" s="212">
        <v>75480</v>
      </c>
      <c r="B327" s="94" t="s">
        <v>1278</v>
      </c>
    </row>
    <row r="328" spans="1:2" ht="31.5" x14ac:dyDescent="0.25">
      <c r="A328" s="212">
        <v>75490</v>
      </c>
      <c r="B328" s="94" t="s">
        <v>1268</v>
      </c>
    </row>
    <row r="329" spans="1:2" ht="15.75" x14ac:dyDescent="0.25">
      <c r="A329" s="212">
        <v>75510</v>
      </c>
      <c r="B329" s="94" t="s">
        <v>1823</v>
      </c>
    </row>
    <row r="330" spans="1:2" ht="31.5" x14ac:dyDescent="0.25">
      <c r="A330" s="212">
        <v>75520</v>
      </c>
      <c r="B330" s="94" t="s">
        <v>1852</v>
      </c>
    </row>
    <row r="331" spans="1:2" ht="15.75" x14ac:dyDescent="0.25">
      <c r="A331" s="212">
        <v>75550</v>
      </c>
      <c r="B331" s="94" t="s">
        <v>1415</v>
      </c>
    </row>
    <row r="332" spans="1:2" ht="15.75" x14ac:dyDescent="0.25">
      <c r="A332" s="212">
        <v>75556</v>
      </c>
      <c r="B332" s="94" t="s">
        <v>1416</v>
      </c>
    </row>
    <row r="333" spans="1:2" ht="15.75" x14ac:dyDescent="0.25">
      <c r="A333" s="212">
        <v>75620</v>
      </c>
      <c r="B333" s="94" t="s">
        <v>1581</v>
      </c>
    </row>
    <row r="334" spans="1:2" ht="15.75" x14ac:dyDescent="0.25">
      <c r="A334" s="212">
        <v>75626</v>
      </c>
      <c r="B334" s="94" t="s">
        <v>1387</v>
      </c>
    </row>
    <row r="335" spans="1:2" ht="15.75" x14ac:dyDescent="0.25">
      <c r="A335" s="212">
        <v>75800</v>
      </c>
      <c r="B335" s="94" t="s">
        <v>1271</v>
      </c>
    </row>
    <row r="336" spans="1:2" ht="31.5" x14ac:dyDescent="0.25">
      <c r="A336" s="783">
        <v>75870</v>
      </c>
      <c r="B336" s="784" t="s">
        <v>1417</v>
      </c>
    </row>
    <row r="337" spans="1:2" ht="15.75" x14ac:dyDescent="0.25">
      <c r="A337" s="212">
        <v>75876</v>
      </c>
      <c r="B337" s="784" t="s">
        <v>1418</v>
      </c>
    </row>
    <row r="338" spans="1:2" ht="31.5" x14ac:dyDescent="0.25">
      <c r="A338" s="212">
        <v>75880</v>
      </c>
      <c r="B338" s="94" t="s">
        <v>1544</v>
      </c>
    </row>
    <row r="339" spans="1:2" ht="15.75" x14ac:dyDescent="0.25">
      <c r="A339" s="212">
        <v>76150</v>
      </c>
      <c r="B339" s="94" t="s">
        <v>1384</v>
      </c>
    </row>
    <row r="340" spans="1:2" ht="31.5" x14ac:dyDescent="0.25">
      <c r="A340" s="212">
        <v>76160</v>
      </c>
      <c r="B340" s="94" t="s">
        <v>1577</v>
      </c>
    </row>
    <row r="341" spans="1:2" ht="31.5" x14ac:dyDescent="0.25">
      <c r="A341" s="212">
        <v>76426</v>
      </c>
      <c r="B341" s="94" t="s">
        <v>1613</v>
      </c>
    </row>
    <row r="342" spans="1:2" ht="15.75" x14ac:dyDescent="0.25">
      <c r="A342" s="212">
        <v>76900</v>
      </c>
      <c r="B342" s="94" t="s">
        <v>1761</v>
      </c>
    </row>
    <row r="343" spans="1:2" ht="36.950000000000003" customHeight="1" x14ac:dyDescent="0.25">
      <c r="A343" s="212">
        <v>76936</v>
      </c>
      <c r="B343" s="94" t="s">
        <v>1743</v>
      </c>
    </row>
    <row r="344" spans="1:2" ht="36.950000000000003" customHeight="1" x14ac:dyDescent="0.25">
      <c r="A344" s="212">
        <v>76950</v>
      </c>
      <c r="B344" s="94" t="s">
        <v>1384</v>
      </c>
    </row>
    <row r="345" spans="1:2" ht="15.75" x14ac:dyDescent="0.25">
      <c r="A345" s="212">
        <v>80120</v>
      </c>
      <c r="B345" s="213" t="s">
        <v>1118</v>
      </c>
    </row>
    <row r="346" spans="1:2" ht="31.5" x14ac:dyDescent="0.25">
      <c r="A346" s="212">
        <v>80190</v>
      </c>
      <c r="B346" s="340" t="s">
        <v>419</v>
      </c>
    </row>
    <row r="347" spans="1:2" ht="31.5" x14ac:dyDescent="0.25">
      <c r="A347" s="212">
        <v>80200</v>
      </c>
      <c r="B347" s="340" t="s">
        <v>420</v>
      </c>
    </row>
    <row r="348" spans="1:2" ht="31.5" x14ac:dyDescent="0.25">
      <c r="A348" s="212">
        <v>90050</v>
      </c>
      <c r="B348" s="278" t="s">
        <v>1582</v>
      </c>
    </row>
    <row r="349" spans="1:2" ht="15.75" x14ac:dyDescent="0.25">
      <c r="A349" s="212" t="s">
        <v>1127</v>
      </c>
      <c r="B349" s="407" t="s">
        <v>1128</v>
      </c>
    </row>
    <row r="350" spans="1:2" ht="15.75" x14ac:dyDescent="0.25">
      <c r="A350" s="212" t="s">
        <v>1419</v>
      </c>
      <c r="B350" s="407" t="s">
        <v>1420</v>
      </c>
    </row>
    <row r="351" spans="1:2" ht="31.5" x14ac:dyDescent="0.25">
      <c r="A351" s="212" t="s">
        <v>1798</v>
      </c>
      <c r="B351" s="407" t="s">
        <v>1799</v>
      </c>
    </row>
    <row r="352" spans="1:2" ht="15.75" x14ac:dyDescent="0.25">
      <c r="A352" s="212" t="s">
        <v>1421</v>
      </c>
      <c r="B352" s="407" t="s">
        <v>1422</v>
      </c>
    </row>
    <row r="353" spans="1:2" ht="15.75" x14ac:dyDescent="0.25">
      <c r="A353" s="212" t="s">
        <v>1423</v>
      </c>
      <c r="B353" s="407" t="s">
        <v>1424</v>
      </c>
    </row>
    <row r="354" spans="1:2" ht="15.75" x14ac:dyDescent="0.25">
      <c r="A354" s="212" t="s">
        <v>1697</v>
      </c>
      <c r="B354" s="407" t="s">
        <v>1698</v>
      </c>
    </row>
    <row r="355" spans="1:2" ht="31.5" x14ac:dyDescent="0.25">
      <c r="A355" s="212" t="s">
        <v>1425</v>
      </c>
      <c r="B355" s="407" t="s">
        <v>1426</v>
      </c>
    </row>
    <row r="356" spans="1:2" ht="15.75" x14ac:dyDescent="0.25">
      <c r="A356" s="212" t="s">
        <v>1427</v>
      </c>
      <c r="B356" s="407" t="s">
        <v>1428</v>
      </c>
    </row>
    <row r="357" spans="1:2" ht="31.5" x14ac:dyDescent="0.25">
      <c r="A357" s="212" t="s">
        <v>1429</v>
      </c>
      <c r="B357" s="407" t="s">
        <v>1430</v>
      </c>
    </row>
    <row r="358" spans="1:2" ht="15.75" x14ac:dyDescent="0.25">
      <c r="A358" s="212" t="s">
        <v>1126</v>
      </c>
      <c r="B358" s="407" t="s">
        <v>1129</v>
      </c>
    </row>
    <row r="359" spans="1:2" ht="31.5" x14ac:dyDescent="0.25">
      <c r="A359" s="212" t="s">
        <v>1431</v>
      </c>
      <c r="B359" s="278" t="s">
        <v>419</v>
      </c>
    </row>
    <row r="360" spans="1:2" ht="31.5" x14ac:dyDescent="0.25">
      <c r="A360" s="212" t="s">
        <v>1432</v>
      </c>
      <c r="B360" s="278" t="s">
        <v>420</v>
      </c>
    </row>
    <row r="361" spans="1:2" ht="31.5" x14ac:dyDescent="0.25">
      <c r="A361" s="212" t="s">
        <v>1433</v>
      </c>
      <c r="B361" s="278" t="s">
        <v>523</v>
      </c>
    </row>
    <row r="362" spans="1:2" ht="15.75" x14ac:dyDescent="0.25">
      <c r="A362" s="212"/>
      <c r="B362" s="278"/>
    </row>
    <row r="363" spans="1:2" ht="31.5" x14ac:dyDescent="0.25">
      <c r="A363" s="212" t="s">
        <v>1434</v>
      </c>
      <c r="B363" s="278" t="s">
        <v>524</v>
      </c>
    </row>
    <row r="364" spans="1:2" ht="15.75" x14ac:dyDescent="0.25">
      <c r="A364" s="212" t="s">
        <v>1435</v>
      </c>
      <c r="B364" s="278" t="s">
        <v>525</v>
      </c>
    </row>
    <row r="365" spans="1:2" ht="31.5" x14ac:dyDescent="0.25">
      <c r="A365" s="212" t="s">
        <v>1436</v>
      </c>
      <c r="B365" s="278" t="s">
        <v>458</v>
      </c>
    </row>
    <row r="366" spans="1:2" ht="15.75" x14ac:dyDescent="0.25">
      <c r="A366" s="212" t="s">
        <v>1437</v>
      </c>
      <c r="B366" s="278" t="s">
        <v>469</v>
      </c>
    </row>
    <row r="367" spans="1:2" ht="31.5" x14ac:dyDescent="0.25">
      <c r="A367" s="212" t="s">
        <v>1438</v>
      </c>
      <c r="B367" s="278" t="s">
        <v>470</v>
      </c>
    </row>
    <row r="368" spans="1:2" ht="15.75" x14ac:dyDescent="0.25">
      <c r="A368" s="212" t="s">
        <v>1439</v>
      </c>
      <c r="B368" s="278" t="s">
        <v>504</v>
      </c>
    </row>
    <row r="369" spans="1:2" ht="31.5" x14ac:dyDescent="0.25">
      <c r="A369" s="212" t="s">
        <v>1440</v>
      </c>
      <c r="B369" s="278" t="s">
        <v>591</v>
      </c>
    </row>
    <row r="370" spans="1:2" ht="31.5" x14ac:dyDescent="0.25">
      <c r="A370" s="212" t="s">
        <v>1441</v>
      </c>
      <c r="B370" s="278" t="s">
        <v>546</v>
      </c>
    </row>
    <row r="371" spans="1:2" ht="31.5" x14ac:dyDescent="0.25">
      <c r="A371" s="212" t="s">
        <v>1442</v>
      </c>
      <c r="B371" s="278" t="s">
        <v>547</v>
      </c>
    </row>
    <row r="372" spans="1:2" ht="31.5" x14ac:dyDescent="0.25">
      <c r="A372" s="212" t="s">
        <v>1120</v>
      </c>
      <c r="B372" s="278" t="s">
        <v>558</v>
      </c>
    </row>
    <row r="373" spans="1:2" ht="31.5" x14ac:dyDescent="0.25">
      <c r="A373" s="212" t="s">
        <v>1443</v>
      </c>
      <c r="B373" s="278" t="s">
        <v>548</v>
      </c>
    </row>
    <row r="374" spans="1:2" ht="47.25" x14ac:dyDescent="0.25">
      <c r="A374" s="212" t="s">
        <v>1444</v>
      </c>
      <c r="B374" s="278" t="s">
        <v>539</v>
      </c>
    </row>
    <row r="375" spans="1:2" ht="17.649999999999999" customHeight="1" x14ac:dyDescent="0.25">
      <c r="A375" s="212" t="s">
        <v>1445</v>
      </c>
      <c r="B375" s="278" t="s">
        <v>549</v>
      </c>
    </row>
    <row r="376" spans="1:2" ht="17.649999999999999" customHeight="1" x14ac:dyDescent="0.25">
      <c r="A376" s="212" t="s">
        <v>1446</v>
      </c>
      <c r="B376" s="278" t="s">
        <v>559</v>
      </c>
    </row>
    <row r="377" spans="1:2" ht="17.649999999999999" customHeight="1" x14ac:dyDescent="0.25">
      <c r="A377" s="212" t="s">
        <v>1447</v>
      </c>
      <c r="B377" s="278" t="s">
        <v>550</v>
      </c>
    </row>
    <row r="378" spans="1:2" ht="32.25" customHeight="1" x14ac:dyDescent="0.25">
      <c r="A378" s="212" t="s">
        <v>1448</v>
      </c>
      <c r="B378" s="278" t="s">
        <v>1449</v>
      </c>
    </row>
    <row r="379" spans="1:2" ht="17.649999999999999" customHeight="1" x14ac:dyDescent="0.25">
      <c r="A379" s="212" t="s">
        <v>1450</v>
      </c>
      <c r="B379" s="278" t="s">
        <v>475</v>
      </c>
    </row>
    <row r="380" spans="1:2" ht="31.7" customHeight="1" x14ac:dyDescent="0.25">
      <c r="A380" s="212" t="s">
        <v>1451</v>
      </c>
      <c r="B380" s="278" t="s">
        <v>479</v>
      </c>
    </row>
    <row r="381" spans="1:2" ht="31.7" customHeight="1" x14ac:dyDescent="0.25">
      <c r="A381" s="212" t="s">
        <v>1452</v>
      </c>
      <c r="B381" s="278" t="s">
        <v>494</v>
      </c>
    </row>
    <row r="382" spans="1:2" ht="17.649999999999999" customHeight="1" x14ac:dyDescent="0.25">
      <c r="A382" s="212" t="s">
        <v>1453</v>
      </c>
      <c r="B382" s="278" t="s">
        <v>1103</v>
      </c>
    </row>
    <row r="383" spans="1:2" ht="17.649999999999999" customHeight="1" x14ac:dyDescent="0.25">
      <c r="A383" s="212" t="s">
        <v>1454</v>
      </c>
      <c r="B383" s="278" t="s">
        <v>602</v>
      </c>
    </row>
    <row r="384" spans="1:2" ht="17.649999999999999" customHeight="1" x14ac:dyDescent="0.25">
      <c r="A384" s="212" t="s">
        <v>1455</v>
      </c>
      <c r="B384" s="278" t="s">
        <v>1456</v>
      </c>
    </row>
    <row r="385" spans="1:2" ht="17.649999999999999" customHeight="1" x14ac:dyDescent="0.25">
      <c r="A385" s="212" t="s">
        <v>1457</v>
      </c>
      <c r="B385" s="278" t="s">
        <v>1458</v>
      </c>
    </row>
    <row r="386" spans="1:2" ht="17.649999999999999" customHeight="1" x14ac:dyDescent="0.25">
      <c r="A386" s="212" t="s">
        <v>1459</v>
      </c>
      <c r="B386" s="278" t="s">
        <v>1460</v>
      </c>
    </row>
    <row r="387" spans="1:2" ht="36.950000000000003" customHeight="1" x14ac:dyDescent="0.25">
      <c r="A387" s="212" t="s">
        <v>1461</v>
      </c>
      <c r="B387" s="278" t="s">
        <v>1143</v>
      </c>
    </row>
    <row r="388" spans="1:2" ht="36.950000000000003" customHeight="1" x14ac:dyDescent="0.25">
      <c r="A388" s="212" t="s">
        <v>1462</v>
      </c>
      <c r="B388" s="278" t="s">
        <v>1144</v>
      </c>
    </row>
    <row r="389" spans="1:2" ht="49.15" customHeight="1" x14ac:dyDescent="0.25">
      <c r="A389" s="212" t="s">
        <v>1463</v>
      </c>
      <c r="B389" s="278" t="s">
        <v>1583</v>
      </c>
    </row>
    <row r="390" spans="1:2" ht="15.75" x14ac:dyDescent="0.25">
      <c r="A390" s="212" t="s">
        <v>1824</v>
      </c>
      <c r="B390" s="278" t="s">
        <v>1825</v>
      </c>
    </row>
    <row r="391" spans="1:2" ht="15.75" x14ac:dyDescent="0.25">
      <c r="A391" s="212" t="s">
        <v>1464</v>
      </c>
      <c r="B391" s="278" t="s">
        <v>551</v>
      </c>
    </row>
    <row r="392" spans="1:2" ht="31.5" x14ac:dyDescent="0.25">
      <c r="A392" s="212" t="s">
        <v>1822</v>
      </c>
      <c r="B392" s="278" t="s">
        <v>1851</v>
      </c>
    </row>
    <row r="393" spans="1:2" ht="31.5" x14ac:dyDescent="0.25">
      <c r="A393" s="212" t="s">
        <v>1465</v>
      </c>
      <c r="B393" s="278" t="s">
        <v>459</v>
      </c>
    </row>
    <row r="394" spans="1:2" ht="15.75" x14ac:dyDescent="0.25">
      <c r="A394" s="212" t="s">
        <v>1466</v>
      </c>
      <c r="B394" s="278" t="s">
        <v>1467</v>
      </c>
    </row>
    <row r="395" spans="1:2" ht="15.75" x14ac:dyDescent="0.25">
      <c r="A395" s="212" t="s">
        <v>1853</v>
      </c>
      <c r="B395" s="278" t="s">
        <v>1854</v>
      </c>
    </row>
    <row r="396" spans="1:2" ht="15.75" x14ac:dyDescent="0.25">
      <c r="A396" s="212" t="s">
        <v>1468</v>
      </c>
      <c r="B396" s="278" t="s">
        <v>480</v>
      </c>
    </row>
    <row r="397" spans="1:2" ht="15.75" x14ac:dyDescent="0.25">
      <c r="A397" s="212" t="s">
        <v>1469</v>
      </c>
      <c r="B397" s="278" t="s">
        <v>122</v>
      </c>
    </row>
    <row r="398" spans="1:2" ht="31.5" x14ac:dyDescent="0.25">
      <c r="A398" s="212" t="s">
        <v>1470</v>
      </c>
      <c r="B398" s="278" t="s">
        <v>123</v>
      </c>
    </row>
    <row r="399" spans="1:2" ht="31.5" x14ac:dyDescent="0.25">
      <c r="A399" s="212" t="s">
        <v>1258</v>
      </c>
      <c r="B399" s="278" t="s">
        <v>1267</v>
      </c>
    </row>
    <row r="400" spans="1:2" ht="15.75" x14ac:dyDescent="0.25">
      <c r="A400" s="212" t="s">
        <v>1471</v>
      </c>
      <c r="B400" s="278" t="s">
        <v>119</v>
      </c>
    </row>
    <row r="401" spans="1:2" ht="15.75" x14ac:dyDescent="0.25">
      <c r="A401" s="212" t="s">
        <v>1472</v>
      </c>
      <c r="B401" s="278" t="s">
        <v>1424</v>
      </c>
    </row>
    <row r="402" spans="1:2" ht="15.75" x14ac:dyDescent="0.25">
      <c r="A402" s="212" t="s">
        <v>1473</v>
      </c>
      <c r="B402" s="278" t="s">
        <v>1308</v>
      </c>
    </row>
    <row r="403" spans="1:2" ht="15.75" x14ac:dyDescent="0.25">
      <c r="A403" s="212" t="s">
        <v>1474</v>
      </c>
      <c r="B403" s="278" t="s">
        <v>1413</v>
      </c>
    </row>
    <row r="404" spans="1:2" ht="15.75" x14ac:dyDescent="0.25">
      <c r="A404" s="212" t="s">
        <v>1475</v>
      </c>
      <c r="B404" s="278" t="s">
        <v>1476</v>
      </c>
    </row>
    <row r="405" spans="1:2" ht="31.5" x14ac:dyDescent="0.25">
      <c r="A405" s="212" t="s">
        <v>1477</v>
      </c>
      <c r="B405" s="94" t="s">
        <v>1278</v>
      </c>
    </row>
    <row r="406" spans="1:2" ht="31.5" x14ac:dyDescent="0.25">
      <c r="A406" s="212" t="s">
        <v>1478</v>
      </c>
      <c r="B406" s="278" t="s">
        <v>1268</v>
      </c>
    </row>
    <row r="407" spans="1:2" ht="15.75" x14ac:dyDescent="0.25">
      <c r="A407" s="212" t="s">
        <v>1479</v>
      </c>
      <c r="B407" s="278" t="s">
        <v>1416</v>
      </c>
    </row>
    <row r="408" spans="1:2" ht="15.75" x14ac:dyDescent="0.25">
      <c r="A408" s="212" t="s">
        <v>1480</v>
      </c>
      <c r="B408" s="278" t="s">
        <v>1416</v>
      </c>
    </row>
    <row r="409" spans="1:2" ht="15.75" x14ac:dyDescent="0.25">
      <c r="A409" s="212" t="s">
        <v>1481</v>
      </c>
      <c r="B409" s="278" t="s">
        <v>1482</v>
      </c>
    </row>
    <row r="410" spans="1:2" ht="15.75" x14ac:dyDescent="0.25">
      <c r="A410" s="212" t="s">
        <v>1483</v>
      </c>
      <c r="B410" s="278" t="s">
        <v>1387</v>
      </c>
    </row>
    <row r="411" spans="1:2" ht="15.75" x14ac:dyDescent="0.25">
      <c r="A411" s="212" t="s">
        <v>1484</v>
      </c>
      <c r="B411" s="278" t="s">
        <v>1485</v>
      </c>
    </row>
    <row r="412" spans="1:2" ht="31.5" x14ac:dyDescent="0.25">
      <c r="A412" s="212" t="s">
        <v>501</v>
      </c>
      <c r="B412" s="94" t="s">
        <v>500</v>
      </c>
    </row>
    <row r="413" spans="1:2" ht="31.5" x14ac:dyDescent="0.25">
      <c r="A413" s="212" t="s">
        <v>592</v>
      </c>
      <c r="B413" s="94" t="s">
        <v>591</v>
      </c>
    </row>
    <row r="414" spans="1:2" ht="15.75" x14ac:dyDescent="0.25">
      <c r="A414" s="212" t="s">
        <v>521</v>
      </c>
      <c r="B414" s="94" t="s">
        <v>520</v>
      </c>
    </row>
    <row r="415" spans="1:2" ht="15.75" x14ac:dyDescent="0.25">
      <c r="A415" s="212" t="s">
        <v>476</v>
      </c>
      <c r="B415" s="94" t="s">
        <v>475</v>
      </c>
    </row>
    <row r="416" spans="1:2" ht="15.75" x14ac:dyDescent="0.25">
      <c r="A416" s="212" t="s">
        <v>1486</v>
      </c>
      <c r="B416" s="94" t="s">
        <v>1060</v>
      </c>
    </row>
    <row r="417" spans="1:2" ht="31.5" x14ac:dyDescent="0.25">
      <c r="A417" s="211" t="s">
        <v>493</v>
      </c>
      <c r="B417" s="94" t="s">
        <v>492</v>
      </c>
    </row>
    <row r="418" spans="1:2" ht="15.75" x14ac:dyDescent="0.25">
      <c r="A418" s="211" t="s">
        <v>603</v>
      </c>
      <c r="B418" s="94" t="s">
        <v>602</v>
      </c>
    </row>
    <row r="419" spans="1:2" ht="15.75" x14ac:dyDescent="0.25">
      <c r="A419" s="211" t="s">
        <v>530</v>
      </c>
      <c r="B419" s="94" t="s">
        <v>529</v>
      </c>
    </row>
    <row r="420" spans="1:2" ht="15.75" x14ac:dyDescent="0.25">
      <c r="A420" s="211" t="s">
        <v>1487</v>
      </c>
      <c r="B420" s="94" t="s">
        <v>1054</v>
      </c>
    </row>
    <row r="421" spans="1:2" ht="31.5" x14ac:dyDescent="0.25">
      <c r="A421" s="212" t="s">
        <v>442</v>
      </c>
      <c r="B421" s="217" t="s">
        <v>441</v>
      </c>
    </row>
    <row r="422" spans="1:2" ht="15.75" x14ac:dyDescent="0.25">
      <c r="A422" s="212" t="s">
        <v>1269</v>
      </c>
      <c r="B422" s="217" t="s">
        <v>1576</v>
      </c>
    </row>
    <row r="423" spans="1:2" ht="15.75" x14ac:dyDescent="0.25">
      <c r="A423" s="212" t="s">
        <v>511</v>
      </c>
      <c r="B423" s="94" t="s">
        <v>510</v>
      </c>
    </row>
    <row r="424" spans="1:2" ht="15.75" x14ac:dyDescent="0.25">
      <c r="A424" s="212" t="s">
        <v>1161</v>
      </c>
      <c r="B424" s="94" t="s">
        <v>1162</v>
      </c>
    </row>
    <row r="425" spans="1:2" ht="15.75" x14ac:dyDescent="0.25">
      <c r="A425" s="212" t="s">
        <v>1488</v>
      </c>
      <c r="B425" s="94" t="s">
        <v>1309</v>
      </c>
    </row>
    <row r="426" spans="1:2" ht="15.75" x14ac:dyDescent="0.25">
      <c r="A426" s="212" t="s">
        <v>1489</v>
      </c>
      <c r="B426" s="94" t="s">
        <v>1490</v>
      </c>
    </row>
    <row r="427" spans="1:2" ht="15.75" x14ac:dyDescent="0.25">
      <c r="A427" s="212" t="s">
        <v>1491</v>
      </c>
      <c r="B427" s="278" t="s">
        <v>1387</v>
      </c>
    </row>
    <row r="428" spans="1:2" ht="15.75" x14ac:dyDescent="0.25">
      <c r="A428" s="212" t="s">
        <v>1270</v>
      </c>
      <c r="B428" s="94" t="s">
        <v>1271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0" customWidth="1"/>
    <col min="2" max="2" width="128" style="191" customWidth="1"/>
    <col min="3" max="16384" width="9.140625" style="189"/>
  </cols>
  <sheetData>
    <row r="1" spans="2:2" hidden="1" x14ac:dyDescent="0.2">
      <c r="B1" s="192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3">
        <v>100</v>
      </c>
      <c r="B1820" s="194" t="s">
        <v>1237</v>
      </c>
    </row>
    <row r="1821" spans="1:2" x14ac:dyDescent="0.2">
      <c r="A1821" s="193">
        <v>110</v>
      </c>
      <c r="B1821" s="194" t="s">
        <v>936</v>
      </c>
    </row>
    <row r="1822" spans="1:2" x14ac:dyDescent="0.2">
      <c r="A1822" s="193">
        <v>111</v>
      </c>
      <c r="B1822" s="194" t="s">
        <v>937</v>
      </c>
    </row>
    <row r="1823" spans="1:2" x14ac:dyDescent="0.2">
      <c r="A1823" s="193">
        <v>112</v>
      </c>
      <c r="B1823" s="194" t="s">
        <v>938</v>
      </c>
    </row>
    <row r="1824" spans="1:2" x14ac:dyDescent="0.2">
      <c r="A1824" s="193">
        <v>120</v>
      </c>
      <c r="B1824" s="194" t="s">
        <v>939</v>
      </c>
    </row>
    <row r="1825" spans="1:2" x14ac:dyDescent="0.2">
      <c r="A1825" s="193">
        <v>121</v>
      </c>
      <c r="B1825" s="194" t="s">
        <v>937</v>
      </c>
    </row>
    <row r="1826" spans="1:2" x14ac:dyDescent="0.2">
      <c r="A1826" s="193">
        <v>122</v>
      </c>
      <c r="B1826" s="194" t="s">
        <v>938</v>
      </c>
    </row>
    <row r="1827" spans="1:2" x14ac:dyDescent="0.2">
      <c r="A1827" s="193">
        <v>130</v>
      </c>
      <c r="B1827" s="194" t="s">
        <v>940</v>
      </c>
    </row>
    <row r="1828" spans="1:2" x14ac:dyDescent="0.2">
      <c r="A1828" s="193">
        <v>131</v>
      </c>
      <c r="B1828" s="194" t="s">
        <v>941</v>
      </c>
    </row>
    <row r="1829" spans="1:2" x14ac:dyDescent="0.2">
      <c r="A1829" s="193">
        <v>132</v>
      </c>
      <c r="B1829" s="194" t="s">
        <v>942</v>
      </c>
    </row>
    <row r="1830" spans="1:2" x14ac:dyDescent="0.2">
      <c r="A1830" s="193">
        <v>133</v>
      </c>
      <c r="B1830" s="194" t="s">
        <v>943</v>
      </c>
    </row>
    <row r="1831" spans="1:2" x14ac:dyDescent="0.2">
      <c r="A1831" s="193">
        <v>134</v>
      </c>
      <c r="B1831" s="194" t="s">
        <v>944</v>
      </c>
    </row>
    <row r="1832" spans="1:2" x14ac:dyDescent="0.2">
      <c r="A1832" s="193">
        <v>140</v>
      </c>
      <c r="B1832" s="194" t="s">
        <v>945</v>
      </c>
    </row>
    <row r="1833" spans="1:2" x14ac:dyDescent="0.2">
      <c r="A1833" s="193">
        <v>141</v>
      </c>
      <c r="B1833" s="194" t="s">
        <v>937</v>
      </c>
    </row>
    <row r="1834" spans="1:2" ht="25.5" x14ac:dyDescent="0.2">
      <c r="A1834" s="193">
        <v>142</v>
      </c>
      <c r="B1834" s="194" t="s">
        <v>946</v>
      </c>
    </row>
    <row r="1835" spans="1:2" ht="25.5" x14ac:dyDescent="0.2">
      <c r="A1835" s="193">
        <v>200</v>
      </c>
      <c r="B1835" s="194" t="s">
        <v>1236</v>
      </c>
    </row>
    <row r="1836" spans="1:2" x14ac:dyDescent="0.2">
      <c r="A1836" s="193">
        <v>210</v>
      </c>
      <c r="B1836" s="194" t="s">
        <v>947</v>
      </c>
    </row>
    <row r="1837" spans="1:2" ht="25.5" x14ac:dyDescent="0.2">
      <c r="A1837" s="193">
        <v>211</v>
      </c>
      <c r="B1837" s="194" t="s">
        <v>948</v>
      </c>
    </row>
    <row r="1838" spans="1:2" ht="25.5" x14ac:dyDescent="0.2">
      <c r="A1838" s="193">
        <v>212</v>
      </c>
      <c r="B1838" s="194" t="s">
        <v>949</v>
      </c>
    </row>
    <row r="1839" spans="1:2" ht="25.5" x14ac:dyDescent="0.2">
      <c r="A1839" s="193">
        <v>213</v>
      </c>
      <c r="B1839" s="194" t="s">
        <v>950</v>
      </c>
    </row>
    <row r="1840" spans="1:2" ht="25.5" x14ac:dyDescent="0.2">
      <c r="A1840" s="193">
        <v>214</v>
      </c>
      <c r="B1840" s="194" t="s">
        <v>951</v>
      </c>
    </row>
    <row r="1841" spans="1:2" ht="25.5" x14ac:dyDescent="0.2">
      <c r="A1841" s="193">
        <v>215</v>
      </c>
      <c r="B1841" s="194" t="s">
        <v>952</v>
      </c>
    </row>
    <row r="1842" spans="1:2" ht="25.5" x14ac:dyDescent="0.2">
      <c r="A1842" s="193">
        <v>216</v>
      </c>
      <c r="B1842" s="194" t="s">
        <v>953</v>
      </c>
    </row>
    <row r="1843" spans="1:2" ht="25.5" x14ac:dyDescent="0.2">
      <c r="A1843" s="193">
        <v>217</v>
      </c>
      <c r="B1843" s="194" t="s">
        <v>954</v>
      </c>
    </row>
    <row r="1844" spans="1:2" ht="25.5" x14ac:dyDescent="0.2">
      <c r="A1844" s="193">
        <v>218</v>
      </c>
      <c r="B1844" s="194" t="s">
        <v>955</v>
      </c>
    </row>
    <row r="1845" spans="1:2" x14ac:dyDescent="0.2">
      <c r="A1845" s="193">
        <v>219</v>
      </c>
      <c r="B1845" s="194" t="s">
        <v>956</v>
      </c>
    </row>
    <row r="1846" spans="1:2" ht="25.5" x14ac:dyDescent="0.2">
      <c r="A1846" s="193">
        <v>220</v>
      </c>
      <c r="B1846" s="194" t="s">
        <v>957</v>
      </c>
    </row>
    <row r="1847" spans="1:2" x14ac:dyDescent="0.2">
      <c r="A1847" s="193">
        <v>221</v>
      </c>
      <c r="B1847" s="194" t="s">
        <v>958</v>
      </c>
    </row>
    <row r="1848" spans="1:2" x14ac:dyDescent="0.2">
      <c r="A1848" s="193">
        <v>222</v>
      </c>
      <c r="B1848" s="194" t="s">
        <v>959</v>
      </c>
    </row>
    <row r="1849" spans="1:2" x14ac:dyDescent="0.2">
      <c r="A1849" s="193">
        <v>223</v>
      </c>
      <c r="B1849" s="194" t="s">
        <v>927</v>
      </c>
    </row>
    <row r="1850" spans="1:2" x14ac:dyDescent="0.2">
      <c r="A1850" s="193">
        <v>224</v>
      </c>
      <c r="B1850" s="194" t="s">
        <v>928</v>
      </c>
    </row>
    <row r="1851" spans="1:2" x14ac:dyDescent="0.2">
      <c r="A1851" s="193">
        <v>225</v>
      </c>
      <c r="B1851" s="194" t="s">
        <v>929</v>
      </c>
    </row>
    <row r="1852" spans="1:2" x14ac:dyDescent="0.2">
      <c r="A1852" s="193">
        <v>226</v>
      </c>
      <c r="B1852" s="194" t="s">
        <v>930</v>
      </c>
    </row>
    <row r="1853" spans="1:2" x14ac:dyDescent="0.2">
      <c r="A1853" s="193">
        <v>230</v>
      </c>
      <c r="B1853" s="194" t="s">
        <v>960</v>
      </c>
    </row>
    <row r="1854" spans="1:2" x14ac:dyDescent="0.2">
      <c r="A1854" s="193">
        <v>240</v>
      </c>
      <c r="B1854" s="194" t="s">
        <v>961</v>
      </c>
    </row>
    <row r="1855" spans="1:2" x14ac:dyDescent="0.2">
      <c r="A1855" s="193">
        <v>241</v>
      </c>
      <c r="B1855" s="194" t="s">
        <v>962</v>
      </c>
    </row>
    <row r="1856" spans="1:2" x14ac:dyDescent="0.2">
      <c r="A1856" s="193">
        <v>242</v>
      </c>
      <c r="B1856" s="194" t="s">
        <v>963</v>
      </c>
    </row>
    <row r="1857" spans="1:2" x14ac:dyDescent="0.2">
      <c r="A1857" s="193">
        <v>243</v>
      </c>
      <c r="B1857" s="194" t="s">
        <v>964</v>
      </c>
    </row>
    <row r="1858" spans="1:2" x14ac:dyDescent="0.2">
      <c r="A1858" s="193">
        <v>244</v>
      </c>
      <c r="B1858" s="194" t="s">
        <v>1235</v>
      </c>
    </row>
    <row r="1859" spans="1:2" x14ac:dyDescent="0.2">
      <c r="A1859" s="193">
        <v>300</v>
      </c>
      <c r="B1859" s="194" t="s">
        <v>428</v>
      </c>
    </row>
    <row r="1860" spans="1:2" x14ac:dyDescent="0.2">
      <c r="A1860" s="193">
        <v>310</v>
      </c>
      <c r="B1860" s="194" t="s">
        <v>965</v>
      </c>
    </row>
    <row r="1861" spans="1:2" x14ac:dyDescent="0.2">
      <c r="A1861" s="193">
        <v>311</v>
      </c>
      <c r="B1861" s="194" t="s">
        <v>966</v>
      </c>
    </row>
    <row r="1862" spans="1:2" x14ac:dyDescent="0.2">
      <c r="A1862" s="193">
        <v>312</v>
      </c>
      <c r="B1862" s="194" t="s">
        <v>967</v>
      </c>
    </row>
    <row r="1863" spans="1:2" x14ac:dyDescent="0.2">
      <c r="A1863" s="193">
        <v>313</v>
      </c>
      <c r="B1863" s="194" t="s">
        <v>968</v>
      </c>
    </row>
    <row r="1864" spans="1:2" x14ac:dyDescent="0.2">
      <c r="A1864" s="193">
        <v>314</v>
      </c>
      <c r="B1864" s="194" t="s">
        <v>969</v>
      </c>
    </row>
    <row r="1865" spans="1:2" x14ac:dyDescent="0.2">
      <c r="A1865" s="193">
        <v>320</v>
      </c>
      <c r="B1865" s="194" t="s">
        <v>970</v>
      </c>
    </row>
    <row r="1866" spans="1:2" x14ac:dyDescent="0.2">
      <c r="A1866" s="193">
        <v>321</v>
      </c>
      <c r="B1866" s="194" t="s">
        <v>971</v>
      </c>
    </row>
    <row r="1867" spans="1:2" x14ac:dyDescent="0.2">
      <c r="A1867" s="193">
        <v>322</v>
      </c>
      <c r="B1867" s="194" t="s">
        <v>972</v>
      </c>
    </row>
    <row r="1868" spans="1:2" x14ac:dyDescent="0.2">
      <c r="A1868" s="193">
        <v>323</v>
      </c>
      <c r="B1868" s="194" t="s">
        <v>973</v>
      </c>
    </row>
    <row r="1869" spans="1:2" x14ac:dyDescent="0.2">
      <c r="A1869" s="193">
        <v>330</v>
      </c>
      <c r="B1869" s="194" t="s">
        <v>974</v>
      </c>
    </row>
    <row r="1870" spans="1:2" x14ac:dyDescent="0.2">
      <c r="A1870" s="193">
        <v>340</v>
      </c>
      <c r="B1870" s="194" t="s">
        <v>975</v>
      </c>
    </row>
    <row r="1871" spans="1:2" x14ac:dyDescent="0.2">
      <c r="A1871" s="193">
        <v>350</v>
      </c>
      <c r="B1871" s="194" t="s">
        <v>976</v>
      </c>
    </row>
    <row r="1872" spans="1:2" x14ac:dyDescent="0.2">
      <c r="A1872" s="193">
        <v>360</v>
      </c>
      <c r="B1872" s="194" t="s">
        <v>977</v>
      </c>
    </row>
    <row r="1873" spans="1:2" ht="12.75" customHeight="1" x14ac:dyDescent="0.2">
      <c r="A1873" s="193">
        <v>400</v>
      </c>
      <c r="B1873" s="194" t="s">
        <v>1238</v>
      </c>
    </row>
    <row r="1874" spans="1:2" x14ac:dyDescent="0.2">
      <c r="A1874" s="193">
        <v>410</v>
      </c>
      <c r="B1874" s="194" t="s">
        <v>978</v>
      </c>
    </row>
    <row r="1875" spans="1:2" x14ac:dyDescent="0.2">
      <c r="A1875" s="193">
        <v>411</v>
      </c>
      <c r="B1875" s="194" t="s">
        <v>979</v>
      </c>
    </row>
    <row r="1876" spans="1:2" x14ac:dyDescent="0.2">
      <c r="A1876" s="193">
        <v>412</v>
      </c>
      <c r="B1876" s="194" t="s">
        <v>980</v>
      </c>
    </row>
    <row r="1877" spans="1:2" x14ac:dyDescent="0.2">
      <c r="A1877" s="193">
        <v>413</v>
      </c>
      <c r="B1877" s="194" t="s">
        <v>981</v>
      </c>
    </row>
    <row r="1878" spans="1:2" x14ac:dyDescent="0.2">
      <c r="A1878" s="193">
        <v>414</v>
      </c>
      <c r="B1878" s="194" t="s">
        <v>982</v>
      </c>
    </row>
    <row r="1879" spans="1:2" x14ac:dyDescent="0.2">
      <c r="A1879" s="193">
        <v>415</v>
      </c>
      <c r="B1879" s="194" t="s">
        <v>983</v>
      </c>
    </row>
    <row r="1880" spans="1:2" x14ac:dyDescent="0.2">
      <c r="A1880" s="193">
        <v>420</v>
      </c>
      <c r="B1880" s="194" t="s">
        <v>984</v>
      </c>
    </row>
    <row r="1881" spans="1:2" ht="25.5" x14ac:dyDescent="0.2">
      <c r="A1881" s="193">
        <v>421</v>
      </c>
      <c r="B1881" s="194" t="s">
        <v>985</v>
      </c>
    </row>
    <row r="1882" spans="1:2" ht="25.5" x14ac:dyDescent="0.2">
      <c r="A1882" s="193">
        <v>422</v>
      </c>
      <c r="B1882" s="194" t="s">
        <v>986</v>
      </c>
    </row>
    <row r="1883" spans="1:2" x14ac:dyDescent="0.2">
      <c r="A1883" s="193">
        <v>430</v>
      </c>
      <c r="B1883" s="194" t="s">
        <v>987</v>
      </c>
    </row>
    <row r="1884" spans="1:2" x14ac:dyDescent="0.2">
      <c r="A1884" s="193">
        <v>440</v>
      </c>
      <c r="B1884" s="194" t="s">
        <v>988</v>
      </c>
    </row>
    <row r="1885" spans="1:2" x14ac:dyDescent="0.2">
      <c r="A1885" s="193">
        <v>500</v>
      </c>
      <c r="B1885" s="194" t="s">
        <v>567</v>
      </c>
    </row>
    <row r="1886" spans="1:2" x14ac:dyDescent="0.2">
      <c r="A1886" s="193">
        <v>510</v>
      </c>
      <c r="B1886" s="194" t="s">
        <v>935</v>
      </c>
    </row>
    <row r="1887" spans="1:2" x14ac:dyDescent="0.2">
      <c r="A1887" s="193">
        <v>511</v>
      </c>
      <c r="B1887" s="194" t="s">
        <v>989</v>
      </c>
    </row>
    <row r="1888" spans="1:2" x14ac:dyDescent="0.2">
      <c r="A1888" s="193">
        <v>512</v>
      </c>
      <c r="B1888" s="194" t="s">
        <v>990</v>
      </c>
    </row>
    <row r="1889" spans="1:2" ht="25.5" x14ac:dyDescent="0.2">
      <c r="A1889" s="193">
        <v>513</v>
      </c>
      <c r="B1889" s="194" t="s">
        <v>991</v>
      </c>
    </row>
    <row r="1890" spans="1:2" x14ac:dyDescent="0.2">
      <c r="A1890" s="193">
        <v>514</v>
      </c>
      <c r="B1890" s="194" t="s">
        <v>992</v>
      </c>
    </row>
    <row r="1891" spans="1:2" x14ac:dyDescent="0.2">
      <c r="A1891" s="193">
        <v>515</v>
      </c>
      <c r="B1891" s="194" t="s">
        <v>266</v>
      </c>
    </row>
    <row r="1892" spans="1:2" x14ac:dyDescent="0.2">
      <c r="A1892" s="193">
        <v>520</v>
      </c>
      <c r="B1892" s="194" t="s">
        <v>931</v>
      </c>
    </row>
    <row r="1893" spans="1:2" ht="25.5" x14ac:dyDescent="0.2">
      <c r="A1893" s="193">
        <v>521</v>
      </c>
      <c r="B1893" s="194" t="s">
        <v>993</v>
      </c>
    </row>
    <row r="1894" spans="1:2" x14ac:dyDescent="0.2">
      <c r="A1894" s="193">
        <v>522</v>
      </c>
      <c r="B1894" s="194" t="s">
        <v>994</v>
      </c>
    </row>
    <row r="1895" spans="1:2" x14ac:dyDescent="0.2">
      <c r="A1895" s="193">
        <v>530</v>
      </c>
      <c r="B1895" s="194" t="s">
        <v>995</v>
      </c>
    </row>
    <row r="1896" spans="1:2" x14ac:dyDescent="0.2">
      <c r="A1896" s="193">
        <v>540</v>
      </c>
      <c r="B1896" s="194" t="s">
        <v>996</v>
      </c>
    </row>
    <row r="1897" spans="1:2" x14ac:dyDescent="0.2">
      <c r="A1897" s="193">
        <v>560</v>
      </c>
      <c r="B1897" s="194" t="s">
        <v>997</v>
      </c>
    </row>
    <row r="1898" spans="1:2" x14ac:dyDescent="0.2">
      <c r="A1898" s="193">
        <v>570</v>
      </c>
      <c r="B1898" s="194" t="s">
        <v>998</v>
      </c>
    </row>
    <row r="1899" spans="1:2" x14ac:dyDescent="0.2">
      <c r="A1899" s="193">
        <v>580</v>
      </c>
      <c r="B1899" s="194" t="s">
        <v>999</v>
      </c>
    </row>
    <row r="1900" spans="1:2" x14ac:dyDescent="0.2">
      <c r="A1900" s="193">
        <v>600</v>
      </c>
      <c r="B1900" s="194" t="s">
        <v>457</v>
      </c>
    </row>
    <row r="1901" spans="1:2" x14ac:dyDescent="0.2">
      <c r="A1901" s="193">
        <v>610</v>
      </c>
      <c r="B1901" s="194" t="s">
        <v>1000</v>
      </c>
    </row>
    <row r="1902" spans="1:2" x14ac:dyDescent="0.2">
      <c r="A1902" s="193">
        <v>611</v>
      </c>
      <c r="B1902" s="194" t="s">
        <v>466</v>
      </c>
    </row>
    <row r="1903" spans="1:2" x14ac:dyDescent="0.2">
      <c r="A1903" s="193">
        <v>612</v>
      </c>
      <c r="B1903" s="194" t="s">
        <v>1001</v>
      </c>
    </row>
    <row r="1904" spans="1:2" x14ac:dyDescent="0.2">
      <c r="A1904" s="193">
        <v>620</v>
      </c>
      <c r="B1904" s="194" t="s">
        <v>1002</v>
      </c>
    </row>
    <row r="1905" spans="1:2" x14ac:dyDescent="0.2">
      <c r="A1905" s="193">
        <v>621</v>
      </c>
      <c r="B1905" s="194" t="s">
        <v>1003</v>
      </c>
    </row>
    <row r="1906" spans="1:2" x14ac:dyDescent="0.2">
      <c r="A1906" s="193">
        <v>622</v>
      </c>
      <c r="B1906" s="194" t="s">
        <v>1004</v>
      </c>
    </row>
    <row r="1907" spans="1:2" x14ac:dyDescent="0.2">
      <c r="A1907" s="193">
        <v>630</v>
      </c>
      <c r="B1907" s="194" t="s">
        <v>1005</v>
      </c>
    </row>
    <row r="1908" spans="1:2" x14ac:dyDescent="0.2">
      <c r="A1908" s="193">
        <v>700</v>
      </c>
      <c r="B1908" s="194" t="s">
        <v>570</v>
      </c>
    </row>
    <row r="1909" spans="1:2" x14ac:dyDescent="0.2">
      <c r="A1909" s="193">
        <v>710</v>
      </c>
      <c r="B1909" s="194" t="s">
        <v>570</v>
      </c>
    </row>
    <row r="1910" spans="1:2" x14ac:dyDescent="0.2">
      <c r="A1910" s="193">
        <v>800</v>
      </c>
      <c r="B1910" s="194" t="s">
        <v>397</v>
      </c>
    </row>
    <row r="1911" spans="1:2" x14ac:dyDescent="0.2">
      <c r="A1911" s="193">
        <v>810</v>
      </c>
      <c r="B1911" s="194" t="s">
        <v>1006</v>
      </c>
    </row>
    <row r="1912" spans="1:2" x14ac:dyDescent="0.2">
      <c r="A1912" s="193">
        <v>820</v>
      </c>
      <c r="B1912" s="194" t="s">
        <v>1007</v>
      </c>
    </row>
    <row r="1913" spans="1:2" x14ac:dyDescent="0.2">
      <c r="A1913" s="193">
        <v>821</v>
      </c>
      <c r="B1913" s="194" t="s">
        <v>1008</v>
      </c>
    </row>
    <row r="1914" spans="1:2" x14ac:dyDescent="0.2">
      <c r="A1914" s="193">
        <v>822</v>
      </c>
      <c r="B1914" s="194" t="s">
        <v>1009</v>
      </c>
    </row>
    <row r="1915" spans="1:2" x14ac:dyDescent="0.2">
      <c r="A1915" s="193">
        <v>823</v>
      </c>
      <c r="B1915" s="194" t="s">
        <v>1010</v>
      </c>
    </row>
    <row r="1916" spans="1:2" x14ac:dyDescent="0.2">
      <c r="A1916" s="193">
        <v>830</v>
      </c>
      <c r="B1916" s="194" t="s">
        <v>1011</v>
      </c>
    </row>
    <row r="1917" spans="1:2" ht="38.25" x14ac:dyDescent="0.2">
      <c r="A1917" s="193">
        <v>831</v>
      </c>
      <c r="B1917" s="195" t="s">
        <v>1012</v>
      </c>
    </row>
    <row r="1918" spans="1:2" ht="51" x14ac:dyDescent="0.2">
      <c r="A1918" s="193">
        <v>832</v>
      </c>
      <c r="B1918" s="195" t="s">
        <v>1013</v>
      </c>
    </row>
    <row r="1919" spans="1:2" x14ac:dyDescent="0.2">
      <c r="A1919" s="193">
        <v>833</v>
      </c>
      <c r="B1919" s="194" t="s">
        <v>1014</v>
      </c>
    </row>
    <row r="1920" spans="1:2" ht="25.5" x14ac:dyDescent="0.2">
      <c r="A1920" s="193">
        <v>840</v>
      </c>
      <c r="B1920" s="194" t="s">
        <v>1015</v>
      </c>
    </row>
    <row r="1921" spans="1:2" x14ac:dyDescent="0.2">
      <c r="A1921" s="193">
        <v>841</v>
      </c>
      <c r="B1921" s="194" t="s">
        <v>1016</v>
      </c>
    </row>
    <row r="1922" spans="1:2" x14ac:dyDescent="0.2">
      <c r="A1922" s="193">
        <v>850</v>
      </c>
      <c r="B1922" s="194" t="s">
        <v>1017</v>
      </c>
    </row>
    <row r="1923" spans="1:2" x14ac:dyDescent="0.2">
      <c r="A1923" s="193">
        <v>851</v>
      </c>
      <c r="B1923" s="194" t="s">
        <v>1018</v>
      </c>
    </row>
    <row r="1924" spans="1:2" ht="12.75" customHeight="1" x14ac:dyDescent="0.2">
      <c r="A1924" s="193">
        <v>852</v>
      </c>
      <c r="B1924" s="194" t="s">
        <v>1019</v>
      </c>
    </row>
    <row r="1925" spans="1:2" x14ac:dyDescent="0.2">
      <c r="A1925" s="193">
        <v>860</v>
      </c>
      <c r="B1925" s="194" t="s">
        <v>1020</v>
      </c>
    </row>
    <row r="1926" spans="1:2" x14ac:dyDescent="0.2">
      <c r="A1926" s="193">
        <v>861</v>
      </c>
      <c r="B1926" s="194" t="s">
        <v>1021</v>
      </c>
    </row>
    <row r="1927" spans="1:2" x14ac:dyDescent="0.2">
      <c r="A1927" s="193">
        <v>862</v>
      </c>
      <c r="B1927" s="194" t="s">
        <v>1022</v>
      </c>
    </row>
    <row r="1928" spans="1:2" x14ac:dyDescent="0.2">
      <c r="A1928" s="193">
        <v>863</v>
      </c>
      <c r="B1928" s="194" t="s">
        <v>1023</v>
      </c>
    </row>
    <row r="1929" spans="1:2" x14ac:dyDescent="0.2">
      <c r="A1929" s="193">
        <v>870</v>
      </c>
      <c r="B1929" s="194" t="s">
        <v>1024</v>
      </c>
    </row>
    <row r="1930" spans="1:2" x14ac:dyDescent="0.2">
      <c r="A1930" s="193">
        <v>880</v>
      </c>
      <c r="B1930" s="194" t="s">
        <v>1025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2"/>
  <sheetViews>
    <sheetView showGridLines="0" view="pageBreakPreview" topLeftCell="A80" zoomScaleSheetLayoutView="100" workbookViewId="0">
      <selection activeCell="E122" sqref="E122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87" t="s">
        <v>159</v>
      </c>
      <c r="B1" s="887"/>
      <c r="C1" s="887"/>
      <c r="D1" s="887"/>
      <c r="E1" s="887"/>
    </row>
    <row r="2" spans="1:5" s="52" customFormat="1" x14ac:dyDescent="0.25">
      <c r="A2" s="887" t="s">
        <v>1</v>
      </c>
      <c r="B2" s="887"/>
      <c r="C2" s="887"/>
      <c r="D2" s="887"/>
      <c r="E2" s="887"/>
    </row>
    <row r="3" spans="1:5" s="52" customFormat="1" x14ac:dyDescent="0.25">
      <c r="A3" s="887" t="s">
        <v>2</v>
      </c>
      <c r="B3" s="887"/>
      <c r="C3" s="887"/>
      <c r="D3" s="887"/>
      <c r="E3" s="887"/>
    </row>
    <row r="4" spans="1:5" s="52" customFormat="1" x14ac:dyDescent="0.25">
      <c r="A4" s="887" t="s">
        <v>1859</v>
      </c>
      <c r="B4" s="887"/>
      <c r="C4" s="887"/>
      <c r="D4" s="887"/>
      <c r="E4" s="887"/>
    </row>
    <row r="5" spans="1:5" s="52" customFormat="1" x14ac:dyDescent="0.25">
      <c r="A5" s="53"/>
      <c r="B5" s="54"/>
    </row>
    <row r="6" spans="1:5" s="52" customFormat="1" ht="52.5" customHeight="1" x14ac:dyDescent="0.25">
      <c r="A6" s="899" t="s">
        <v>1863</v>
      </c>
      <c r="B6" s="899"/>
      <c r="C6" s="899"/>
      <c r="D6" s="899"/>
      <c r="E6" s="899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160</v>
      </c>
      <c r="B8" s="58" t="s">
        <v>161</v>
      </c>
      <c r="C8" s="58" t="s">
        <v>162</v>
      </c>
      <c r="D8" s="58" t="s">
        <v>162</v>
      </c>
      <c r="E8" s="58" t="s">
        <v>162</v>
      </c>
    </row>
    <row r="9" spans="1:5" s="59" customFormat="1" ht="16.5" thickBot="1" x14ac:dyDescent="0.3">
      <c r="A9" s="60">
        <v>100</v>
      </c>
      <c r="B9" s="61" t="s">
        <v>163</v>
      </c>
      <c r="C9" s="62">
        <f>C11+C13+C15+C20+C22+C14</f>
        <v>0</v>
      </c>
      <c r="D9" s="62">
        <f t="shared" ref="D9:E9" si="0">D11+D13+D15+D20+D22+D14</f>
        <v>149247462</v>
      </c>
      <c r="E9" s="62">
        <f t="shared" si="0"/>
        <v>149247462</v>
      </c>
    </row>
    <row r="10" spans="1:5" s="59" customFormat="1" ht="16.5" hidden="1" thickBot="1" x14ac:dyDescent="0.3">
      <c r="A10" s="63">
        <v>101</v>
      </c>
      <c r="B10" s="64" t="s">
        <v>164</v>
      </c>
      <c r="C10" s="65">
        <f>SUMIF(Пр.12!C10:C1081,101,Пр.12!G10:G1081)</f>
        <v>0</v>
      </c>
      <c r="D10" s="65">
        <f>SUMIF(Пр.12!D10:D1081,101,Пр.12!H10:H1081)</f>
        <v>0</v>
      </c>
      <c r="E10" s="65">
        <f>SUMIF(Пр.12!E10:E1081,101,Пр.12!I10:I1081)</f>
        <v>0</v>
      </c>
    </row>
    <row r="11" spans="1:5" s="59" customFormat="1" ht="32.25" thickBot="1" x14ac:dyDescent="0.3">
      <c r="A11" s="63">
        <v>102</v>
      </c>
      <c r="B11" s="66" t="s">
        <v>165</v>
      </c>
      <c r="C11" s="65">
        <f>SUMIF(Пр.12!C7:C1106,102,Пр.12!G7:G1106)</f>
        <v>0</v>
      </c>
      <c r="D11" s="65">
        <f>SUMIF(Пр.12!$C7:$C1106,102,Пр.12!H7:H1106)</f>
        <v>1647072</v>
      </c>
      <c r="E11" s="65">
        <f>SUMIF(Пр.12!$C7:$C1106,102,Пр.12!I7:I1106)</f>
        <v>1647072</v>
      </c>
    </row>
    <row r="12" spans="1:5" s="59" customFormat="1" ht="48" hidden="1" thickBot="1" x14ac:dyDescent="0.3">
      <c r="A12" s="63">
        <v>103</v>
      </c>
      <c r="B12" s="66" t="s">
        <v>166</v>
      </c>
      <c r="C12" s="65">
        <f>SUMIF(Пр.12!C8:C1107,103,Пр.12!G8:G1107)</f>
        <v>0</v>
      </c>
      <c r="D12" s="65">
        <f>SUMIF(Пр.12!D8:D1107,103,Пр.12!H8:H1107)</f>
        <v>0</v>
      </c>
      <c r="E12" s="65">
        <f>SUMIF(Пр.12!E8:E1107,103,Пр.12!I8:I1107)</f>
        <v>0</v>
      </c>
    </row>
    <row r="13" spans="1:5" ht="48" thickBot="1" x14ac:dyDescent="0.3">
      <c r="A13" s="63">
        <v>104</v>
      </c>
      <c r="B13" s="66" t="s">
        <v>167</v>
      </c>
      <c r="C13" s="65">
        <f>SUMIF(Пр.12!$C9:$C1108,104,Пр.12!G9:G1108)</f>
        <v>0</v>
      </c>
      <c r="D13" s="65">
        <f>SUMIF(Пр.12!$C9:$C1108,104,Пр.12!H9:H1108)</f>
        <v>42505522</v>
      </c>
      <c r="E13" s="65">
        <f>SUMIF(Пр.12!$C9:$C1108,104,Пр.12!I9:I1108)</f>
        <v>42505522</v>
      </c>
    </row>
    <row r="14" spans="1:5" ht="16.5" thickBot="1" x14ac:dyDescent="0.3">
      <c r="A14" s="63">
        <v>105</v>
      </c>
      <c r="B14" s="66" t="s">
        <v>168</v>
      </c>
      <c r="C14" s="65">
        <f>SUMIF(Пр.12!C7:C1077,105,Пр.12!G7:G1077)</f>
        <v>0</v>
      </c>
      <c r="D14" s="65">
        <f>SUMIF(Пр.12!C10:C1109,105,Пр.12!H10:H1109)</f>
        <v>6589</v>
      </c>
      <c r="E14" s="65">
        <f>SUMIF(Пр.12!$C10:$C1109,105,Пр.12!I10:I1109)</f>
        <v>6589</v>
      </c>
    </row>
    <row r="15" spans="1:5" ht="48" thickBot="1" x14ac:dyDescent="0.3">
      <c r="A15" s="63">
        <v>106</v>
      </c>
      <c r="B15" s="66" t="s">
        <v>169</v>
      </c>
      <c r="C15" s="65">
        <f>SUMIF(Пр.12!$C10:$C1109,106,Пр.12!G10:G1109)</f>
        <v>0</v>
      </c>
      <c r="D15" s="65">
        <f>SUMIF(Пр.12!$C10:$C1109,106,Пр.12!H10:H1109)</f>
        <v>19490909</v>
      </c>
      <c r="E15" s="65">
        <f>SUMIF(Пр.12!$C10:$C1109,106,Пр.12!I10:I1109)</f>
        <v>19490909</v>
      </c>
    </row>
    <row r="16" spans="1:5" ht="16.5" hidden="1" thickBot="1" x14ac:dyDescent="0.3">
      <c r="A16" s="63">
        <v>107</v>
      </c>
      <c r="B16" s="66" t="s">
        <v>170</v>
      </c>
      <c r="C16" s="65">
        <f>SUMIF(Пр.12!C10:C1081,107,Пр.12!G10:G1081)</f>
        <v>0</v>
      </c>
      <c r="D16" s="65">
        <f>SUMIF(Пр.12!D10:D1081,107,Пр.12!H10:H1081)</f>
        <v>0</v>
      </c>
      <c r="E16" s="65">
        <f>SUMIF(Пр.12!E10:E1081,107,Пр.12!I10:I1081)</f>
        <v>0</v>
      </c>
    </row>
    <row r="17" spans="1:5" s="59" customFormat="1" ht="32.25" hidden="1" thickBot="1" x14ac:dyDescent="0.3">
      <c r="A17" s="63">
        <v>108</v>
      </c>
      <c r="B17" s="66" t="s">
        <v>171</v>
      </c>
      <c r="C17" s="65">
        <f>SUMIF(Пр.12!C10:C1081,108,Пр.12!G10:G1081)</f>
        <v>0</v>
      </c>
      <c r="D17" s="65">
        <f>SUMIF(Пр.12!D10:D1081,108,Пр.12!H10:H1081)</f>
        <v>0</v>
      </c>
      <c r="E17" s="65">
        <f>SUMIF(Пр.12!E10:E1081,108,Пр.12!I10:I1081)</f>
        <v>0</v>
      </c>
    </row>
    <row r="18" spans="1:5" ht="16.5" hidden="1" thickBot="1" x14ac:dyDescent="0.3">
      <c r="A18" s="63">
        <v>109</v>
      </c>
      <c r="B18" s="66" t="s">
        <v>172</v>
      </c>
      <c r="C18" s="65">
        <f>SUMIF(Пр.12!C10:C1081,109,Пр.12!G10:G1081)</f>
        <v>0</v>
      </c>
      <c r="D18" s="65">
        <f>SUMIF(Пр.12!D10:D1081,109,Пр.12!H10:H1081)</f>
        <v>0</v>
      </c>
      <c r="E18" s="65">
        <f>SUMIF(Пр.12!E10:E1081,109,Пр.12!I10:I1081)</f>
        <v>0</v>
      </c>
    </row>
    <row r="19" spans="1:5" ht="16.5" hidden="1" thickBot="1" x14ac:dyDescent="0.3">
      <c r="A19" s="63">
        <v>110</v>
      </c>
      <c r="B19" s="66" t="s">
        <v>173</v>
      </c>
      <c r="C19" s="65">
        <f>SUMIF(Пр.12!C10:C1081,110,Пр.12!G10:G1081)</f>
        <v>0</v>
      </c>
      <c r="D19" s="65">
        <f>SUMIF(Пр.12!D10:D1081,110,Пр.12!H10:H1081)</f>
        <v>0</v>
      </c>
      <c r="E19" s="65">
        <f>SUMIF(Пр.12!E10:E1081,110,Пр.12!I10:I1081)</f>
        <v>0</v>
      </c>
    </row>
    <row r="20" spans="1:5" s="59" customFormat="1" ht="16.5" thickBot="1" x14ac:dyDescent="0.3">
      <c r="A20" s="63">
        <v>111</v>
      </c>
      <c r="B20" s="66" t="s">
        <v>174</v>
      </c>
      <c r="C20" s="65">
        <f>SUMIF(Пр.12!$C10:$C1081,111,Пр.12!G10:G1081)</f>
        <v>0</v>
      </c>
      <c r="D20" s="65">
        <f>SUMIF(Пр.12!$C10:$C1081,111,Пр.12!H10:H1081)</f>
        <v>3000000</v>
      </c>
      <c r="E20" s="65">
        <f>SUMIF(Пр.12!$C10:$C1081,111,Пр.12!I10:I1081)</f>
        <v>3000000</v>
      </c>
    </row>
    <row r="21" spans="1:5" ht="32.25" hidden="1" thickBot="1" x14ac:dyDescent="0.3">
      <c r="A21" s="63">
        <v>112</v>
      </c>
      <c r="B21" s="66" t="s">
        <v>175</v>
      </c>
      <c r="C21" s="65">
        <f>SUMIF(Пр.12!C10:C1081,112,Пр.12!G10:G1081)</f>
        <v>0</v>
      </c>
      <c r="D21" s="65">
        <f>SUMIF(Пр.12!D10:D1081,112,Пр.12!H10:H1081)</f>
        <v>0</v>
      </c>
      <c r="E21" s="65">
        <f>SUMIF(Пр.12!E10:E1081,112,Пр.12!I10:I1081)</f>
        <v>0</v>
      </c>
    </row>
    <row r="22" spans="1:5" ht="16.5" thickBot="1" x14ac:dyDescent="0.3">
      <c r="A22" s="63">
        <v>113</v>
      </c>
      <c r="B22" s="66" t="s">
        <v>176</v>
      </c>
      <c r="C22" s="65">
        <f>SUMIF(Пр.12!$C10:$C1106,113,Пр.12!G10:G1106)</f>
        <v>0</v>
      </c>
      <c r="D22" s="65">
        <f>SUMIF(Пр.12!$C10:$C1106,113,Пр.12!H10:H1106)</f>
        <v>82597370</v>
      </c>
      <c r="E22" s="65">
        <f>SUMIF(Пр.12!$C10:$C1106,113,Пр.12!I10:I1106)</f>
        <v>82597370</v>
      </c>
    </row>
    <row r="23" spans="1:5" ht="16.5" hidden="1" thickBot="1" x14ac:dyDescent="0.3">
      <c r="A23" s="60">
        <v>200</v>
      </c>
      <c r="B23" s="67" t="s">
        <v>177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178</v>
      </c>
      <c r="C24" s="65">
        <f>SUMIF(Пр.12!C10:C1081,201,Пр.12!G10:G1081)</f>
        <v>0</v>
      </c>
      <c r="D24" s="65">
        <f>SUMIF(Пр.12!D10:D1081,201,Пр.12!H10:H1081)</f>
        <v>0</v>
      </c>
      <c r="E24" s="65">
        <f>SUMIF(Пр.12!E10:E1081,201,Пр.12!I10:I1081)</f>
        <v>0</v>
      </c>
    </row>
    <row r="25" spans="1:5" s="59" customFormat="1" ht="32.25" hidden="1" thickBot="1" x14ac:dyDescent="0.3">
      <c r="A25" s="63">
        <v>202</v>
      </c>
      <c r="B25" s="66" t="s">
        <v>179</v>
      </c>
      <c r="C25" s="65">
        <f>SUMIF(Пр.12!C10:C1081,202,Пр.12!G10:G1081)</f>
        <v>0</v>
      </c>
      <c r="D25" s="65">
        <f>SUMIF(Пр.12!D10:D1081,202,Пр.12!H10:H1081)</f>
        <v>0</v>
      </c>
      <c r="E25" s="65">
        <f>SUMIF(Пр.12!E10:E1081,202,Пр.12!I10:I1081)</f>
        <v>0</v>
      </c>
    </row>
    <row r="26" spans="1:5" s="59" customFormat="1" ht="16.5" hidden="1" thickBot="1" x14ac:dyDescent="0.3">
      <c r="A26" s="63">
        <v>203</v>
      </c>
      <c r="B26" s="66" t="s">
        <v>180</v>
      </c>
      <c r="C26" s="65">
        <f>SUMIF(Пр.12!$C10:$C1081,203,Пр.12!G10:G1081)</f>
        <v>0</v>
      </c>
      <c r="D26" s="65">
        <f>SUMIF(Пр.12!$C10:$C1081,203,Пр.12!H10:H1081)</f>
        <v>0</v>
      </c>
      <c r="E26" s="65">
        <f>SUMIF(Пр.12!$C10:$C1081,203,Пр.12!I10:I1081)</f>
        <v>0</v>
      </c>
    </row>
    <row r="27" spans="1:5" ht="16.5" hidden="1" thickBot="1" x14ac:dyDescent="0.3">
      <c r="A27" s="63">
        <v>204</v>
      </c>
      <c r="B27" s="66" t="s">
        <v>181</v>
      </c>
      <c r="C27" s="65">
        <f>SUMIF(Пр.12!C10:C1081,204,Пр.12!G10:G1081)</f>
        <v>0</v>
      </c>
      <c r="D27" s="65">
        <f>SUMIF(Пр.12!D10:D1081,204,Пр.12!H10:H1081)</f>
        <v>0</v>
      </c>
      <c r="E27" s="65">
        <f>SUMIF(Пр.12!E10:E1081,204,Пр.12!I10:I1081)</f>
        <v>0</v>
      </c>
    </row>
    <row r="28" spans="1:5" ht="32.25" hidden="1" thickBot="1" x14ac:dyDescent="0.3">
      <c r="A28" s="63">
        <v>205</v>
      </c>
      <c r="B28" s="66" t="s">
        <v>182</v>
      </c>
      <c r="C28" s="65">
        <f>SUMIF(Пр.12!C10:C1081,205,Пр.12!G10:G1081)</f>
        <v>0</v>
      </c>
      <c r="D28" s="65">
        <f>SUMIF(Пр.12!D10:D1081,205,Пр.12!H10:H1081)</f>
        <v>0</v>
      </c>
      <c r="E28" s="65">
        <f>SUMIF(Пр.12!E10:E1081,205,Пр.12!I10:I1081)</f>
        <v>0</v>
      </c>
    </row>
    <row r="29" spans="1:5" ht="16.5" hidden="1" thickBot="1" x14ac:dyDescent="0.3">
      <c r="A29" s="63">
        <v>206</v>
      </c>
      <c r="B29" s="66" t="s">
        <v>183</v>
      </c>
      <c r="C29" s="65">
        <f>SUMIF(Пр.12!C10:C1081,206,Пр.12!G10:G1081)</f>
        <v>0</v>
      </c>
      <c r="D29" s="65">
        <f>SUMIF(Пр.12!D10:D1081,206,Пр.12!H10:H1081)</f>
        <v>0</v>
      </c>
      <c r="E29" s="65">
        <f>SUMIF(Пр.12!E10:E1081,206,Пр.12!I10:I1081)</f>
        <v>0</v>
      </c>
    </row>
    <row r="30" spans="1:5" s="59" customFormat="1" ht="32.25" hidden="1" thickBot="1" x14ac:dyDescent="0.3">
      <c r="A30" s="63">
        <v>207</v>
      </c>
      <c r="B30" s="66" t="s">
        <v>184</v>
      </c>
      <c r="C30" s="65">
        <f>SUMIF(Пр.12!C10:C1081,207,Пр.12!G10:G1081)</f>
        <v>0</v>
      </c>
      <c r="D30" s="65">
        <f>SUMIF(Пр.12!D10:D1081,207,Пр.12!H10:H1081)</f>
        <v>0</v>
      </c>
      <c r="E30" s="65">
        <f>SUMIF(Пр.12!E10:E1081,207,Пр.12!I10:I1081)</f>
        <v>0</v>
      </c>
    </row>
    <row r="31" spans="1:5" ht="32.25" hidden="1" thickBot="1" x14ac:dyDescent="0.3">
      <c r="A31" s="63">
        <v>208</v>
      </c>
      <c r="B31" s="66" t="s">
        <v>185</v>
      </c>
      <c r="C31" s="65">
        <f>SUMIF(Пр.12!C10:C1081,208,Пр.12!G10:G1081)</f>
        <v>0</v>
      </c>
      <c r="D31" s="65">
        <f>SUMIF(Пр.12!D10:D1081,208,Пр.12!H10:H1081)</f>
        <v>0</v>
      </c>
      <c r="E31" s="65">
        <f>SUMIF(Пр.12!E10:E1081,208,Пр.12!I10:I1081)</f>
        <v>0</v>
      </c>
    </row>
    <row r="32" spans="1:5" ht="16.5" hidden="1" thickBot="1" x14ac:dyDescent="0.3">
      <c r="A32" s="63">
        <v>209</v>
      </c>
      <c r="B32" s="66" t="s">
        <v>186</v>
      </c>
      <c r="C32" s="65">
        <f>SUMIF(Пр.12!C10:C1081,209,Пр.12!G10:G1081)</f>
        <v>0</v>
      </c>
      <c r="D32" s="65">
        <f>SUMIF(Пр.12!D10:D1081,209,Пр.12!H10:H1081)</f>
        <v>0</v>
      </c>
      <c r="E32" s="65">
        <f>SUMIF(Пр.12!E10:E1081,209,Пр.12!I10:I1081)</f>
        <v>0</v>
      </c>
    </row>
    <row r="33" spans="1:5" ht="32.25" hidden="1" thickBot="1" x14ac:dyDescent="0.3">
      <c r="A33" s="60">
        <v>300</v>
      </c>
      <c r="B33" s="67" t="s">
        <v>187</v>
      </c>
      <c r="C33" s="62">
        <f>SUM(C34:C45)</f>
        <v>0</v>
      </c>
      <c r="D33" s="62">
        <f t="shared" ref="D33:E33" si="2">SUM(D34:D45)</f>
        <v>0</v>
      </c>
      <c r="E33" s="62">
        <f t="shared" si="2"/>
        <v>0</v>
      </c>
    </row>
    <row r="34" spans="1:5" ht="16.5" hidden="1" thickBot="1" x14ac:dyDescent="0.3">
      <c r="A34" s="63">
        <v>303</v>
      </c>
      <c r="B34" s="66" t="s">
        <v>188</v>
      </c>
      <c r="C34" s="65">
        <f>SUMIF(Пр.12!C10:C1081,303,Пр.12!G10:G1081)</f>
        <v>0</v>
      </c>
      <c r="D34" s="65">
        <f>SUMIF(Пр.12!D10:D1081,303,Пр.12!H10:H1081)</f>
        <v>0</v>
      </c>
      <c r="E34" s="65">
        <f>SUMIF(Пр.12!E10:E1081,303,Пр.12!I10:I1081)</f>
        <v>0</v>
      </c>
    </row>
    <row r="35" spans="1:5" s="59" customFormat="1" ht="16.5" hidden="1" thickBot="1" x14ac:dyDescent="0.3">
      <c r="A35" s="63">
        <v>304</v>
      </c>
      <c r="B35" s="66" t="s">
        <v>189</v>
      </c>
      <c r="C35" s="65">
        <f>SUMIF(Пр.12!C10:C1081,304,Пр.12!G10:G1081)</f>
        <v>0</v>
      </c>
      <c r="D35" s="65">
        <f>SUMIF(Пр.12!D10:D1081,304,Пр.12!H10:H1081)</f>
        <v>0</v>
      </c>
      <c r="E35" s="65">
        <f>SUMIF(Пр.12!E10:E1081,304,Пр.12!I10:I1081)</f>
        <v>0</v>
      </c>
    </row>
    <row r="36" spans="1:5" ht="16.5" hidden="1" thickBot="1" x14ac:dyDescent="0.3">
      <c r="A36" s="63">
        <v>305</v>
      </c>
      <c r="B36" s="66" t="s">
        <v>190</v>
      </c>
      <c r="C36" s="65">
        <f>SUMIF(Пр.12!C10:C1081,305,Пр.12!G10:G1081)</f>
        <v>0</v>
      </c>
      <c r="D36" s="65">
        <f>SUMIF(Пр.12!D10:D1081,305,Пр.12!H10:H1081)</f>
        <v>0</v>
      </c>
      <c r="E36" s="65">
        <f>SUMIF(Пр.12!E10:E1081,305,Пр.12!I10:I1081)</f>
        <v>0</v>
      </c>
    </row>
    <row r="37" spans="1:5" ht="16.5" hidden="1" thickBot="1" x14ac:dyDescent="0.3">
      <c r="A37" s="63">
        <v>306</v>
      </c>
      <c r="B37" s="66" t="s">
        <v>191</v>
      </c>
      <c r="C37" s="65">
        <f>SUMIF(Пр.12!C10:C1081,306,Пр.12!G10:G1081)</f>
        <v>0</v>
      </c>
      <c r="D37" s="65">
        <f>SUMIF(Пр.12!D10:D1081,306,Пр.12!H10:H1081)</f>
        <v>0</v>
      </c>
      <c r="E37" s="65">
        <f>SUMIF(Пр.12!E10:E1081,306,Пр.12!I10:I1081)</f>
        <v>0</v>
      </c>
    </row>
    <row r="38" spans="1:5" ht="16.5" hidden="1" thickBot="1" x14ac:dyDescent="0.3">
      <c r="A38" s="63">
        <v>307</v>
      </c>
      <c r="B38" s="66" t="s">
        <v>192</v>
      </c>
      <c r="C38" s="65">
        <f>SUMIF(Пр.12!C10:C1081,307,Пр.12!G10:G1081)</f>
        <v>0</v>
      </c>
      <c r="D38" s="65">
        <f>SUMIF(Пр.12!D10:D1081,307,Пр.12!H10:H1081)</f>
        <v>0</v>
      </c>
      <c r="E38" s="65">
        <f>SUMIF(Пр.12!E10:E1081,307,Пр.12!I10:I1081)</f>
        <v>0</v>
      </c>
    </row>
    <row r="39" spans="1:5" s="59" customFormat="1" ht="32.25" hidden="1" thickBot="1" x14ac:dyDescent="0.3">
      <c r="A39" s="63">
        <v>308</v>
      </c>
      <c r="B39" s="66" t="s">
        <v>193</v>
      </c>
      <c r="C39" s="65">
        <f>SUMIF(Пр.12!C10:C1081,308,Пр.12!G10:G1081)</f>
        <v>0</v>
      </c>
      <c r="D39" s="65">
        <f>SUMIF(Пр.12!D10:D1081,308,Пр.12!H10:H1081)</f>
        <v>0</v>
      </c>
      <c r="E39" s="65">
        <f>SUMIF(Пр.12!E10:E1081,308,Пр.12!I10:I1081)</f>
        <v>0</v>
      </c>
    </row>
    <row r="40" spans="1:5" ht="16.5" hidden="1" thickBot="1" x14ac:dyDescent="0.3">
      <c r="A40" s="63">
        <v>309</v>
      </c>
      <c r="B40" s="92" t="s">
        <v>1919</v>
      </c>
      <c r="C40" s="65">
        <f>SUMIF(Пр.12!C10:C1081,309,Пр.12!G10:G1081)</f>
        <v>0</v>
      </c>
      <c r="D40" s="65">
        <f>SUMIF(Пр.12!$C27:$C1124,309,Пр.12!H27:H1124)</f>
        <v>0</v>
      </c>
      <c r="E40" s="65">
        <f>SUMIF(Пр.12!$C23:$C1099,309,Пр.12!I23:I1099)</f>
        <v>0</v>
      </c>
    </row>
    <row r="41" spans="1:5" ht="33.75" hidden="1" customHeight="1" thickBot="1" x14ac:dyDescent="0.3">
      <c r="A41" s="63">
        <v>310</v>
      </c>
      <c r="B41" s="92" t="s">
        <v>1920</v>
      </c>
      <c r="C41" s="65">
        <f>SUMIF(Пр.12!C10:C1081,310,Пр.12!G10:G1081)</f>
        <v>0</v>
      </c>
      <c r="D41" s="65">
        <f>SUMIF(Пр.12!D10:D1081,310,Пр.12!H10:H1081)</f>
        <v>0</v>
      </c>
      <c r="E41" s="65">
        <f>SUMIF(Пр.12!E10:E1081,310,Пр.12!I10:I1081)</f>
        <v>0</v>
      </c>
    </row>
    <row r="42" spans="1:5" ht="16.5" hidden="1" thickBot="1" x14ac:dyDescent="0.3">
      <c r="A42" s="63">
        <v>311</v>
      </c>
      <c r="B42" s="66" t="s">
        <v>194</v>
      </c>
      <c r="C42" s="65">
        <f>SUMIF(Пр.12!C10:C1081,311,Пр.12!G10:G1081)</f>
        <v>0</v>
      </c>
      <c r="D42" s="65">
        <f>SUMIF(Пр.12!D10:D1081,311,Пр.12!H10:H1081)</f>
        <v>0</v>
      </c>
      <c r="E42" s="65">
        <f>SUMIF(Пр.12!E10:E1081,311,Пр.12!I10:I1081)</f>
        <v>0</v>
      </c>
    </row>
    <row r="43" spans="1:5" ht="32.25" hidden="1" thickBot="1" x14ac:dyDescent="0.3">
      <c r="A43" s="63">
        <v>312</v>
      </c>
      <c r="B43" s="66" t="s">
        <v>195</v>
      </c>
      <c r="C43" s="65">
        <f>SUMIF(Пр.12!C10:C1081,312,Пр.12!G10:G1081)</f>
        <v>0</v>
      </c>
      <c r="D43" s="65">
        <f>SUMIF(Пр.12!D10:D1081,312,Пр.12!H10:H1081)</f>
        <v>0</v>
      </c>
      <c r="E43" s="65">
        <f>SUMIF(Пр.12!E10:E1081,312,Пр.12!I10:I1081)</f>
        <v>0</v>
      </c>
    </row>
    <row r="44" spans="1:5" ht="48" hidden="1" thickBot="1" x14ac:dyDescent="0.3">
      <c r="A44" s="63">
        <v>313</v>
      </c>
      <c r="B44" s="66" t="s">
        <v>196</v>
      </c>
      <c r="C44" s="65">
        <f>SUMIF(Пр.12!C10:C1081,313,Пр.12!G10:G1081)</f>
        <v>0</v>
      </c>
      <c r="D44" s="65">
        <f>SUMIF(Пр.12!D10:D1081,313,Пр.12!H10:H1081)</f>
        <v>0</v>
      </c>
      <c r="E44" s="65">
        <f>SUMIF(Пр.12!E10:E1081,313,Пр.12!I10:I1081)</f>
        <v>0</v>
      </c>
    </row>
    <row r="45" spans="1:5" ht="32.25" hidden="1" thickBot="1" x14ac:dyDescent="0.3">
      <c r="A45" s="63">
        <v>314</v>
      </c>
      <c r="B45" s="66" t="s">
        <v>197</v>
      </c>
      <c r="C45" s="65">
        <f>SUMIF(Пр.12!C15:C1090,314,Пр.12!G15:G1090)</f>
        <v>0</v>
      </c>
      <c r="D45" s="65">
        <f>SUMIF(Пр.12!$C32:$C1129,314,Пр.12!H32:H1129)</f>
        <v>0</v>
      </c>
      <c r="E45" s="65">
        <f>SUMIF(Пр.12!$C28:$C1104,314,Пр.12!I28:I1104)</f>
        <v>0</v>
      </c>
    </row>
    <row r="46" spans="1:5" ht="16.5" thickBot="1" x14ac:dyDescent="0.3">
      <c r="A46" s="60">
        <v>400</v>
      </c>
      <c r="B46" s="67" t="s">
        <v>198</v>
      </c>
      <c r="C46" s="62">
        <f>C48+C51+C54+C55+C58+C52+C47</f>
        <v>0</v>
      </c>
      <c r="D46" s="62">
        <f>D48+D51+D54+D55+D58+D52+D47</f>
        <v>54111131</v>
      </c>
      <c r="E46" s="62">
        <f>E48+E51+E54+E55+E58+E52+E47</f>
        <v>54111131</v>
      </c>
    </row>
    <row r="47" spans="1:5" ht="16.5" thickBot="1" x14ac:dyDescent="0.3">
      <c r="A47" s="63">
        <v>401</v>
      </c>
      <c r="B47" s="68" t="s">
        <v>199</v>
      </c>
      <c r="C47" s="65">
        <f>SUMIF(Пр.12!C10:C1081,401,Пр.12!G10:G1081)</f>
        <v>0</v>
      </c>
      <c r="D47" s="65">
        <f>SUMIF(Пр.12!$C2:$C1073,401,Пр.12!H2:H1073)</f>
        <v>48450</v>
      </c>
      <c r="E47" s="65">
        <f>SUMIF(Пр.12!$C6:$C1077,401,Пр.12!I6:I1077)</f>
        <v>48450</v>
      </c>
    </row>
    <row r="48" spans="1:5" ht="16.5" hidden="1" thickBot="1" x14ac:dyDescent="0.3">
      <c r="A48" s="63">
        <v>402</v>
      </c>
      <c r="B48" s="64" t="s">
        <v>200</v>
      </c>
      <c r="C48" s="65">
        <f>SUMIF(Пр.12!$C10:$C1081,402,Пр.12!G10:G1081)</f>
        <v>0</v>
      </c>
      <c r="D48" s="65">
        <f>SUMIF(Пр.12!$C10:$C1081,402,Пр.12!H10:H1081)</f>
        <v>0</v>
      </c>
      <c r="E48" s="65">
        <f>SUMIF(Пр.12!$C10:$C1081,402,Пр.12!I10:I1081)</f>
        <v>0</v>
      </c>
    </row>
    <row r="49" spans="1:5" ht="16.5" hidden="1" thickBot="1" x14ac:dyDescent="0.3">
      <c r="A49" s="63">
        <v>403</v>
      </c>
      <c r="B49" s="66" t="s">
        <v>201</v>
      </c>
      <c r="C49" s="65">
        <f>SUMIF(Пр.12!C10:C1081,403,Пр.12!G10:G1081)</f>
        <v>0</v>
      </c>
      <c r="D49" s="65">
        <f>SUMIF(Пр.12!D10:D1081,403,Пр.12!H10:H1081)</f>
        <v>0</v>
      </c>
      <c r="E49" s="65">
        <f>SUMIF(Пр.12!E10:E1081,403,Пр.12!I10:I1081)</f>
        <v>0</v>
      </c>
    </row>
    <row r="50" spans="1:5" ht="16.5" hidden="1" thickBot="1" x14ac:dyDescent="0.3">
      <c r="A50" s="63">
        <v>404</v>
      </c>
      <c r="B50" s="66" t="s">
        <v>202</v>
      </c>
      <c r="C50" s="65">
        <f>SUMIF(Пр.12!C10:C1081,404,Пр.12!G10:G1081)</f>
        <v>0</v>
      </c>
      <c r="D50" s="65">
        <f>SUMIF(Пр.12!D10:D1081,404,Пр.12!H10:H1081)</f>
        <v>0</v>
      </c>
      <c r="E50" s="65">
        <f>SUMIF(Пр.12!E10:E1081,404,Пр.12!I10:I1081)</f>
        <v>0</v>
      </c>
    </row>
    <row r="51" spans="1:5" ht="16.5" thickBot="1" x14ac:dyDescent="0.3">
      <c r="A51" s="63">
        <v>405</v>
      </c>
      <c r="B51" s="66" t="s">
        <v>203</v>
      </c>
      <c r="C51" s="65">
        <f>SUMIF(Пр.12!$C10:$C1081,405,Пр.12!G10:G1081)</f>
        <v>0</v>
      </c>
      <c r="D51" s="65">
        <f>SUMIF(Пр.12!$C10:$C1081,405,Пр.12!H10:H1081)</f>
        <v>859444</v>
      </c>
      <c r="E51" s="65">
        <f>SUMIF(Пр.12!$C10:$C1081,405,Пр.12!I10:I1081)</f>
        <v>859444</v>
      </c>
    </row>
    <row r="52" spans="1:5" ht="16.5" hidden="1" thickBot="1" x14ac:dyDescent="0.3">
      <c r="A52" s="63">
        <v>406</v>
      </c>
      <c r="B52" s="66" t="s">
        <v>204</v>
      </c>
      <c r="C52" s="65">
        <f>SUMIF(Пр.12!$C10:$C1081,406,Пр.12!G10:G1081)</f>
        <v>0</v>
      </c>
      <c r="D52" s="65">
        <f>SUMIF(Пр.12!$C10:$C1081,406,Пр.12!H10:H1081)</f>
        <v>0</v>
      </c>
      <c r="E52" s="65">
        <f>SUMIF(Пр.12!$C10:$C1081,406,Пр.12!I10:I1081)</f>
        <v>0</v>
      </c>
    </row>
    <row r="53" spans="1:5" ht="16.5" hidden="1" thickBot="1" x14ac:dyDescent="0.3">
      <c r="A53" s="63">
        <v>407</v>
      </c>
      <c r="B53" s="66" t="s">
        <v>205</v>
      </c>
      <c r="C53" s="65">
        <f>SUMIF(Пр.12!C10:C1081,407,Пр.12!G10:G1081)</f>
        <v>0</v>
      </c>
      <c r="D53" s="65">
        <f>SUMIF(Пр.12!D10:D1081,407,Пр.12!H10:H1081)</f>
        <v>0</v>
      </c>
      <c r="E53" s="65">
        <f>SUMIF(Пр.12!E10:E1081,407,Пр.12!I10:I1081)</f>
        <v>0</v>
      </c>
    </row>
    <row r="54" spans="1:5" ht="16.5" thickBot="1" x14ac:dyDescent="0.3">
      <c r="A54" s="63">
        <v>408</v>
      </c>
      <c r="B54" s="66" t="s">
        <v>206</v>
      </c>
      <c r="C54" s="65">
        <f>SUMIF(Пр.12!$C10:$C1081,408,Пр.12!G10:G1081)</f>
        <v>0</v>
      </c>
      <c r="D54" s="65">
        <f>SUMIF(Пр.12!$C10:$C1081,408,Пр.12!H10:H1081)</f>
        <v>19500000</v>
      </c>
      <c r="E54" s="65">
        <f>SUMIF(Пр.12!$C10:$C1081,408,Пр.12!I10:I1081)</f>
        <v>19500000</v>
      </c>
    </row>
    <row r="55" spans="1:5" ht="16.5" thickBot="1" x14ac:dyDescent="0.3">
      <c r="A55" s="63">
        <v>409</v>
      </c>
      <c r="B55" s="66" t="s">
        <v>207</v>
      </c>
      <c r="C55" s="65">
        <f>SUMIF(Пр.12!$C10:$C1081,409,Пр.12!G10:G1081)</f>
        <v>0</v>
      </c>
      <c r="D55" s="65">
        <f>SUMIF(Пр.12!$C10:$C1081,409,Пр.12!H10:H1081)</f>
        <v>32803237</v>
      </c>
      <c r="E55" s="65">
        <f>SUMIF(Пр.12!$C10:$C1081,409,Пр.12!I10:I1081)</f>
        <v>32803237</v>
      </c>
    </row>
    <row r="56" spans="1:5" ht="16.5" hidden="1" thickBot="1" x14ac:dyDescent="0.3">
      <c r="A56" s="63">
        <v>410</v>
      </c>
      <c r="B56" s="66" t="s">
        <v>208</v>
      </c>
      <c r="C56" s="65">
        <f>SUMIF(Пр.12!C10:C1081,410,Пр.12!G10:G1081)</f>
        <v>0</v>
      </c>
      <c r="D56" s="65">
        <f>SUMIF(Пр.12!D10:D1081,410,Пр.12!H10:H1081)</f>
        <v>0</v>
      </c>
      <c r="E56" s="65">
        <f>SUMIF(Пр.12!E10:E1081,410,Пр.12!I10:I1081)</f>
        <v>0</v>
      </c>
    </row>
    <row r="57" spans="1:5" ht="32.25" hidden="1" thickBot="1" x14ac:dyDescent="0.3">
      <c r="A57" s="63">
        <v>411</v>
      </c>
      <c r="B57" s="66" t="s">
        <v>209</v>
      </c>
      <c r="C57" s="65">
        <f>SUMIF(Пр.12!C10:C1081,411,Пр.12!G10:G1081)</f>
        <v>0</v>
      </c>
      <c r="D57" s="65">
        <f>SUMIF(Пр.12!D10:D1081,411,Пр.12!H10:H1081)</f>
        <v>0</v>
      </c>
      <c r="E57" s="65">
        <f>SUMIF(Пр.12!E10:E1081,411,Пр.12!I10:I1081)</f>
        <v>0</v>
      </c>
    </row>
    <row r="58" spans="1:5" ht="16.5" thickBot="1" x14ac:dyDescent="0.3">
      <c r="A58" s="63">
        <v>412</v>
      </c>
      <c r="B58" s="66" t="s">
        <v>210</v>
      </c>
      <c r="C58" s="65">
        <f>SUMIF(Пр.12!$C10:$C1081,412,Пр.12!G10:G1081)</f>
        <v>0</v>
      </c>
      <c r="D58" s="65">
        <f>SUMIF(Пр.12!$C10:$C1081,412,Пр.12!H10:H1081)</f>
        <v>900000</v>
      </c>
      <c r="E58" s="65">
        <f>SUMIF(Пр.12!$C10:$C1081,412,Пр.12!I10:I1081)</f>
        <v>900000</v>
      </c>
    </row>
    <row r="59" spans="1:5" ht="16.5" thickBot="1" x14ac:dyDescent="0.3">
      <c r="A59" s="60">
        <v>500</v>
      </c>
      <c r="B59" s="67" t="s">
        <v>211</v>
      </c>
      <c r="C59" s="62">
        <f>C60+C61+C62+C63+C64</f>
        <v>0</v>
      </c>
      <c r="D59" s="62">
        <f t="shared" ref="D59:E59" si="3">D60+D61+D62+D63+D64</f>
        <v>917000</v>
      </c>
      <c r="E59" s="62">
        <f t="shared" si="3"/>
        <v>917000</v>
      </c>
    </row>
    <row r="60" spans="1:5" ht="16.5" thickBot="1" x14ac:dyDescent="0.3">
      <c r="A60" s="63">
        <v>501</v>
      </c>
      <c r="B60" s="66" t="s">
        <v>212</v>
      </c>
      <c r="C60" s="65">
        <f>SUMIF(Пр.12!$C10:$C1081,501,Пр.12!G10:G1081)</f>
        <v>0</v>
      </c>
      <c r="D60" s="65">
        <f>SUMIF(Пр.12!$C10:$C1081,501,Пр.12!H10:H1081)</f>
        <v>325000</v>
      </c>
      <c r="E60" s="65">
        <f>SUMIF(Пр.12!$C10:$C1081,501,Пр.12!I10:I1081)</f>
        <v>325000</v>
      </c>
    </row>
    <row r="61" spans="1:5" ht="16.5" thickBot="1" x14ac:dyDescent="0.3">
      <c r="A61" s="63">
        <v>502</v>
      </c>
      <c r="B61" s="66" t="s">
        <v>213</v>
      </c>
      <c r="C61" s="65">
        <f>SUMIF(Пр.12!$C10:$C1081,502,Пр.12!G10:G1081)</f>
        <v>0</v>
      </c>
      <c r="D61" s="65">
        <f>SUMIF(Пр.12!$C10:$C1081,502,Пр.12!H10:H1081)</f>
        <v>592000</v>
      </c>
      <c r="E61" s="65">
        <f>SUMIF(Пр.12!$C10:$C1081,502,Пр.12!I10:I1081)</f>
        <v>592000</v>
      </c>
    </row>
    <row r="62" spans="1:5" ht="16.5" hidden="1" thickBot="1" x14ac:dyDescent="0.3">
      <c r="A62" s="63">
        <v>503</v>
      </c>
      <c r="B62" s="64" t="s">
        <v>214</v>
      </c>
      <c r="C62" s="65">
        <f>SUMIF(Пр.12!$C10:$C1081,503,Пр.12!G10:G1081)</f>
        <v>0</v>
      </c>
      <c r="D62" s="65">
        <f>SUMIF(Пр.12!$C10:$C1081,503,Пр.12!H10:H1081)</f>
        <v>0</v>
      </c>
      <c r="E62" s="65">
        <f>SUMIF(Пр.12!$C10:$C1081,503,Пр.12!I10:I1081)</f>
        <v>0</v>
      </c>
    </row>
    <row r="63" spans="1:5" ht="32.25" hidden="1" thickBot="1" x14ac:dyDescent="0.3">
      <c r="A63" s="63">
        <v>504</v>
      </c>
      <c r="B63" s="66" t="s">
        <v>215</v>
      </c>
      <c r="C63" s="65">
        <f>SUMIF(Пр.12!C10:C1081,504,Пр.12!G10:G1081)</f>
        <v>0</v>
      </c>
      <c r="D63" s="65">
        <f>SUMIF(Пр.12!D10:D1081,504,Пр.12!H10:H1081)</f>
        <v>0</v>
      </c>
      <c r="E63" s="65">
        <f>SUMIF(Пр.12!E10:E1081,504,Пр.12!I10:I1081)</f>
        <v>0</v>
      </c>
    </row>
    <row r="64" spans="1:5" ht="32.25" hidden="1" thickBot="1" x14ac:dyDescent="0.3">
      <c r="A64" s="63">
        <v>505</v>
      </c>
      <c r="B64" s="66" t="s">
        <v>216</v>
      </c>
      <c r="C64" s="65">
        <f>SUMIF(Пр.12!$C10:$C1081,505,Пр.12!G10:G1081)</f>
        <v>0</v>
      </c>
      <c r="D64" s="65">
        <f>SUMIF(Пр.12!$C10:$C1081,505,Пр.12!H10:H1081)</f>
        <v>0</v>
      </c>
      <c r="E64" s="65">
        <f>SUMIF(Пр.12!$C10:$C1081,505,Пр.12!I10:I1081)</f>
        <v>0</v>
      </c>
    </row>
    <row r="65" spans="1:5" ht="16.5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4">SUM(D66:D70)</f>
        <v>700000</v>
      </c>
      <c r="E65" s="62">
        <f t="shared" si="4"/>
        <v>700000</v>
      </c>
    </row>
    <row r="66" spans="1:5" ht="16.5" hidden="1" thickBot="1" x14ac:dyDescent="0.3">
      <c r="A66" s="63">
        <v>601</v>
      </c>
      <c r="B66" s="64" t="s">
        <v>218</v>
      </c>
      <c r="C66" s="65">
        <f>SUMIF(Пр.12!C10:C1081,601,Пр.12!G10:G1081)</f>
        <v>0</v>
      </c>
      <c r="D66" s="65">
        <f>SUMIF(Пр.12!D10:D1081,601,Пр.12!H10:H1081)</f>
        <v>0</v>
      </c>
      <c r="E66" s="65">
        <f>SUMIF(Пр.12!E10:E1081,601,Пр.12!I10:I1081)</f>
        <v>0</v>
      </c>
    </row>
    <row r="67" spans="1:5" ht="16.5" hidden="1" thickBot="1" x14ac:dyDescent="0.3">
      <c r="A67" s="63">
        <v>602</v>
      </c>
      <c r="B67" s="66" t="s">
        <v>219</v>
      </c>
      <c r="C67" s="65">
        <f>SUMIF(Пр.12!C10:C1081,602,Пр.12!G10:G1081)</f>
        <v>0</v>
      </c>
      <c r="D67" s="65">
        <f>SUMIF(Пр.12!D10:D1081,602,Пр.12!H10:H1081)</f>
        <v>0</v>
      </c>
      <c r="E67" s="65">
        <f>SUMIF(Пр.12!E10:E1081,602,Пр.12!I10:I1081)</f>
        <v>0</v>
      </c>
    </row>
    <row r="68" spans="1:5" ht="32.25" hidden="1" thickBot="1" x14ac:dyDescent="0.3">
      <c r="A68" s="63">
        <v>603</v>
      </c>
      <c r="B68" s="66" t="s">
        <v>220</v>
      </c>
      <c r="C68" s="65">
        <f>SUMIF(Пр.12!C10:C1081,603,Пр.12!G10:G1081)</f>
        <v>0</v>
      </c>
      <c r="D68" s="65">
        <f>SUMIF(Пр.12!D10:D1081,603,Пр.12!H10:H1081)</f>
        <v>0</v>
      </c>
      <c r="E68" s="65">
        <f>SUMIF(Пр.12!E10:E1081,603,Пр.12!I10:I1081)</f>
        <v>0</v>
      </c>
    </row>
    <row r="69" spans="1:5" ht="32.25" hidden="1" thickBot="1" x14ac:dyDescent="0.3">
      <c r="A69" s="63">
        <v>604</v>
      </c>
      <c r="B69" s="66" t="s">
        <v>221</v>
      </c>
      <c r="C69" s="65">
        <f>SUMIF(Пр.12!C10:C1081,604,Пр.12!G10:G1081)</f>
        <v>0</v>
      </c>
      <c r="D69" s="65">
        <f>SUMIF(Пр.12!D10:D1081,604,Пр.12!H10:H1081)</f>
        <v>0</v>
      </c>
      <c r="E69" s="65">
        <f>SUMIF(Пр.12!E10:E1081,604,Пр.12!I10:I1081)</f>
        <v>0</v>
      </c>
    </row>
    <row r="70" spans="1:5" ht="16.5" thickBot="1" x14ac:dyDescent="0.3">
      <c r="A70" s="63">
        <v>605</v>
      </c>
      <c r="B70" s="66" t="s">
        <v>222</v>
      </c>
      <c r="C70" s="65">
        <f>SUMIF(Пр.12!$C10:$C1081,605,Пр.12!G10:G1081)</f>
        <v>0</v>
      </c>
      <c r="D70" s="65">
        <f>SUMIF(Пр.12!$C10:$C1081,605,Пр.12!H10:H1081)</f>
        <v>700000</v>
      </c>
      <c r="E70" s="65">
        <f>SUMIF(Пр.12!$C10:$C1081,605,Пр.12!I10:I1081)</f>
        <v>700000</v>
      </c>
    </row>
    <row r="71" spans="1:5" ht="16.5" thickBot="1" x14ac:dyDescent="0.3">
      <c r="A71" s="60">
        <v>700</v>
      </c>
      <c r="B71" s="69" t="s">
        <v>223</v>
      </c>
      <c r="C71" s="62">
        <f>C72+C73+C78+C80+C74+C76</f>
        <v>0</v>
      </c>
      <c r="D71" s="62">
        <f>D72+D73+D78+D80+D74+D76</f>
        <v>1036667738</v>
      </c>
      <c r="E71" s="62">
        <f>E72+E73+E78+E80+E74+E76</f>
        <v>1036667738</v>
      </c>
    </row>
    <row r="72" spans="1:5" ht="16.5" thickBot="1" x14ac:dyDescent="0.3">
      <c r="A72" s="63">
        <v>701</v>
      </c>
      <c r="B72" s="66" t="s">
        <v>224</v>
      </c>
      <c r="C72" s="65">
        <f>SUMIF(Пр.12!$C10:$C1081,701,Пр.12!G10:G1081)</f>
        <v>0</v>
      </c>
      <c r="D72" s="65">
        <f>SUMIF(Пр.12!$C10:$C1081,701,Пр.12!H10:H1081)</f>
        <v>407245068</v>
      </c>
      <c r="E72" s="65">
        <f>SUMIF(Пр.12!$C10:$C1081,701,Пр.12!I10:I1081)</f>
        <v>407245068</v>
      </c>
    </row>
    <row r="73" spans="1:5" ht="16.5" thickBot="1" x14ac:dyDescent="0.3">
      <c r="A73" s="63">
        <v>702</v>
      </c>
      <c r="B73" s="66" t="s">
        <v>225</v>
      </c>
      <c r="C73" s="65">
        <f>SUMIF(Пр.12!$C10:$C1081,702,Пр.12!G10:G1081)</f>
        <v>0</v>
      </c>
      <c r="D73" s="65">
        <f>SUMIF(Пр.12!$C10:$C1081,702,Пр.12!H10:H1081)</f>
        <v>468692848</v>
      </c>
      <c r="E73" s="65">
        <f>SUMIF(Пр.12!$C10:$C1081,702,Пр.12!I10:I1081)</f>
        <v>468692848</v>
      </c>
    </row>
    <row r="74" spans="1:5" ht="16.5" thickBot="1" x14ac:dyDescent="0.3">
      <c r="A74" s="63">
        <v>703</v>
      </c>
      <c r="B74" s="280" t="s">
        <v>1123</v>
      </c>
      <c r="C74" s="65">
        <f>SUMIF(Пр.12!$C10:$C1081,703,Пр.12!G10:G1081)</f>
        <v>0</v>
      </c>
      <c r="D74" s="65">
        <f>SUMIF(Пр.12!$C10:$C1081,703,Пр.12!H10:H1081)</f>
        <v>98814867</v>
      </c>
      <c r="E74" s="65">
        <f>SUMIF(Пр.12!$C10:$C1081,703,Пр.12!I10:I1081)</f>
        <v>98814867</v>
      </c>
    </row>
    <row r="75" spans="1:5" ht="20.25" hidden="1" customHeight="1" thickBot="1" x14ac:dyDescent="0.3">
      <c r="A75" s="63">
        <v>704</v>
      </c>
      <c r="B75" s="66" t="s">
        <v>226</v>
      </c>
      <c r="C75" s="65">
        <f>SUMIF(Пр.12!C10:C1081,704,Пр.12!G10:G1081)</f>
        <v>0</v>
      </c>
      <c r="D75" s="65">
        <f>SUMIF(Пр.12!$C11:$C1082,704,Пр.12!H11:H1082)</f>
        <v>0</v>
      </c>
      <c r="E75" s="65">
        <f>SUMIF(Пр.12!$C11:$C1082,704,Пр.12!I11:I1082)</f>
        <v>0</v>
      </c>
    </row>
    <row r="76" spans="1:5" ht="32.25" thickBot="1" x14ac:dyDescent="0.3">
      <c r="A76" s="63">
        <v>705</v>
      </c>
      <c r="B76" s="66" t="s">
        <v>227</v>
      </c>
      <c r="C76" s="363">
        <f>SUMIF(Пр.12!C10:C1170,705,Пр.12!G10:G1170)</f>
        <v>0</v>
      </c>
      <c r="D76" s="65">
        <f>SUMIF(Пр.12!$C75:$C1170,705,Пр.12!H75:H1170)</f>
        <v>1247200</v>
      </c>
      <c r="E76" s="65">
        <f>SUMIF(Пр.12!$C12:$C1170,705,Пр.12!I12:I1170)</f>
        <v>1247200</v>
      </c>
    </row>
    <row r="77" spans="1:5" ht="16.5" hidden="1" thickBot="1" x14ac:dyDescent="0.3">
      <c r="A77" s="70">
        <v>706</v>
      </c>
      <c r="B77" s="71" t="s">
        <v>1926</v>
      </c>
      <c r="C77" s="65">
        <f>SUMIF(Пр.12!C10:C1081,706,Пр.12!G10:G1081)</f>
        <v>0</v>
      </c>
      <c r="D77" s="65">
        <f>SUMIF(Пр.12!D10:D1081,706,Пр.12!H10:H1081)</f>
        <v>0</v>
      </c>
      <c r="E77" s="65">
        <f>SUMIF(Пр.12!E10:E1081,706,Пр.12!I10:I1081)</f>
        <v>0</v>
      </c>
    </row>
    <row r="78" spans="1:5" ht="16.5" thickBot="1" x14ac:dyDescent="0.3">
      <c r="A78" s="63">
        <v>707</v>
      </c>
      <c r="B78" s="280" t="s">
        <v>1124</v>
      </c>
      <c r="C78" s="65">
        <f>SUMIF(Пр.12!$C10:$C1081,707,Пр.12!G10:G1081)</f>
        <v>0</v>
      </c>
      <c r="D78" s="65">
        <f>SUMIF(Пр.12!$C10:$C1081,707,Пр.12!H10:H1081)</f>
        <v>17593138</v>
      </c>
      <c r="E78" s="65">
        <f>SUMIF(Пр.12!$C10:$C1081,707,Пр.12!I10:I1081)</f>
        <v>17593138</v>
      </c>
    </row>
    <row r="79" spans="1:5" ht="16.5" hidden="1" thickBot="1" x14ac:dyDescent="0.3">
      <c r="A79" s="63">
        <v>708</v>
      </c>
      <c r="B79" s="66" t="s">
        <v>228</v>
      </c>
      <c r="C79" s="65">
        <f>SUMIF(Пр.12!C10:C1081,708,Пр.12!G10:G1081)</f>
        <v>0</v>
      </c>
      <c r="D79" s="65">
        <f>SUMIF(Пр.12!D10:D1081,708,Пр.12!H10:H1081)</f>
        <v>0</v>
      </c>
      <c r="E79" s="65">
        <f>SUMIF(Пр.12!E10:E1081,708,Пр.12!I10:I1081)</f>
        <v>0</v>
      </c>
    </row>
    <row r="80" spans="1:5" ht="16.5" thickBot="1" x14ac:dyDescent="0.3">
      <c r="A80" s="63">
        <v>709</v>
      </c>
      <c r="B80" s="66" t="s">
        <v>229</v>
      </c>
      <c r="C80" s="65">
        <f>SUMIF(Пр.12!$C10:$C1081,709,Пр.12!G10:G1081)</f>
        <v>0</v>
      </c>
      <c r="D80" s="65">
        <f>SUMIF(Пр.12!$C10:$C1081,709,Пр.12!H10:H1081)</f>
        <v>43074617</v>
      </c>
      <c r="E80" s="65">
        <f>SUMIF(Пр.12!$C10:$C1081,709,Пр.12!I10:I1081)</f>
        <v>43074617</v>
      </c>
    </row>
    <row r="81" spans="1:5" ht="16.5" thickBot="1" x14ac:dyDescent="0.3">
      <c r="A81" s="60">
        <v>800</v>
      </c>
      <c r="B81" s="69" t="s">
        <v>230</v>
      </c>
      <c r="C81" s="62">
        <f>C82+C85</f>
        <v>0</v>
      </c>
      <c r="D81" s="62">
        <f>D82+D85</f>
        <v>147219939</v>
      </c>
      <c r="E81" s="62">
        <f>E82+E85</f>
        <v>147219939</v>
      </c>
    </row>
    <row r="82" spans="1:5" ht="16.5" thickBot="1" x14ac:dyDescent="0.3">
      <c r="A82" s="63">
        <v>801</v>
      </c>
      <c r="B82" s="66" t="s">
        <v>231</v>
      </c>
      <c r="C82" s="65">
        <f>SUMIF(Пр.12!$C10:$C1081,801,Пр.12!G10:G1081)</f>
        <v>0</v>
      </c>
      <c r="D82" s="65">
        <f>SUMIF(Пр.12!$C10:$C1081,801,Пр.12!H10:H1081)</f>
        <v>115164962</v>
      </c>
      <c r="E82" s="65">
        <f>SUMIF(Пр.12!$C10:$C1081,801,Пр.12!I10:I1081)</f>
        <v>115164962</v>
      </c>
    </row>
    <row r="83" spans="1:5" ht="16.5" hidden="1" thickBot="1" x14ac:dyDescent="0.3">
      <c r="A83" s="63">
        <v>802</v>
      </c>
      <c r="B83" s="66" t="s">
        <v>232</v>
      </c>
      <c r="C83" s="65">
        <f>SUMIF(Пр.12!C10:C1081,802,Пр.12!G10:G1081)</f>
        <v>0</v>
      </c>
      <c r="D83" s="65">
        <f>SUMIF(Пр.12!D10:D1081,802,Пр.12!H10:H1081)</f>
        <v>0</v>
      </c>
      <c r="E83" s="65">
        <f>SUMIF(Пр.12!E10:E1081,802,Пр.12!I10:I1081)</f>
        <v>0</v>
      </c>
    </row>
    <row r="84" spans="1:5" ht="32.25" hidden="1" thickBot="1" x14ac:dyDescent="0.3">
      <c r="A84" s="63">
        <v>803</v>
      </c>
      <c r="B84" s="66" t="s">
        <v>233</v>
      </c>
      <c r="C84" s="65">
        <f>SUMIF(Пр.12!C10:C1081,803,Пр.12!G10:G1081)</f>
        <v>0</v>
      </c>
      <c r="D84" s="65">
        <f>SUMIF(Пр.12!D10:D1081,803,Пр.12!H10:H1081)</f>
        <v>0</v>
      </c>
      <c r="E84" s="65">
        <f>SUMIF(Пр.12!E10:E1081,803,Пр.12!I10:I1081)</f>
        <v>0</v>
      </c>
    </row>
    <row r="85" spans="1:5" ht="16.5" thickBot="1" x14ac:dyDescent="0.3">
      <c r="A85" s="63">
        <v>804</v>
      </c>
      <c r="B85" s="66" t="s">
        <v>234</v>
      </c>
      <c r="C85" s="65">
        <f>SUMIF(Пр.12!$C10:$C1081,804,Пр.12!G10:G1081)</f>
        <v>0</v>
      </c>
      <c r="D85" s="65">
        <f>SUMIF(Пр.12!$C10:$C1081,804,Пр.12!H10:H1081)</f>
        <v>32054977</v>
      </c>
      <c r="E85" s="65">
        <f>SUMIF(Пр.12!$C10:$C1081,804,Пр.12!I10:I1081)</f>
        <v>32054977</v>
      </c>
    </row>
    <row r="86" spans="1:5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236</v>
      </c>
      <c r="C87" s="65">
        <f>SUMIF(Пр.12!C10:C1081,901,Пр.12!G10:G1081)</f>
        <v>0</v>
      </c>
      <c r="D87" s="65">
        <f>SUMIF(Пр.12!D10:D1081,901,Пр.12!H10:H1081)</f>
        <v>0</v>
      </c>
      <c r="E87" s="65">
        <f>SUMIF(Пр.12!E10:E1081,901,Пр.12!I10:I1081)</f>
        <v>0</v>
      </c>
    </row>
    <row r="88" spans="1:5" ht="16.5" hidden="1" thickBot="1" x14ac:dyDescent="0.3">
      <c r="A88" s="63">
        <v>902</v>
      </c>
      <c r="B88" s="66" t="s">
        <v>237</v>
      </c>
      <c r="C88" s="65">
        <f>SUMIF(Пр.12!C10:C1081,902,Пр.12!G10:G1081)</f>
        <v>0</v>
      </c>
      <c r="D88" s="65">
        <f>SUMIF(Пр.12!D10:D1081,902,Пр.12!H10:H1081)</f>
        <v>0</v>
      </c>
      <c r="E88" s="65">
        <f>SUMIF(Пр.12!E10:E1081,902,Пр.12!I10:I1081)</f>
        <v>0</v>
      </c>
    </row>
    <row r="89" spans="1:5" ht="16.5" hidden="1" thickBot="1" x14ac:dyDescent="0.3">
      <c r="A89" s="63">
        <v>903</v>
      </c>
      <c r="B89" s="66" t="s">
        <v>238</v>
      </c>
      <c r="C89" s="65">
        <f>SUMIF(Пр.12!C10:C1081,903,Пр.12!G10:G1081)</f>
        <v>0</v>
      </c>
      <c r="D89" s="65">
        <f>SUMIF(Пр.12!D10:D1081,903,Пр.12!H10:H1081)</f>
        <v>0</v>
      </c>
      <c r="E89" s="65">
        <f>SUMIF(Пр.12!E10:E1081,903,Пр.12!I10:I1081)</f>
        <v>0</v>
      </c>
    </row>
    <row r="90" spans="1:5" ht="16.5" hidden="1" thickBot="1" x14ac:dyDescent="0.3">
      <c r="A90" s="63">
        <v>904</v>
      </c>
      <c r="B90" s="66" t="s">
        <v>239</v>
      </c>
      <c r="C90" s="65">
        <f>SUMIF(Пр.12!C10:C1081,904,Пр.12!G10:G1081)</f>
        <v>0</v>
      </c>
      <c r="D90" s="65">
        <f>SUMIF(Пр.12!D10:D1081,904,Пр.12!H10:H1081)</f>
        <v>0</v>
      </c>
      <c r="E90" s="65">
        <f>SUMIF(Пр.12!E10:E1081,904,Пр.12!I10:I1081)</f>
        <v>0</v>
      </c>
    </row>
    <row r="91" spans="1:5" ht="16.5" hidden="1" thickBot="1" x14ac:dyDescent="0.3">
      <c r="A91" s="63">
        <v>905</v>
      </c>
      <c r="B91" s="72" t="s">
        <v>240</v>
      </c>
      <c r="C91" s="65">
        <f>SUMIF(Пр.12!C10:C1081,905,Пр.12!G10:G1081)</f>
        <v>0</v>
      </c>
      <c r="D91" s="65">
        <f>SUMIF(Пр.12!D10:D1081,905,Пр.12!H10:H1081)</f>
        <v>0</v>
      </c>
      <c r="E91" s="65">
        <f>SUMIF(Пр.12!E10:E1081,905,Пр.12!I10:I1081)</f>
        <v>0</v>
      </c>
    </row>
    <row r="92" spans="1:5" ht="32.25" hidden="1" thickBot="1" x14ac:dyDescent="0.3">
      <c r="A92" s="63">
        <v>906</v>
      </c>
      <c r="B92" s="72" t="s">
        <v>241</v>
      </c>
      <c r="C92" s="65">
        <f>SUMIF(Пр.12!C10:C1081,906,Пр.12!G10:G1081)</f>
        <v>0</v>
      </c>
      <c r="D92" s="65">
        <f>SUMIF(Пр.12!D10:D1081,906,Пр.12!H10:H1081)</f>
        <v>0</v>
      </c>
      <c r="E92" s="65">
        <f>SUMIF(Пр.12!E10:E1081,906,Пр.12!I10:I1081)</f>
        <v>0</v>
      </c>
    </row>
    <row r="93" spans="1:5" ht="16.5" hidden="1" thickBot="1" x14ac:dyDescent="0.3">
      <c r="A93" s="63">
        <v>907</v>
      </c>
      <c r="B93" s="66" t="s">
        <v>242</v>
      </c>
      <c r="C93" s="65">
        <f>SUMIF(Пр.12!C10:C1081,907,Пр.12!G10:G1081)</f>
        <v>0</v>
      </c>
      <c r="D93" s="65">
        <f>SUMIF(Пр.12!D10:D1081,907,Пр.12!H10:H1081)</f>
        <v>0</v>
      </c>
      <c r="E93" s="65">
        <f>SUMIF(Пр.12!E10:E1081,907,Пр.12!I10:I1081)</f>
        <v>0</v>
      </c>
    </row>
    <row r="94" spans="1:5" ht="32.25" hidden="1" thickBot="1" x14ac:dyDescent="0.3">
      <c r="A94" s="63">
        <v>908</v>
      </c>
      <c r="B94" s="64" t="s">
        <v>243</v>
      </c>
      <c r="C94" s="65">
        <f>SUMIF(Пр.12!C10:C1081,908,Пр.12!G10:G1081)</f>
        <v>0</v>
      </c>
      <c r="D94" s="65">
        <f>SUMIF(Пр.12!D10:D1081,908,Пр.12!H10:H1081)</f>
        <v>0</v>
      </c>
      <c r="E94" s="65">
        <f>SUMIF(Пр.12!E10:E1081,908,Пр.12!I10:I1081)</f>
        <v>0</v>
      </c>
    </row>
    <row r="95" spans="1:5" ht="16.5" hidden="1" thickBot="1" x14ac:dyDescent="0.3">
      <c r="A95" s="63">
        <v>909</v>
      </c>
      <c r="B95" s="66" t="s">
        <v>244</v>
      </c>
      <c r="C95" s="65">
        <f>SUMIF(Пр.12!C10:C1081,909,Пр.12!G10:G1081)</f>
        <v>0</v>
      </c>
      <c r="D95" s="65">
        <f>SUMIF(Пр.12!D10:D1081,909,Пр.12!H10:H1081)</f>
        <v>0</v>
      </c>
      <c r="E95" s="65">
        <f>SUMIF(Пр.12!E10:E1081,909,Пр.12!I10:I1081)</f>
        <v>0</v>
      </c>
    </row>
    <row r="96" spans="1:5" ht="16.5" thickBot="1" x14ac:dyDescent="0.3">
      <c r="A96" s="60">
        <v>1000</v>
      </c>
      <c r="B96" s="69" t="s">
        <v>245</v>
      </c>
      <c r="C96" s="62">
        <f>C97+C98+C99+C100+C102</f>
        <v>0</v>
      </c>
      <c r="D96" s="62">
        <f t="shared" ref="D96:E96" si="6">D97+D98+D99+D100+D102</f>
        <v>507738931</v>
      </c>
      <c r="E96" s="62">
        <f t="shared" si="6"/>
        <v>507738931</v>
      </c>
    </row>
    <row r="97" spans="1:5" ht="16.5" thickBot="1" x14ac:dyDescent="0.3">
      <c r="A97" s="63">
        <v>1001</v>
      </c>
      <c r="B97" s="66" t="s">
        <v>246</v>
      </c>
      <c r="C97" s="65">
        <f>SUMIF(Пр.12!$C10:$C1081,1001,Пр.12!G10:G1081)</f>
        <v>0</v>
      </c>
      <c r="D97" s="65">
        <f>SUMIF(Пр.12!$C10:$C1081,1001,Пр.12!H10:H1081)</f>
        <v>5227080</v>
      </c>
      <c r="E97" s="65">
        <f>SUMIF(Пр.12!$C10:$C1081,1001,Пр.12!I10:I1081)</f>
        <v>5227080</v>
      </c>
    </row>
    <row r="98" spans="1:5" ht="16.5" thickBot="1" x14ac:dyDescent="0.3">
      <c r="A98" s="63">
        <v>1002</v>
      </c>
      <c r="B98" s="66" t="s">
        <v>247</v>
      </c>
      <c r="C98" s="65">
        <f>SUMIF(Пр.12!$C10:$C1081,1002,Пр.12!G10:G1081)</f>
        <v>0</v>
      </c>
      <c r="D98" s="65">
        <f>SUMIF(Пр.12!$C10:$C1081,1002,Пр.12!H10:H1081)</f>
        <v>86596900</v>
      </c>
      <c r="E98" s="65">
        <f>SUMIF(Пр.12!$C10:$C1081,1002,Пр.12!I10:I1081)</f>
        <v>86596900</v>
      </c>
    </row>
    <row r="99" spans="1:5" ht="16.5" thickBot="1" x14ac:dyDescent="0.3">
      <c r="A99" s="63">
        <v>1003</v>
      </c>
      <c r="B99" s="66" t="s">
        <v>248</v>
      </c>
      <c r="C99" s="65">
        <f>SUMIF(Пр.12!$C10:$C1081,1003,Пр.12!G10:G1081)</f>
        <v>0</v>
      </c>
      <c r="D99" s="65">
        <f>SUMIF(Пр.12!$C10:$C1081,1003,Пр.12!H10:H1081)</f>
        <v>217315648</v>
      </c>
      <c r="E99" s="65">
        <f>SUMIF(Пр.12!$C10:$C1081,1003,Пр.12!I10:I1081)</f>
        <v>217315648</v>
      </c>
    </row>
    <row r="100" spans="1:5" ht="16.5" thickBot="1" x14ac:dyDescent="0.3">
      <c r="A100" s="63">
        <v>1004</v>
      </c>
      <c r="B100" s="64" t="s">
        <v>249</v>
      </c>
      <c r="C100" s="65">
        <f>SUMIF(Пр.12!$C10:$C1081,1004,Пр.12!G10:G1081)</f>
        <v>0</v>
      </c>
      <c r="D100" s="65">
        <f>SUMIF(Пр.12!$C10:$C1081,1004,Пр.12!H10:H1081)</f>
        <v>182003813</v>
      </c>
      <c r="E100" s="65">
        <f>SUMIF(Пр.12!$C10:$C1081,1004,Пр.12!I10:I1081)</f>
        <v>182003813</v>
      </c>
    </row>
    <row r="101" spans="1:5" ht="32.25" hidden="1" thickBot="1" x14ac:dyDescent="0.3">
      <c r="A101" s="63">
        <v>1005</v>
      </c>
      <c r="B101" s="66" t="s">
        <v>250</v>
      </c>
      <c r="C101" s="65">
        <f>SUMIF(Пр.12!C10:C1081,1005,Пр.12!G10:G1081)</f>
        <v>0</v>
      </c>
      <c r="D101" s="65">
        <f>SUMIF(Пр.12!D10:D1081,1005,Пр.12!H10:H1081)</f>
        <v>0</v>
      </c>
      <c r="E101" s="65">
        <f>SUMIF(Пр.12!E10:E1081,1005,Пр.12!I10:I1081)</f>
        <v>0</v>
      </c>
    </row>
    <row r="102" spans="1:5" ht="16.5" thickBot="1" x14ac:dyDescent="0.3">
      <c r="A102" s="63">
        <v>1006</v>
      </c>
      <c r="B102" s="66" t="s">
        <v>251</v>
      </c>
      <c r="C102" s="65">
        <f>SUMIF(Пр.12!$C10:$C1081,1006,Пр.12!G10:G1081)</f>
        <v>0</v>
      </c>
      <c r="D102" s="65">
        <f>SUMIF(Пр.12!$C10:$C1081,1006,Пр.12!H10:H1081)</f>
        <v>16595490</v>
      </c>
      <c r="E102" s="65">
        <f>SUMIF(Пр.12!$C10:$C1081,1006,Пр.12!I10:I1081)</f>
        <v>16595490</v>
      </c>
    </row>
    <row r="103" spans="1:5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7">SUM(D104:D108)</f>
        <v>39782507</v>
      </c>
      <c r="E103" s="62">
        <f t="shared" si="7"/>
        <v>39782507</v>
      </c>
    </row>
    <row r="104" spans="1:5" ht="16.5" hidden="1" thickBot="1" x14ac:dyDescent="0.3">
      <c r="A104" s="63">
        <v>1101</v>
      </c>
      <c r="B104" s="66" t="s">
        <v>253</v>
      </c>
      <c r="C104" s="65">
        <f>SUMIF(Пр.12!C10:C1081,1101,Пр.12!G10:G1081)</f>
        <v>0</v>
      </c>
      <c r="D104" s="65">
        <f>SUMIF(Пр.12!D10:D1081,1101,Пр.12!H10:H1081)</f>
        <v>0</v>
      </c>
      <c r="E104" s="65">
        <f>SUMIF(Пр.12!E10:E1081,1101,Пр.12!I10:I1081)</f>
        <v>0</v>
      </c>
    </row>
    <row r="105" spans="1:5" ht="16.5" thickBot="1" x14ac:dyDescent="0.3">
      <c r="A105" s="63">
        <v>1102</v>
      </c>
      <c r="B105" s="72" t="s">
        <v>254</v>
      </c>
      <c r="C105" s="65">
        <f>SUMIF(Пр.12!$C10:$C1081,1102,Пр.12!G10:G1081)</f>
        <v>0</v>
      </c>
      <c r="D105" s="65">
        <f>SUMIF(Пр.12!$C10:$C1081,1102,Пр.12!H10:H1081)</f>
        <v>39782507</v>
      </c>
      <c r="E105" s="65">
        <f>SUMIF(Пр.12!$C10:$C1081,1102,Пр.12!I10:I1081)</f>
        <v>39782507</v>
      </c>
    </row>
    <row r="106" spans="1:5" ht="16.5" hidden="1" thickBot="1" x14ac:dyDescent="0.3">
      <c r="A106" s="63">
        <v>1103</v>
      </c>
      <c r="B106" s="66" t="s">
        <v>255</v>
      </c>
      <c r="C106" s="65">
        <f>SUMIF(Пр.12!C10:C1081,1103,Пр.12!G10:G1081)</f>
        <v>0</v>
      </c>
      <c r="D106" s="65">
        <f>SUMIF(Пр.12!D10:D1081,1103,Пр.12!H10:H1081)</f>
        <v>0</v>
      </c>
      <c r="E106" s="65">
        <f>SUMIF(Пр.12!E10:E1081,1103,Пр.12!I10:I1081)</f>
        <v>0</v>
      </c>
    </row>
    <row r="107" spans="1:5" ht="32.25" hidden="1" thickBot="1" x14ac:dyDescent="0.3">
      <c r="A107" s="63">
        <v>1104</v>
      </c>
      <c r="B107" s="66" t="s">
        <v>256</v>
      </c>
      <c r="C107" s="65">
        <f>SUMIF(Пр.12!C10:C1081,1104,Пр.12!G10:G1081)</f>
        <v>0</v>
      </c>
      <c r="D107" s="65">
        <f>SUMIF(Пр.12!D10:D1081,1104,Пр.12!H10:H1081)</f>
        <v>0</v>
      </c>
      <c r="E107" s="65">
        <f>SUMIF(Пр.12!E10:E1081,1104,Пр.12!I10:I1081)</f>
        <v>0</v>
      </c>
    </row>
    <row r="108" spans="1:5" ht="16.5" hidden="1" thickBot="1" x14ac:dyDescent="0.3">
      <c r="A108" s="63">
        <v>1105</v>
      </c>
      <c r="B108" s="66" t="s">
        <v>257</v>
      </c>
      <c r="C108" s="65">
        <f>SUMIF(Пр.12!C10:C1081,1105,Пр.12!G10:G1081)</f>
        <v>0</v>
      </c>
      <c r="D108" s="65">
        <f>SUMIF(Пр.12!D10:D1081,1105,Пр.12!H10:H1081)</f>
        <v>0</v>
      </c>
      <c r="E108" s="65">
        <f>SUMIF(Пр.12!E10:E1081,1105,Пр.12!I10:I1081)</f>
        <v>0</v>
      </c>
    </row>
    <row r="109" spans="1:5" ht="16.5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8">SUM(D110:D113)</f>
        <v>5100000</v>
      </c>
      <c r="E109" s="62">
        <f t="shared" si="8"/>
        <v>5100000</v>
      </c>
    </row>
    <row r="110" spans="1:5" ht="16.5" hidden="1" thickBot="1" x14ac:dyDescent="0.3">
      <c r="A110" s="63">
        <v>1201</v>
      </c>
      <c r="B110" s="66" t="s">
        <v>259</v>
      </c>
      <c r="C110" s="65">
        <f>SUMIF(Пр.12!C10:C1081,1201,Пр.12!G10:G1081)</f>
        <v>0</v>
      </c>
      <c r="D110" s="65">
        <f>SUMIF(Пр.12!D10:D1081,1201,Пр.12!H10:H1081)</f>
        <v>0</v>
      </c>
      <c r="E110" s="65">
        <f>SUMIF(Пр.12!E10:E1081,1201,Пр.12!I10:I1081)</f>
        <v>0</v>
      </c>
    </row>
    <row r="111" spans="1:5" ht="16.5" thickBot="1" x14ac:dyDescent="0.3">
      <c r="A111" s="63">
        <v>1202</v>
      </c>
      <c r="B111" s="66" t="s">
        <v>260</v>
      </c>
      <c r="C111" s="65">
        <f>SUMIF(Пр.12!$C10:$C1081,1202,Пр.12!G10:G1081)</f>
        <v>0</v>
      </c>
      <c r="D111" s="65">
        <f>SUMIF(Пр.12!$C10:$C1081,1202,Пр.12!H10:H1081)</f>
        <v>5100000</v>
      </c>
      <c r="E111" s="65">
        <f>SUMIF(Пр.12!$C10:$C1081,1202,Пр.12!I10:I1081)</f>
        <v>5100000</v>
      </c>
    </row>
    <row r="112" spans="1:5" ht="32.25" hidden="1" thickBot="1" x14ac:dyDescent="0.3">
      <c r="A112" s="63">
        <v>1203</v>
      </c>
      <c r="B112" s="66" t="s">
        <v>261</v>
      </c>
      <c r="C112" s="65">
        <f>SUMIF(Пр.12!C10:C1081,1203,Пр.12!G10:G1081)</f>
        <v>0</v>
      </c>
      <c r="D112" s="65">
        <f>SUMIF(Пр.12!D10:D1081,1203,Пр.12!H10:H1081)</f>
        <v>0</v>
      </c>
      <c r="E112" s="65">
        <f>SUMIF(Пр.12!E10:E1081,1203,Пр.12!I10:I1081)</f>
        <v>0</v>
      </c>
    </row>
    <row r="113" spans="1:5" ht="16.5" hidden="1" thickBot="1" x14ac:dyDescent="0.3">
      <c r="A113" s="63">
        <v>1204</v>
      </c>
      <c r="B113" s="66" t="s">
        <v>262</v>
      </c>
      <c r="C113" s="65">
        <f>SUMIF(Пр.12!C10:C1081,1204,Пр.12!G10:G1081)</f>
        <v>0</v>
      </c>
      <c r="D113" s="65">
        <f>SUMIF(Пр.12!D10:D1081,1204,Пр.12!H10:H1081)</f>
        <v>0</v>
      </c>
      <c r="E113" s="65">
        <f>SUMIF(Пр.12!E10:E1081,1204,Пр.12!I10:I1081)</f>
        <v>0</v>
      </c>
    </row>
    <row r="114" spans="1:5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9">SUM(D115:D116)</f>
        <v>500000</v>
      </c>
      <c r="E114" s="62">
        <f t="shared" si="9"/>
        <v>500000</v>
      </c>
    </row>
    <row r="115" spans="1:5" ht="32.25" thickBot="1" x14ac:dyDescent="0.3">
      <c r="A115" s="63">
        <v>1301</v>
      </c>
      <c r="B115" s="92" t="s">
        <v>1923</v>
      </c>
      <c r="C115" s="65">
        <f>SUMIF(Пр.12!$C10:$C1081,1301,Пр.12!G10:G1081)</f>
        <v>0</v>
      </c>
      <c r="D115" s="65">
        <f>SUMIF(Пр.12!$C10:$C1081,1301,Пр.12!H10:H1081)</f>
        <v>500000</v>
      </c>
      <c r="E115" s="65">
        <f>SUMIF(Пр.12!$C10:$C1081,1301,Пр.12!I10:I1081)</f>
        <v>500000</v>
      </c>
    </row>
    <row r="116" spans="1:5" ht="32.25" hidden="1" thickBot="1" x14ac:dyDescent="0.3">
      <c r="A116" s="63">
        <v>1302</v>
      </c>
      <c r="B116" s="92" t="s">
        <v>1924</v>
      </c>
      <c r="C116" s="65">
        <f>SUMIF(Пр.12!C10:C1081,1302,Пр.12!G10:G1081)</f>
        <v>0</v>
      </c>
      <c r="D116" s="65">
        <f>SUMIF(Пр.12!D10:D1081,1302,Пр.12!H10:H1081)</f>
        <v>0</v>
      </c>
      <c r="E116" s="65">
        <f>SUMIF(Пр.12!E10:E1081,1302,Пр.12!I10:I1081)</f>
        <v>0</v>
      </c>
    </row>
    <row r="117" spans="1:5" ht="63.75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10">SUM(D118:D120)</f>
        <v>100000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265</v>
      </c>
      <c r="C118" s="65">
        <f>SUMIF(Пр.12!$C10:$C1081,1401,Пр.12!G10:G1081)</f>
        <v>0</v>
      </c>
      <c r="D118" s="65">
        <f>SUMIF(Пр.12!$C10:$C1081,1401,Пр.12!H10:H1081)</f>
        <v>100000</v>
      </c>
      <c r="E118" s="65">
        <f>SUMIF(Пр.12!$C10:$C1081,1401,Пр.12!I10:I1081)</f>
        <v>100000</v>
      </c>
    </row>
    <row r="119" spans="1:5" ht="16.5" hidden="1" thickBot="1" x14ac:dyDescent="0.3">
      <c r="A119" s="63">
        <v>1402</v>
      </c>
      <c r="B119" s="66" t="s">
        <v>266</v>
      </c>
      <c r="C119" s="65">
        <f>SUMIF(Пр.12!C10:C1081,1402,Пр.12!G10:G1081)</f>
        <v>0</v>
      </c>
      <c r="D119" s="65">
        <f>SUMIF(Пр.12!D10:D1081,1402,Пр.12!H10:H1081)</f>
        <v>0</v>
      </c>
      <c r="E119" s="65">
        <f>SUMIF(Пр.12!E10:E1081,1402,Пр.12!I10:I1081)</f>
        <v>0</v>
      </c>
    </row>
    <row r="120" spans="1:5" ht="16.5" hidden="1" thickBot="1" x14ac:dyDescent="0.3">
      <c r="A120" s="63">
        <v>1403</v>
      </c>
      <c r="B120" s="92" t="s">
        <v>1925</v>
      </c>
      <c r="C120" s="65">
        <f>SUMIF(Пр.12!C10:C1081,1403,Пр.12!G10:G1081)</f>
        <v>0</v>
      </c>
      <c r="D120" s="65">
        <f>SUMIF(Пр.12!D10:D1081,1403,Пр.12!H10:H1081)</f>
        <v>0</v>
      </c>
      <c r="E120" s="65">
        <f>SUMIF(Пр.12!E10:E1081,1403,Пр.12!I10:I1081)</f>
        <v>0</v>
      </c>
    </row>
    <row r="121" spans="1:5" ht="16.5" thickBot="1" x14ac:dyDescent="0.3">
      <c r="A121" s="898" t="s">
        <v>150</v>
      </c>
      <c r="B121" s="898"/>
      <c r="C121" s="62">
        <f>C9+C23+C33+C46+C59+C65+C71+C81+C96+C103+C109+C114+C117</f>
        <v>0</v>
      </c>
      <c r="D121" s="62">
        <f t="shared" ref="D121" si="11">D9+D23+D33+D46+D59+D65+D71+D81+D96+D103+D109+D114+D117</f>
        <v>1942084708</v>
      </c>
      <c r="E121" s="62">
        <f>E9+E23+E33+E46+E59+E65+E71+E81+E96+E103+E109+E114+E117</f>
        <v>1942084708</v>
      </c>
    </row>
    <row r="122" spans="1:5" ht="16.5" thickBot="1" x14ac:dyDescent="0.3">
      <c r="A122" s="898" t="s">
        <v>267</v>
      </c>
      <c r="B122" s="898"/>
      <c r="C122" s="62">
        <f>Пр1!J166-Пр_3!C121</f>
        <v>0</v>
      </c>
      <c r="D122" s="62">
        <f>Пр1!K166-Пр_3!D121</f>
        <v>-3500000</v>
      </c>
      <c r="E122" s="62">
        <f>Пр1!L166-Пр_3!E121</f>
        <v>-3500000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3"/>
  <sheetViews>
    <sheetView showGridLines="0" view="pageBreakPreview" zoomScale="115" zoomScaleSheetLayoutView="115" workbookViewId="0">
      <selection activeCell="P6" sqref="P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customWidth="1"/>
    <col min="5" max="5" width="14.7109375" style="42" hidden="1" customWidth="1"/>
    <col min="6" max="6" width="15.42578125" style="42" hidden="1" customWidth="1"/>
    <col min="7" max="7" width="14.85546875" style="42" customWidth="1"/>
    <col min="8" max="8" width="17" style="42" hidden="1" customWidth="1"/>
    <col min="9" max="16384" width="9.140625" style="42"/>
  </cols>
  <sheetData>
    <row r="1" spans="1:8" ht="15.75" x14ac:dyDescent="0.25">
      <c r="A1" s="887" t="s">
        <v>268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.75" x14ac:dyDescent="0.25">
      <c r="A4" s="887" t="s">
        <v>1859</v>
      </c>
      <c r="B4" s="887"/>
      <c r="C4" s="887"/>
      <c r="D4" s="887"/>
      <c r="E4" s="887"/>
      <c r="F4" s="887"/>
      <c r="G4" s="887"/>
      <c r="H4" s="887"/>
    </row>
    <row r="5" spans="1:8" ht="1.5" customHeight="1" x14ac:dyDescent="0.2">
      <c r="A5" s="899" t="s">
        <v>1864</v>
      </c>
      <c r="B5" s="899"/>
      <c r="C5" s="899"/>
      <c r="D5" s="899"/>
      <c r="E5" s="899"/>
      <c r="F5" s="899"/>
      <c r="G5" s="899"/>
      <c r="H5" s="899"/>
    </row>
    <row r="6" spans="1:8" ht="71.25" customHeight="1" x14ac:dyDescent="0.2">
      <c r="A6" s="899"/>
      <c r="B6" s="899"/>
      <c r="C6" s="899"/>
      <c r="D6" s="899"/>
      <c r="E6" s="899"/>
      <c r="F6" s="899"/>
      <c r="G6" s="899"/>
      <c r="H6" s="899"/>
    </row>
    <row r="7" spans="1:8" ht="16.5" thickBot="1" x14ac:dyDescent="0.3">
      <c r="A7" s="56"/>
      <c r="B7" s="52"/>
      <c r="C7" s="900"/>
      <c r="D7" s="900"/>
      <c r="E7" s="900"/>
      <c r="F7" s="900"/>
      <c r="G7" s="900"/>
      <c r="H7" s="900"/>
    </row>
    <row r="8" spans="1:8" ht="32.25" thickBot="1" x14ac:dyDescent="0.25">
      <c r="A8" s="57" t="s">
        <v>160</v>
      </c>
      <c r="B8" s="58" t="s">
        <v>161</v>
      </c>
      <c r="C8" s="58" t="s">
        <v>1366</v>
      </c>
      <c r="D8" s="58" t="s">
        <v>1931</v>
      </c>
      <c r="E8" s="58" t="s">
        <v>1619</v>
      </c>
      <c r="F8" s="58" t="s">
        <v>1619</v>
      </c>
      <c r="G8" s="58" t="s">
        <v>1932</v>
      </c>
      <c r="H8" s="58" t="s">
        <v>1860</v>
      </c>
    </row>
    <row r="9" spans="1:8" ht="16.5" thickBot="1" x14ac:dyDescent="0.3">
      <c r="A9" s="60">
        <v>100</v>
      </c>
      <c r="B9" s="61" t="s">
        <v>163</v>
      </c>
      <c r="C9" s="62">
        <f>SUM(C10:C22)</f>
        <v>0</v>
      </c>
      <c r="D9" s="62">
        <f t="shared" ref="D9:E9" ca="1" si="0">SUM(D10:D22)</f>
        <v>122694380</v>
      </c>
      <c r="E9" s="62">
        <f t="shared" ca="1" si="0"/>
        <v>122694380</v>
      </c>
      <c r="F9" s="62">
        <f t="shared" ref="F9" ca="1" si="1">SUM(F10:F22)</f>
        <v>0</v>
      </c>
      <c r="G9" s="62">
        <f t="shared" ref="G9" ca="1" si="2">SUM(G10:G22)</f>
        <v>30473975</v>
      </c>
      <c r="H9" s="62">
        <f t="shared" ref="H9" ca="1" si="3">SUM(H10:H22)</f>
        <v>30473975</v>
      </c>
    </row>
    <row r="10" spans="1:8" ht="32.25" hidden="1" thickBot="1" x14ac:dyDescent="0.3">
      <c r="A10" s="63">
        <v>101</v>
      </c>
      <c r="B10" s="64" t="s">
        <v>164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165</v>
      </c>
      <c r="C11" s="65">
        <f>SUMIF(Пр.13!C$10:C597,102,Пр.13!G$10:G597)</f>
        <v>0</v>
      </c>
      <c r="D11" s="65">
        <f ca="1">SUMIF(Пр.13!C$10:D597,102,Пр.13!H$10:H597)</f>
        <v>1647072</v>
      </c>
      <c r="E11" s="65">
        <f ca="1">SUMIF(Пр.13!C$10:E597,102,Пр.13!I$10:I597)</f>
        <v>1647072</v>
      </c>
      <c r="F11" s="65">
        <f>SUMIF(Пр.13!$C$10:$C597,$A11,Пр.13!J$10:J597)</f>
        <v>0</v>
      </c>
      <c r="G11" s="65">
        <f>SUMIF(Пр.13!$C$10:$C597,$A11,Пр.13!K$10:K597)</f>
        <v>1647072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166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167</v>
      </c>
      <c r="C13" s="65">
        <f>SUMIF(Пр.13!C$10:C599,104,Пр.13!G$10:G599)</f>
        <v>0</v>
      </c>
      <c r="D13" s="65">
        <f ca="1">SUMIF(Пр.13!C$10:D599,104,Пр.13!H$10:H599)</f>
        <v>51092406</v>
      </c>
      <c r="E13" s="65">
        <f>SUMIF(Пр.13!$C$10:$C599,$A13,Пр.13!I$10:I599)</f>
        <v>51092406</v>
      </c>
      <c r="F13" s="65">
        <f>SUMIF(Пр.13!$C$10:$C599,$A13,Пр.13!J$10:J599)</f>
        <v>0</v>
      </c>
      <c r="G13" s="65">
        <f>SUMIF(Пр.13!$C$10:$C599,$A13,Пр.13!K$10:K599)</f>
        <v>15092406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168</v>
      </c>
      <c r="C14" s="65">
        <f>SUMIF(Пр.13!C$10:C600,105,Пр.13!G$10:G600)</f>
        <v>0</v>
      </c>
      <c r="D14" s="65">
        <f ca="1">SUMIF(Пр.13!C$10:D600,105,Пр.13!H$10:H600)</f>
        <v>40685</v>
      </c>
      <c r="E14" s="65">
        <f>SUMIF(Пр.13!$C$10:$C600,$A14,Пр.13!I$10:I600)</f>
        <v>40685</v>
      </c>
      <c r="F14" s="65">
        <f>SUMIF(Пр.13!$C$10:$C600,$A14,Пр.13!J$10:J600)</f>
        <v>0</v>
      </c>
      <c r="G14" s="65">
        <f>SUMIF(Пр.13!$C$10:$C600,$A14,Пр.13!K$10:K600)</f>
        <v>2691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169</v>
      </c>
      <c r="C15" s="65">
        <f>SUMIF(Пр.13!C$10:C601,106,Пр.13!G$10:G601)</f>
        <v>0</v>
      </c>
      <c r="D15" s="65">
        <f ca="1">SUMIF(Пр.13!C$10:D601,106,Пр.13!H$10:H601)</f>
        <v>13629826</v>
      </c>
      <c r="E15" s="65">
        <f>SUMIF(Пр.13!$C$10:$C601,$A15,Пр.13!I$10:I601)</f>
        <v>13629826</v>
      </c>
      <c r="F15" s="65">
        <f>SUMIF(Пр.13!$C$10:$C601,$A15,Пр.13!J$10:J601)</f>
        <v>0</v>
      </c>
      <c r="G15" s="65">
        <f>SUMIF(Пр.13!$C$10:$C601,$A15,Пр.13!K$10:K601)</f>
        <v>1629826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170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171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172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173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174</v>
      </c>
      <c r="C20" s="65">
        <f>SUMIF(Пр.13!C$10:C606,111,Пр.13!G$10:G606)</f>
        <v>0</v>
      </c>
      <c r="D20" s="65">
        <f ca="1">SUMIF(Пр.13!C$10:D606,111,Пр.13!H$10:H606)</f>
        <v>3000000</v>
      </c>
      <c r="E20" s="65">
        <f>SUMIF(Пр.13!$C$10:$C606,$A20,Пр.13!I$10:I606)</f>
        <v>3000000</v>
      </c>
      <c r="F20" s="65">
        <f>SUMIF(Пр.13!$C$10:$C606,$A20,Пр.13!J$10:J606)</f>
        <v>0</v>
      </c>
      <c r="G20" s="65">
        <f>SUMIF(Пр.13!$C$10:$C606,$A20,Пр.13!K$10:K606)</f>
        <v>3000000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175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176</v>
      </c>
      <c r="C22" s="65">
        <f>SUMIF(Пр.13!C$10:C608,113,Пр.13!G$10:G608)</f>
        <v>0</v>
      </c>
      <c r="D22" s="65">
        <f ca="1">SUMIF(Пр.13!C$10:D608,113,Пр.13!H$10:H608)</f>
        <v>53284391</v>
      </c>
      <c r="E22" s="65">
        <f ca="1">SUMIF(Пр.13!C$10:E608,113,Пр.13!I$10:I608)</f>
        <v>53284391</v>
      </c>
      <c r="F22" s="65">
        <f>SUMIF(Пр.13!$C$10:$C608,$A22,Пр.13!J$10:J608)</f>
        <v>0</v>
      </c>
      <c r="G22" s="65">
        <f>SUMIF(Пр.13!$C$10:$C608,$A22,Пр.13!K$10:K608)</f>
        <v>9101980</v>
      </c>
      <c r="H22" s="65">
        <f>SUMIF(Пр.13!$C$10:$C608,$A22,Пр.13!L$10:L608)</f>
        <v>9101980</v>
      </c>
    </row>
    <row r="23" spans="1:8" ht="16.5" hidden="1" thickBot="1" x14ac:dyDescent="0.3">
      <c r="A23" s="60">
        <v>200</v>
      </c>
      <c r="B23" s="67" t="s">
        <v>177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178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179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180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181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182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183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184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185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186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hidden="1" customHeight="1" thickBot="1" x14ac:dyDescent="0.3">
      <c r="A33" s="60">
        <v>300</v>
      </c>
      <c r="B33" s="67" t="s">
        <v>187</v>
      </c>
      <c r="C33" s="62">
        <f ca="1">SUM(C34:C45)</f>
        <v>0</v>
      </c>
      <c r="D33" s="62">
        <f t="shared" ref="D33:E33" ca="1" si="8">SUM(D34:D45)</f>
        <v>0</v>
      </c>
      <c r="E33" s="62">
        <f t="shared" ca="1" si="8"/>
        <v>0</v>
      </c>
      <c r="F33" s="62">
        <f t="shared" ref="F33:H33" ca="1" si="9">SUM(F34:F45)</f>
        <v>0</v>
      </c>
      <c r="G33" s="62">
        <f t="shared" ca="1" si="9"/>
        <v>0</v>
      </c>
      <c r="H33" s="62">
        <f t="shared" ca="1" si="9"/>
        <v>0</v>
      </c>
    </row>
    <row r="34" spans="1:8" ht="16.5" hidden="1" thickBot="1" x14ac:dyDescent="0.3">
      <c r="A34" s="63">
        <v>303</v>
      </c>
      <c r="B34" s="66" t="s">
        <v>188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189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190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191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192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193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2" t="s">
        <v>1919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hidden="1" customHeight="1" thickBot="1" x14ac:dyDescent="0.3">
      <c r="A41" s="63">
        <v>310</v>
      </c>
      <c r="B41" s="92" t="s">
        <v>1920</v>
      </c>
      <c r="C41" s="65">
        <f ca="1">SUMIF(Пр.13!$C17:$C602,310,Пр.13!G17:G593)</f>
        <v>0</v>
      </c>
      <c r="D41" s="65">
        <f ca="1">SUMIF(Пр.13!$C17:$C602,310,Пр.13!H17:H593)</f>
        <v>0</v>
      </c>
      <c r="E41" s="65">
        <f ca="1">SUMIF(Пр.13!$C17:$C602,310,Пр.13!I17:I593)</f>
        <v>0</v>
      </c>
      <c r="F41" s="65">
        <f ca="1">SUMIF(Пр.13!$C17:$C602,310,Пр.13!J17:J593)</f>
        <v>0</v>
      </c>
      <c r="G41" s="65">
        <f ca="1">SUMIF(Пр.13!$C17:$C602,310,Пр.13!K17:K593)</f>
        <v>0</v>
      </c>
      <c r="H41" s="65">
        <f ca="1">SUMIF(Пр.13!$C17:$C602,310,Пр.13!L17:L593)</f>
        <v>0</v>
      </c>
    </row>
    <row r="42" spans="1:8" ht="16.5" hidden="1" thickBot="1" x14ac:dyDescent="0.3">
      <c r="A42" s="63">
        <v>311</v>
      </c>
      <c r="B42" s="66" t="s">
        <v>194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195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196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28.5" hidden="1" customHeight="1" thickBot="1" x14ac:dyDescent="0.3">
      <c r="A45" s="63">
        <v>314</v>
      </c>
      <c r="B45" s="66" t="s">
        <v>197</v>
      </c>
      <c r="C45" s="65">
        <f ca="1">SUMIF(Пр.13!$C27:$C606,314,Пр.13!G27:G593)</f>
        <v>0</v>
      </c>
      <c r="D45" s="65">
        <f ca="1">SUMIF(Пр.13!$C27:$C606,314,Пр.13!H27:H593)</f>
        <v>0</v>
      </c>
      <c r="E45" s="65">
        <f ca="1">SUMIF(Пр.13!$C27:$C606,314,Пр.13!I27:I593)</f>
        <v>0</v>
      </c>
      <c r="F45" s="65">
        <f ca="1">SUMIF(Пр.13!$C27:$C606,314,Пр.13!J27:J593)</f>
        <v>0</v>
      </c>
      <c r="G45" s="65">
        <f ca="1">SUMIF(Пр.13!$C27:$C606,314,Пр.13!K27:K593)</f>
        <v>0</v>
      </c>
      <c r="H45" s="65">
        <f ca="1">SUMIF(Пр.13!$C27:$C606,314,Пр.13!L27:L593)</f>
        <v>0</v>
      </c>
    </row>
    <row r="46" spans="1:8" ht="16.5" thickBot="1" x14ac:dyDescent="0.3">
      <c r="A46" s="60">
        <v>400</v>
      </c>
      <c r="B46" s="67" t="s">
        <v>198</v>
      </c>
      <c r="C46" s="62">
        <f ca="1">SUM(C47:C58)</f>
        <v>0</v>
      </c>
      <c r="D46" s="62">
        <f t="shared" ref="D46:E46" ca="1" si="10">SUM(D47:D58)</f>
        <v>44873713</v>
      </c>
      <c r="E46" s="62">
        <f t="shared" ca="1" si="10"/>
        <v>44873713</v>
      </c>
      <c r="F46" s="62">
        <f t="shared" ref="F46" ca="1" si="11">SUM(F47:F58)</f>
        <v>0</v>
      </c>
      <c r="G46" s="62">
        <f t="shared" ref="G46" ca="1" si="12">SUM(G47:G58)</f>
        <v>44717223</v>
      </c>
      <c r="H46" s="62">
        <f t="shared" ref="H46" ca="1" si="13">SUM(H47:H58)</f>
        <v>44717223</v>
      </c>
    </row>
    <row r="47" spans="1:8" ht="15.75" hidden="1" customHeight="1" thickBot="1" x14ac:dyDescent="0.3">
      <c r="A47" s="63">
        <v>401</v>
      </c>
      <c r="B47" s="68" t="s">
        <v>199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200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201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202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203</v>
      </c>
      <c r="C51" s="65">
        <f ca="1">SUMIF(Пр.13!$C15:$C599,405,Пр.13!G15:G593)</f>
        <v>0</v>
      </c>
      <c r="D51" s="65">
        <f ca="1">SUMIF(Пр.13!$C15:$C599,405,Пр.13!H15:H593)</f>
        <v>956376</v>
      </c>
      <c r="E51" s="65">
        <f ca="1">SUMIF(Пр.13!$C15:$C599,405,Пр.13!I15:I593)</f>
        <v>956376</v>
      </c>
      <c r="F51" s="65">
        <f ca="1">SUMIF(Пр.13!$C15:$C599,405,Пр.13!J15:J593)</f>
        <v>0</v>
      </c>
      <c r="G51" s="65">
        <f ca="1">SUMIF(Пр.13!$C15:$C599,405,Пр.13!K15:K593)</f>
        <v>956376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66" t="s">
        <v>204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66" t="s">
        <v>205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66" t="s">
        <v>206</v>
      </c>
      <c r="C54" s="65">
        <f ca="1">SUMIF(Пр.13!$C17:$C602,408,Пр.13!G17:G593)</f>
        <v>0</v>
      </c>
      <c r="D54" s="65">
        <f ca="1">SUMIF(Пр.13!$C17:$C602,408,Пр.13!H17:H593)</f>
        <v>10000000</v>
      </c>
      <c r="E54" s="65">
        <f ca="1">SUMIF(Пр.13!$C17:$C602,408,Пр.13!I17:I593)</f>
        <v>10000000</v>
      </c>
      <c r="F54" s="65">
        <f ca="1">SUMIF(Пр.13!$C17:$C602,408,Пр.13!J17:J593)</f>
        <v>0</v>
      </c>
      <c r="G54" s="65">
        <f ca="1">SUMIF(Пр.13!$C17:$C602,408,Пр.13!K17:K593)</f>
        <v>9000000</v>
      </c>
      <c r="H54" s="65">
        <f ca="1">SUMIF(Пр.13!$C17:$C602,408,Пр.13!L17:L593)</f>
        <v>9000000</v>
      </c>
    </row>
    <row r="55" spans="1:8" ht="16.5" thickBot="1" x14ac:dyDescent="0.3">
      <c r="A55" s="63">
        <v>409</v>
      </c>
      <c r="B55" s="66" t="s">
        <v>207</v>
      </c>
      <c r="C55" s="65">
        <f ca="1">SUMIF(Пр.13!$C18:$C603,409,Пр.13!G18:G593)</f>
        <v>0</v>
      </c>
      <c r="D55" s="65">
        <f ca="1">SUMIF(Пр.13!$C18:$C603,409,Пр.13!H18:H593)</f>
        <v>33767337</v>
      </c>
      <c r="E55" s="65">
        <f>Пр.13!H95</f>
        <v>33767337</v>
      </c>
      <c r="F55" s="65">
        <f ca="1">SUMIF(Пр.13!$C18:$C603,409,Пр.13!J18:J593)</f>
        <v>0</v>
      </c>
      <c r="G55" s="65">
        <f ca="1">SUMIF(Пр.13!$C18:$C603,409,Пр.13!K18:K593)</f>
        <v>34760847</v>
      </c>
      <c r="H55" s="65">
        <f>Пр.13!K95</f>
        <v>34760847</v>
      </c>
    </row>
    <row r="56" spans="1:8" ht="16.5" hidden="1" thickBot="1" x14ac:dyDescent="0.3">
      <c r="A56" s="63">
        <v>410</v>
      </c>
      <c r="B56" s="66" t="s">
        <v>208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209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210</v>
      </c>
      <c r="C58" s="65">
        <f ca="1">SUMIF(Пр.13!$C10:$C606,412,Пр.13!G10:G593)</f>
        <v>0</v>
      </c>
      <c r="D58" s="65">
        <f ca="1">SUMIF(Пр.13!$C10:$C606,412,Пр.13!H10:H593)</f>
        <v>150000</v>
      </c>
      <c r="E58" s="65">
        <f ca="1">SUMIF(Пр.13!$C10:$C606,412,Пр.13!I10:I593)</f>
        <v>150000</v>
      </c>
      <c r="F58" s="65">
        <f ca="1">SUMIF(Пр.13!$C10:$C606,412,Пр.13!J10:J593)</f>
        <v>0</v>
      </c>
      <c r="G58" s="65">
        <f ca="1">SUMIF(Пр.13!$C10:$C606,412,Пр.13!K10:K593)</f>
        <v>0</v>
      </c>
      <c r="H58" s="65">
        <f ca="1">SUMIF(Пр.13!$C10:$C606,412,Пр.13!L10:L593)</f>
        <v>0</v>
      </c>
    </row>
    <row r="59" spans="1:8" ht="32.25" thickBot="1" x14ac:dyDescent="0.3">
      <c r="A59" s="60">
        <v>500</v>
      </c>
      <c r="B59" s="67" t="s">
        <v>211</v>
      </c>
      <c r="C59" s="62">
        <f ca="1">SUM(C60:C64)</f>
        <v>0</v>
      </c>
      <c r="D59" s="62">
        <f t="shared" ref="D59:E59" ca="1" si="14">SUM(D60:D64)</f>
        <v>250000</v>
      </c>
      <c r="E59" s="62">
        <f t="shared" ca="1" si="14"/>
        <v>250000</v>
      </c>
      <c r="F59" s="62">
        <f t="shared" ref="F59:H59" ca="1" si="15">SUM(F60:F64)</f>
        <v>0</v>
      </c>
      <c r="G59" s="62">
        <f t="shared" ca="1" si="15"/>
        <v>15263000</v>
      </c>
      <c r="H59" s="62">
        <f t="shared" ca="1" si="15"/>
        <v>15263000</v>
      </c>
    </row>
    <row r="60" spans="1:8" ht="16.5" thickBot="1" x14ac:dyDescent="0.3">
      <c r="A60" s="63">
        <v>501</v>
      </c>
      <c r="B60" s="66" t="s">
        <v>212</v>
      </c>
      <c r="C60" s="65">
        <f>SUMIF(Пр.13!$C10:$C593,501,Пр.13!G10:G593)</f>
        <v>0</v>
      </c>
      <c r="D60" s="65">
        <f>SUMIF(Пр.13!$C10:$C593,501,Пр.13!H10:H593)</f>
        <v>150000</v>
      </c>
      <c r="E60" s="65">
        <f>SUMIF(Пр.13!$C10:$C593,501,Пр.13!I10:I593)</f>
        <v>150000</v>
      </c>
      <c r="F60" s="65">
        <f>SUMIF(Пр.13!$C10:$C593,501,Пр.13!J10:J593)</f>
        <v>0</v>
      </c>
      <c r="G60" s="65">
        <f>SUMIF(Пр.13!$C10:$C593,501,Пр.13!K10:K593)</f>
        <v>0</v>
      </c>
      <c r="H60" s="65">
        <f>SUMIF(Пр.13!$C10:$C593,501,Пр.13!L10:L593)</f>
        <v>0</v>
      </c>
    </row>
    <row r="61" spans="1:8" ht="16.5" thickBot="1" x14ac:dyDescent="0.3">
      <c r="A61" s="63">
        <v>502</v>
      </c>
      <c r="B61" s="66" t="s">
        <v>213</v>
      </c>
      <c r="C61" s="65">
        <f>SUMIF(Пр.13!$C11:$C593,502,Пр.13!G11:G593)</f>
        <v>0</v>
      </c>
      <c r="D61" s="65">
        <f>SUMIF(Пр.13!$C11:$C593,502,Пр.13!H11:H593)</f>
        <v>100000</v>
      </c>
      <c r="E61" s="65">
        <f>Пр.13!H146</f>
        <v>100000</v>
      </c>
      <c r="F61" s="65">
        <f>SUMIF(Пр.13!$C11:$C593,502,Пр.13!J11:J593)</f>
        <v>0</v>
      </c>
      <c r="G61" s="65">
        <f>SUMIF(Пр.13!$C11:$C593,502,Пр.13!K11:K593)</f>
        <v>15263000</v>
      </c>
      <c r="H61" s="65">
        <f>Пр.13!K146</f>
        <v>15263000</v>
      </c>
    </row>
    <row r="62" spans="1:8" ht="16.5" hidden="1" thickBot="1" x14ac:dyDescent="0.3">
      <c r="A62" s="63">
        <v>503</v>
      </c>
      <c r="B62" s="64" t="s">
        <v>214</v>
      </c>
      <c r="C62" s="65">
        <f ca="1">SUMIF(Пр.13!$C12:$C597,503,Пр.13!G12:G593)</f>
        <v>0</v>
      </c>
      <c r="D62" s="65">
        <f ca="1">SUMIF(Пр.13!$C12:$C597,503,Пр.13!H12:H593)</f>
        <v>0</v>
      </c>
      <c r="E62" s="65">
        <f ca="1">SUMIF(Пр.13!$C12:$C597,503,Пр.13!I12:I593)</f>
        <v>0</v>
      </c>
      <c r="F62" s="65">
        <f ca="1">SUMIF(Пр.13!$C12:$C597,503,Пр.13!J12:J593)</f>
        <v>0</v>
      </c>
      <c r="G62" s="65">
        <f ca="1">SUMIF(Пр.13!$C12:$C597,503,Пр.13!K12:K593)</f>
        <v>0</v>
      </c>
      <c r="H62" s="65">
        <f ca="1">SUMIF(Пр.13!$C12:$C597,503,Пр.13!L12:L593)</f>
        <v>0</v>
      </c>
    </row>
    <row r="63" spans="1:8" ht="32.25" hidden="1" thickBot="1" x14ac:dyDescent="0.3">
      <c r="A63" s="63">
        <v>504</v>
      </c>
      <c r="B63" s="66" t="s">
        <v>215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216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3">
      <c r="A65" s="60">
        <v>600</v>
      </c>
      <c r="B65" s="69" t="s">
        <v>217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218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219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220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221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222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3">
      <c r="A71" s="60">
        <v>700</v>
      </c>
      <c r="B71" s="69" t="s">
        <v>223</v>
      </c>
      <c r="C71" s="62">
        <f>SUM(C72:C80)</f>
        <v>0</v>
      </c>
      <c r="D71" s="62">
        <f t="shared" ref="D71:E71" si="20">SUM(D72:D80)</f>
        <v>794314585</v>
      </c>
      <c r="E71" s="62">
        <f t="shared" si="20"/>
        <v>794314585</v>
      </c>
      <c r="F71" s="62">
        <f t="shared" ref="F71:H71" si="21">SUM(F72:F80)</f>
        <v>0</v>
      </c>
      <c r="G71" s="62">
        <f t="shared" si="21"/>
        <v>807708213</v>
      </c>
      <c r="H71" s="62">
        <f t="shared" si="21"/>
        <v>807708213</v>
      </c>
    </row>
    <row r="72" spans="1:8" ht="16.5" thickBot="1" x14ac:dyDescent="0.3">
      <c r="A72" s="63">
        <v>701</v>
      </c>
      <c r="B72" s="66" t="s">
        <v>224</v>
      </c>
      <c r="C72" s="65">
        <f>SUMIF(Пр.13!$C10:$C633,701,Пр.13!G10:G633)</f>
        <v>0</v>
      </c>
      <c r="D72" s="65">
        <f>SUMIF(Пр.13!$C10:$C633,701,Пр.13!H10:H633)</f>
        <v>311389618</v>
      </c>
      <c r="E72" s="65">
        <f>SUMIF(Пр.13!$C10:$C633,701,Пр.13!I10:I633)</f>
        <v>311389618</v>
      </c>
      <c r="F72" s="65">
        <f>SUMIF(Пр.13!$C10:$C633,701,Пр.13!J10:J633)</f>
        <v>0</v>
      </c>
      <c r="G72" s="65">
        <f>SUMIF(Пр.13!$C10:$C633,701,Пр.13!K10:K633)</f>
        <v>308803107</v>
      </c>
      <c r="H72" s="65">
        <f>SUMIF(Пр.13!$C10:$C633,701,Пр.13!L10:L633)</f>
        <v>308803107</v>
      </c>
    </row>
    <row r="73" spans="1:8" ht="16.5" thickBot="1" x14ac:dyDescent="0.3">
      <c r="A73" s="63">
        <v>702</v>
      </c>
      <c r="B73" s="66" t="s">
        <v>225</v>
      </c>
      <c r="C73" s="65">
        <f>SUMIF(Пр.13!$C10:$C634,702,Пр.13!G10:G634)</f>
        <v>0</v>
      </c>
      <c r="D73" s="65">
        <f>SUMIF(Пр.13!$C10:$C634,702,Пр.13!H10:H634)</f>
        <v>374080578</v>
      </c>
      <c r="E73" s="65">
        <f>SUMIF(Пр.13!$C10:$C634,702,Пр.13!I10:I634)</f>
        <v>374080578</v>
      </c>
      <c r="F73" s="65">
        <f>SUMIF(Пр.13!$C10:$C634,702,Пр.13!J10:J634)</f>
        <v>0</v>
      </c>
      <c r="G73" s="65">
        <f>SUMIF(Пр.13!$C10:$C634,702,Пр.13!K10:K634)</f>
        <v>404516717</v>
      </c>
      <c r="H73" s="65">
        <f>SUMIF(Пр.13!$C10:$C634,702,Пр.13!L10:L634)</f>
        <v>404516717</v>
      </c>
    </row>
    <row r="74" spans="1:8" ht="16.5" thickBot="1" x14ac:dyDescent="0.3">
      <c r="A74" s="63">
        <v>703</v>
      </c>
      <c r="B74" s="280" t="s">
        <v>1123</v>
      </c>
      <c r="C74" s="65">
        <f>SUMIF(Пр.13!$C209:$C635,703,Пр.13!G209:G635)</f>
        <v>0</v>
      </c>
      <c r="D74" s="65">
        <f>SUMIF(Пр.13!$C209:$C635,703,Пр.13!H209:H635)</f>
        <v>59289357</v>
      </c>
      <c r="E74" s="65">
        <f>SUMIF(Пр.13!$C209:$C635,703,Пр.13!I209:I635)</f>
        <v>59289357</v>
      </c>
      <c r="F74" s="65">
        <f>SUMIF(Пр.13!$C209:$C635,703,Пр.13!J209:J635)</f>
        <v>0</v>
      </c>
      <c r="G74" s="65">
        <f>SUMIF(Пр.13!$C209:$C635,703,Пр.13!K209:K635)</f>
        <v>49113357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226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227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1921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80" t="s">
        <v>1125</v>
      </c>
      <c r="C78" s="65">
        <f>SUMIF(Пр.13!$C10:$C639,707,Пр.13!G10:G639)</f>
        <v>0</v>
      </c>
      <c r="D78" s="65">
        <f>SUMIF(Пр.13!$C10:$C639,707,Пр.13!H10:H639)</f>
        <v>13527338</v>
      </c>
      <c r="E78" s="65">
        <f>SUMIF(Пр.13!$C10:$C639,707,Пр.13!I10:I639)</f>
        <v>13527338</v>
      </c>
      <c r="F78" s="65">
        <f>SUMIF(Пр.13!$C10:$C639,707,Пр.13!J10:J639)</f>
        <v>0</v>
      </c>
      <c r="G78" s="65">
        <f>SUMIF(Пр.13!$C10:$C639,707,Пр.13!K10:K639)</f>
        <v>11247338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228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229</v>
      </c>
      <c r="C80" s="65">
        <f>SUMIF(Пр.13!$C10:$C641,709,Пр.13!G10:G641)</f>
        <v>0</v>
      </c>
      <c r="D80" s="65">
        <f>SUMIF(Пр.13!$C10:$C641,709,Пр.13!H10:H641)</f>
        <v>36027694</v>
      </c>
      <c r="E80" s="65">
        <f>SUMIF(Пр.13!$C10:$C641,709,Пр.13!I10:I641)</f>
        <v>36027694</v>
      </c>
      <c r="F80" s="65">
        <f>SUMIF(Пр.13!$C10:$C641,709,Пр.13!J10:J641)</f>
        <v>0</v>
      </c>
      <c r="G80" s="65">
        <f>SUMIF(Пр.13!$C10:$C641,709,Пр.13!K10:K641)</f>
        <v>34027694</v>
      </c>
      <c r="H80" s="65">
        <f>SUMIF(Пр.13!$C10:$C641,709,Пр.13!L10:L641)</f>
        <v>34027694</v>
      </c>
    </row>
    <row r="81" spans="1:8" ht="16.5" thickBot="1" x14ac:dyDescent="0.3">
      <c r="A81" s="60">
        <v>800</v>
      </c>
      <c r="B81" s="69" t="s">
        <v>230</v>
      </c>
      <c r="C81" s="62">
        <f>SUM(C82:C85)</f>
        <v>0</v>
      </c>
      <c r="D81" s="62">
        <f t="shared" ref="D81:E81" si="22">SUM(D82:D85)</f>
        <v>116484742</v>
      </c>
      <c r="E81" s="62">
        <f t="shared" si="22"/>
        <v>116484742</v>
      </c>
      <c r="F81" s="62">
        <f t="shared" ref="F81:H81" si="23">SUM(F82:F85)</f>
        <v>0</v>
      </c>
      <c r="G81" s="62">
        <f t="shared" si="23"/>
        <v>84119459</v>
      </c>
      <c r="H81" s="62">
        <f t="shared" si="23"/>
        <v>84119459</v>
      </c>
    </row>
    <row r="82" spans="1:8" ht="16.5" thickBot="1" x14ac:dyDescent="0.3">
      <c r="A82" s="63">
        <v>801</v>
      </c>
      <c r="B82" s="66" t="s">
        <v>231</v>
      </c>
      <c r="C82" s="65">
        <f>SUMIF(Пр.13!$C10:$C593,801,Пр.13!G10:G593)</f>
        <v>0</v>
      </c>
      <c r="D82" s="65">
        <f>SUMIF(Пр.13!$C10:$C593,801,Пр.13!H10:H593)</f>
        <v>84429765</v>
      </c>
      <c r="E82" s="65">
        <f>SUMIF(Пр.13!$C10:$C593,801,Пр.13!I10:I593)</f>
        <v>84429765</v>
      </c>
      <c r="F82" s="65">
        <f>SUMIF(Пр.13!$C10:$C593,801,Пр.13!J10:J593)</f>
        <v>0</v>
      </c>
      <c r="G82" s="65">
        <f>SUMIF(Пр.13!$C10:$C593,801,Пр.13!K10:K593)</f>
        <v>62752577</v>
      </c>
      <c r="H82" s="65">
        <f>SUMIF(Пр.13!$C10:$C593,801,Пр.13!L10:L593)</f>
        <v>62752577</v>
      </c>
    </row>
    <row r="83" spans="1:8" ht="16.5" hidden="1" thickBot="1" x14ac:dyDescent="0.3">
      <c r="A83" s="63">
        <v>802</v>
      </c>
      <c r="B83" s="66" t="s">
        <v>232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233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234</v>
      </c>
      <c r="C85" s="65">
        <f>SUMIF(Пр.13!$C14:$C598,804,Пр.13!G14:G598)</f>
        <v>0</v>
      </c>
      <c r="D85" s="65">
        <f>SUMIF(Пр.13!$C14:$C598,804,Пр.13!H14:H598)</f>
        <v>32054977</v>
      </c>
      <c r="E85" s="65">
        <f>SUMIF(Пр.13!$C14:$C598,804,Пр.13!I14:I598)</f>
        <v>32054977</v>
      </c>
      <c r="F85" s="65">
        <f>SUMIF(Пр.13!$C14:$C598,804,Пр.13!J14:J598)</f>
        <v>0</v>
      </c>
      <c r="G85" s="65">
        <f>SUMIF(Пр.13!$C14:$C598,804,Пр.13!K14:K598)</f>
        <v>21366882</v>
      </c>
      <c r="H85" s="65">
        <f>SUMIF(Пр.13!$C14:$C598,804,Пр.13!L14:L598)</f>
        <v>21366882</v>
      </c>
    </row>
    <row r="86" spans="1:8" ht="16.5" hidden="1" thickBot="1" x14ac:dyDescent="0.3">
      <c r="A86" s="60">
        <v>900</v>
      </c>
      <c r="B86" s="69" t="s">
        <v>235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236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237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238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239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240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241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242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243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244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3">
      <c r="A96" s="60">
        <v>1000</v>
      </c>
      <c r="B96" s="69" t="s">
        <v>245</v>
      </c>
      <c r="C96" s="62">
        <f>SUM(C97:C102)</f>
        <v>0</v>
      </c>
      <c r="D96" s="62">
        <f t="shared" ref="D96:E96" si="26">SUM(D97:D102)</f>
        <v>454267876</v>
      </c>
      <c r="E96" s="62">
        <f t="shared" si="26"/>
        <v>454267876</v>
      </c>
      <c r="F96" s="62">
        <f t="shared" ref="F96:H96" si="27">SUM(F97:F102)</f>
        <v>0</v>
      </c>
      <c r="G96" s="62">
        <f t="shared" si="27"/>
        <v>488145987</v>
      </c>
      <c r="H96" s="62">
        <f t="shared" si="27"/>
        <v>488145987</v>
      </c>
    </row>
    <row r="97" spans="1:8" ht="16.5" thickBot="1" x14ac:dyDescent="0.3">
      <c r="A97" s="63">
        <v>1001</v>
      </c>
      <c r="B97" s="66" t="s">
        <v>246</v>
      </c>
      <c r="C97" s="65">
        <f>SUMIF(Пр.13!$C10:$C593,1001,Пр.13!G10:G593)</f>
        <v>0</v>
      </c>
      <c r="D97" s="65">
        <f>SUMIF(Пр.13!$C10:$C593,1001,Пр.13!H10:H593)</f>
        <v>5227080</v>
      </c>
      <c r="E97" s="65">
        <f>SUMIF(Пр.13!$C10:$C593,1001,Пр.13!I10:I593)</f>
        <v>5227080</v>
      </c>
      <c r="F97" s="65">
        <f>SUMIF(Пр.13!$C10:$C593,1001,Пр.13!J10:J593)</f>
        <v>0</v>
      </c>
      <c r="G97" s="65">
        <f>SUMIF(Пр.13!$C10:$C593,1001,Пр.13!K10:K593)</f>
        <v>0</v>
      </c>
      <c r="H97" s="65">
        <f>SUMIF(Пр.13!$C10:$C593,1001,Пр.13!L10:L593)</f>
        <v>0</v>
      </c>
    </row>
    <row r="98" spans="1:8" ht="16.5" thickBot="1" x14ac:dyDescent="0.3">
      <c r="A98" s="63">
        <v>1002</v>
      </c>
      <c r="B98" s="66" t="s">
        <v>247</v>
      </c>
      <c r="C98" s="65">
        <f>SUMIF(Пр.13!$C11:$C593,1002,Пр.13!G11:G593)</f>
        <v>0</v>
      </c>
      <c r="D98" s="65">
        <f>SUMIF(Пр.13!$C11:$C593,1002,Пр.13!H11:H593)</f>
        <v>84501896</v>
      </c>
      <c r="E98" s="65">
        <f>SUMIF(Пр.13!$C11:$C593,1002,Пр.13!I11:I593)</f>
        <v>84501896</v>
      </c>
      <c r="F98" s="65">
        <f>SUMIF(Пр.13!$C11:$C593,1002,Пр.13!J11:J593)</f>
        <v>0</v>
      </c>
      <c r="G98" s="65">
        <f>SUMIF(Пр.13!$C11:$C593,1002,Пр.13!K11:K593)</f>
        <v>84501896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248</v>
      </c>
      <c r="C99" s="65">
        <f>SUMIF(Пр.13!$C12:$C597,1003,Пр.13!G12:G597)</f>
        <v>0</v>
      </c>
      <c r="D99" s="65">
        <f>SUMIF(Пр.13!$C12:$C597,1003,Пр.13!H12:H597)</f>
        <v>174482875</v>
      </c>
      <c r="E99" s="65">
        <f>SUMIF(Пр.13!$C12:$C597,1003,Пр.13!I12:I597)</f>
        <v>174482875</v>
      </c>
      <c r="F99" s="65">
        <f>SUMIF(Пр.13!$C12:$C597,1003,Пр.13!J12:J597)</f>
        <v>0</v>
      </c>
      <c r="G99" s="65">
        <f>SUMIF(Пр.13!$C12:$C597,1003,Пр.13!K12:K597)</f>
        <v>207246607</v>
      </c>
      <c r="H99" s="65">
        <f>SUMIF(Пр.13!$C12:$C597,1003,Пр.13!L12:L597)</f>
        <v>207246607</v>
      </c>
    </row>
    <row r="100" spans="1:8" ht="16.5" thickBot="1" x14ac:dyDescent="0.3">
      <c r="A100" s="63">
        <v>1004</v>
      </c>
      <c r="B100" s="64" t="s">
        <v>249</v>
      </c>
      <c r="C100" s="65">
        <f>SUMIF(Пр.13!$C14:$C598,1004,Пр.13!G14:G598)</f>
        <v>0</v>
      </c>
      <c r="D100" s="65">
        <f>SUMIF(Пр.13!$C14:$C598,1004,Пр.13!H14:H598)</f>
        <v>173466535</v>
      </c>
      <c r="E100" s="65">
        <f>SUMIF(Пр.13!$C14:$C598,1004,Пр.13!I14:I598)</f>
        <v>173466535</v>
      </c>
      <c r="F100" s="65">
        <f>SUMIF(Пр.13!$C14:$C598,1004,Пр.13!J14:J598)</f>
        <v>0</v>
      </c>
      <c r="G100" s="65">
        <f>SUMIF(Пр.13!$C14:$C598,1004,Пр.13!K14:K598)</f>
        <v>180329364</v>
      </c>
      <c r="H100" s="65">
        <f>SUMIF(Пр.13!$C14:$C598,1004,Пр.13!L14:L598)</f>
        <v>180329364</v>
      </c>
    </row>
    <row r="101" spans="1:8" ht="32.25" hidden="1" thickBot="1" x14ac:dyDescent="0.3">
      <c r="A101" s="63">
        <v>1005</v>
      </c>
      <c r="B101" s="66" t="s">
        <v>250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251</v>
      </c>
      <c r="C102" s="65">
        <f>SUMIF(Пр.13!$C16:$C600,1006,Пр.13!G16:G600)</f>
        <v>0</v>
      </c>
      <c r="D102" s="65">
        <f>SUMIF(Пр.13!$C16:$C600,1006,Пр.13!H16:H600)</f>
        <v>16589490</v>
      </c>
      <c r="E102" s="65">
        <f>SUMIF(Пр.13!$C16:$C600,1006,Пр.13!I16:I600)</f>
        <v>16589490</v>
      </c>
      <c r="F102" s="65">
        <f>SUMIF(Пр.13!$C16:$C600,1006,Пр.13!J16:J600)</f>
        <v>0</v>
      </c>
      <c r="G102" s="65">
        <f>SUMIF(Пр.13!$C16:$C600,1006,Пр.13!K16:K600)</f>
        <v>16068120</v>
      </c>
      <c r="H102" s="65">
        <f>SUMIF(Пр.13!$C16:$C600,1006,Пр.13!L16:L600)</f>
        <v>16068120</v>
      </c>
    </row>
    <row r="103" spans="1:8" ht="16.5" thickBot="1" x14ac:dyDescent="0.3">
      <c r="A103" s="60">
        <v>1100</v>
      </c>
      <c r="B103" s="69" t="s">
        <v>252</v>
      </c>
      <c r="C103" s="62">
        <f>SUM(C104:C108)</f>
        <v>0</v>
      </c>
      <c r="D103" s="62">
        <f t="shared" ref="D103:E103" si="28">SUM(D104:D108)</f>
        <v>25000000</v>
      </c>
      <c r="E103" s="62">
        <f t="shared" si="28"/>
        <v>25000000</v>
      </c>
      <c r="F103" s="62">
        <f t="shared" ref="F103" si="29">SUM(F104:F108)</f>
        <v>0</v>
      </c>
      <c r="G103" s="62">
        <f t="shared" ref="G103" si="30">SUM(G104:G108)</f>
        <v>20000000</v>
      </c>
      <c r="H103" s="62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253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254</v>
      </c>
      <c r="C105" s="65">
        <f>SUMIF(Пр.13!$C11:$C593,1102,Пр.13!G11:G593)</f>
        <v>0</v>
      </c>
      <c r="D105" s="65">
        <f>SUMIF(Пр.13!$C11:$C593,1102,Пр.13!H11:H593)</f>
        <v>25000000</v>
      </c>
      <c r="E105" s="65">
        <f>SUMIF(Пр.13!$C11:$C593,1102,Пр.13!I11:I593)</f>
        <v>25000000</v>
      </c>
      <c r="F105" s="65">
        <f>SUMIF(Пр.13!$C11:$C593,1102,Пр.13!J11:J593)</f>
        <v>0</v>
      </c>
      <c r="G105" s="65">
        <f>SUMIF(Пр.13!$C11:$C593,1102,Пр.13!K11:K593)</f>
        <v>20000000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255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256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257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3">
      <c r="A109" s="60">
        <v>1200</v>
      </c>
      <c r="B109" s="69" t="s">
        <v>258</v>
      </c>
      <c r="C109" s="62">
        <f>SUM(C110:C113)</f>
        <v>0</v>
      </c>
      <c r="D109" s="62">
        <f t="shared" ref="D109:E109" si="32">SUM(D110:D113)</f>
        <v>3000000</v>
      </c>
      <c r="E109" s="62">
        <f t="shared" si="32"/>
        <v>3000000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259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260</v>
      </c>
      <c r="C111" s="65">
        <f>SUMIF(Пр.13!$C11:$C593,1202,Пр.13!G11:G593)</f>
        <v>0</v>
      </c>
      <c r="D111" s="65">
        <f>SUMIF(Пр.13!$C11:$C593,1202,Пр.13!H11:H593)</f>
        <v>3000000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261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262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3">
      <c r="A114" s="60">
        <v>1300</v>
      </c>
      <c r="B114" s="69" t="s">
        <v>263</v>
      </c>
      <c r="C114" s="62">
        <f>SUM(C115:C116)</f>
        <v>0</v>
      </c>
      <c r="D114" s="62">
        <f t="shared" ref="D114:E114" si="34">SUM(D115:D116)</f>
        <v>500000</v>
      </c>
      <c r="E114" s="62">
        <f t="shared" si="34"/>
        <v>500000</v>
      </c>
      <c r="F114" s="62">
        <f t="shared" ref="F114:H114" si="35">SUM(F115:F116)</f>
        <v>0</v>
      </c>
      <c r="G114" s="62">
        <f t="shared" si="35"/>
        <v>500000</v>
      </c>
      <c r="H114" s="62">
        <f t="shared" si="35"/>
        <v>500000</v>
      </c>
    </row>
    <row r="115" spans="1:8" ht="32.25" thickBot="1" x14ac:dyDescent="0.3">
      <c r="A115" s="63">
        <v>1301</v>
      </c>
      <c r="B115" s="92" t="s">
        <v>1923</v>
      </c>
      <c r="C115" s="65">
        <f>SUMIF(Пр.13!$C10:$C593,1301,Пр.13!G10:G593)</f>
        <v>0</v>
      </c>
      <c r="D115" s="65">
        <f>SUMIF(Пр.13!$C10:$C593,1301,Пр.13!H10:H593)</f>
        <v>500000</v>
      </c>
      <c r="E115" s="65">
        <f>SUMIF(Пр.13!$C10:$C593,1301,Пр.13!I10:I593)</f>
        <v>500000</v>
      </c>
      <c r="F115" s="65">
        <f>SUMIF(Пр.13!$C10:$C593,1301,Пр.13!J10:J593)</f>
        <v>0</v>
      </c>
      <c r="G115" s="65">
        <f>SUMIF(Пр.13!$C10:$C593,1301,Пр.13!K10:K593)</f>
        <v>500000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2" t="s">
        <v>1924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3">
      <c r="A117" s="60">
        <v>1400</v>
      </c>
      <c r="B117" s="69" t="s">
        <v>264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265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266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2" t="s">
        <v>1925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898" t="s">
        <v>150</v>
      </c>
      <c r="B121" s="898"/>
      <c r="C121" s="62">
        <f ca="1">C9+C23+C33+C46+C59+C65+C71+C81+C86+C96+C103+C109+C114+C117</f>
        <v>0</v>
      </c>
      <c r="D121" s="62">
        <f t="shared" ref="D121:H121" ca="1" si="38">D9+D23+D33+D46+D59+D65+D71+D81+D86+D96+D103+D109+D114+D117</f>
        <v>1561385296</v>
      </c>
      <c r="E121" s="62">
        <f ca="1">E9+E23+E33+E46+E59+E65+E71+E81+E86+E96+E103+E109+E114+E117</f>
        <v>1561385296</v>
      </c>
      <c r="F121" s="62">
        <f t="shared" ca="1" si="38"/>
        <v>0</v>
      </c>
      <c r="G121" s="62">
        <f t="shared" ca="1" si="38"/>
        <v>1490927857</v>
      </c>
      <c r="H121" s="62">
        <f t="shared" ca="1" si="38"/>
        <v>1490927857</v>
      </c>
    </row>
    <row r="122" spans="1:8" ht="16.5" thickBot="1" x14ac:dyDescent="0.3">
      <c r="A122" s="898" t="s">
        <v>269</v>
      </c>
      <c r="B122" s="898"/>
      <c r="C122" s="73"/>
      <c r="D122" s="73">
        <f>Пр.13!H598</f>
        <v>18000000</v>
      </c>
      <c r="E122" s="73">
        <f>C122+D122</f>
        <v>18000000</v>
      </c>
      <c r="F122" s="73"/>
      <c r="G122" s="73">
        <f>Пр.13!K598</f>
        <v>18000000</v>
      </c>
      <c r="H122" s="73">
        <f>F122+G122</f>
        <v>18000000</v>
      </c>
    </row>
    <row r="123" spans="1:8" ht="16.5" thickBot="1" x14ac:dyDescent="0.3">
      <c r="A123" s="898" t="s">
        <v>267</v>
      </c>
      <c r="B123" s="898"/>
      <c r="C123" s="62">
        <f ca="1">Пр2!J136-C121-C122</f>
        <v>0</v>
      </c>
      <c r="D123" s="62">
        <f ca="1">Пр2!K136-D121-D122</f>
        <v>0</v>
      </c>
      <c r="E123" s="62">
        <f ca="1">Пр2!L136-Пр4!E121-Пр4!E122</f>
        <v>0</v>
      </c>
      <c r="F123" s="62">
        <f ca="1">Пр2!M136-F121-F122</f>
        <v>0</v>
      </c>
      <c r="G123" s="62">
        <f ca="1">Пр2!N136-G121-G122</f>
        <v>0</v>
      </c>
      <c r="H123" s="62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6"/>
  <sheetViews>
    <sheetView showGridLines="0" view="pageBreakPreview" topLeftCell="A2" zoomScaleSheetLayoutView="100" workbookViewId="0">
      <selection activeCell="F31" sqref="F3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87" t="s">
        <v>270</v>
      </c>
      <c r="B1" s="887"/>
      <c r="C1" s="887"/>
      <c r="D1" s="887"/>
      <c r="E1" s="887"/>
    </row>
    <row r="2" spans="1:5" ht="15.75" x14ac:dyDescent="0.25">
      <c r="A2" s="887" t="s">
        <v>1</v>
      </c>
      <c r="B2" s="887"/>
      <c r="C2" s="887"/>
      <c r="D2" s="887"/>
      <c r="E2" s="887"/>
    </row>
    <row r="3" spans="1:5" ht="15.75" x14ac:dyDescent="0.25">
      <c r="A3" s="887" t="s">
        <v>2</v>
      </c>
      <c r="B3" s="887"/>
      <c r="C3" s="887"/>
      <c r="D3" s="887"/>
      <c r="E3" s="887"/>
    </row>
    <row r="4" spans="1:5" ht="15.75" x14ac:dyDescent="0.25">
      <c r="A4" s="887" t="s">
        <v>1859</v>
      </c>
      <c r="B4" s="887"/>
      <c r="C4" s="887"/>
      <c r="D4" s="887"/>
      <c r="E4" s="887"/>
    </row>
    <row r="6" spans="1:5" ht="15.75" x14ac:dyDescent="0.25">
      <c r="A6" s="74"/>
      <c r="B6" s="1"/>
    </row>
    <row r="7" spans="1:5" ht="33" customHeight="1" x14ac:dyDescent="0.2">
      <c r="A7" s="888" t="s">
        <v>1865</v>
      </c>
      <c r="B7" s="888"/>
      <c r="C7" s="888"/>
      <c r="D7" s="888"/>
      <c r="E7" s="888"/>
    </row>
    <row r="8" spans="1:5" ht="19.5" thickBot="1" x14ac:dyDescent="0.25">
      <c r="A8" s="8"/>
      <c r="B8" s="1"/>
    </row>
    <row r="9" spans="1:5" ht="32.25" thickBot="1" x14ac:dyDescent="0.25">
      <c r="A9" s="58" t="s">
        <v>160</v>
      </c>
      <c r="B9" s="58" t="s">
        <v>271</v>
      </c>
      <c r="C9" s="58" t="s">
        <v>162</v>
      </c>
      <c r="D9" s="75" t="s">
        <v>1523</v>
      </c>
      <c r="E9" s="75" t="s">
        <v>162</v>
      </c>
    </row>
    <row r="10" spans="1:5" ht="32.25" thickBot="1" x14ac:dyDescent="0.25">
      <c r="A10" s="76" t="s">
        <v>272</v>
      </c>
      <c r="B10" s="61" t="s">
        <v>273</v>
      </c>
      <c r="C10" s="77">
        <f>C11+C13</f>
        <v>0</v>
      </c>
      <c r="D10" s="77">
        <f t="shared" ref="D10" si="0">D11+D13</f>
        <v>3500000</v>
      </c>
      <c r="E10" s="77">
        <f>SUM(C10:D10)</f>
        <v>3500000</v>
      </c>
    </row>
    <row r="11" spans="1:5" ht="32.25" thickBot="1" x14ac:dyDescent="0.25">
      <c r="A11" s="78" t="s">
        <v>274</v>
      </c>
      <c r="B11" s="64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</row>
    <row r="12" spans="1:5" ht="48" thickBot="1" x14ac:dyDescent="0.25">
      <c r="A12" s="78" t="s">
        <v>276</v>
      </c>
      <c r="B12" s="64" t="s">
        <v>277</v>
      </c>
      <c r="C12" s="79">
        <v>0</v>
      </c>
      <c r="D12" s="79">
        <v>3500000</v>
      </c>
      <c r="E12" s="79">
        <f t="shared" ref="E12:E26" si="2">SUM(C12:D12)</f>
        <v>3500000</v>
      </c>
    </row>
    <row r="13" spans="1:5" ht="48" hidden="1" thickBot="1" x14ac:dyDescent="0.25">
      <c r="A13" s="78" t="s">
        <v>278</v>
      </c>
      <c r="B13" s="64" t="s">
        <v>279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280</v>
      </c>
      <c r="B14" s="64" t="s">
        <v>281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282</v>
      </c>
      <c r="B15" s="61" t="s">
        <v>283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284</v>
      </c>
      <c r="B16" s="64" t="s">
        <v>285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286</v>
      </c>
      <c r="B17" s="64" t="s">
        <v>287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288</v>
      </c>
      <c r="B18" s="64" t="s">
        <v>289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290</v>
      </c>
      <c r="B19" s="64" t="s">
        <v>291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292</v>
      </c>
      <c r="B20" s="61" t="s">
        <v>293</v>
      </c>
      <c r="C20" s="77">
        <f>C22-C21</f>
        <v>0</v>
      </c>
      <c r="D20" s="77">
        <f>D22-D21</f>
        <v>0</v>
      </c>
      <c r="E20" s="77">
        <f t="shared" si="2"/>
        <v>0</v>
      </c>
    </row>
    <row r="21" spans="1:5" ht="32.25" thickBot="1" x14ac:dyDescent="0.25">
      <c r="A21" s="78" t="s">
        <v>294</v>
      </c>
      <c r="B21" s="64" t="s">
        <v>295</v>
      </c>
      <c r="C21" s="79">
        <f>(Пр1!J166+C12+C25)</f>
        <v>0</v>
      </c>
      <c r="D21" s="79">
        <f>(Пр1!K166+D12+D25)</f>
        <v>1942084708</v>
      </c>
      <c r="E21" s="79">
        <f t="shared" si="2"/>
        <v>1942084708</v>
      </c>
    </row>
    <row r="22" spans="1:5" ht="32.25" thickBot="1" x14ac:dyDescent="0.25">
      <c r="A22" s="78" t="s">
        <v>296</v>
      </c>
      <c r="B22" s="64" t="s">
        <v>297</v>
      </c>
      <c r="C22" s="79">
        <f>Пр_3!C121+C19</f>
        <v>0</v>
      </c>
      <c r="D22" s="79">
        <f>Пр_3!D121</f>
        <v>1942084708</v>
      </c>
      <c r="E22" s="79">
        <f t="shared" si="2"/>
        <v>1942084708</v>
      </c>
    </row>
    <row r="23" spans="1:5" ht="48" hidden="1" thickBot="1" x14ac:dyDescent="0.25">
      <c r="A23" s="76" t="s">
        <v>298</v>
      </c>
      <c r="B23" s="61" t="s">
        <v>299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300</v>
      </c>
      <c r="B24" s="64" t="s">
        <v>301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302</v>
      </c>
      <c r="B25" s="64" t="s">
        <v>303</v>
      </c>
      <c r="C25" s="79"/>
      <c r="D25" s="79"/>
      <c r="E25" s="79">
        <f t="shared" si="2"/>
        <v>0</v>
      </c>
    </row>
    <row r="26" spans="1:5" ht="16.5" thickBot="1" x14ac:dyDescent="0.25">
      <c r="A26" s="901" t="s">
        <v>304</v>
      </c>
      <c r="B26" s="901"/>
      <c r="C26" s="81">
        <f>C20+C10+C23+C15</f>
        <v>0</v>
      </c>
      <c r="D26" s="81">
        <f t="shared" ref="D26" si="8">D20+D10+D23+D15</f>
        <v>3500000</v>
      </c>
      <c r="E26" s="77">
        <f t="shared" si="2"/>
        <v>3500000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showGridLines="0" view="pageBreakPreview" topLeftCell="A4" zoomScaleSheetLayoutView="100" workbookViewId="0">
      <selection activeCell="B12" sqref="B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87" t="s">
        <v>305</v>
      </c>
      <c r="B1" s="887"/>
      <c r="C1" s="887"/>
      <c r="D1" s="887"/>
      <c r="E1" s="887"/>
      <c r="F1" s="887"/>
      <c r="G1" s="887"/>
      <c r="H1" s="887"/>
    </row>
    <row r="2" spans="1:8" ht="15.75" x14ac:dyDescent="0.25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75" x14ac:dyDescent="0.25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" customHeight="1" x14ac:dyDescent="0.25">
      <c r="A4" s="887" t="s">
        <v>1859</v>
      </c>
      <c r="B4" s="887"/>
      <c r="C4" s="887"/>
      <c r="D4" s="887"/>
      <c r="E4" s="887"/>
      <c r="F4" s="887"/>
      <c r="G4" s="887"/>
      <c r="H4" s="887"/>
    </row>
    <row r="5" spans="1:8" hidden="1" x14ac:dyDescent="0.2">
      <c r="C5" s="83"/>
      <c r="D5" s="49"/>
    </row>
    <row r="6" spans="1:8" ht="15" customHeight="1" x14ac:dyDescent="0.2">
      <c r="A6" s="903" t="s">
        <v>1866</v>
      </c>
      <c r="B6" s="903"/>
      <c r="C6" s="903"/>
      <c r="D6" s="903"/>
      <c r="E6" s="903"/>
      <c r="F6" s="903"/>
      <c r="G6" s="903"/>
      <c r="H6" s="903"/>
    </row>
    <row r="7" spans="1:8" ht="46.5" customHeight="1" x14ac:dyDescent="0.2">
      <c r="A7" s="903"/>
      <c r="B7" s="903"/>
      <c r="C7" s="903"/>
      <c r="D7" s="903"/>
      <c r="E7" s="903"/>
      <c r="F7" s="903"/>
      <c r="G7" s="903"/>
      <c r="H7" s="903"/>
    </row>
    <row r="8" spans="1:8" ht="19.5" thickBot="1" x14ac:dyDescent="0.25">
      <c r="A8" s="8"/>
      <c r="B8" s="1"/>
      <c r="C8" s="83"/>
      <c r="D8" s="904"/>
      <c r="E8" s="904"/>
      <c r="F8" s="904"/>
      <c r="G8" s="904"/>
      <c r="H8" s="904"/>
    </row>
    <row r="9" spans="1:8" ht="32.25" thickBot="1" x14ac:dyDescent="0.25">
      <c r="A9" s="58" t="s">
        <v>160</v>
      </c>
      <c r="B9" s="58" t="s">
        <v>271</v>
      </c>
      <c r="C9" s="58" t="s">
        <v>1366</v>
      </c>
      <c r="D9" s="58" t="s">
        <v>749</v>
      </c>
      <c r="E9" s="75" t="s">
        <v>1619</v>
      </c>
      <c r="F9" s="58" t="s">
        <v>1619</v>
      </c>
      <c r="G9" s="75" t="s">
        <v>749</v>
      </c>
      <c r="H9" s="75" t="s">
        <v>1860</v>
      </c>
    </row>
    <row r="10" spans="1:8" ht="48" thickBot="1" x14ac:dyDescent="0.25">
      <c r="A10" s="84" t="s">
        <v>306</v>
      </c>
      <c r="B10" s="85" t="s">
        <v>273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thickBot="1" x14ac:dyDescent="0.25">
      <c r="A11" s="84" t="s">
        <v>274</v>
      </c>
      <c r="B11" s="86" t="s">
        <v>275</v>
      </c>
      <c r="C11" s="79">
        <f>C12</f>
        <v>0</v>
      </c>
      <c r="D11" s="79">
        <f t="shared" ref="D11" si="1">D12</f>
        <v>3500000</v>
      </c>
      <c r="E11" s="79">
        <f>SUM(C11:D11)</f>
        <v>3500000</v>
      </c>
      <c r="F11" s="79">
        <f>F12</f>
        <v>0</v>
      </c>
      <c r="G11" s="79">
        <f t="shared" ref="G11" si="2">G12</f>
        <v>3500000</v>
      </c>
      <c r="H11" s="79">
        <f t="shared" ref="H11:H24" si="3">SUM(F11:G11)</f>
        <v>3500000</v>
      </c>
    </row>
    <row r="12" spans="1:8" ht="79.5" thickBot="1" x14ac:dyDescent="0.25">
      <c r="A12" s="84" t="s">
        <v>276</v>
      </c>
      <c r="B12" s="86" t="s">
        <v>307</v>
      </c>
      <c r="C12" s="79">
        <v>0</v>
      </c>
      <c r="D12" s="79">
        <v>3500000</v>
      </c>
      <c r="E12" s="79">
        <f t="shared" ref="E12:E24" si="4">SUM(C12:D12)</f>
        <v>3500000</v>
      </c>
      <c r="F12" s="87">
        <v>0</v>
      </c>
      <c r="G12" s="87">
        <v>3500000</v>
      </c>
      <c r="H12" s="79">
        <f t="shared" si="3"/>
        <v>3500000</v>
      </c>
    </row>
    <row r="13" spans="1:8" ht="63.75" thickBot="1" x14ac:dyDescent="0.25">
      <c r="A13" s="84" t="s">
        <v>278</v>
      </c>
      <c r="B13" s="86" t="s">
        <v>279</v>
      </c>
      <c r="C13" s="79">
        <f>C14</f>
        <v>0</v>
      </c>
      <c r="D13" s="79">
        <f t="shared" ref="D13" si="5">D14</f>
        <v>3500000</v>
      </c>
      <c r="E13" s="79">
        <f t="shared" si="4"/>
        <v>3500000</v>
      </c>
      <c r="F13" s="79">
        <f>F14</f>
        <v>0</v>
      </c>
      <c r="G13" s="79">
        <f t="shared" ref="G13" si="6">G14</f>
        <v>3500000</v>
      </c>
      <c r="H13" s="79">
        <f t="shared" si="3"/>
        <v>3500000</v>
      </c>
    </row>
    <row r="14" spans="1:8" ht="79.5" thickBot="1" x14ac:dyDescent="0.25">
      <c r="A14" s="84" t="s">
        <v>280</v>
      </c>
      <c r="B14" s="86" t="s">
        <v>308</v>
      </c>
      <c r="C14" s="79">
        <v>0</v>
      </c>
      <c r="D14" s="79">
        <v>3500000</v>
      </c>
      <c r="E14" s="79">
        <f t="shared" si="4"/>
        <v>3500000</v>
      </c>
      <c r="F14" s="87">
        <v>0</v>
      </c>
      <c r="G14" s="87">
        <v>3500000</v>
      </c>
      <c r="H14" s="79">
        <f t="shared" si="3"/>
        <v>3500000</v>
      </c>
    </row>
    <row r="15" spans="1:8" ht="63.75" hidden="1" thickBot="1" x14ac:dyDescent="0.25">
      <c r="A15" s="84" t="s">
        <v>309</v>
      </c>
      <c r="B15" s="85" t="s">
        <v>283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288</v>
      </c>
      <c r="B16" s="86" t="s">
        <v>289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290</v>
      </c>
      <c r="B17" s="86" t="s">
        <v>310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311</v>
      </c>
      <c r="B18" s="85" t="s">
        <v>293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294</v>
      </c>
      <c r="B19" s="86" t="s">
        <v>312</v>
      </c>
      <c r="C19" s="79">
        <f>Пр2!J136+C12</f>
        <v>0</v>
      </c>
      <c r="D19" s="79">
        <f>Пр2!K136+D12+D23</f>
        <v>1582885296</v>
      </c>
      <c r="E19" s="79">
        <f t="shared" si="4"/>
        <v>1582885296</v>
      </c>
      <c r="F19" s="79">
        <f>Пр2!M136+F12</f>
        <v>0</v>
      </c>
      <c r="G19" s="79">
        <f>Пр2!N136+G12+G23</f>
        <v>1512427857</v>
      </c>
      <c r="H19" s="79">
        <f t="shared" si="3"/>
        <v>1512427857</v>
      </c>
    </row>
    <row r="20" spans="1:8" ht="51" customHeight="1" thickBot="1" x14ac:dyDescent="0.25">
      <c r="A20" s="84" t="s">
        <v>296</v>
      </c>
      <c r="B20" s="72" t="s">
        <v>313</v>
      </c>
      <c r="C20" s="79">
        <f ca="1">Пр4!C121+Пр4!C122+Пр6!C14</f>
        <v>0</v>
      </c>
      <c r="D20" s="79">
        <f ca="1">Пр4!D121+Пр4!D122+D14+D17</f>
        <v>1582885296</v>
      </c>
      <c r="E20" s="79">
        <f t="shared" ca="1" si="4"/>
        <v>1582885296</v>
      </c>
      <c r="F20" s="79">
        <f ca="1">Пр4!F121+Пр4!F122+F14</f>
        <v>0</v>
      </c>
      <c r="G20" s="79">
        <f ca="1">Пр4!G121+Пр4!G122+G14+G17</f>
        <v>1512427857</v>
      </c>
      <c r="H20" s="79">
        <f t="shared" ca="1" si="3"/>
        <v>1512427857</v>
      </c>
    </row>
    <row r="21" spans="1:8" ht="63.75" hidden="1" thickBot="1" x14ac:dyDescent="0.25">
      <c r="A21" s="84" t="s">
        <v>314</v>
      </c>
      <c r="B21" s="85" t="s">
        <v>299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300</v>
      </c>
      <c r="B22" s="86" t="s">
        <v>301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302</v>
      </c>
      <c r="B23" s="86" t="s">
        <v>303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902" t="s">
        <v>304</v>
      </c>
      <c r="B24" s="902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35"/>
  <sheetViews>
    <sheetView showGridLines="0" view="pageBreakPreview" topLeftCell="A4" zoomScaleSheetLayoutView="100" workbookViewId="0">
      <selection activeCell="H17" sqref="H17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87" t="s">
        <v>315</v>
      </c>
      <c r="B1" s="887"/>
      <c r="C1" s="887"/>
      <c r="D1" s="908"/>
      <c r="E1" s="908"/>
    </row>
    <row r="2" spans="1:5" ht="16.5" customHeight="1" x14ac:dyDescent="0.25">
      <c r="A2" s="887" t="s">
        <v>1</v>
      </c>
      <c r="B2" s="887"/>
      <c r="C2" s="887"/>
      <c r="D2" s="908"/>
      <c r="E2" s="908"/>
    </row>
    <row r="3" spans="1:5" ht="16.5" customHeight="1" x14ac:dyDescent="0.25">
      <c r="A3" s="887" t="s">
        <v>2</v>
      </c>
      <c r="B3" s="887"/>
      <c r="C3" s="887"/>
      <c r="D3" s="908"/>
      <c r="E3" s="908"/>
    </row>
    <row r="4" spans="1:5" ht="16.5" customHeight="1" x14ac:dyDescent="0.25">
      <c r="A4" s="887" t="s">
        <v>1859</v>
      </c>
      <c r="B4" s="887"/>
      <c r="C4" s="887"/>
      <c r="D4" s="887"/>
      <c r="E4" s="887"/>
    </row>
    <row r="5" spans="1:5" ht="12.75" customHeight="1" x14ac:dyDescent="0.25">
      <c r="A5" s="887"/>
      <c r="B5" s="908"/>
      <c r="C5" s="908"/>
      <c r="D5" s="908"/>
      <c r="E5" s="908"/>
    </row>
    <row r="6" spans="1:5" ht="15.75" hidden="1" x14ac:dyDescent="0.25">
      <c r="A6" s="909"/>
      <c r="B6" s="910"/>
      <c r="C6" s="910"/>
      <c r="D6" s="910"/>
      <c r="E6" s="910"/>
    </row>
    <row r="7" spans="1:5" ht="35.25" customHeight="1" x14ac:dyDescent="0.2">
      <c r="A7" s="911" t="s">
        <v>1869</v>
      </c>
      <c r="B7" s="912"/>
      <c r="C7" s="912"/>
      <c r="D7" s="912"/>
      <c r="E7" s="912"/>
    </row>
    <row r="8" spans="1:5" ht="17.25" customHeight="1" x14ac:dyDescent="0.25">
      <c r="A8" s="5"/>
      <c r="B8" s="1"/>
      <c r="C8" s="1"/>
      <c r="D8" s="1"/>
      <c r="E8" s="542" t="s">
        <v>1669</v>
      </c>
    </row>
    <row r="9" spans="1:5" ht="15.75" hidden="1" x14ac:dyDescent="0.25">
      <c r="A9" s="913"/>
      <c r="B9" s="910"/>
      <c r="C9" s="910"/>
      <c r="D9" s="910"/>
      <c r="E9" s="910"/>
    </row>
    <row r="10" spans="1:5" ht="33.75" customHeight="1" x14ac:dyDescent="0.2">
      <c r="A10" s="914" t="s">
        <v>1929</v>
      </c>
      <c r="B10" s="915"/>
      <c r="C10" s="915"/>
      <c r="D10" s="915"/>
      <c r="E10" s="915"/>
    </row>
    <row r="11" spans="1:5" ht="0.95" hidden="1" customHeight="1" x14ac:dyDescent="0.25">
      <c r="A11" s="916"/>
      <c r="B11" s="917"/>
      <c r="C11" s="917"/>
      <c r="D11" s="917"/>
      <c r="E11" s="917"/>
    </row>
    <row r="12" spans="1:5" ht="33" customHeight="1" x14ac:dyDescent="0.2">
      <c r="A12" s="918" t="s">
        <v>1661</v>
      </c>
      <c r="B12" s="918"/>
      <c r="C12" s="537" t="s">
        <v>1663</v>
      </c>
      <c r="D12" s="537" t="s">
        <v>1664</v>
      </c>
      <c r="E12" s="537" t="s">
        <v>1868</v>
      </c>
    </row>
    <row r="13" spans="1:5" ht="20.25" customHeight="1" x14ac:dyDescent="0.25">
      <c r="A13" s="919" t="s">
        <v>316</v>
      </c>
      <c r="B13" s="919"/>
      <c r="C13" s="538"/>
      <c r="D13" s="538"/>
      <c r="E13" s="538"/>
    </row>
    <row r="14" spans="1:5" ht="20.25" customHeight="1" x14ac:dyDescent="0.25">
      <c r="A14" s="920" t="s">
        <v>317</v>
      </c>
      <c r="B14" s="920"/>
      <c r="C14" s="538">
        <v>3500000</v>
      </c>
      <c r="D14" s="538">
        <v>3500000</v>
      </c>
      <c r="E14" s="538">
        <v>3500000</v>
      </c>
    </row>
    <row r="15" spans="1:5" ht="18.95" customHeight="1" x14ac:dyDescent="0.25">
      <c r="A15" s="920" t="s">
        <v>318</v>
      </c>
      <c r="B15" s="920"/>
      <c r="C15" s="538"/>
      <c r="D15" s="538">
        <v>3500000</v>
      </c>
      <c r="E15" s="538">
        <v>3500000</v>
      </c>
    </row>
    <row r="16" spans="1:5" ht="15.75" x14ac:dyDescent="0.25">
      <c r="A16" s="919" t="s">
        <v>319</v>
      </c>
      <c r="B16" s="919"/>
      <c r="C16" s="538"/>
      <c r="D16" s="538"/>
      <c r="E16" s="538"/>
    </row>
    <row r="17" spans="1:5" ht="18" customHeight="1" x14ac:dyDescent="0.25">
      <c r="A17" s="920" t="s">
        <v>1665</v>
      </c>
      <c r="B17" s="920"/>
      <c r="C17" s="538"/>
      <c r="D17" s="538"/>
      <c r="E17" s="538"/>
    </row>
    <row r="18" spans="1:5" ht="15.75" x14ac:dyDescent="0.25">
      <c r="A18" s="921" t="s">
        <v>318</v>
      </c>
      <c r="B18" s="921"/>
      <c r="C18" s="538">
        <f>Пр5!C18</f>
        <v>0</v>
      </c>
      <c r="D18" s="538"/>
      <c r="E18" s="538"/>
    </row>
    <row r="19" spans="1:5" ht="15.75" x14ac:dyDescent="0.25">
      <c r="A19" s="922" t="s">
        <v>320</v>
      </c>
      <c r="B19" s="922"/>
      <c r="C19" s="538"/>
      <c r="D19" s="538"/>
      <c r="E19" s="538"/>
    </row>
    <row r="20" spans="1:5" ht="15.75" x14ac:dyDescent="0.25">
      <c r="A20" s="923" t="s">
        <v>321</v>
      </c>
      <c r="B20" s="923"/>
      <c r="C20" s="538">
        <f t="shared" ref="C20:E21" si="0">C14+C17</f>
        <v>3500000</v>
      </c>
      <c r="D20" s="538">
        <f t="shared" si="0"/>
        <v>3500000</v>
      </c>
      <c r="E20" s="538">
        <f t="shared" si="0"/>
        <v>3500000</v>
      </c>
    </row>
    <row r="21" spans="1:5" ht="15.75" x14ac:dyDescent="0.25">
      <c r="A21" s="923" t="s">
        <v>322</v>
      </c>
      <c r="B21" s="923"/>
      <c r="C21" s="538">
        <f t="shared" si="0"/>
        <v>0</v>
      </c>
      <c r="D21" s="538">
        <f t="shared" si="0"/>
        <v>3500000</v>
      </c>
      <c r="E21" s="538">
        <f t="shared" si="0"/>
        <v>3500000</v>
      </c>
    </row>
    <row r="22" spans="1:5" s="281" customFormat="1" ht="63" customHeight="1" x14ac:dyDescent="0.2">
      <c r="A22" s="905" t="s">
        <v>1935</v>
      </c>
      <c r="B22" s="906"/>
      <c r="C22" s="906"/>
      <c r="D22" s="906"/>
      <c r="E22" s="907"/>
    </row>
    <row r="23" spans="1:5" ht="33" customHeight="1" x14ac:dyDescent="0.2">
      <c r="A23" s="930" t="s">
        <v>1667</v>
      </c>
      <c r="B23" s="931"/>
      <c r="C23" s="931"/>
      <c r="D23" s="931"/>
      <c r="E23" s="932"/>
    </row>
    <row r="24" spans="1:5" s="281" customFormat="1" ht="33" customHeight="1" x14ac:dyDescent="0.2">
      <c r="A24" s="541" t="s">
        <v>1663</v>
      </c>
      <c r="B24" s="930" t="s">
        <v>1664</v>
      </c>
      <c r="C24" s="932"/>
      <c r="D24" s="930" t="s">
        <v>1868</v>
      </c>
      <c r="E24" s="932"/>
    </row>
    <row r="25" spans="1:5" s="281" customFormat="1" ht="33" customHeight="1" x14ac:dyDescent="0.2">
      <c r="A25" s="875">
        <v>500000</v>
      </c>
      <c r="B25" s="933">
        <v>500000</v>
      </c>
      <c r="C25" s="934"/>
      <c r="D25" s="933">
        <v>500000</v>
      </c>
      <c r="E25" s="934"/>
    </row>
    <row r="26" spans="1:5" ht="32.25" customHeight="1" x14ac:dyDescent="0.2">
      <c r="A26" s="924" t="s">
        <v>1668</v>
      </c>
      <c r="B26" s="925"/>
      <c r="C26" s="925"/>
      <c r="D26" s="925"/>
      <c r="E26" s="926"/>
    </row>
    <row r="27" spans="1:5" ht="15.75" x14ac:dyDescent="0.25">
      <c r="A27" s="918" t="s">
        <v>1661</v>
      </c>
      <c r="B27" s="929" t="s">
        <v>1660</v>
      </c>
      <c r="C27" s="929"/>
      <c r="D27" s="929"/>
      <c r="E27" s="929"/>
    </row>
    <row r="28" spans="1:5" ht="31.5" x14ac:dyDescent="0.25">
      <c r="A28" s="918"/>
      <c r="B28" s="543" t="s">
        <v>1662</v>
      </c>
      <c r="C28" s="543" t="s">
        <v>1364</v>
      </c>
      <c r="D28" s="543" t="s">
        <v>1642</v>
      </c>
      <c r="E28" s="543" t="s">
        <v>1870</v>
      </c>
    </row>
    <row r="29" spans="1:5" ht="31.7" customHeight="1" x14ac:dyDescent="0.25">
      <c r="A29" s="539" t="s">
        <v>323</v>
      </c>
      <c r="B29" s="536">
        <v>0</v>
      </c>
      <c r="C29" s="536">
        <v>3500000</v>
      </c>
      <c r="D29" s="160">
        <v>3500000</v>
      </c>
      <c r="E29" s="536">
        <v>3500000</v>
      </c>
    </row>
    <row r="30" spans="1:5" ht="15.75" x14ac:dyDescent="0.25">
      <c r="A30" s="539" t="s">
        <v>324</v>
      </c>
      <c r="B30" s="536">
        <v>0</v>
      </c>
      <c r="C30" s="536">
        <v>0</v>
      </c>
      <c r="D30" s="536">
        <v>0</v>
      </c>
      <c r="E30" s="536">
        <v>0</v>
      </c>
    </row>
    <row r="31" spans="1:5" ht="15.75" customHeight="1" x14ac:dyDescent="0.25">
      <c r="A31" s="539" t="s">
        <v>325</v>
      </c>
      <c r="B31" s="536">
        <f>Пр.8!C11</f>
        <v>20500000</v>
      </c>
      <c r="C31" s="536">
        <f>Пр.8!D11</f>
        <v>12500000</v>
      </c>
      <c r="D31" s="536">
        <f>Пр.8!E11</f>
        <v>4500000</v>
      </c>
      <c r="E31" s="536">
        <f>Пр.8!F11</f>
        <v>0</v>
      </c>
    </row>
    <row r="32" spans="1:5" ht="30.75" customHeight="1" x14ac:dyDescent="0.25">
      <c r="A32" s="539" t="s">
        <v>326</v>
      </c>
      <c r="B32" s="160">
        <f>B29+B30+B31</f>
        <v>20500000</v>
      </c>
      <c r="C32" s="160">
        <f t="shared" ref="C32:E32" si="1">C29+C30+C31</f>
        <v>16000000</v>
      </c>
      <c r="D32" s="160">
        <f t="shared" si="1"/>
        <v>8000000</v>
      </c>
      <c r="E32" s="160">
        <f t="shared" si="1"/>
        <v>3500000</v>
      </c>
    </row>
    <row r="33" spans="1:5" ht="30" customHeight="1" x14ac:dyDescent="0.25">
      <c r="A33" s="927"/>
      <c r="B33" s="928"/>
      <c r="C33" s="928"/>
      <c r="D33" s="928"/>
      <c r="E33" s="928"/>
    </row>
    <row r="34" spans="1:5" x14ac:dyDescent="0.2">
      <c r="A34" s="89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view="pageBreakPreview" topLeftCell="A7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1" customWidth="1"/>
    <col min="6" max="6" width="16.7109375" customWidth="1"/>
    <col min="7" max="7" width="108" customWidth="1"/>
  </cols>
  <sheetData>
    <row r="1" spans="1:6" ht="15.75" x14ac:dyDescent="0.25">
      <c r="A1" s="891" t="s">
        <v>382</v>
      </c>
      <c r="B1" s="891"/>
      <c r="C1" s="891"/>
      <c r="D1" s="891"/>
      <c r="E1" s="891"/>
      <c r="F1" s="891"/>
    </row>
    <row r="2" spans="1:6" ht="15.75" x14ac:dyDescent="0.25">
      <c r="A2" s="891" t="s">
        <v>1</v>
      </c>
      <c r="B2" s="891"/>
      <c r="C2" s="891"/>
      <c r="D2" s="891"/>
      <c r="E2" s="891"/>
      <c r="F2" s="891"/>
    </row>
    <row r="3" spans="1:6" ht="15.75" x14ac:dyDescent="0.25">
      <c r="A3" s="891" t="s">
        <v>2</v>
      </c>
      <c r="B3" s="891"/>
      <c r="C3" s="891"/>
      <c r="D3" s="891"/>
      <c r="E3" s="891"/>
      <c r="F3" s="891"/>
    </row>
    <row r="4" spans="1:6" ht="15.75" x14ac:dyDescent="0.25">
      <c r="A4" s="891" t="s">
        <v>1859</v>
      </c>
      <c r="B4" s="891"/>
      <c r="C4" s="891"/>
      <c r="D4" s="891"/>
      <c r="E4" s="891"/>
      <c r="F4" s="891"/>
    </row>
    <row r="5" spans="1:6" x14ac:dyDescent="0.2">
      <c r="A5" s="282"/>
      <c r="B5" s="282"/>
      <c r="C5" s="282"/>
      <c r="D5" s="282"/>
      <c r="E5" s="282"/>
      <c r="F5" s="282"/>
    </row>
    <row r="6" spans="1:6" ht="36" customHeight="1" x14ac:dyDescent="0.2">
      <c r="A6" s="950" t="s">
        <v>1867</v>
      </c>
      <c r="B6" s="950"/>
      <c r="C6" s="950"/>
      <c r="D6" s="950"/>
      <c r="E6" s="950"/>
      <c r="F6" s="950"/>
    </row>
    <row r="7" spans="1:6" ht="161.25" customHeight="1" x14ac:dyDescent="0.2">
      <c r="A7" s="935" t="s">
        <v>1889</v>
      </c>
      <c r="B7" s="936"/>
      <c r="C7" s="936"/>
      <c r="D7" s="936"/>
      <c r="E7" s="936"/>
      <c r="F7" s="936"/>
    </row>
    <row r="8" spans="1:6" ht="33" customHeight="1" x14ac:dyDescent="0.2">
      <c r="A8" s="947" t="s">
        <v>1896</v>
      </c>
      <c r="B8" s="947"/>
      <c r="C8" s="947"/>
      <c r="D8" s="947"/>
      <c r="E8" s="947"/>
      <c r="F8" s="947"/>
    </row>
    <row r="9" spans="1:6" s="281" customFormat="1" ht="66" customHeight="1" x14ac:dyDescent="0.2">
      <c r="A9" s="948" t="s">
        <v>1857</v>
      </c>
      <c r="B9" s="949"/>
      <c r="C9" s="852" t="s">
        <v>1890</v>
      </c>
      <c r="D9" s="852" t="s">
        <v>1891</v>
      </c>
      <c r="E9" s="852" t="s">
        <v>1892</v>
      </c>
      <c r="F9" s="851" t="s">
        <v>1893</v>
      </c>
    </row>
    <row r="10" spans="1:6" s="281" customFormat="1" ht="27" customHeight="1" x14ac:dyDescent="0.2">
      <c r="A10" s="937"/>
      <c r="B10" s="938"/>
      <c r="C10" s="852"/>
      <c r="D10" s="852"/>
      <c r="E10" s="852"/>
      <c r="F10" s="851"/>
    </row>
    <row r="11" spans="1:6" ht="45" customHeight="1" x14ac:dyDescent="0.25">
      <c r="A11" s="944" t="s">
        <v>1901</v>
      </c>
      <c r="B11" s="945"/>
      <c r="C11" s="839">
        <v>20500000</v>
      </c>
      <c r="D11" s="839">
        <v>12500000</v>
      </c>
      <c r="E11" s="839">
        <v>4500000</v>
      </c>
      <c r="F11" s="838">
        <v>0</v>
      </c>
    </row>
    <row r="12" spans="1:6" ht="15.75" x14ac:dyDescent="0.25">
      <c r="A12" s="828"/>
      <c r="B12" s="829"/>
      <c r="C12" s="829"/>
      <c r="D12" s="829"/>
      <c r="E12" s="829"/>
      <c r="F12" s="830"/>
    </row>
    <row r="13" spans="1:6" s="281" customFormat="1" ht="35.25" customHeight="1" x14ac:dyDescent="0.2">
      <c r="A13" s="943" t="s">
        <v>1894</v>
      </c>
      <c r="B13" s="943"/>
      <c r="C13" s="943"/>
      <c r="D13" s="943"/>
      <c r="E13" s="943"/>
      <c r="F13" s="943"/>
    </row>
    <row r="14" spans="1:6" ht="18" customHeight="1" x14ac:dyDescent="0.25">
      <c r="A14" s="946" t="s">
        <v>1895</v>
      </c>
      <c r="B14" s="946"/>
      <c r="C14" s="946"/>
      <c r="D14" s="946"/>
      <c r="E14" s="946"/>
      <c r="F14" s="946"/>
    </row>
    <row r="15" spans="1:6" ht="14.25" customHeight="1" x14ac:dyDescent="0.2">
      <c r="A15" s="939" t="s">
        <v>1897</v>
      </c>
      <c r="B15" s="939"/>
      <c r="C15" s="939"/>
      <c r="D15" s="939"/>
      <c r="E15" s="939"/>
      <c r="F15" s="939"/>
    </row>
    <row r="16" spans="1:6" ht="15.75" x14ac:dyDescent="0.25">
      <c r="A16" s="940" t="s">
        <v>1898</v>
      </c>
      <c r="B16" s="941"/>
      <c r="C16" s="941"/>
      <c r="D16" s="941"/>
      <c r="E16" s="941"/>
      <c r="F16" s="941"/>
    </row>
    <row r="17" spans="1:6" ht="15.75" x14ac:dyDescent="0.2">
      <c r="A17" s="942" t="s">
        <v>1899</v>
      </c>
      <c r="B17" s="942"/>
      <c r="C17" s="942"/>
      <c r="D17" s="942"/>
      <c r="E17" s="942"/>
      <c r="F17" s="942"/>
    </row>
    <row r="18" spans="1:6" ht="18.95" customHeight="1" x14ac:dyDescent="0.2">
      <c r="A18" s="853" t="s">
        <v>1900</v>
      </c>
      <c r="B18" s="831"/>
      <c r="C18" s="831"/>
      <c r="D18" s="831"/>
      <c r="E18" s="831"/>
      <c r="F18" s="831"/>
    </row>
    <row r="19" spans="1:6" ht="15.75" x14ac:dyDescent="0.25">
      <c r="A19" s="833"/>
      <c r="B19" s="832"/>
      <c r="C19" s="832"/>
      <c r="D19" s="832"/>
      <c r="E19" s="832"/>
      <c r="F19" s="834"/>
    </row>
    <row r="20" spans="1:6" ht="15.75" x14ac:dyDescent="0.25">
      <c r="A20" s="826"/>
      <c r="B20" s="827"/>
      <c r="C20" s="827"/>
      <c r="D20" s="827"/>
      <c r="E20" s="827"/>
      <c r="F20" s="827"/>
    </row>
    <row r="21" spans="1:6" ht="15.75" x14ac:dyDescent="0.25">
      <c r="A21" s="828"/>
      <c r="B21" s="829"/>
      <c r="C21" s="829"/>
      <c r="D21" s="829"/>
      <c r="E21" s="829"/>
      <c r="F21" s="830"/>
    </row>
    <row r="22" spans="1:6" ht="15.75" x14ac:dyDescent="0.25">
      <c r="A22" s="828"/>
      <c r="B22" s="829"/>
      <c r="C22" s="829"/>
      <c r="D22" s="829"/>
      <c r="E22" s="829"/>
      <c r="F22" s="830"/>
    </row>
    <row r="23" spans="1:6" ht="15.75" x14ac:dyDescent="0.25">
      <c r="A23" s="828"/>
      <c r="B23" s="829"/>
      <c r="C23" s="829"/>
      <c r="D23" s="829"/>
      <c r="E23" s="829"/>
      <c r="F23" s="830"/>
    </row>
    <row r="24" spans="1:6" ht="15.75" x14ac:dyDescent="0.25">
      <c r="A24" s="828"/>
      <c r="B24" s="829"/>
      <c r="C24" s="829"/>
      <c r="D24" s="829"/>
      <c r="E24" s="829"/>
      <c r="F24" s="830"/>
    </row>
    <row r="25" spans="1:6" x14ac:dyDescent="0.2">
      <c r="A25" s="835"/>
      <c r="B25" s="836"/>
      <c r="C25" s="836"/>
      <c r="D25" s="836"/>
      <c r="E25" s="836"/>
      <c r="F25" s="837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87" t="s">
        <v>1855</v>
      </c>
      <c r="B1" s="887"/>
      <c r="C1" s="887"/>
    </row>
    <row r="2" spans="1:3" ht="15.75" x14ac:dyDescent="0.25">
      <c r="A2" s="887" t="s">
        <v>1</v>
      </c>
      <c r="B2" s="887"/>
      <c r="C2" s="887"/>
    </row>
    <row r="3" spans="1:3" ht="15.75" x14ac:dyDescent="0.25">
      <c r="A3" s="887" t="s">
        <v>2</v>
      </c>
      <c r="B3" s="887"/>
      <c r="C3" s="887"/>
    </row>
    <row r="4" spans="1:3" ht="15.75" x14ac:dyDescent="0.25">
      <c r="A4" s="887" t="s">
        <v>1859</v>
      </c>
      <c r="B4" s="887"/>
      <c r="C4" s="887"/>
    </row>
    <row r="5" spans="1:3" ht="15.75" x14ac:dyDescent="0.25">
      <c r="A5" s="36"/>
      <c r="B5" s="1"/>
      <c r="C5" s="1"/>
    </row>
    <row r="6" spans="1:3" ht="68.25" customHeight="1" thickBot="1" x14ac:dyDescent="0.25">
      <c r="A6" s="888" t="s">
        <v>1594</v>
      </c>
      <c r="B6" s="888"/>
      <c r="C6" s="888"/>
    </row>
    <row r="7" spans="1:3" ht="15.75" hidden="1" x14ac:dyDescent="0.25">
      <c r="A7" s="5"/>
    </row>
    <row r="8" spans="1:3" ht="15.75" x14ac:dyDescent="0.2">
      <c r="A8" s="954" t="s">
        <v>327</v>
      </c>
      <c r="B8" s="955"/>
      <c r="C8" s="956"/>
    </row>
    <row r="9" spans="1:3" ht="33" customHeight="1" x14ac:dyDescent="0.2">
      <c r="A9" s="489">
        <v>950</v>
      </c>
      <c r="B9" s="370" t="s">
        <v>328</v>
      </c>
      <c r="C9" s="490" t="s">
        <v>62</v>
      </c>
    </row>
    <row r="10" spans="1:3" ht="31.5" x14ac:dyDescent="0.2">
      <c r="A10" s="489">
        <v>950</v>
      </c>
      <c r="B10" s="370" t="s">
        <v>329</v>
      </c>
      <c r="C10" s="490" t="s">
        <v>330</v>
      </c>
    </row>
    <row r="11" spans="1:3" ht="111" customHeight="1" x14ac:dyDescent="0.2">
      <c r="A11" s="489">
        <v>950</v>
      </c>
      <c r="B11" s="370" t="s">
        <v>1718</v>
      </c>
      <c r="C11" s="490" t="s">
        <v>1723</v>
      </c>
    </row>
    <row r="12" spans="1:3" ht="87.75" customHeight="1" x14ac:dyDescent="0.2">
      <c r="A12" s="489">
        <v>950</v>
      </c>
      <c r="B12" s="370" t="s">
        <v>1719</v>
      </c>
      <c r="C12" s="490" t="s">
        <v>1724</v>
      </c>
    </row>
    <row r="13" spans="1:3" ht="94.5" x14ac:dyDescent="0.2">
      <c r="A13" s="489">
        <v>950</v>
      </c>
      <c r="B13" s="370" t="s">
        <v>1720</v>
      </c>
      <c r="C13" s="490" t="s">
        <v>1725</v>
      </c>
    </row>
    <row r="14" spans="1:3" ht="97.5" customHeight="1" x14ac:dyDescent="0.2">
      <c r="A14" s="489">
        <v>950</v>
      </c>
      <c r="B14" s="370" t="s">
        <v>1721</v>
      </c>
      <c r="C14" s="490" t="s">
        <v>1726</v>
      </c>
    </row>
    <row r="15" spans="1:3" ht="101.25" customHeight="1" x14ac:dyDescent="0.2">
      <c r="A15" s="489">
        <v>950</v>
      </c>
      <c r="B15" s="370" t="s">
        <v>1722</v>
      </c>
      <c r="C15" s="490" t="s">
        <v>1727</v>
      </c>
    </row>
    <row r="16" spans="1:3" ht="71.25" customHeight="1" x14ac:dyDescent="0.2">
      <c r="A16" s="489">
        <v>950</v>
      </c>
      <c r="B16" s="664" t="s">
        <v>1730</v>
      </c>
      <c r="C16" s="490" t="s">
        <v>1729</v>
      </c>
    </row>
    <row r="17" spans="1:3" ht="78" customHeight="1" x14ac:dyDescent="0.2">
      <c r="A17" s="489">
        <v>950</v>
      </c>
      <c r="B17" s="664" t="s">
        <v>1732</v>
      </c>
      <c r="C17" s="490" t="s">
        <v>1731</v>
      </c>
    </row>
    <row r="18" spans="1:3" ht="94.5" x14ac:dyDescent="0.2">
      <c r="A18" s="491">
        <v>950</v>
      </c>
      <c r="B18" s="369" t="s">
        <v>1620</v>
      </c>
      <c r="C18" s="490" t="s">
        <v>1632</v>
      </c>
    </row>
    <row r="19" spans="1:3" ht="47.25" x14ac:dyDescent="0.2">
      <c r="A19" s="491">
        <v>950</v>
      </c>
      <c r="B19" s="369" t="s">
        <v>1621</v>
      </c>
      <c r="C19" s="490" t="s">
        <v>1633</v>
      </c>
    </row>
    <row r="20" spans="1:3" ht="78.75" x14ac:dyDescent="0.2">
      <c r="A20" s="491">
        <v>950</v>
      </c>
      <c r="B20" s="369" t="s">
        <v>1622</v>
      </c>
      <c r="C20" s="490" t="s">
        <v>1634</v>
      </c>
    </row>
    <row r="21" spans="1:3" ht="176.25" customHeight="1" x14ac:dyDescent="0.2">
      <c r="A21" s="489">
        <v>950</v>
      </c>
      <c r="B21" s="369" t="s">
        <v>1623</v>
      </c>
      <c r="C21" s="490" t="s">
        <v>1670</v>
      </c>
    </row>
    <row r="22" spans="1:3" ht="171.95" customHeight="1" x14ac:dyDescent="0.2">
      <c r="A22" s="491">
        <v>950</v>
      </c>
      <c r="B22" s="369" t="s">
        <v>1624</v>
      </c>
      <c r="C22" s="490" t="s">
        <v>1671</v>
      </c>
    </row>
    <row r="23" spans="1:3" ht="126" x14ac:dyDescent="0.2">
      <c r="A23" s="491">
        <v>950</v>
      </c>
      <c r="B23" s="369" t="s">
        <v>1625</v>
      </c>
      <c r="C23" s="490" t="s">
        <v>1635</v>
      </c>
    </row>
    <row r="24" spans="1:3" ht="78.75" x14ac:dyDescent="0.2">
      <c r="A24" s="491">
        <v>950</v>
      </c>
      <c r="B24" s="369" t="s">
        <v>1626</v>
      </c>
      <c r="C24" s="490" t="s">
        <v>1636</v>
      </c>
    </row>
    <row r="25" spans="1:3" ht="171" customHeight="1" x14ac:dyDescent="0.2">
      <c r="A25" s="856">
        <v>950</v>
      </c>
      <c r="B25" s="855" t="s">
        <v>1913</v>
      </c>
      <c r="C25" s="857" t="s">
        <v>1914</v>
      </c>
    </row>
    <row r="26" spans="1:3" ht="31.5" x14ac:dyDescent="0.2">
      <c r="A26" s="491">
        <v>950</v>
      </c>
      <c r="B26" s="370" t="s">
        <v>331</v>
      </c>
      <c r="C26" s="490" t="s">
        <v>332</v>
      </c>
    </row>
    <row r="27" spans="1:3" ht="31.5" x14ac:dyDescent="0.2">
      <c r="A27" s="491">
        <v>950</v>
      </c>
      <c r="B27" s="369" t="s">
        <v>333</v>
      </c>
      <c r="C27" s="490" t="s">
        <v>334</v>
      </c>
    </row>
    <row r="28" spans="1:3" ht="92.25" customHeight="1" x14ac:dyDescent="0.2">
      <c r="A28" s="491">
        <v>950</v>
      </c>
      <c r="B28" s="369" t="s">
        <v>1318</v>
      </c>
      <c r="C28" s="490" t="s">
        <v>1637</v>
      </c>
    </row>
    <row r="29" spans="1:3" ht="47.25" x14ac:dyDescent="0.2">
      <c r="A29" s="489">
        <v>950</v>
      </c>
      <c r="B29" s="369" t="s">
        <v>1627</v>
      </c>
      <c r="C29" s="490" t="s">
        <v>1295</v>
      </c>
    </row>
    <row r="30" spans="1:3" ht="63" x14ac:dyDescent="0.2">
      <c r="A30" s="491">
        <v>950</v>
      </c>
      <c r="B30" s="369" t="s">
        <v>1628</v>
      </c>
      <c r="C30" s="490" t="s">
        <v>1629</v>
      </c>
    </row>
    <row r="31" spans="1:3" ht="15.75" x14ac:dyDescent="0.2">
      <c r="A31" s="491">
        <v>950</v>
      </c>
      <c r="B31" s="369" t="s">
        <v>1304</v>
      </c>
      <c r="C31" s="490" t="s">
        <v>337</v>
      </c>
    </row>
    <row r="32" spans="1:3" ht="47.25" x14ac:dyDescent="0.2">
      <c r="A32" s="491">
        <v>950</v>
      </c>
      <c r="B32" s="369" t="s">
        <v>1317</v>
      </c>
      <c r="C32" s="490" t="s">
        <v>338</v>
      </c>
    </row>
    <row r="33" spans="1:3" ht="71.25" customHeight="1" x14ac:dyDescent="0.2">
      <c r="A33" s="491">
        <v>950</v>
      </c>
      <c r="B33" s="369" t="s">
        <v>1316</v>
      </c>
      <c r="C33" s="490" t="s">
        <v>1179</v>
      </c>
    </row>
    <row r="34" spans="1:3" ht="41.25" customHeight="1" x14ac:dyDescent="0.2">
      <c r="A34" s="491">
        <v>950</v>
      </c>
      <c r="B34" s="369" t="s">
        <v>1906</v>
      </c>
      <c r="C34" s="490" t="s">
        <v>1819</v>
      </c>
    </row>
    <row r="35" spans="1:3" ht="47.25" x14ac:dyDescent="0.2">
      <c r="A35" s="491">
        <v>950</v>
      </c>
      <c r="B35" s="369" t="s">
        <v>1315</v>
      </c>
      <c r="C35" s="490" t="s">
        <v>1178</v>
      </c>
    </row>
    <row r="36" spans="1:3" ht="78.75" x14ac:dyDescent="0.2">
      <c r="A36" s="493">
        <v>950</v>
      </c>
      <c r="B36" s="370" t="s">
        <v>1305</v>
      </c>
      <c r="C36" s="490" t="s">
        <v>339</v>
      </c>
    </row>
    <row r="37" spans="1:3" ht="31.5" x14ac:dyDescent="0.2">
      <c r="A37" s="493">
        <v>950</v>
      </c>
      <c r="B37" s="370" t="s">
        <v>1314</v>
      </c>
      <c r="C37" s="490" t="s">
        <v>340</v>
      </c>
    </row>
    <row r="38" spans="1:3" ht="31.5" x14ac:dyDescent="0.2">
      <c r="A38" s="493">
        <v>950</v>
      </c>
      <c r="B38" s="370" t="s">
        <v>1630</v>
      </c>
      <c r="C38" s="490" t="s">
        <v>1593</v>
      </c>
    </row>
    <row r="39" spans="1:3" ht="47.25" x14ac:dyDescent="0.2">
      <c r="A39" s="489">
        <v>950</v>
      </c>
      <c r="B39" s="369" t="s">
        <v>1296</v>
      </c>
      <c r="C39" s="490" t="s">
        <v>1297</v>
      </c>
    </row>
    <row r="40" spans="1:3" ht="31.5" x14ac:dyDescent="0.2">
      <c r="A40" s="491">
        <v>950</v>
      </c>
      <c r="B40" s="369" t="s">
        <v>1306</v>
      </c>
      <c r="C40" s="490" t="s">
        <v>336</v>
      </c>
    </row>
    <row r="41" spans="1:3" ht="63" x14ac:dyDescent="0.2">
      <c r="A41" s="491">
        <v>950</v>
      </c>
      <c r="B41" s="369" t="s">
        <v>1319</v>
      </c>
      <c r="C41" s="490" t="s">
        <v>1180</v>
      </c>
    </row>
    <row r="42" spans="1:3" ht="74.25" customHeight="1" x14ac:dyDescent="0.2">
      <c r="A42" s="491">
        <v>950</v>
      </c>
      <c r="B42" s="369" t="s">
        <v>1313</v>
      </c>
      <c r="C42" s="490" t="s">
        <v>1181</v>
      </c>
    </row>
    <row r="43" spans="1:3" ht="75" customHeight="1" x14ac:dyDescent="0.2">
      <c r="A43" s="491">
        <v>950</v>
      </c>
      <c r="B43" s="369" t="s">
        <v>1312</v>
      </c>
      <c r="C43" s="490" t="s">
        <v>1182</v>
      </c>
    </row>
    <row r="44" spans="1:3" ht="78" customHeight="1" x14ac:dyDescent="0.2">
      <c r="A44" s="489">
        <v>950</v>
      </c>
      <c r="B44" s="369" t="s">
        <v>1298</v>
      </c>
      <c r="C44" s="490" t="s">
        <v>1299</v>
      </c>
    </row>
    <row r="45" spans="1:3" ht="48" customHeight="1" x14ac:dyDescent="0.2">
      <c r="A45" s="489">
        <v>950</v>
      </c>
      <c r="B45" s="369" t="s">
        <v>1300</v>
      </c>
      <c r="C45" s="490" t="s">
        <v>1301</v>
      </c>
    </row>
    <row r="46" spans="1:3" ht="70.5" customHeight="1" x14ac:dyDescent="0.2">
      <c r="A46" s="491">
        <v>950</v>
      </c>
      <c r="B46" s="369" t="s">
        <v>1307</v>
      </c>
      <c r="C46" s="490" t="s">
        <v>1183</v>
      </c>
    </row>
    <row r="47" spans="1:3" ht="36" customHeight="1" x14ac:dyDescent="0.2">
      <c r="A47" s="951" t="s">
        <v>341</v>
      </c>
      <c r="B47" s="952"/>
      <c r="C47" s="953"/>
    </row>
    <row r="48" spans="1:3" ht="63" x14ac:dyDescent="0.2">
      <c r="A48" s="494">
        <v>952</v>
      </c>
      <c r="B48" s="372" t="s">
        <v>342</v>
      </c>
      <c r="C48" s="495" t="s">
        <v>343</v>
      </c>
    </row>
    <row r="49" spans="1:3" ht="110.25" x14ac:dyDescent="0.2">
      <c r="A49" s="494">
        <v>952</v>
      </c>
      <c r="B49" s="372" t="s">
        <v>1227</v>
      </c>
      <c r="C49" s="495" t="s">
        <v>1230</v>
      </c>
    </row>
    <row r="50" spans="1:3" ht="99.95" customHeight="1" x14ac:dyDescent="0.2">
      <c r="A50" s="494">
        <v>952</v>
      </c>
      <c r="B50" s="372" t="s">
        <v>1302</v>
      </c>
      <c r="C50" s="495" t="s">
        <v>1310</v>
      </c>
    </row>
    <row r="51" spans="1:3" ht="94.5" x14ac:dyDescent="0.2">
      <c r="A51" s="494">
        <v>952</v>
      </c>
      <c r="B51" s="372" t="s">
        <v>344</v>
      </c>
      <c r="C51" s="495" t="s">
        <v>345</v>
      </c>
    </row>
    <row r="52" spans="1:3" ht="47.25" x14ac:dyDescent="0.2">
      <c r="A52" s="494">
        <v>952</v>
      </c>
      <c r="B52" s="372" t="s">
        <v>346</v>
      </c>
      <c r="C52" s="495" t="s">
        <v>347</v>
      </c>
    </row>
    <row r="53" spans="1:3" ht="63" x14ac:dyDescent="0.2">
      <c r="A53" s="494">
        <v>952</v>
      </c>
      <c r="B53" s="372" t="s">
        <v>348</v>
      </c>
      <c r="C53" s="495" t="s">
        <v>349</v>
      </c>
    </row>
    <row r="54" spans="1:3" ht="110.25" x14ac:dyDescent="0.2">
      <c r="A54" s="494">
        <v>952</v>
      </c>
      <c r="B54" s="372" t="s">
        <v>1936</v>
      </c>
      <c r="C54" s="495" t="s">
        <v>1937</v>
      </c>
    </row>
    <row r="55" spans="1:3" ht="30.75" customHeight="1" x14ac:dyDescent="0.2">
      <c r="A55" s="494">
        <v>952</v>
      </c>
      <c r="B55" s="372" t="s">
        <v>383</v>
      </c>
      <c r="C55" s="495" t="s">
        <v>330</v>
      </c>
    </row>
    <row r="56" spans="1:3" ht="96.75" customHeight="1" x14ac:dyDescent="0.2">
      <c r="A56" s="494">
        <v>952</v>
      </c>
      <c r="B56" s="372" t="s">
        <v>350</v>
      </c>
      <c r="C56" s="495" t="s">
        <v>351</v>
      </c>
    </row>
    <row r="57" spans="1:3" ht="110.25" x14ac:dyDescent="0.2">
      <c r="A57" s="494">
        <v>952</v>
      </c>
      <c r="B57" s="372" t="s">
        <v>352</v>
      </c>
      <c r="C57" s="495" t="s">
        <v>353</v>
      </c>
    </row>
    <row r="58" spans="1:3" ht="63.95" customHeight="1" x14ac:dyDescent="0.2">
      <c r="A58" s="494">
        <v>952</v>
      </c>
      <c r="B58" s="372" t="s">
        <v>1228</v>
      </c>
      <c r="C58" s="495" t="s">
        <v>1231</v>
      </c>
    </row>
    <row r="59" spans="1:3" ht="63.95" customHeight="1" x14ac:dyDescent="0.2">
      <c r="A59" s="494">
        <v>952</v>
      </c>
      <c r="B59" s="372" t="s">
        <v>1303</v>
      </c>
      <c r="C59" s="495" t="s">
        <v>1311</v>
      </c>
    </row>
    <row r="60" spans="1:3" ht="63" x14ac:dyDescent="0.2">
      <c r="A60" s="494">
        <v>952</v>
      </c>
      <c r="B60" s="372" t="s">
        <v>354</v>
      </c>
      <c r="C60" s="495" t="s">
        <v>73</v>
      </c>
    </row>
    <row r="61" spans="1:3" ht="85.7" customHeight="1" x14ac:dyDescent="0.2">
      <c r="A61" s="494">
        <v>952</v>
      </c>
      <c r="B61" s="372" t="s">
        <v>1733</v>
      </c>
      <c r="C61" s="495" t="s">
        <v>1731</v>
      </c>
    </row>
    <row r="62" spans="1:3" ht="94.5" x14ac:dyDescent="0.2">
      <c r="A62" s="494">
        <v>952</v>
      </c>
      <c r="B62" s="372" t="s">
        <v>1620</v>
      </c>
      <c r="C62" s="495" t="s">
        <v>1632</v>
      </c>
    </row>
    <row r="63" spans="1:3" ht="47.25" x14ac:dyDescent="0.2">
      <c r="A63" s="494">
        <v>952</v>
      </c>
      <c r="B63" s="372" t="s">
        <v>1621</v>
      </c>
      <c r="C63" s="495" t="s">
        <v>1633</v>
      </c>
    </row>
    <row r="64" spans="1:3" ht="78.75" x14ac:dyDescent="0.2">
      <c r="A64" s="494">
        <v>952</v>
      </c>
      <c r="B64" s="372" t="s">
        <v>1622</v>
      </c>
      <c r="C64" s="495" t="s">
        <v>1634</v>
      </c>
    </row>
    <row r="65" spans="1:3" ht="178.5" customHeight="1" x14ac:dyDescent="0.2">
      <c r="A65" s="494">
        <v>952</v>
      </c>
      <c r="B65" s="372" t="s">
        <v>1631</v>
      </c>
      <c r="C65" s="495" t="s">
        <v>1670</v>
      </c>
    </row>
    <row r="66" spans="1:3" ht="126" x14ac:dyDescent="0.2">
      <c r="A66" s="494">
        <v>952</v>
      </c>
      <c r="B66" s="372" t="s">
        <v>1625</v>
      </c>
      <c r="C66" s="495" t="s">
        <v>1635</v>
      </c>
    </row>
    <row r="67" spans="1:3" ht="31.5" x14ac:dyDescent="0.2">
      <c r="A67" s="494">
        <v>952</v>
      </c>
      <c r="B67" s="487" t="s">
        <v>331</v>
      </c>
      <c r="C67" s="495" t="s">
        <v>332</v>
      </c>
    </row>
    <row r="68" spans="1:3" ht="31.5" x14ac:dyDescent="0.2">
      <c r="A68" s="494">
        <v>952</v>
      </c>
      <c r="B68" s="487" t="s">
        <v>333</v>
      </c>
      <c r="C68" s="495" t="s">
        <v>334</v>
      </c>
    </row>
    <row r="69" spans="1:3" ht="78.75" x14ac:dyDescent="0.2">
      <c r="A69" s="494">
        <v>952</v>
      </c>
      <c r="B69" s="372" t="s">
        <v>1305</v>
      </c>
      <c r="C69" s="495" t="s">
        <v>339</v>
      </c>
    </row>
    <row r="70" spans="1:3" ht="36.950000000000003" customHeight="1" x14ac:dyDescent="0.2">
      <c r="A70" s="494">
        <v>952</v>
      </c>
      <c r="B70" s="372" t="s">
        <v>1306</v>
      </c>
      <c r="C70" s="495" t="s">
        <v>336</v>
      </c>
    </row>
    <row r="71" spans="1:3" ht="63" customHeight="1" x14ac:dyDescent="0.2">
      <c r="A71" s="494">
        <v>952</v>
      </c>
      <c r="B71" s="372" t="s">
        <v>1307</v>
      </c>
      <c r="C71" s="495" t="s">
        <v>1183</v>
      </c>
    </row>
    <row r="72" spans="1:3" ht="15.75" x14ac:dyDescent="0.2">
      <c r="A72" s="951" t="s">
        <v>355</v>
      </c>
      <c r="B72" s="952"/>
      <c r="C72" s="953"/>
    </row>
    <row r="73" spans="1:3" ht="47.25" x14ac:dyDescent="0.2">
      <c r="A73" s="496">
        <v>953</v>
      </c>
      <c r="B73" s="373" t="s">
        <v>328</v>
      </c>
      <c r="C73" s="497" t="s">
        <v>62</v>
      </c>
    </row>
    <row r="74" spans="1:3" ht="31.5" x14ac:dyDescent="0.2">
      <c r="A74" s="498">
        <v>953</v>
      </c>
      <c r="B74" s="373" t="s">
        <v>329</v>
      </c>
      <c r="C74" s="497" t="s">
        <v>330</v>
      </c>
    </row>
    <row r="75" spans="1:3" ht="87" customHeight="1" x14ac:dyDescent="0.2">
      <c r="A75" s="498">
        <v>953</v>
      </c>
      <c r="B75" s="373" t="s">
        <v>1733</v>
      </c>
      <c r="C75" s="497" t="s">
        <v>1731</v>
      </c>
    </row>
    <row r="76" spans="1:3" ht="94.5" x14ac:dyDescent="0.2">
      <c r="A76" s="499">
        <v>953</v>
      </c>
      <c r="B76" s="374" t="s">
        <v>1638</v>
      </c>
      <c r="C76" s="497" t="s">
        <v>1632</v>
      </c>
    </row>
    <row r="77" spans="1:3" ht="47.25" x14ac:dyDescent="0.2">
      <c r="A77" s="499">
        <v>953</v>
      </c>
      <c r="B77" s="374" t="s">
        <v>1621</v>
      </c>
      <c r="C77" s="497" t="s">
        <v>1633</v>
      </c>
    </row>
    <row r="78" spans="1:3" ht="78.75" x14ac:dyDescent="0.2">
      <c r="A78" s="499">
        <v>953</v>
      </c>
      <c r="B78" s="374" t="s">
        <v>1622</v>
      </c>
      <c r="C78" s="497" t="s">
        <v>1634</v>
      </c>
    </row>
    <row r="79" spans="1:3" ht="175.7" customHeight="1" x14ac:dyDescent="0.2">
      <c r="A79" s="499">
        <v>953</v>
      </c>
      <c r="B79" s="374" t="s">
        <v>1623</v>
      </c>
      <c r="C79" s="497" t="s">
        <v>1670</v>
      </c>
    </row>
    <row r="80" spans="1:3" ht="126" x14ac:dyDescent="0.2">
      <c r="A80" s="499">
        <v>953</v>
      </c>
      <c r="B80" s="374" t="s">
        <v>1625</v>
      </c>
      <c r="C80" s="497" t="s">
        <v>1635</v>
      </c>
    </row>
    <row r="81" spans="1:3" ht="31.5" x14ac:dyDescent="0.2">
      <c r="A81" s="499">
        <v>953</v>
      </c>
      <c r="B81" s="373" t="s">
        <v>331</v>
      </c>
      <c r="C81" s="497" t="s">
        <v>332</v>
      </c>
    </row>
    <row r="82" spans="1:3" ht="31.5" x14ac:dyDescent="0.2">
      <c r="A82" s="499">
        <v>953</v>
      </c>
      <c r="B82" s="374" t="s">
        <v>333</v>
      </c>
      <c r="C82" s="497" t="s">
        <v>334</v>
      </c>
    </row>
    <row r="83" spans="1:3" ht="63.95" customHeight="1" x14ac:dyDescent="0.2">
      <c r="A83" s="499">
        <v>953</v>
      </c>
      <c r="B83" s="374" t="s">
        <v>1653</v>
      </c>
      <c r="C83" s="497" t="s">
        <v>1654</v>
      </c>
    </row>
    <row r="84" spans="1:3" ht="31.5" x14ac:dyDescent="0.2">
      <c r="A84" s="499">
        <v>953</v>
      </c>
      <c r="B84" s="374" t="s">
        <v>1887</v>
      </c>
      <c r="C84" s="497" t="s">
        <v>1888</v>
      </c>
    </row>
    <row r="85" spans="1:3" ht="25.5" customHeight="1" x14ac:dyDescent="0.2">
      <c r="A85" s="499">
        <v>953</v>
      </c>
      <c r="B85" s="374" t="s">
        <v>1304</v>
      </c>
      <c r="C85" s="497" t="s">
        <v>337</v>
      </c>
    </row>
    <row r="86" spans="1:3" ht="47.25" x14ac:dyDescent="0.2">
      <c r="A86" s="499">
        <v>953</v>
      </c>
      <c r="B86" s="374" t="s">
        <v>1317</v>
      </c>
      <c r="C86" s="497" t="s">
        <v>338</v>
      </c>
    </row>
    <row r="87" spans="1:3" ht="56.25" customHeight="1" x14ac:dyDescent="0.2">
      <c r="A87" s="499">
        <v>953</v>
      </c>
      <c r="B87" s="374" t="s">
        <v>1322</v>
      </c>
      <c r="C87" s="497" t="s">
        <v>356</v>
      </c>
    </row>
    <row r="88" spans="1:3" ht="69" customHeight="1" x14ac:dyDescent="0.2">
      <c r="A88" s="499">
        <v>953</v>
      </c>
      <c r="B88" s="374" t="s">
        <v>1884</v>
      </c>
      <c r="C88" s="497" t="s">
        <v>1834</v>
      </c>
    </row>
    <row r="89" spans="1:3" ht="84.75" customHeight="1" x14ac:dyDescent="0.2">
      <c r="A89" s="499">
        <v>953</v>
      </c>
      <c r="B89" s="374" t="s">
        <v>1883</v>
      </c>
      <c r="C89" s="497" t="s">
        <v>1844</v>
      </c>
    </row>
    <row r="90" spans="1:3" ht="78.75" x14ac:dyDescent="0.2">
      <c r="A90" s="499">
        <v>953</v>
      </c>
      <c r="B90" s="374" t="s">
        <v>1305</v>
      </c>
      <c r="C90" s="497" t="s">
        <v>339</v>
      </c>
    </row>
    <row r="91" spans="1:3" ht="47.25" x14ac:dyDescent="0.2">
      <c r="A91" s="499">
        <v>953</v>
      </c>
      <c r="B91" s="374" t="s">
        <v>1296</v>
      </c>
      <c r="C91" s="497" t="s">
        <v>335</v>
      </c>
    </row>
    <row r="92" spans="1:3" ht="63" x14ac:dyDescent="0.2">
      <c r="A92" s="500">
        <v>953</v>
      </c>
      <c r="B92" s="375" t="s">
        <v>1320</v>
      </c>
      <c r="C92" s="501" t="s">
        <v>1321</v>
      </c>
    </row>
    <row r="93" spans="1:3" ht="63" x14ac:dyDescent="0.2">
      <c r="A93" s="499">
        <v>953</v>
      </c>
      <c r="B93" s="374" t="s">
        <v>1307</v>
      </c>
      <c r="C93" s="497" t="s">
        <v>1184</v>
      </c>
    </row>
    <row r="94" spans="1:3" ht="33.75" customHeight="1" x14ac:dyDescent="0.2">
      <c r="A94" s="957" t="s">
        <v>357</v>
      </c>
      <c r="B94" s="958"/>
      <c r="C94" s="959"/>
    </row>
    <row r="95" spans="1:3" ht="31.5" x14ac:dyDescent="0.2">
      <c r="A95" s="499">
        <v>954</v>
      </c>
      <c r="B95" s="373" t="s">
        <v>329</v>
      </c>
      <c r="C95" s="497" t="s">
        <v>330</v>
      </c>
    </row>
    <row r="96" spans="1:3" ht="94.5" x14ac:dyDescent="0.2">
      <c r="A96" s="499">
        <v>954</v>
      </c>
      <c r="B96" s="373" t="s">
        <v>1733</v>
      </c>
      <c r="C96" s="497" t="s">
        <v>1731</v>
      </c>
    </row>
    <row r="97" spans="1:3" ht="94.5" x14ac:dyDescent="0.2">
      <c r="A97" s="499">
        <v>954</v>
      </c>
      <c r="B97" s="374" t="s">
        <v>1620</v>
      </c>
      <c r="C97" s="497" t="s">
        <v>1632</v>
      </c>
    </row>
    <row r="98" spans="1:3" ht="47.25" x14ac:dyDescent="0.2">
      <c r="A98" s="499">
        <v>954</v>
      </c>
      <c r="B98" s="374" t="s">
        <v>1621</v>
      </c>
      <c r="C98" s="497" t="s">
        <v>1633</v>
      </c>
    </row>
    <row r="99" spans="1:3" ht="178.5" customHeight="1" x14ac:dyDescent="0.2">
      <c r="A99" s="499">
        <v>954</v>
      </c>
      <c r="B99" s="374" t="s">
        <v>1623</v>
      </c>
      <c r="C99" s="497" t="s">
        <v>1670</v>
      </c>
    </row>
    <row r="100" spans="1:3" ht="126" x14ac:dyDescent="0.2">
      <c r="A100" s="499">
        <v>954</v>
      </c>
      <c r="B100" s="374" t="s">
        <v>1625</v>
      </c>
      <c r="C100" s="497" t="s">
        <v>1635</v>
      </c>
    </row>
    <row r="101" spans="1:3" ht="31.5" x14ac:dyDescent="0.2">
      <c r="A101" s="499">
        <v>954</v>
      </c>
      <c r="B101" s="373" t="s">
        <v>331</v>
      </c>
      <c r="C101" s="497" t="s">
        <v>332</v>
      </c>
    </row>
    <row r="102" spans="1:3" ht="47.25" x14ac:dyDescent="0.2">
      <c r="A102" s="500">
        <v>954</v>
      </c>
      <c r="B102" s="399" t="s">
        <v>1324</v>
      </c>
      <c r="C102" s="497" t="s">
        <v>1325</v>
      </c>
    </row>
    <row r="103" spans="1:3" ht="47.25" x14ac:dyDescent="0.2">
      <c r="A103" s="499">
        <v>954</v>
      </c>
      <c r="B103" s="374" t="s">
        <v>1317</v>
      </c>
      <c r="C103" s="497" t="s">
        <v>338</v>
      </c>
    </row>
    <row r="104" spans="1:3" ht="78.75" x14ac:dyDescent="0.2">
      <c r="A104" s="499">
        <v>954</v>
      </c>
      <c r="B104" s="374" t="s">
        <v>1326</v>
      </c>
      <c r="C104" s="497" t="s">
        <v>360</v>
      </c>
    </row>
    <row r="105" spans="1:3" ht="78.75" x14ac:dyDescent="0.2">
      <c r="A105" s="499">
        <v>954</v>
      </c>
      <c r="B105" s="374" t="s">
        <v>1327</v>
      </c>
      <c r="C105" s="497" t="s">
        <v>1672</v>
      </c>
    </row>
    <row r="106" spans="1:3" ht="84" customHeight="1" x14ac:dyDescent="0.2">
      <c r="A106" s="499">
        <v>954</v>
      </c>
      <c r="B106" s="374" t="s">
        <v>1329</v>
      </c>
      <c r="C106" s="497" t="s">
        <v>1328</v>
      </c>
    </row>
    <row r="107" spans="1:3" ht="66.75" customHeight="1" x14ac:dyDescent="0.2">
      <c r="A107" s="499">
        <v>954</v>
      </c>
      <c r="B107" s="374" t="s">
        <v>1910</v>
      </c>
      <c r="C107" s="497" t="s">
        <v>1912</v>
      </c>
    </row>
    <row r="108" spans="1:3" ht="47.25" x14ac:dyDescent="0.2">
      <c r="A108" s="499">
        <v>954</v>
      </c>
      <c r="B108" s="374" t="s">
        <v>1330</v>
      </c>
      <c r="C108" s="497" t="s">
        <v>358</v>
      </c>
    </row>
    <row r="109" spans="1:3" ht="94.5" x14ac:dyDescent="0.2">
      <c r="A109" s="499">
        <v>954</v>
      </c>
      <c r="B109" s="374" t="s">
        <v>1331</v>
      </c>
      <c r="C109" s="497" t="s">
        <v>359</v>
      </c>
    </row>
    <row r="110" spans="1:3" ht="47.25" x14ac:dyDescent="0.2">
      <c r="A110" s="499">
        <v>954</v>
      </c>
      <c r="B110" s="374" t="s">
        <v>1885</v>
      </c>
      <c r="C110" s="497" t="s">
        <v>1813</v>
      </c>
    </row>
    <row r="111" spans="1:3" ht="111.75" customHeight="1" x14ac:dyDescent="0.2">
      <c r="A111" s="499">
        <v>954</v>
      </c>
      <c r="B111" s="374" t="s">
        <v>1332</v>
      </c>
      <c r="C111" s="497" t="s">
        <v>1657</v>
      </c>
    </row>
    <row r="112" spans="1:3" ht="65.25" customHeight="1" x14ac:dyDescent="0.2">
      <c r="A112" s="499">
        <v>954</v>
      </c>
      <c r="B112" s="374" t="s">
        <v>1905</v>
      </c>
      <c r="C112" s="497" t="s">
        <v>1841</v>
      </c>
    </row>
    <row r="113" spans="1:3" ht="66.75" customHeight="1" x14ac:dyDescent="0.2">
      <c r="A113" s="499">
        <v>954</v>
      </c>
      <c r="B113" s="374" t="s">
        <v>1333</v>
      </c>
      <c r="C113" s="497" t="s">
        <v>1189</v>
      </c>
    </row>
    <row r="114" spans="1:3" ht="54" customHeight="1" x14ac:dyDescent="0.2">
      <c r="A114" s="498">
        <v>954</v>
      </c>
      <c r="B114" s="488" t="s">
        <v>1334</v>
      </c>
      <c r="C114" s="497" t="s">
        <v>1673</v>
      </c>
    </row>
    <row r="115" spans="1:3" ht="66.75" customHeight="1" x14ac:dyDescent="0.2">
      <c r="A115" s="498">
        <v>954</v>
      </c>
      <c r="B115" s="488" t="s">
        <v>1305</v>
      </c>
      <c r="C115" s="497" t="s">
        <v>339</v>
      </c>
    </row>
    <row r="116" spans="1:3" ht="31.5" x14ac:dyDescent="0.2">
      <c r="A116" s="499">
        <v>954</v>
      </c>
      <c r="B116" s="373" t="s">
        <v>1323</v>
      </c>
      <c r="C116" s="497" t="s">
        <v>340</v>
      </c>
    </row>
    <row r="117" spans="1:3" ht="47.25" x14ac:dyDescent="0.2">
      <c r="A117" s="499">
        <v>954</v>
      </c>
      <c r="B117" s="374" t="s">
        <v>1296</v>
      </c>
      <c r="C117" s="497" t="s">
        <v>335</v>
      </c>
    </row>
    <row r="118" spans="1:3" ht="81" customHeight="1" x14ac:dyDescent="0.2">
      <c r="A118" s="498">
        <v>954</v>
      </c>
      <c r="B118" s="375" t="s">
        <v>1335</v>
      </c>
      <c r="C118" s="497" t="s">
        <v>1336</v>
      </c>
    </row>
    <row r="119" spans="1:3" ht="83.25" customHeight="1" x14ac:dyDescent="0.2">
      <c r="A119" s="498">
        <v>954</v>
      </c>
      <c r="B119" s="375" t="s">
        <v>1337</v>
      </c>
      <c r="C119" s="497" t="s">
        <v>1338</v>
      </c>
    </row>
    <row r="120" spans="1:3" ht="53.25" customHeight="1" x14ac:dyDescent="0.2">
      <c r="A120" s="498">
        <v>954</v>
      </c>
      <c r="B120" s="375" t="s">
        <v>1339</v>
      </c>
      <c r="C120" s="497" t="s">
        <v>1340</v>
      </c>
    </row>
    <row r="121" spans="1:3" ht="135" customHeight="1" x14ac:dyDescent="0.2">
      <c r="A121" s="498">
        <v>954</v>
      </c>
      <c r="B121" s="375" t="s">
        <v>1341</v>
      </c>
      <c r="C121" s="502" t="s">
        <v>1342</v>
      </c>
    </row>
    <row r="122" spans="1:3" ht="161.25" customHeight="1" x14ac:dyDescent="0.2">
      <c r="A122" s="498">
        <v>954</v>
      </c>
      <c r="B122" s="375" t="s">
        <v>1343</v>
      </c>
      <c r="C122" s="502" t="s">
        <v>1344</v>
      </c>
    </row>
    <row r="123" spans="1:3" ht="70.5" customHeight="1" x14ac:dyDescent="0.2">
      <c r="A123" s="498">
        <v>954</v>
      </c>
      <c r="B123" s="375" t="s">
        <v>1345</v>
      </c>
      <c r="C123" s="497" t="s">
        <v>1346</v>
      </c>
    </row>
    <row r="124" spans="1:3" ht="70.5" customHeight="1" x14ac:dyDescent="0.2">
      <c r="A124" s="498">
        <v>954</v>
      </c>
      <c r="B124" s="375" t="s">
        <v>1348</v>
      </c>
      <c r="C124" s="497" t="s">
        <v>1347</v>
      </c>
    </row>
    <row r="125" spans="1:3" ht="63" x14ac:dyDescent="0.2">
      <c r="A125" s="499">
        <v>954</v>
      </c>
      <c r="B125" s="374" t="s">
        <v>1307</v>
      </c>
      <c r="C125" s="497" t="s">
        <v>1184</v>
      </c>
    </row>
    <row r="126" spans="1:3" ht="15.75" x14ac:dyDescent="0.2">
      <c r="A126" s="951" t="s">
        <v>361</v>
      </c>
      <c r="B126" s="952"/>
      <c r="C126" s="953"/>
    </row>
    <row r="127" spans="1:3" ht="31.5" x14ac:dyDescent="0.2">
      <c r="A127" s="498">
        <v>955</v>
      </c>
      <c r="B127" s="373" t="s">
        <v>329</v>
      </c>
      <c r="C127" s="497" t="s">
        <v>330</v>
      </c>
    </row>
    <row r="128" spans="1:3" ht="131.25" customHeight="1" x14ac:dyDescent="0.2">
      <c r="A128" s="659">
        <v>955</v>
      </c>
      <c r="B128" s="660" t="s">
        <v>1639</v>
      </c>
      <c r="C128" s="661" t="s">
        <v>1640</v>
      </c>
    </row>
    <row r="129" spans="1:3" ht="86.25" customHeight="1" x14ac:dyDescent="0.2">
      <c r="A129" s="659">
        <v>955</v>
      </c>
      <c r="B129" s="660" t="s">
        <v>1733</v>
      </c>
      <c r="C129" s="661" t="s">
        <v>1731</v>
      </c>
    </row>
    <row r="130" spans="1:3" ht="94.5" x14ac:dyDescent="0.2">
      <c r="A130" s="498">
        <v>955</v>
      </c>
      <c r="B130" s="374" t="s">
        <v>1620</v>
      </c>
      <c r="C130" s="497" t="s">
        <v>1632</v>
      </c>
    </row>
    <row r="131" spans="1:3" ht="78.75" x14ac:dyDescent="0.2">
      <c r="A131" s="499">
        <v>955</v>
      </c>
      <c r="B131" s="374" t="s">
        <v>1622</v>
      </c>
      <c r="C131" s="497" t="s">
        <v>1634</v>
      </c>
    </row>
    <row r="132" spans="1:3" ht="182.25" customHeight="1" x14ac:dyDescent="0.2">
      <c r="A132" s="526">
        <v>955</v>
      </c>
      <c r="B132" s="527" t="s">
        <v>1623</v>
      </c>
      <c r="C132" s="528" t="s">
        <v>1670</v>
      </c>
    </row>
    <row r="133" spans="1:3" ht="126" x14ac:dyDescent="0.2">
      <c r="A133" s="529">
        <v>955</v>
      </c>
      <c r="B133" s="527" t="s">
        <v>1625</v>
      </c>
      <c r="C133" s="528" t="s">
        <v>1635</v>
      </c>
    </row>
    <row r="134" spans="1:3" ht="63" x14ac:dyDescent="0.2">
      <c r="A134" s="691">
        <v>955</v>
      </c>
      <c r="B134" s="527" t="s">
        <v>1735</v>
      </c>
      <c r="C134" s="692" t="s">
        <v>1734</v>
      </c>
    </row>
    <row r="135" spans="1:3" ht="31.5" x14ac:dyDescent="0.2">
      <c r="A135" s="498">
        <v>955</v>
      </c>
      <c r="B135" s="373" t="s">
        <v>331</v>
      </c>
      <c r="C135" s="497" t="s">
        <v>332</v>
      </c>
    </row>
    <row r="136" spans="1:3" ht="31.5" x14ac:dyDescent="0.2">
      <c r="A136" s="498">
        <v>955</v>
      </c>
      <c r="B136" s="373" t="s">
        <v>333</v>
      </c>
      <c r="C136" s="497" t="s">
        <v>334</v>
      </c>
    </row>
    <row r="137" spans="1:3" ht="31.5" x14ac:dyDescent="0.2">
      <c r="A137" s="498">
        <v>955</v>
      </c>
      <c r="B137" s="374" t="s">
        <v>1349</v>
      </c>
      <c r="C137" s="497" t="s">
        <v>1226</v>
      </c>
    </row>
    <row r="138" spans="1:3" ht="33.75" customHeight="1" x14ac:dyDescent="0.2">
      <c r="A138" s="498">
        <v>955</v>
      </c>
      <c r="B138" s="374" t="s">
        <v>1350</v>
      </c>
      <c r="C138" s="497" t="s">
        <v>362</v>
      </c>
    </row>
    <row r="139" spans="1:3" ht="24" customHeight="1" x14ac:dyDescent="0.2">
      <c r="A139" s="498">
        <v>955</v>
      </c>
      <c r="B139" s="374" t="s">
        <v>1351</v>
      </c>
      <c r="C139" s="497" t="s">
        <v>384</v>
      </c>
    </row>
    <row r="140" spans="1:3" ht="78.75" x14ac:dyDescent="0.2">
      <c r="A140" s="498">
        <v>955</v>
      </c>
      <c r="B140" s="374" t="s">
        <v>1305</v>
      </c>
      <c r="C140" s="497" t="s">
        <v>339</v>
      </c>
    </row>
    <row r="141" spans="1:3" ht="63" x14ac:dyDescent="0.2">
      <c r="A141" s="498">
        <v>955</v>
      </c>
      <c r="B141" s="399" t="s">
        <v>1353</v>
      </c>
      <c r="C141" s="501" t="s">
        <v>128</v>
      </c>
    </row>
    <row r="142" spans="1:3" ht="110.25" x14ac:dyDescent="0.2">
      <c r="A142" s="498">
        <v>955</v>
      </c>
      <c r="B142" s="374" t="s">
        <v>1352</v>
      </c>
      <c r="C142" s="497" t="s">
        <v>363</v>
      </c>
    </row>
    <row r="143" spans="1:3" ht="78.75" x14ac:dyDescent="0.2">
      <c r="A143" s="498">
        <v>955</v>
      </c>
      <c r="B143" s="399" t="s">
        <v>1354</v>
      </c>
      <c r="C143" s="501" t="s">
        <v>1355</v>
      </c>
    </row>
    <row r="144" spans="1:3" ht="63" x14ac:dyDescent="0.2">
      <c r="A144" s="498">
        <v>955</v>
      </c>
      <c r="B144" s="374" t="s">
        <v>1319</v>
      </c>
      <c r="C144" s="497" t="s">
        <v>1180</v>
      </c>
    </row>
    <row r="145" spans="1:3" ht="78.75" x14ac:dyDescent="0.2">
      <c r="A145" s="498">
        <v>955</v>
      </c>
      <c r="B145" s="399" t="s">
        <v>1356</v>
      </c>
      <c r="C145" s="492" t="s">
        <v>1357</v>
      </c>
    </row>
    <row r="146" spans="1:3" ht="63" x14ac:dyDescent="0.2">
      <c r="A146" s="498">
        <v>955</v>
      </c>
      <c r="B146" s="374" t="s">
        <v>1307</v>
      </c>
      <c r="C146" s="497" t="s">
        <v>1184</v>
      </c>
    </row>
    <row r="147" spans="1:3" ht="33" customHeight="1" x14ac:dyDescent="0.2">
      <c r="A147" s="951" t="s">
        <v>364</v>
      </c>
      <c r="B147" s="952"/>
      <c r="C147" s="953"/>
    </row>
    <row r="148" spans="1:3" ht="31.5" x14ac:dyDescent="0.2">
      <c r="A148" s="498">
        <v>956</v>
      </c>
      <c r="B148" s="373" t="s">
        <v>329</v>
      </c>
      <c r="C148" s="497" t="s">
        <v>330</v>
      </c>
    </row>
    <row r="149" spans="1:3" ht="86.25" customHeight="1" x14ac:dyDescent="0.2">
      <c r="A149" s="498">
        <v>956</v>
      </c>
      <c r="B149" s="373" t="s">
        <v>1733</v>
      </c>
      <c r="C149" s="497" t="s">
        <v>1731</v>
      </c>
    </row>
    <row r="150" spans="1:3" ht="94.5" x14ac:dyDescent="0.2">
      <c r="A150" s="499">
        <v>956</v>
      </c>
      <c r="B150" s="374" t="s">
        <v>1620</v>
      </c>
      <c r="C150" s="497" t="s">
        <v>1632</v>
      </c>
    </row>
    <row r="151" spans="1:3" ht="47.25" x14ac:dyDescent="0.2">
      <c r="A151" s="499">
        <v>956</v>
      </c>
      <c r="B151" s="374" t="s">
        <v>1621</v>
      </c>
      <c r="C151" s="497" t="s">
        <v>1633</v>
      </c>
    </row>
    <row r="152" spans="1:3" ht="174.75" customHeight="1" x14ac:dyDescent="0.2">
      <c r="A152" s="499">
        <v>956</v>
      </c>
      <c r="B152" s="374" t="s">
        <v>1623</v>
      </c>
      <c r="C152" s="497" t="s">
        <v>1670</v>
      </c>
    </row>
    <row r="153" spans="1:3" ht="126" x14ac:dyDescent="0.2">
      <c r="A153" s="499">
        <v>956</v>
      </c>
      <c r="B153" s="374" t="s">
        <v>1625</v>
      </c>
      <c r="C153" s="497" t="s">
        <v>1635</v>
      </c>
    </row>
    <row r="154" spans="1:3" ht="31.5" x14ac:dyDescent="0.2">
      <c r="A154" s="499">
        <v>956</v>
      </c>
      <c r="B154" s="373" t="s">
        <v>331</v>
      </c>
      <c r="C154" s="497" t="s">
        <v>332</v>
      </c>
    </row>
    <row r="155" spans="1:3" ht="31.5" x14ac:dyDescent="0.2">
      <c r="A155" s="499">
        <v>956</v>
      </c>
      <c r="B155" s="373" t="s">
        <v>333</v>
      </c>
      <c r="C155" s="497" t="s">
        <v>334</v>
      </c>
    </row>
    <row r="156" spans="1:3" ht="63" x14ac:dyDescent="0.2">
      <c r="A156" s="499">
        <v>956</v>
      </c>
      <c r="B156" s="373" t="s">
        <v>1886</v>
      </c>
      <c r="C156" s="497" t="s">
        <v>1801</v>
      </c>
    </row>
    <row r="157" spans="1:3" ht="31.5" x14ac:dyDescent="0.2">
      <c r="A157" s="499">
        <v>956</v>
      </c>
      <c r="B157" s="374" t="s">
        <v>1373</v>
      </c>
      <c r="C157" s="497" t="s">
        <v>1229</v>
      </c>
    </row>
    <row r="158" spans="1:3" ht="15.75" customHeight="1" x14ac:dyDescent="0.2">
      <c r="A158" s="498">
        <v>956</v>
      </c>
      <c r="B158" s="374" t="s">
        <v>1304</v>
      </c>
      <c r="C158" s="497" t="s">
        <v>337</v>
      </c>
    </row>
    <row r="159" spans="1:3" ht="78.75" x14ac:dyDescent="0.2">
      <c r="A159" s="498">
        <v>956</v>
      </c>
      <c r="B159" s="374" t="s">
        <v>1305</v>
      </c>
      <c r="C159" s="497" t="s">
        <v>339</v>
      </c>
    </row>
    <row r="160" spans="1:3" ht="47.25" x14ac:dyDescent="0.2">
      <c r="A160" s="499">
        <v>956</v>
      </c>
      <c r="B160" s="374" t="s">
        <v>1296</v>
      </c>
      <c r="C160" s="497" t="s">
        <v>335</v>
      </c>
    </row>
    <row r="161" spans="1:3" ht="63" x14ac:dyDescent="0.2">
      <c r="A161" s="499">
        <v>956</v>
      </c>
      <c r="B161" s="374" t="s">
        <v>1319</v>
      </c>
      <c r="C161" s="497" t="s">
        <v>1180</v>
      </c>
    </row>
    <row r="162" spans="1:3" ht="63.75" thickBot="1" x14ac:dyDescent="0.25">
      <c r="A162" s="503">
        <v>956</v>
      </c>
      <c r="B162" s="504" t="s">
        <v>1307</v>
      </c>
      <c r="C162" s="505" t="s">
        <v>1184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 xr:uid="{00000000-0004-0000-0800-000000000000}"/>
    <hyperlink ref="C122" r:id="rId2" display="garantf1://10001162.0/" xr:uid="{00000000-0004-0000-0800-000001000000}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51</vt:i4>
      </vt:variant>
    </vt:vector>
  </HeadingPairs>
  <TitlesOfParts>
    <vt:vector size="78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2020-12-01T14:27:30Z</cp:lastPrinted>
  <dcterms:created xsi:type="dcterms:W3CDTF">2016-11-11T16:27:02Z</dcterms:created>
  <dcterms:modified xsi:type="dcterms:W3CDTF">2020-12-17T11:11:43Z</dcterms:modified>
</cp:coreProperties>
</file>